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defaultThemeVersion="124226"/>
  <mc:AlternateContent xmlns:mc="http://schemas.openxmlformats.org/markup-compatibility/2006">
    <mc:Choice Requires="x15">
      <x15ac:absPath xmlns:x15ac="http://schemas.microsoft.com/office/spreadsheetml/2010/11/ac" url="https://bailit.sharepoint.com/CGT/Shared Documents/Connecticut/2023-2024/Cost Growth Data Submission Templates/Insurer Submission Template/"/>
    </mc:Choice>
  </mc:AlternateContent>
  <xr:revisionPtr revIDLastSave="6650" documentId="8_{05400C65-107F-4D48-A526-3C5F3A68F5B8}" xr6:coauthVersionLast="47" xr6:coauthVersionMax="47" xr10:uidLastSave="{EFA95174-D7B6-4A9C-9AAC-1AF3D227E02E}"/>
  <workbookProtection workbookAlgorithmName="SHA-512" workbookHashValue="cMhtbeZaM/hEGjPGfySRMczF522idTEQsPhmQPeeQgzBPnNdISjBksZJ14ZLML5XPKKOUdCK8KAzHjjKlATH7Q==" workbookSaltValue="uakuidLdyU5sn1wX1x0PYg==" workbookSpinCount="100000" lockStructure="1"/>
  <bookViews>
    <workbookView xWindow="-28920" yWindow="-60" windowWidth="29040" windowHeight="15720" tabRatio="750" xr2:uid="{C6523F09-6EEC-437D-9DBA-337F62A88BCD}"/>
  </bookViews>
  <sheets>
    <sheet name="Contents" sheetId="7" r:id="rId1"/>
    <sheet name="Reference Tables" sheetId="5" r:id="rId2"/>
    <sheet name="Definitions" sheetId="12" r:id="rId3"/>
    <sheet name="HD-TME - 2023" sheetId="21" r:id="rId4"/>
    <sheet name="HD-TME - 2024" sheetId="22" r:id="rId5"/>
    <sheet name="Advanced Network - 2023" sheetId="23" r:id="rId6"/>
    <sheet name="Advanced Network - 2024" sheetId="24" r:id="rId7"/>
    <sheet name="RX Rebates - 2023" sheetId="30" r:id="rId8"/>
    <sheet name="RX Rebates - 2024" sheetId="31" r:id="rId9"/>
    <sheet name="LOB Enrollment" sheetId="18" r:id="rId10"/>
    <sheet name="Standard Deviation - 2023" sheetId="25" r:id="rId11"/>
    <sheet name="Standard Deviation - 2024" sheetId="26" r:id="rId12"/>
    <sheet name="Age_Sex Factors - 2023" sheetId="28" r:id="rId13"/>
    <sheet name="Age_Sex Factors - 2024" sheetId="29" r:id="rId14"/>
    <sheet name="Mandatory Questions" sheetId="6" r:id="rId15"/>
    <sheet name="Validation by Market" sheetId="14" r:id="rId16"/>
    <sheet name="Validation by Provider" sheetId="15" r:id="rId17"/>
    <sheet name="Data Validation" sheetId="11" r:id="rId18"/>
    <sheet name="Data Validation Backup" sheetId="9" state="hidden" r:id="rId19"/>
  </sheets>
  <externalReferences>
    <externalReference r:id="rId20"/>
  </externalReferences>
  <definedNames>
    <definedName name="_AMO_UniqueIdentifier" hidden="1">"'b1cc02ed-c984-42fb-b62a-511c8fbc4dd9'"</definedName>
    <definedName name="AdvNet_MMs">'Data Validation'!$AF$114:$AF$355</definedName>
    <definedName name="Backtotop">'Data Validation'!$A$1</definedName>
    <definedName name="MMConsistencybyICC">'Data Validation'!$B$62:$J$69</definedName>
    <definedName name="MMConsistencybyMkt">'Data Validation'!$B$42:$I$59</definedName>
    <definedName name="ReasonablenessPMPMs">'Data Validation'!$B$403:$J$425</definedName>
    <definedName name="TruncSpendingSDbyMkt">'Data Validation'!$B$361:$X$399</definedName>
    <definedName name="TruncSpendMembersbyICC">'Data Validation'!$B$112:$AD$355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1" l="1"/>
  <c r="D49" i="11"/>
  <c r="D48" i="11"/>
  <c r="D46" i="11"/>
  <c r="D45" i="11"/>
  <c r="K108" i="11"/>
  <c r="J108" i="11"/>
  <c r="I108" i="11"/>
  <c r="H108" i="11"/>
  <c r="K107" i="11"/>
  <c r="J107" i="11"/>
  <c r="I107" i="11"/>
  <c r="H107" i="11"/>
  <c r="K106" i="11"/>
  <c r="J106" i="11"/>
  <c r="I106" i="11"/>
  <c r="H106" i="11"/>
  <c r="K105" i="11"/>
  <c r="J105" i="11"/>
  <c r="I105" i="11"/>
  <c r="H105" i="11"/>
  <c r="K104" i="11"/>
  <c r="J104" i="11"/>
  <c r="I104" i="11"/>
  <c r="H104" i="11"/>
  <c r="K103" i="11"/>
  <c r="J103" i="11"/>
  <c r="I103" i="11"/>
  <c r="H103" i="11"/>
  <c r="K102" i="11"/>
  <c r="J102" i="11"/>
  <c r="I102" i="11"/>
  <c r="H102" i="11"/>
  <c r="K101" i="11"/>
  <c r="J101" i="11"/>
  <c r="I101" i="11"/>
  <c r="H101" i="11"/>
  <c r="K100" i="11"/>
  <c r="J100" i="11"/>
  <c r="I100" i="11"/>
  <c r="H100" i="11"/>
  <c r="K99" i="11"/>
  <c r="J99" i="11"/>
  <c r="I99" i="11"/>
  <c r="H99" i="11"/>
  <c r="K98" i="11"/>
  <c r="J98" i="11"/>
  <c r="I98" i="11"/>
  <c r="H98" i="11"/>
  <c r="K97" i="11"/>
  <c r="J97" i="11"/>
  <c r="I97" i="11"/>
  <c r="H97" i="11"/>
  <c r="K96" i="11"/>
  <c r="J96" i="11"/>
  <c r="I96" i="11"/>
  <c r="H96" i="11"/>
  <c r="K95" i="11"/>
  <c r="J95" i="11"/>
  <c r="I95" i="11"/>
  <c r="H95" i="11"/>
  <c r="K94" i="11"/>
  <c r="J94" i="11"/>
  <c r="I94" i="11"/>
  <c r="H94" i="11"/>
  <c r="K93" i="11"/>
  <c r="J93" i="11"/>
  <c r="I93" i="11"/>
  <c r="H93" i="11"/>
  <c r="K92" i="11"/>
  <c r="J92" i="11"/>
  <c r="I92" i="11"/>
  <c r="H92" i="11"/>
  <c r="K91" i="11"/>
  <c r="J91" i="11"/>
  <c r="I91" i="11"/>
  <c r="H91" i="11"/>
  <c r="K90" i="11"/>
  <c r="J90" i="11"/>
  <c r="I90" i="11"/>
  <c r="H90" i="11"/>
  <c r="K89" i="11"/>
  <c r="J89" i="11"/>
  <c r="I89" i="11"/>
  <c r="H89" i="11"/>
  <c r="K88" i="11"/>
  <c r="J88" i="11"/>
  <c r="I88" i="11"/>
  <c r="H88" i="11"/>
  <c r="K87" i="11"/>
  <c r="J87" i="11"/>
  <c r="I87" i="11"/>
  <c r="H87" i="11"/>
  <c r="K86" i="11"/>
  <c r="J86" i="11"/>
  <c r="I86" i="11"/>
  <c r="H86" i="11"/>
  <c r="K85" i="11"/>
  <c r="J85" i="11"/>
  <c r="I85" i="11"/>
  <c r="H85" i="11"/>
  <c r="K84" i="11"/>
  <c r="J84" i="11"/>
  <c r="I84" i="11"/>
  <c r="H84" i="11"/>
  <c r="K83" i="11"/>
  <c r="J83" i="11"/>
  <c r="I83" i="11"/>
  <c r="H83" i="11"/>
  <c r="K82" i="11"/>
  <c r="J82" i="11"/>
  <c r="I82" i="11"/>
  <c r="H82" i="11"/>
  <c r="K81" i="11"/>
  <c r="J81" i="11"/>
  <c r="I81" i="11"/>
  <c r="H81" i="11"/>
  <c r="K80" i="11"/>
  <c r="J80" i="11"/>
  <c r="I80" i="11"/>
  <c r="H80" i="11"/>
  <c r="K79" i="11"/>
  <c r="J79" i="11"/>
  <c r="I79" i="11"/>
  <c r="H79" i="11"/>
  <c r="K78" i="11"/>
  <c r="J78" i="11"/>
  <c r="I78" i="11"/>
  <c r="H78" i="11"/>
  <c r="K77" i="11"/>
  <c r="J77" i="11"/>
  <c r="I77" i="11"/>
  <c r="H77" i="11"/>
  <c r="K76" i="11"/>
  <c r="J76" i="11"/>
  <c r="I76" i="11"/>
  <c r="H76" i="11"/>
  <c r="K75" i="11"/>
  <c r="J75" i="11"/>
  <c r="I75" i="11"/>
  <c r="H75" i="11"/>
  <c r="F108" i="11"/>
  <c r="E108" i="11"/>
  <c r="D108" i="11"/>
  <c r="C108" i="11"/>
  <c r="F107" i="11"/>
  <c r="E107" i="11"/>
  <c r="D107" i="11"/>
  <c r="C107" i="11"/>
  <c r="F106" i="11"/>
  <c r="E106" i="11"/>
  <c r="D106" i="11"/>
  <c r="C106" i="11"/>
  <c r="F105" i="11"/>
  <c r="E105" i="11"/>
  <c r="D105" i="11"/>
  <c r="C105" i="11"/>
  <c r="F104" i="11"/>
  <c r="E104" i="11"/>
  <c r="D104" i="11"/>
  <c r="C104" i="11"/>
  <c r="F103" i="11"/>
  <c r="E103" i="11"/>
  <c r="D103" i="11"/>
  <c r="C103" i="11"/>
  <c r="F102" i="11"/>
  <c r="E102" i="11"/>
  <c r="D102" i="11"/>
  <c r="C102" i="11"/>
  <c r="F101" i="11"/>
  <c r="E101" i="11"/>
  <c r="D101" i="11"/>
  <c r="C101" i="11"/>
  <c r="F100" i="11"/>
  <c r="E100" i="11"/>
  <c r="D100" i="11"/>
  <c r="C100" i="11"/>
  <c r="F99" i="11"/>
  <c r="E99" i="11"/>
  <c r="D99" i="11"/>
  <c r="C99" i="11"/>
  <c r="F98" i="11"/>
  <c r="E98" i="11"/>
  <c r="D98" i="11"/>
  <c r="C98" i="11"/>
  <c r="F97" i="11"/>
  <c r="E97" i="11"/>
  <c r="D97" i="11"/>
  <c r="C97" i="11"/>
  <c r="F96" i="11"/>
  <c r="E96" i="11"/>
  <c r="D96" i="11"/>
  <c r="C96" i="11"/>
  <c r="F95" i="11"/>
  <c r="E95" i="11"/>
  <c r="D95" i="11"/>
  <c r="C95" i="11"/>
  <c r="F94" i="11"/>
  <c r="E94" i="11"/>
  <c r="D94" i="11"/>
  <c r="C94" i="11"/>
  <c r="F93" i="11"/>
  <c r="E93" i="11"/>
  <c r="D93" i="11"/>
  <c r="C93" i="11"/>
  <c r="F92" i="11"/>
  <c r="E92" i="11"/>
  <c r="D92" i="11"/>
  <c r="C92" i="11"/>
  <c r="F91" i="11"/>
  <c r="E91" i="11"/>
  <c r="D91" i="11"/>
  <c r="C91" i="11"/>
  <c r="F90" i="11"/>
  <c r="E90" i="11"/>
  <c r="D90" i="11"/>
  <c r="C90" i="11"/>
  <c r="F89" i="11"/>
  <c r="E89" i="11"/>
  <c r="D89" i="11"/>
  <c r="C89" i="11"/>
  <c r="F88" i="11"/>
  <c r="E88" i="11"/>
  <c r="D88" i="11"/>
  <c r="C88" i="11"/>
  <c r="F87" i="11"/>
  <c r="E87" i="11"/>
  <c r="D87" i="11"/>
  <c r="C87" i="11"/>
  <c r="F86" i="11"/>
  <c r="E86" i="11"/>
  <c r="D86" i="11"/>
  <c r="C86" i="11"/>
  <c r="F85" i="11"/>
  <c r="E85" i="11"/>
  <c r="D85" i="11"/>
  <c r="C85" i="11"/>
  <c r="F84" i="11"/>
  <c r="E84" i="11"/>
  <c r="D84" i="11"/>
  <c r="C84" i="11"/>
  <c r="F83" i="11"/>
  <c r="E83" i="11"/>
  <c r="D83" i="11"/>
  <c r="C83" i="11"/>
  <c r="F82" i="11"/>
  <c r="E82" i="11"/>
  <c r="D82" i="11"/>
  <c r="C82" i="11"/>
  <c r="F81" i="11"/>
  <c r="E81" i="11"/>
  <c r="D81" i="11"/>
  <c r="C81" i="11"/>
  <c r="F80" i="11"/>
  <c r="E80" i="11"/>
  <c r="D80" i="11"/>
  <c r="C80" i="11"/>
  <c r="F79" i="11"/>
  <c r="E79" i="11"/>
  <c r="D79" i="11"/>
  <c r="C79" i="11"/>
  <c r="F78" i="11"/>
  <c r="E78" i="11"/>
  <c r="D78" i="11"/>
  <c r="C78" i="11"/>
  <c r="F77" i="11"/>
  <c r="E77" i="11"/>
  <c r="D77" i="11"/>
  <c r="C77" i="11"/>
  <c r="F76" i="11"/>
  <c r="E76" i="11"/>
  <c r="D76" i="11"/>
  <c r="F75" i="11"/>
  <c r="E75" i="11"/>
  <c r="D75" i="11"/>
  <c r="C75" i="11"/>
  <c r="C76" i="11"/>
  <c r="M13" i="11" l="1"/>
  <c r="H6" i="24" s="1"/>
  <c r="I13" i="11"/>
  <c r="H3" i="24" s="1"/>
  <c r="K13" i="11"/>
  <c r="H4" i="24" s="1"/>
  <c r="L13" i="11"/>
  <c r="H5" i="24" s="1"/>
  <c r="C13" i="11"/>
  <c r="F13" i="11"/>
  <c r="H5" i="23" s="1"/>
  <c r="G13" i="11"/>
  <c r="E13" i="11"/>
  <c r="H4" i="23" s="1"/>
  <c r="H6" i="23" l="1"/>
  <c r="H3" i="23"/>
  <c r="E464" i="11" l="1"/>
  <c r="F464" i="11" s="1"/>
  <c r="C464" i="11"/>
  <c r="D464" i="11" s="1"/>
  <c r="C27" i="11"/>
  <c r="C26" i="11"/>
  <c r="W398" i="11"/>
  <c r="V398" i="11"/>
  <c r="T398" i="11"/>
  <c r="S398" i="11"/>
  <c r="U398" i="11" s="1"/>
  <c r="O398" i="11"/>
  <c r="N398" i="11"/>
  <c r="L398" i="11"/>
  <c r="K398" i="11"/>
  <c r="G398" i="11"/>
  <c r="F398" i="11"/>
  <c r="D398" i="11"/>
  <c r="C398" i="11"/>
  <c r="E398" i="11" s="1"/>
  <c r="W397" i="11"/>
  <c r="V397" i="11"/>
  <c r="T397" i="11"/>
  <c r="S397" i="11"/>
  <c r="O397" i="11"/>
  <c r="N397" i="11"/>
  <c r="P397" i="11" s="1"/>
  <c r="L397" i="11"/>
  <c r="K397" i="11"/>
  <c r="M397" i="11" s="1"/>
  <c r="G397" i="11"/>
  <c r="F397" i="11"/>
  <c r="D397" i="11"/>
  <c r="C397" i="11"/>
  <c r="E397" i="11" s="1"/>
  <c r="W396" i="11"/>
  <c r="V396" i="11"/>
  <c r="T396" i="11"/>
  <c r="S396" i="11"/>
  <c r="O396" i="11"/>
  <c r="N396" i="11"/>
  <c r="L396" i="11"/>
  <c r="K396" i="11"/>
  <c r="M396" i="11" s="1"/>
  <c r="G396" i="11"/>
  <c r="F396" i="11"/>
  <c r="D396" i="11"/>
  <c r="C396" i="11"/>
  <c r="AD354" i="11"/>
  <c r="AC354" i="11"/>
  <c r="V354" i="11"/>
  <c r="AA354" i="11" s="1"/>
  <c r="U354" i="11"/>
  <c r="Z354" i="11" s="1"/>
  <c r="T354" i="11"/>
  <c r="Y354" i="11" s="1"/>
  <c r="S354" i="11"/>
  <c r="X354" i="11" s="1"/>
  <c r="R354" i="11"/>
  <c r="W354" i="11" s="1"/>
  <c r="O354" i="11"/>
  <c r="N354" i="11"/>
  <c r="G354" i="11"/>
  <c r="L354" i="11" s="1"/>
  <c r="F354" i="11"/>
  <c r="K354" i="11" s="1"/>
  <c r="E354" i="11"/>
  <c r="D354" i="11"/>
  <c r="I354" i="11" s="1"/>
  <c r="C354" i="11"/>
  <c r="H354" i="11" s="1"/>
  <c r="AD353" i="11"/>
  <c r="AC353" i="11"/>
  <c r="V353" i="11"/>
  <c r="AA353" i="11" s="1"/>
  <c r="U353" i="11"/>
  <c r="Z353" i="11" s="1"/>
  <c r="T353" i="11"/>
  <c r="S353" i="11"/>
  <c r="X353" i="11" s="1"/>
  <c r="R353" i="11"/>
  <c r="W353" i="11" s="1"/>
  <c r="O353" i="11"/>
  <c r="N353" i="11"/>
  <c r="G353" i="11"/>
  <c r="L353" i="11" s="1"/>
  <c r="F353" i="11"/>
  <c r="K353" i="11" s="1"/>
  <c r="E353" i="11"/>
  <c r="J353" i="11" s="1"/>
  <c r="D353" i="11"/>
  <c r="I353" i="11" s="1"/>
  <c r="C353" i="11"/>
  <c r="H353" i="11" s="1"/>
  <c r="AD352" i="11"/>
  <c r="AC352" i="11"/>
  <c r="V352" i="11"/>
  <c r="AA352" i="11" s="1"/>
  <c r="U352" i="11"/>
  <c r="Z352" i="11" s="1"/>
  <c r="T352" i="11"/>
  <c r="S352" i="11"/>
  <c r="X352" i="11" s="1"/>
  <c r="R352" i="11"/>
  <c r="W352" i="11" s="1"/>
  <c r="O352" i="11"/>
  <c r="N352" i="11"/>
  <c r="G352" i="11"/>
  <c r="L352" i="11" s="1"/>
  <c r="F352" i="11"/>
  <c r="K352" i="11" s="1"/>
  <c r="E352" i="11"/>
  <c r="J352" i="11" s="1"/>
  <c r="D352" i="11"/>
  <c r="I352" i="11" s="1"/>
  <c r="C352" i="11"/>
  <c r="H352" i="11" s="1"/>
  <c r="AD313" i="11"/>
  <c r="AC313" i="11"/>
  <c r="V313" i="11"/>
  <c r="AA313" i="11" s="1"/>
  <c r="U313" i="11"/>
  <c r="Z313" i="11" s="1"/>
  <c r="T313" i="11"/>
  <c r="S313" i="11"/>
  <c r="X313" i="11" s="1"/>
  <c r="R313" i="11"/>
  <c r="W313" i="11" s="1"/>
  <c r="O313" i="11"/>
  <c r="N313" i="11"/>
  <c r="G313" i="11"/>
  <c r="L313" i="11" s="1"/>
  <c r="F313" i="11"/>
  <c r="K313" i="11" s="1"/>
  <c r="E313" i="11"/>
  <c r="D313" i="11"/>
  <c r="I313" i="11" s="1"/>
  <c r="C313" i="11"/>
  <c r="H313" i="11" s="1"/>
  <c r="AD312" i="11"/>
  <c r="AC312" i="11"/>
  <c r="V312" i="11"/>
  <c r="AA312" i="11" s="1"/>
  <c r="U312" i="11"/>
  <c r="Z312" i="11" s="1"/>
  <c r="T312" i="11"/>
  <c r="Y312" i="11" s="1"/>
  <c r="S312" i="11"/>
  <c r="X312" i="11" s="1"/>
  <c r="R312" i="11"/>
  <c r="W312" i="11" s="1"/>
  <c r="O312" i="11"/>
  <c r="N312" i="11"/>
  <c r="G312" i="11"/>
  <c r="L312" i="11" s="1"/>
  <c r="F312" i="11"/>
  <c r="K312" i="11" s="1"/>
  <c r="E312" i="11"/>
  <c r="D312" i="11"/>
  <c r="I312" i="11" s="1"/>
  <c r="C312" i="11"/>
  <c r="H312" i="11" s="1"/>
  <c r="AD311" i="11"/>
  <c r="AC311" i="11"/>
  <c r="V311" i="11"/>
  <c r="AA311" i="11" s="1"/>
  <c r="U311" i="11"/>
  <c r="Z311" i="11" s="1"/>
  <c r="T311" i="11"/>
  <c r="S311" i="11"/>
  <c r="X311" i="11" s="1"/>
  <c r="R311" i="11"/>
  <c r="W311" i="11" s="1"/>
  <c r="O311" i="11"/>
  <c r="N311" i="11"/>
  <c r="G311" i="11"/>
  <c r="L311" i="11" s="1"/>
  <c r="F311" i="11"/>
  <c r="K311" i="11" s="1"/>
  <c r="E311" i="11"/>
  <c r="D311" i="11"/>
  <c r="I311" i="11" s="1"/>
  <c r="C311" i="11"/>
  <c r="H311" i="11" s="1"/>
  <c r="AD272" i="11"/>
  <c r="AC272" i="11"/>
  <c r="V272" i="11"/>
  <c r="AA272" i="11" s="1"/>
  <c r="U272" i="11"/>
  <c r="Z272" i="11" s="1"/>
  <c r="T272" i="11"/>
  <c r="S272" i="11"/>
  <c r="X272" i="11" s="1"/>
  <c r="R272" i="11"/>
  <c r="W272" i="11" s="1"/>
  <c r="O272" i="11"/>
  <c r="N272" i="11"/>
  <c r="G272" i="11"/>
  <c r="L272" i="11" s="1"/>
  <c r="F272" i="11"/>
  <c r="K272" i="11" s="1"/>
  <c r="E272" i="11"/>
  <c r="D272" i="11"/>
  <c r="I272" i="11" s="1"/>
  <c r="C272" i="11"/>
  <c r="H272" i="11" s="1"/>
  <c r="AD271" i="11"/>
  <c r="AC271" i="11"/>
  <c r="V271" i="11"/>
  <c r="AA271" i="11" s="1"/>
  <c r="U271" i="11"/>
  <c r="Z271" i="11" s="1"/>
  <c r="T271" i="11"/>
  <c r="S271" i="11"/>
  <c r="X271" i="11" s="1"/>
  <c r="R271" i="11"/>
  <c r="W271" i="11" s="1"/>
  <c r="O271" i="11"/>
  <c r="N271" i="11"/>
  <c r="G271" i="11"/>
  <c r="L271" i="11" s="1"/>
  <c r="F271" i="11"/>
  <c r="K271" i="11" s="1"/>
  <c r="E271" i="11"/>
  <c r="J271" i="11" s="1"/>
  <c r="D271" i="11"/>
  <c r="I271" i="11" s="1"/>
  <c r="C271" i="11"/>
  <c r="H271" i="11" s="1"/>
  <c r="AD270" i="11"/>
  <c r="AC270" i="11"/>
  <c r="V270" i="11"/>
  <c r="AA270" i="11" s="1"/>
  <c r="U270" i="11"/>
  <c r="Z270" i="11" s="1"/>
  <c r="T270" i="11"/>
  <c r="S270" i="11"/>
  <c r="X270" i="11" s="1"/>
  <c r="R270" i="11"/>
  <c r="W270" i="11" s="1"/>
  <c r="O270" i="11"/>
  <c r="N270" i="11"/>
  <c r="G270" i="11"/>
  <c r="L270" i="11" s="1"/>
  <c r="F270" i="11"/>
  <c r="K270" i="11" s="1"/>
  <c r="E270" i="11"/>
  <c r="D270" i="11"/>
  <c r="I270" i="11" s="1"/>
  <c r="C270" i="11"/>
  <c r="H270" i="11" s="1"/>
  <c r="AD231" i="11"/>
  <c r="AC231" i="11"/>
  <c r="V231" i="11"/>
  <c r="AA231" i="11" s="1"/>
  <c r="U231" i="11"/>
  <c r="Z231" i="11" s="1"/>
  <c r="T231" i="11"/>
  <c r="S231" i="11"/>
  <c r="X231" i="11" s="1"/>
  <c r="R231" i="11"/>
  <c r="W231" i="11" s="1"/>
  <c r="O231" i="11"/>
  <c r="N231" i="11"/>
  <c r="G231" i="11"/>
  <c r="L231" i="11" s="1"/>
  <c r="F231" i="11"/>
  <c r="K231" i="11" s="1"/>
  <c r="E231" i="11"/>
  <c r="J231" i="11" s="1"/>
  <c r="D231" i="11"/>
  <c r="I231" i="11" s="1"/>
  <c r="C231" i="11"/>
  <c r="H231" i="11" s="1"/>
  <c r="AD230" i="11"/>
  <c r="AC230" i="11"/>
  <c r="V230" i="11"/>
  <c r="AA230" i="11" s="1"/>
  <c r="U230" i="11"/>
  <c r="Z230" i="11" s="1"/>
  <c r="T230" i="11"/>
  <c r="Y230" i="11" s="1"/>
  <c r="S230" i="11"/>
  <c r="X230" i="11" s="1"/>
  <c r="R230" i="11"/>
  <c r="W230" i="11" s="1"/>
  <c r="O230" i="11"/>
  <c r="N230" i="11"/>
  <c r="G230" i="11"/>
  <c r="L230" i="11" s="1"/>
  <c r="F230" i="11"/>
  <c r="K230" i="11" s="1"/>
  <c r="E230" i="11"/>
  <c r="D230" i="11"/>
  <c r="I230" i="11" s="1"/>
  <c r="C230" i="11"/>
  <c r="H230" i="11" s="1"/>
  <c r="AD229" i="11"/>
  <c r="AC229" i="11"/>
  <c r="V229" i="11"/>
  <c r="AA229" i="11" s="1"/>
  <c r="U229" i="11"/>
  <c r="Z229" i="11" s="1"/>
  <c r="T229" i="11"/>
  <c r="Y229" i="11" s="1"/>
  <c r="S229" i="11"/>
  <c r="X229" i="11" s="1"/>
  <c r="R229" i="11"/>
  <c r="W229" i="11" s="1"/>
  <c r="O229" i="11"/>
  <c r="N229" i="11"/>
  <c r="G229" i="11"/>
  <c r="L229" i="11" s="1"/>
  <c r="F229" i="11"/>
  <c r="K229" i="11" s="1"/>
  <c r="E229" i="11"/>
  <c r="J229" i="11" s="1"/>
  <c r="D229" i="11"/>
  <c r="I229" i="11" s="1"/>
  <c r="C229" i="11"/>
  <c r="H229" i="11" s="1"/>
  <c r="AD190" i="11"/>
  <c r="AC190" i="11"/>
  <c r="V190" i="11"/>
  <c r="AA190" i="11" s="1"/>
  <c r="U190" i="11"/>
  <c r="Z190" i="11" s="1"/>
  <c r="T190" i="11"/>
  <c r="S190" i="11"/>
  <c r="X190" i="11" s="1"/>
  <c r="R190" i="11"/>
  <c r="W190" i="11" s="1"/>
  <c r="O190" i="11"/>
  <c r="N190" i="11"/>
  <c r="G190" i="11"/>
  <c r="L190" i="11" s="1"/>
  <c r="F190" i="11"/>
  <c r="K190" i="11" s="1"/>
  <c r="E190" i="11"/>
  <c r="D190" i="11"/>
  <c r="I190" i="11" s="1"/>
  <c r="C190" i="11"/>
  <c r="H190" i="11" s="1"/>
  <c r="AD189" i="11"/>
  <c r="AC189" i="11"/>
  <c r="V189" i="11"/>
  <c r="AA189" i="11" s="1"/>
  <c r="U189" i="11"/>
  <c r="Z189" i="11" s="1"/>
  <c r="T189" i="11"/>
  <c r="S189" i="11"/>
  <c r="X189" i="11" s="1"/>
  <c r="R189" i="11"/>
  <c r="W189" i="11" s="1"/>
  <c r="O189" i="11"/>
  <c r="N189" i="11"/>
  <c r="G189" i="11"/>
  <c r="L189" i="11" s="1"/>
  <c r="F189" i="11"/>
  <c r="K189" i="11" s="1"/>
  <c r="E189" i="11"/>
  <c r="D189" i="11"/>
  <c r="I189" i="11" s="1"/>
  <c r="C189" i="11"/>
  <c r="H189" i="11" s="1"/>
  <c r="AD188" i="11"/>
  <c r="AC188" i="11"/>
  <c r="V188" i="11"/>
  <c r="AA188" i="11" s="1"/>
  <c r="U188" i="11"/>
  <c r="Z188" i="11" s="1"/>
  <c r="T188" i="11"/>
  <c r="Y188" i="11" s="1"/>
  <c r="S188" i="11"/>
  <c r="X188" i="11" s="1"/>
  <c r="R188" i="11"/>
  <c r="W188" i="11" s="1"/>
  <c r="O188" i="11"/>
  <c r="N188" i="11"/>
  <c r="G188" i="11"/>
  <c r="L188" i="11" s="1"/>
  <c r="F188" i="11"/>
  <c r="K188" i="11" s="1"/>
  <c r="E188" i="11"/>
  <c r="D188" i="11"/>
  <c r="I188" i="11" s="1"/>
  <c r="C188" i="11"/>
  <c r="H188" i="11" s="1"/>
  <c r="AD149" i="11"/>
  <c r="AC149" i="11"/>
  <c r="V149" i="11"/>
  <c r="AA149" i="11" s="1"/>
  <c r="U149" i="11"/>
  <c r="Z149" i="11" s="1"/>
  <c r="T149" i="11"/>
  <c r="S149" i="11"/>
  <c r="X149" i="11" s="1"/>
  <c r="R149" i="11"/>
  <c r="W149" i="11" s="1"/>
  <c r="O149" i="11"/>
  <c r="N149" i="11"/>
  <c r="G149" i="11"/>
  <c r="L149" i="11" s="1"/>
  <c r="F149" i="11"/>
  <c r="K149" i="11" s="1"/>
  <c r="E149" i="11"/>
  <c r="D149" i="11"/>
  <c r="I149" i="11" s="1"/>
  <c r="C149" i="11"/>
  <c r="H149" i="11" s="1"/>
  <c r="AD148" i="11"/>
  <c r="AC148" i="11"/>
  <c r="V148" i="11"/>
  <c r="AA148" i="11" s="1"/>
  <c r="U148" i="11"/>
  <c r="Z148" i="11" s="1"/>
  <c r="T148" i="11"/>
  <c r="S148" i="11"/>
  <c r="X148" i="11" s="1"/>
  <c r="R148" i="11"/>
  <c r="W148" i="11" s="1"/>
  <c r="O148" i="11"/>
  <c r="N148" i="11"/>
  <c r="G148" i="11"/>
  <c r="L148" i="11" s="1"/>
  <c r="F148" i="11"/>
  <c r="K148" i="11" s="1"/>
  <c r="E148" i="11"/>
  <c r="D148" i="11"/>
  <c r="I148" i="11" s="1"/>
  <c r="C148" i="11"/>
  <c r="H148" i="11" s="1"/>
  <c r="AD147" i="11"/>
  <c r="AC147" i="11"/>
  <c r="V147" i="11"/>
  <c r="AA147" i="11" s="1"/>
  <c r="U147" i="11"/>
  <c r="Z147" i="11" s="1"/>
  <c r="T147" i="11"/>
  <c r="Y147" i="11" s="1"/>
  <c r="S147" i="11"/>
  <c r="X147" i="11" s="1"/>
  <c r="R147" i="11"/>
  <c r="W147" i="11" s="1"/>
  <c r="O147" i="11"/>
  <c r="N147" i="11"/>
  <c r="G147" i="11"/>
  <c r="L147" i="11" s="1"/>
  <c r="F147" i="11"/>
  <c r="K147" i="11" s="1"/>
  <c r="E147" i="11"/>
  <c r="D147" i="11"/>
  <c r="I147" i="11" s="1"/>
  <c r="C147" i="11"/>
  <c r="H147" i="11" s="1"/>
  <c r="S287" i="15"/>
  <c r="AB287" i="15" s="1"/>
  <c r="D287" i="15"/>
  <c r="AV287" i="15" s="1"/>
  <c r="C287" i="15"/>
  <c r="S286" i="15"/>
  <c r="AB286" i="15" s="1"/>
  <c r="D286" i="15"/>
  <c r="AV286" i="15" s="1"/>
  <c r="C286" i="15"/>
  <c r="S285" i="15"/>
  <c r="AB285" i="15" s="1"/>
  <c r="D285" i="15"/>
  <c r="AV285" i="15" s="1"/>
  <c r="C285" i="15"/>
  <c r="S246" i="15"/>
  <c r="AB246" i="15" s="1"/>
  <c r="D246" i="15"/>
  <c r="AV246" i="15" s="1"/>
  <c r="C246" i="15"/>
  <c r="S245" i="15"/>
  <c r="AB245" i="15" s="1"/>
  <c r="D245" i="15"/>
  <c r="AV245" i="15" s="1"/>
  <c r="C245" i="15"/>
  <c r="S244" i="15"/>
  <c r="AB244" i="15" s="1"/>
  <c r="D244" i="15"/>
  <c r="AV244" i="15" s="1"/>
  <c r="C244" i="15"/>
  <c r="S205" i="15"/>
  <c r="AB205" i="15" s="1"/>
  <c r="D205" i="15"/>
  <c r="AV205" i="15" s="1"/>
  <c r="C205" i="15"/>
  <c r="S204" i="15"/>
  <c r="AB204" i="15" s="1"/>
  <c r="D204" i="15"/>
  <c r="AV204" i="15" s="1"/>
  <c r="C204" i="15"/>
  <c r="S203" i="15"/>
  <c r="AB203" i="15" s="1"/>
  <c r="D203" i="15"/>
  <c r="AV203" i="15" s="1"/>
  <c r="C203" i="15"/>
  <c r="C164" i="15"/>
  <c r="C163" i="15"/>
  <c r="C162" i="15"/>
  <c r="S123" i="15"/>
  <c r="AB123" i="15" s="1"/>
  <c r="D123" i="15"/>
  <c r="AV123" i="15" s="1"/>
  <c r="C123" i="15"/>
  <c r="S122" i="15"/>
  <c r="AB122" i="15" s="1"/>
  <c r="D122" i="15"/>
  <c r="AV122" i="15" s="1"/>
  <c r="C122" i="15"/>
  <c r="S121" i="15"/>
  <c r="AB121" i="15" s="1"/>
  <c r="D121" i="15"/>
  <c r="AV121" i="15" s="1"/>
  <c r="C121" i="15"/>
  <c r="S82" i="15"/>
  <c r="AB82" i="15" s="1"/>
  <c r="D82" i="15"/>
  <c r="AV82" i="15" s="1"/>
  <c r="C82" i="15"/>
  <c r="S81" i="15"/>
  <c r="AB81" i="15" s="1"/>
  <c r="D81" i="15"/>
  <c r="AV81" i="15" s="1"/>
  <c r="C81" i="15"/>
  <c r="S80" i="15"/>
  <c r="AB80" i="15" s="1"/>
  <c r="D80" i="15"/>
  <c r="AV80" i="15" s="1"/>
  <c r="C80" i="15"/>
  <c r="C41" i="15"/>
  <c r="C40" i="15"/>
  <c r="C39" i="15"/>
  <c r="D99" i="14"/>
  <c r="D103" i="14" s="1"/>
  <c r="C99" i="14"/>
  <c r="N70" i="14"/>
  <c r="N94" i="14" s="1"/>
  <c r="M70" i="14"/>
  <c r="M72" i="14" s="1"/>
  <c r="I70" i="14"/>
  <c r="I94" i="14" s="1"/>
  <c r="H70" i="14"/>
  <c r="H94" i="14" s="1"/>
  <c r="N41" i="14"/>
  <c r="N65" i="14" s="1"/>
  <c r="M41" i="14"/>
  <c r="M43" i="14" s="1"/>
  <c r="U396" i="11" l="1"/>
  <c r="M398" i="11"/>
  <c r="E396" i="11"/>
  <c r="U397" i="11"/>
  <c r="X396" i="11"/>
  <c r="P398" i="11"/>
  <c r="M312" i="11"/>
  <c r="J312" i="11"/>
  <c r="M190" i="11"/>
  <c r="J190" i="11"/>
  <c r="AB353" i="11"/>
  <c r="Y353" i="11"/>
  <c r="H396" i="11"/>
  <c r="X397" i="11"/>
  <c r="M272" i="11"/>
  <c r="J272" i="11"/>
  <c r="AB149" i="11"/>
  <c r="Y149" i="11"/>
  <c r="AB311" i="11"/>
  <c r="Y311" i="11"/>
  <c r="M148" i="11"/>
  <c r="J148" i="11"/>
  <c r="M189" i="11"/>
  <c r="J189" i="11"/>
  <c r="M313" i="11"/>
  <c r="J313" i="11"/>
  <c r="P396" i="11"/>
  <c r="H398" i="11"/>
  <c r="AB190" i="11"/>
  <c r="Y190" i="11"/>
  <c r="AB352" i="11"/>
  <c r="Y352" i="11"/>
  <c r="M230" i="11"/>
  <c r="J230" i="11"/>
  <c r="M354" i="11"/>
  <c r="J354" i="11"/>
  <c r="AB231" i="11"/>
  <c r="Y231" i="11"/>
  <c r="M147" i="11"/>
  <c r="J147" i="11"/>
  <c r="AB148" i="11"/>
  <c r="Y148" i="11"/>
  <c r="AB272" i="11"/>
  <c r="Y272" i="11"/>
  <c r="AB189" i="11"/>
  <c r="Y189" i="11"/>
  <c r="AB313" i="11"/>
  <c r="Y313" i="11"/>
  <c r="H397" i="11"/>
  <c r="X398" i="11"/>
  <c r="M188" i="11"/>
  <c r="J188" i="11"/>
  <c r="M270" i="11"/>
  <c r="J270" i="11"/>
  <c r="AB271" i="11"/>
  <c r="Y271" i="11"/>
  <c r="M311" i="11"/>
  <c r="J311" i="11"/>
  <c r="AB270" i="11"/>
  <c r="Y270" i="11"/>
  <c r="M149" i="11"/>
  <c r="J149" i="11"/>
  <c r="C119" i="14"/>
  <c r="C110" i="14"/>
  <c r="M62" i="14"/>
  <c r="N64" i="14"/>
  <c r="N63" i="14"/>
  <c r="C121" i="14"/>
  <c r="C123" i="14"/>
  <c r="C107" i="14"/>
  <c r="I81" i="14"/>
  <c r="I76" i="14"/>
  <c r="I84" i="14"/>
  <c r="I77" i="14"/>
  <c r="I80" i="14"/>
  <c r="I83" i="14"/>
  <c r="I85" i="14"/>
  <c r="I74" i="14"/>
  <c r="I75" i="14"/>
  <c r="I88" i="14"/>
  <c r="M49" i="14"/>
  <c r="M50" i="14"/>
  <c r="M60" i="14"/>
  <c r="M61" i="14"/>
  <c r="I87" i="14"/>
  <c r="N49" i="14"/>
  <c r="I71" i="14"/>
  <c r="N50" i="14"/>
  <c r="AF286" i="15"/>
  <c r="I72" i="14"/>
  <c r="N60" i="14"/>
  <c r="I73" i="14"/>
  <c r="N61" i="14"/>
  <c r="D110" i="14"/>
  <c r="I86" i="14"/>
  <c r="N62" i="14"/>
  <c r="D105" i="14"/>
  <c r="D106" i="14"/>
  <c r="AG286" i="15"/>
  <c r="D109" i="14"/>
  <c r="I78" i="14"/>
  <c r="O70" i="14"/>
  <c r="J94" i="14"/>
  <c r="I82" i="14"/>
  <c r="H85" i="14"/>
  <c r="H78" i="14"/>
  <c r="C106" i="14"/>
  <c r="H73" i="14"/>
  <c r="C109" i="14"/>
  <c r="H81" i="14"/>
  <c r="H82" i="14"/>
  <c r="H83" i="14"/>
  <c r="H84" i="14"/>
  <c r="C104" i="14"/>
  <c r="H74" i="14"/>
  <c r="J70" i="14"/>
  <c r="C115" i="14"/>
  <c r="H71" i="14"/>
  <c r="C103" i="14"/>
  <c r="H86" i="14"/>
  <c r="C112" i="14"/>
  <c r="C117" i="14"/>
  <c r="C100" i="14"/>
  <c r="C105" i="14"/>
  <c r="H75" i="14"/>
  <c r="C113" i="14"/>
  <c r="H88" i="14"/>
  <c r="C114" i="14"/>
  <c r="C116" i="14"/>
  <c r="H77" i="14"/>
  <c r="M63" i="14"/>
  <c r="M64" i="14"/>
  <c r="C118" i="14"/>
  <c r="C101" i="14"/>
  <c r="C102" i="14"/>
  <c r="H72" i="14"/>
  <c r="C111" i="14"/>
  <c r="H87" i="14"/>
  <c r="H76" i="14"/>
  <c r="H80" i="14"/>
  <c r="M65" i="14"/>
  <c r="AF311" i="11"/>
  <c r="AF354" i="11"/>
  <c r="M353" i="11"/>
  <c r="AF353" i="11"/>
  <c r="M352" i="11"/>
  <c r="AF352" i="11"/>
  <c r="AB354" i="11"/>
  <c r="AF313" i="11"/>
  <c r="AF312" i="11"/>
  <c r="AB312" i="11"/>
  <c r="AF272" i="11"/>
  <c r="M271" i="11"/>
  <c r="AF271" i="11"/>
  <c r="AF270" i="11"/>
  <c r="M231" i="11"/>
  <c r="AF231" i="11"/>
  <c r="AF230" i="11"/>
  <c r="M229" i="11"/>
  <c r="AF229" i="11"/>
  <c r="AB230" i="11"/>
  <c r="AB229" i="11"/>
  <c r="AF190" i="11"/>
  <c r="AF189" i="11"/>
  <c r="AF188" i="11"/>
  <c r="AB188" i="11"/>
  <c r="AF149" i="11"/>
  <c r="AF148" i="11"/>
  <c r="AF147" i="11"/>
  <c r="AB147" i="11"/>
  <c r="AD287" i="15"/>
  <c r="AE287" i="15"/>
  <c r="AC287" i="15"/>
  <c r="AF287" i="15"/>
  <c r="AG287" i="15"/>
  <c r="J287" i="15"/>
  <c r="L287" i="15"/>
  <c r="N287" i="15"/>
  <c r="AH287" i="15"/>
  <c r="I287" i="15"/>
  <c r="K287" i="15"/>
  <c r="M287" i="15"/>
  <c r="O287" i="15"/>
  <c r="AI287" i="15"/>
  <c r="AK287" i="15"/>
  <c r="I286" i="15"/>
  <c r="J286" i="15"/>
  <c r="K286" i="15"/>
  <c r="L286" i="15"/>
  <c r="M286" i="15"/>
  <c r="AC286" i="15"/>
  <c r="AD286" i="15"/>
  <c r="AE286" i="15"/>
  <c r="P287" i="15"/>
  <c r="AJ287" i="15"/>
  <c r="Q287" i="15"/>
  <c r="R287" i="15"/>
  <c r="AL287" i="15"/>
  <c r="W287" i="15"/>
  <c r="AR287" i="15"/>
  <c r="AS287" i="15"/>
  <c r="F287" i="15"/>
  <c r="Z287" i="15"/>
  <c r="AT287" i="15"/>
  <c r="Y287" i="15"/>
  <c r="G287" i="15"/>
  <c r="AA287" i="15"/>
  <c r="AU287" i="15"/>
  <c r="AM287" i="15"/>
  <c r="T287" i="15"/>
  <c r="AN287" i="15"/>
  <c r="U287" i="15"/>
  <c r="AO287" i="15"/>
  <c r="V287" i="15"/>
  <c r="AP287" i="15"/>
  <c r="AQ287" i="15"/>
  <c r="X287" i="15"/>
  <c r="E287" i="15"/>
  <c r="H287" i="15"/>
  <c r="P286" i="15"/>
  <c r="Q286" i="15"/>
  <c r="AK286" i="15"/>
  <c r="AL286" i="15"/>
  <c r="AM286" i="15"/>
  <c r="AH286" i="15"/>
  <c r="O286" i="15"/>
  <c r="AJ286" i="15"/>
  <c r="R286" i="15"/>
  <c r="AS286" i="15"/>
  <c r="F286" i="15"/>
  <c r="Z286" i="15"/>
  <c r="AT286" i="15"/>
  <c r="N286" i="15"/>
  <c r="AI286" i="15"/>
  <c r="W286" i="15"/>
  <c r="AR286" i="15"/>
  <c r="Y286" i="15"/>
  <c r="G286" i="15"/>
  <c r="AA286" i="15"/>
  <c r="AU286" i="15"/>
  <c r="T286" i="15"/>
  <c r="AN286" i="15"/>
  <c r="U286" i="15"/>
  <c r="AO286" i="15"/>
  <c r="V286" i="15"/>
  <c r="AP286" i="15"/>
  <c r="AQ286" i="15"/>
  <c r="X286" i="15"/>
  <c r="E286" i="15"/>
  <c r="H286" i="15"/>
  <c r="R285" i="15"/>
  <c r="U285" i="15"/>
  <c r="AO285" i="15"/>
  <c r="V285" i="15"/>
  <c r="AP285" i="15"/>
  <c r="W285" i="15"/>
  <c r="AQ285" i="15"/>
  <c r="X285" i="15"/>
  <c r="AR285" i="15"/>
  <c r="T285" i="15"/>
  <c r="E285" i="15"/>
  <c r="Y285" i="15"/>
  <c r="AS285" i="15"/>
  <c r="I285" i="15"/>
  <c r="AE285" i="15"/>
  <c r="M285" i="15"/>
  <c r="AI285" i="15"/>
  <c r="Q285" i="15"/>
  <c r="F285" i="15"/>
  <c r="Z285" i="15"/>
  <c r="AT285" i="15"/>
  <c r="AD285" i="15"/>
  <c r="AF285" i="15"/>
  <c r="AH285" i="15"/>
  <c r="O285" i="15"/>
  <c r="AJ285" i="15"/>
  <c r="AM285" i="15"/>
  <c r="G285" i="15"/>
  <c r="AA285" i="15"/>
  <c r="AU285" i="15"/>
  <c r="AC285" i="15"/>
  <c r="J285" i="15"/>
  <c r="K285" i="15"/>
  <c r="L285" i="15"/>
  <c r="AG285" i="15"/>
  <c r="N285" i="15"/>
  <c r="P285" i="15"/>
  <c r="AK285" i="15"/>
  <c r="AL285" i="15"/>
  <c r="AN285" i="15"/>
  <c r="H285" i="15"/>
  <c r="I246" i="15"/>
  <c r="M246" i="15"/>
  <c r="X246" i="15"/>
  <c r="AR246" i="15"/>
  <c r="K246" i="15"/>
  <c r="L246" i="15"/>
  <c r="N246" i="15"/>
  <c r="O246" i="15"/>
  <c r="AK246" i="15"/>
  <c r="R246" i="15"/>
  <c r="V246" i="15"/>
  <c r="E246" i="15"/>
  <c r="Y246" i="15"/>
  <c r="AS246" i="15"/>
  <c r="AC246" i="15"/>
  <c r="AD246" i="15"/>
  <c r="AE246" i="15"/>
  <c r="AF246" i="15"/>
  <c r="AG246" i="15"/>
  <c r="AH246" i="15"/>
  <c r="AI246" i="15"/>
  <c r="P246" i="15"/>
  <c r="AJ246" i="15"/>
  <c r="Q246" i="15"/>
  <c r="AL246" i="15"/>
  <c r="AM246" i="15"/>
  <c r="T246" i="15"/>
  <c r="AO246" i="15"/>
  <c r="AP246" i="15"/>
  <c r="W246" i="15"/>
  <c r="F246" i="15"/>
  <c r="Z246" i="15"/>
  <c r="AT246" i="15"/>
  <c r="AN246" i="15"/>
  <c r="U246" i="15"/>
  <c r="AQ246" i="15"/>
  <c r="G246" i="15"/>
  <c r="AA246" i="15"/>
  <c r="AU246" i="15"/>
  <c r="J246" i="15"/>
  <c r="H246" i="15"/>
  <c r="W245" i="15"/>
  <c r="AQ245" i="15"/>
  <c r="X245" i="15"/>
  <c r="AR245" i="15"/>
  <c r="I245" i="15"/>
  <c r="AD245" i="15"/>
  <c r="K245" i="15"/>
  <c r="AF245" i="15"/>
  <c r="M245" i="15"/>
  <c r="N245" i="15"/>
  <c r="AI245" i="15"/>
  <c r="AK245" i="15"/>
  <c r="AL245" i="15"/>
  <c r="AN245" i="15"/>
  <c r="AP245" i="15"/>
  <c r="E245" i="15"/>
  <c r="Y245" i="15"/>
  <c r="AS245" i="15"/>
  <c r="V245" i="15"/>
  <c r="F245" i="15"/>
  <c r="Z245" i="15"/>
  <c r="AT245" i="15"/>
  <c r="AC245" i="15"/>
  <c r="AG245" i="15"/>
  <c r="AJ245" i="15"/>
  <c r="R245" i="15"/>
  <c r="T245" i="15"/>
  <c r="U245" i="15"/>
  <c r="G245" i="15"/>
  <c r="AA245" i="15"/>
  <c r="AU245" i="15"/>
  <c r="J245" i="15"/>
  <c r="AE245" i="15"/>
  <c r="L245" i="15"/>
  <c r="AH245" i="15"/>
  <c r="O245" i="15"/>
  <c r="P245" i="15"/>
  <c r="Q245" i="15"/>
  <c r="AM245" i="15"/>
  <c r="AO245" i="15"/>
  <c r="H245" i="15"/>
  <c r="AJ244" i="15"/>
  <c r="W244" i="15"/>
  <c r="AQ244" i="15"/>
  <c r="X244" i="15"/>
  <c r="AR244" i="15"/>
  <c r="I244" i="15"/>
  <c r="J244" i="15"/>
  <c r="AE244" i="15"/>
  <c r="M244" i="15"/>
  <c r="AI244" i="15"/>
  <c r="Q244" i="15"/>
  <c r="AL244" i="15"/>
  <c r="AN244" i="15"/>
  <c r="V244" i="15"/>
  <c r="E244" i="15"/>
  <c r="Y244" i="15"/>
  <c r="AS244" i="15"/>
  <c r="AD244" i="15"/>
  <c r="K244" i="15"/>
  <c r="AF244" i="15"/>
  <c r="AH244" i="15"/>
  <c r="P244" i="15"/>
  <c r="R244" i="15"/>
  <c r="T244" i="15"/>
  <c r="AP244" i="15"/>
  <c r="F244" i="15"/>
  <c r="Z244" i="15"/>
  <c r="AT244" i="15"/>
  <c r="U244" i="15"/>
  <c r="G244" i="15"/>
  <c r="AA244" i="15"/>
  <c r="AU244" i="15"/>
  <c r="AC244" i="15"/>
  <c r="L244" i="15"/>
  <c r="AG244" i="15"/>
  <c r="N244" i="15"/>
  <c r="O244" i="15"/>
  <c r="AK244" i="15"/>
  <c r="AM244" i="15"/>
  <c r="AO244" i="15"/>
  <c r="H244" i="15"/>
  <c r="AK204" i="15"/>
  <c r="R204" i="15"/>
  <c r="AL204" i="15"/>
  <c r="AN204" i="15"/>
  <c r="I204" i="15"/>
  <c r="J204" i="15"/>
  <c r="P204" i="15"/>
  <c r="AO204" i="15"/>
  <c r="K204" i="15"/>
  <c r="Q204" i="15"/>
  <c r="AM204" i="15"/>
  <c r="M204" i="15"/>
  <c r="AJ204" i="15"/>
  <c r="AD205" i="15"/>
  <c r="K205" i="15"/>
  <c r="AF205" i="15"/>
  <c r="M205" i="15"/>
  <c r="N205" i="15"/>
  <c r="O205" i="15"/>
  <c r="P205" i="15"/>
  <c r="AK205" i="15"/>
  <c r="R205" i="15"/>
  <c r="AM205" i="15"/>
  <c r="T205" i="15"/>
  <c r="AN205" i="15"/>
  <c r="U205" i="15"/>
  <c r="AO205" i="15"/>
  <c r="V205" i="15"/>
  <c r="AP205" i="15"/>
  <c r="I205" i="15"/>
  <c r="AQ205" i="15"/>
  <c r="X205" i="15"/>
  <c r="AR205" i="15"/>
  <c r="Y205" i="15"/>
  <c r="F205" i="15"/>
  <c r="Z205" i="15"/>
  <c r="AT205" i="15"/>
  <c r="AS205" i="15"/>
  <c r="G205" i="15"/>
  <c r="AA205" i="15"/>
  <c r="AU205" i="15"/>
  <c r="AC205" i="15"/>
  <c r="J205" i="15"/>
  <c r="AE205" i="15"/>
  <c r="L205" i="15"/>
  <c r="AG205" i="15"/>
  <c r="AH205" i="15"/>
  <c r="AI205" i="15"/>
  <c r="AJ205" i="15"/>
  <c r="Q205" i="15"/>
  <c r="AL205" i="15"/>
  <c r="W205" i="15"/>
  <c r="E205" i="15"/>
  <c r="H205" i="15"/>
  <c r="AC204" i="15"/>
  <c r="AE204" i="15"/>
  <c r="L204" i="15"/>
  <c r="AF204" i="15"/>
  <c r="AD204" i="15"/>
  <c r="AG204" i="15"/>
  <c r="N204" i="15"/>
  <c r="AH204" i="15"/>
  <c r="O204" i="15"/>
  <c r="AI204" i="15"/>
  <c r="V204" i="15"/>
  <c r="AP204" i="15"/>
  <c r="T204" i="15"/>
  <c r="U204" i="15"/>
  <c r="AR204" i="15"/>
  <c r="Y204" i="15"/>
  <c r="F204" i="15"/>
  <c r="AT204" i="15"/>
  <c r="G204" i="15"/>
  <c r="AA204" i="15"/>
  <c r="AU204" i="15"/>
  <c r="W204" i="15"/>
  <c r="AQ204" i="15"/>
  <c r="X204" i="15"/>
  <c r="E204" i="15"/>
  <c r="AS204" i="15"/>
  <c r="Z204" i="15"/>
  <c r="H204" i="15"/>
  <c r="I203" i="15"/>
  <c r="T203" i="15"/>
  <c r="AN203" i="15"/>
  <c r="U203" i="15"/>
  <c r="AO203" i="15"/>
  <c r="P203" i="15"/>
  <c r="AM203" i="15"/>
  <c r="V203" i="15"/>
  <c r="AP203" i="15"/>
  <c r="W203" i="15"/>
  <c r="AQ203" i="15"/>
  <c r="X203" i="15"/>
  <c r="AR203" i="15"/>
  <c r="AE203" i="15"/>
  <c r="M203" i="15"/>
  <c r="E203" i="15"/>
  <c r="Y203" i="15"/>
  <c r="AS203" i="15"/>
  <c r="AC203" i="15"/>
  <c r="K203" i="15"/>
  <c r="AG203" i="15"/>
  <c r="O203" i="15"/>
  <c r="AK203" i="15"/>
  <c r="F203" i="15"/>
  <c r="Z203" i="15"/>
  <c r="AT203" i="15"/>
  <c r="J203" i="15"/>
  <c r="L203" i="15"/>
  <c r="N203" i="15"/>
  <c r="AI203" i="15"/>
  <c r="Q203" i="15"/>
  <c r="AL203" i="15"/>
  <c r="G203" i="15"/>
  <c r="AA203" i="15"/>
  <c r="AU203" i="15"/>
  <c r="AD203" i="15"/>
  <c r="AF203" i="15"/>
  <c r="AH203" i="15"/>
  <c r="AJ203" i="15"/>
  <c r="R203" i="15"/>
  <c r="H203" i="15"/>
  <c r="I123" i="15"/>
  <c r="K123" i="15"/>
  <c r="Q123" i="15"/>
  <c r="X123" i="15"/>
  <c r="E123" i="15"/>
  <c r="Y123" i="15"/>
  <c r="AS123" i="15"/>
  <c r="AC123" i="15"/>
  <c r="J123" i="15"/>
  <c r="AD123" i="15"/>
  <c r="AE123" i="15"/>
  <c r="L123" i="15"/>
  <c r="AF123" i="15"/>
  <c r="M123" i="15"/>
  <c r="AG123" i="15"/>
  <c r="N123" i="15"/>
  <c r="AH123" i="15"/>
  <c r="O123" i="15"/>
  <c r="AI123" i="15"/>
  <c r="P123" i="15"/>
  <c r="AJ123" i="15"/>
  <c r="AK123" i="15"/>
  <c r="R123" i="15"/>
  <c r="AL123" i="15"/>
  <c r="AM123" i="15"/>
  <c r="T123" i="15"/>
  <c r="AO123" i="15"/>
  <c r="V123" i="15"/>
  <c r="W123" i="15"/>
  <c r="AR123" i="15"/>
  <c r="F123" i="15"/>
  <c r="Z123" i="15"/>
  <c r="AT123" i="15"/>
  <c r="G123" i="15"/>
  <c r="AA123" i="15"/>
  <c r="AU123" i="15"/>
  <c r="AN123" i="15"/>
  <c r="U123" i="15"/>
  <c r="AP123" i="15"/>
  <c r="AQ123" i="15"/>
  <c r="H123" i="15"/>
  <c r="AC122" i="15"/>
  <c r="I122" i="15"/>
  <c r="W122" i="15"/>
  <c r="AQ122" i="15"/>
  <c r="X122" i="15"/>
  <c r="AR122" i="15"/>
  <c r="L122" i="15"/>
  <c r="AH122" i="15"/>
  <c r="AL122" i="15"/>
  <c r="U122" i="15"/>
  <c r="E122" i="15"/>
  <c r="Y122" i="15"/>
  <c r="AS122" i="15"/>
  <c r="AD122" i="15"/>
  <c r="AE122" i="15"/>
  <c r="AG122" i="15"/>
  <c r="N122" i="15"/>
  <c r="O122" i="15"/>
  <c r="AJ122" i="15"/>
  <c r="AK122" i="15"/>
  <c r="AM122" i="15"/>
  <c r="AO122" i="15"/>
  <c r="F122" i="15"/>
  <c r="Z122" i="15"/>
  <c r="AT122" i="15"/>
  <c r="AN122" i="15"/>
  <c r="V122" i="15"/>
  <c r="G122" i="15"/>
  <c r="AA122" i="15"/>
  <c r="AU122" i="15"/>
  <c r="J122" i="15"/>
  <c r="K122" i="15"/>
  <c r="AF122" i="15"/>
  <c r="M122" i="15"/>
  <c r="AI122" i="15"/>
  <c r="P122" i="15"/>
  <c r="Q122" i="15"/>
  <c r="R122" i="15"/>
  <c r="T122" i="15"/>
  <c r="AP122" i="15"/>
  <c r="H122" i="15"/>
  <c r="AE121" i="15"/>
  <c r="M121" i="15"/>
  <c r="AN121" i="15"/>
  <c r="I121" i="15"/>
  <c r="K121" i="15"/>
  <c r="W121" i="15"/>
  <c r="AQ121" i="15"/>
  <c r="J121" i="15"/>
  <c r="T121" i="15"/>
  <c r="U121" i="15"/>
  <c r="AP121" i="15"/>
  <c r="AR121" i="15"/>
  <c r="AS121" i="15"/>
  <c r="F121" i="15"/>
  <c r="Z121" i="15"/>
  <c r="AT121" i="15"/>
  <c r="AC121" i="15"/>
  <c r="AD121" i="15"/>
  <c r="L121" i="15"/>
  <c r="AF121" i="15"/>
  <c r="AG121" i="15"/>
  <c r="N121" i="15"/>
  <c r="AH121" i="15"/>
  <c r="O121" i="15"/>
  <c r="AI121" i="15"/>
  <c r="P121" i="15"/>
  <c r="AJ121" i="15"/>
  <c r="Q121" i="15"/>
  <c r="AK121" i="15"/>
  <c r="R121" i="15"/>
  <c r="AL121" i="15"/>
  <c r="AM121" i="15"/>
  <c r="AO121" i="15"/>
  <c r="V121" i="15"/>
  <c r="X121" i="15"/>
  <c r="E121" i="15"/>
  <c r="G121" i="15"/>
  <c r="AA121" i="15"/>
  <c r="AU121" i="15"/>
  <c r="Y121" i="15"/>
  <c r="H121" i="15"/>
  <c r="AL82" i="15"/>
  <c r="I82" i="15"/>
  <c r="K82" i="15"/>
  <c r="O82" i="15"/>
  <c r="U82" i="15"/>
  <c r="AO82" i="15"/>
  <c r="X82" i="15"/>
  <c r="AR82" i="15"/>
  <c r="T82" i="15"/>
  <c r="V82" i="15"/>
  <c r="AQ82" i="15"/>
  <c r="E82" i="15"/>
  <c r="Y82" i="15"/>
  <c r="AS82" i="15"/>
  <c r="AD82" i="15"/>
  <c r="AF82" i="15"/>
  <c r="AG82" i="15"/>
  <c r="AH82" i="15"/>
  <c r="AJ82" i="15"/>
  <c r="Q82" i="15"/>
  <c r="AM82" i="15"/>
  <c r="W82" i="15"/>
  <c r="F82" i="15"/>
  <c r="Z82" i="15"/>
  <c r="AT82" i="15"/>
  <c r="G82" i="15"/>
  <c r="AA82" i="15"/>
  <c r="AU82" i="15"/>
  <c r="AC82" i="15"/>
  <c r="J82" i="15"/>
  <c r="AE82" i="15"/>
  <c r="L82" i="15"/>
  <c r="M82" i="15"/>
  <c r="N82" i="15"/>
  <c r="AI82" i="15"/>
  <c r="P82" i="15"/>
  <c r="AK82" i="15"/>
  <c r="R82" i="15"/>
  <c r="AN82" i="15"/>
  <c r="AP82" i="15"/>
  <c r="H82" i="15"/>
  <c r="I81" i="15"/>
  <c r="AC81" i="15"/>
  <c r="J81" i="15"/>
  <c r="AD81" i="15"/>
  <c r="K81" i="15"/>
  <c r="AE81" i="15"/>
  <c r="L81" i="15"/>
  <c r="AF81" i="15"/>
  <c r="M81" i="15"/>
  <c r="AG81" i="15"/>
  <c r="N81" i="15"/>
  <c r="AH81" i="15"/>
  <c r="O81" i="15"/>
  <c r="AI81" i="15"/>
  <c r="P81" i="15"/>
  <c r="AJ81" i="15"/>
  <c r="Q81" i="15"/>
  <c r="AK81" i="15"/>
  <c r="R81" i="15"/>
  <c r="AL81" i="15"/>
  <c r="AM81" i="15"/>
  <c r="T81" i="15"/>
  <c r="AO81" i="15"/>
  <c r="AP81" i="15"/>
  <c r="W81" i="15"/>
  <c r="X81" i="15"/>
  <c r="E81" i="15"/>
  <c r="Y81" i="15"/>
  <c r="AS81" i="15"/>
  <c r="F81" i="15"/>
  <c r="Z81" i="15"/>
  <c r="AT81" i="15"/>
  <c r="AR81" i="15"/>
  <c r="G81" i="15"/>
  <c r="AA81" i="15"/>
  <c r="AU81" i="15"/>
  <c r="AN81" i="15"/>
  <c r="U81" i="15"/>
  <c r="V81" i="15"/>
  <c r="AQ81" i="15"/>
  <c r="H81" i="15"/>
  <c r="I80" i="15"/>
  <c r="J80" i="15"/>
  <c r="AF80" i="15"/>
  <c r="M80" i="15"/>
  <c r="AH80" i="15"/>
  <c r="AL80" i="15"/>
  <c r="AC80" i="15"/>
  <c r="AD80" i="15"/>
  <c r="AE80" i="15"/>
  <c r="L80" i="15"/>
  <c r="AG80" i="15"/>
  <c r="N80" i="15"/>
  <c r="AQ80" i="15"/>
  <c r="AR80" i="15"/>
  <c r="E80" i="15"/>
  <c r="Y80" i="15"/>
  <c r="AS80" i="15"/>
  <c r="AM80" i="15"/>
  <c r="T80" i="15"/>
  <c r="AN80" i="15"/>
  <c r="U80" i="15"/>
  <c r="AO80" i="15"/>
  <c r="V80" i="15"/>
  <c r="AP80" i="15"/>
  <c r="W80" i="15"/>
  <c r="X80" i="15"/>
  <c r="F80" i="15"/>
  <c r="Z80" i="15"/>
  <c r="AT80" i="15"/>
  <c r="G80" i="15"/>
  <c r="AA80" i="15"/>
  <c r="AU80" i="15"/>
  <c r="K80" i="15"/>
  <c r="O80" i="15"/>
  <c r="AI80" i="15"/>
  <c r="P80" i="15"/>
  <c r="AJ80" i="15"/>
  <c r="Q80" i="15"/>
  <c r="AK80" i="15"/>
  <c r="R80" i="15"/>
  <c r="H80" i="15"/>
  <c r="D104" i="14"/>
  <c r="D113" i="14"/>
  <c r="D117" i="14"/>
  <c r="D118" i="14"/>
  <c r="D119" i="14"/>
  <c r="D111" i="14"/>
  <c r="D112" i="14"/>
  <c r="C108" i="14"/>
  <c r="D116" i="14"/>
  <c r="D100" i="14"/>
  <c r="C120" i="14"/>
  <c r="D101" i="14"/>
  <c r="D114" i="14"/>
  <c r="D115" i="14"/>
  <c r="D102" i="14"/>
  <c r="C122" i="14"/>
  <c r="N85" i="14"/>
  <c r="M87" i="14"/>
  <c r="N79" i="14"/>
  <c r="M91" i="14"/>
  <c r="M75" i="14"/>
  <c r="M86" i="14"/>
  <c r="M77" i="14"/>
  <c r="M78" i="14"/>
  <c r="M89" i="14"/>
  <c r="N81" i="14"/>
  <c r="N91" i="14"/>
  <c r="M82" i="14"/>
  <c r="M92" i="14"/>
  <c r="M71" i="14"/>
  <c r="N72" i="14"/>
  <c r="O72" i="14" s="1"/>
  <c r="M73" i="14"/>
  <c r="M83" i="14"/>
  <c r="M93" i="14"/>
  <c r="M85" i="14"/>
  <c r="M76" i="14"/>
  <c r="N86" i="14"/>
  <c r="N77" i="14"/>
  <c r="M88" i="14"/>
  <c r="N88" i="14"/>
  <c r="N89" i="14"/>
  <c r="M90" i="14"/>
  <c r="N80" i="14"/>
  <c r="N71" i="14"/>
  <c r="N82" i="14"/>
  <c r="N73" i="14"/>
  <c r="N83" i="14"/>
  <c r="N93" i="14"/>
  <c r="N75" i="14"/>
  <c r="N76" i="14"/>
  <c r="N87" i="14"/>
  <c r="N78" i="14"/>
  <c r="M79" i="14"/>
  <c r="M80" i="14"/>
  <c r="N90" i="14"/>
  <c r="N92" i="14"/>
  <c r="M74" i="14"/>
  <c r="M84" i="14"/>
  <c r="M94" i="14"/>
  <c r="O94" i="14" s="1"/>
  <c r="M81" i="14"/>
  <c r="N74" i="14"/>
  <c r="N84" i="14"/>
  <c r="C70" i="14"/>
  <c r="I90" i="14"/>
  <c r="H91" i="14"/>
  <c r="I91" i="14"/>
  <c r="H92" i="14"/>
  <c r="I79" i="14"/>
  <c r="I92" i="14"/>
  <c r="H79" i="14"/>
  <c r="I89" i="14"/>
  <c r="H93" i="14"/>
  <c r="H89" i="14"/>
  <c r="H90" i="14"/>
  <c r="I93" i="14"/>
  <c r="D70" i="14"/>
  <c r="N46" i="14"/>
  <c r="N47" i="14"/>
  <c r="N48" i="14"/>
  <c r="N42" i="14"/>
  <c r="M44" i="14"/>
  <c r="M54" i="14"/>
  <c r="M56" i="14"/>
  <c r="M47" i="14"/>
  <c r="N57" i="14"/>
  <c r="M48" i="14"/>
  <c r="N58" i="14"/>
  <c r="M59" i="14"/>
  <c r="N59" i="14"/>
  <c r="M51" i="14"/>
  <c r="N51" i="14"/>
  <c r="M52" i="14"/>
  <c r="M53" i="14"/>
  <c r="N53" i="14"/>
  <c r="N44" i="14"/>
  <c r="N54" i="14"/>
  <c r="M46" i="14"/>
  <c r="N56" i="14"/>
  <c r="M57" i="14"/>
  <c r="M58" i="14"/>
  <c r="N43" i="14"/>
  <c r="M45" i="14"/>
  <c r="M55" i="14"/>
  <c r="M42" i="14"/>
  <c r="N52" i="14"/>
  <c r="N45" i="14"/>
  <c r="N55" i="14"/>
  <c r="J81" i="14" l="1"/>
  <c r="J88" i="14"/>
  <c r="J76" i="14"/>
  <c r="J80" i="14"/>
  <c r="J75" i="14"/>
  <c r="J85" i="14"/>
  <c r="J84" i="14"/>
  <c r="J72" i="14"/>
  <c r="J74" i="14"/>
  <c r="J71" i="14"/>
  <c r="J87" i="14"/>
  <c r="J83" i="14"/>
  <c r="O82" i="14"/>
  <c r="J77" i="14"/>
  <c r="J86" i="14"/>
  <c r="J82" i="14"/>
  <c r="O89" i="14"/>
  <c r="J73" i="14"/>
  <c r="O78" i="14"/>
  <c r="O92" i="14"/>
  <c r="O90" i="14"/>
  <c r="O86" i="14"/>
  <c r="O77" i="14"/>
  <c r="J78" i="14"/>
  <c r="J92" i="14"/>
  <c r="J91" i="14"/>
  <c r="O75" i="14"/>
  <c r="O81" i="14"/>
  <c r="O88" i="14"/>
  <c r="O84" i="14"/>
  <c r="O74" i="14"/>
  <c r="J90" i="14"/>
  <c r="O93" i="14"/>
  <c r="O85" i="14"/>
  <c r="J89" i="14"/>
  <c r="O79" i="14"/>
  <c r="O91" i="14"/>
  <c r="J93" i="14"/>
  <c r="O73" i="14"/>
  <c r="J79" i="14"/>
  <c r="O71" i="14"/>
  <c r="C83" i="14"/>
  <c r="O83" i="14"/>
  <c r="C87" i="14"/>
  <c r="O87" i="14"/>
  <c r="C80" i="14"/>
  <c r="O80" i="14"/>
  <c r="C76" i="14"/>
  <c r="O76" i="14"/>
  <c r="C82" i="14"/>
  <c r="C74" i="14"/>
  <c r="C81" i="14"/>
  <c r="C88" i="14"/>
  <c r="C77" i="14"/>
  <c r="C71" i="14"/>
  <c r="C73" i="14"/>
  <c r="D88" i="14"/>
  <c r="C72" i="14"/>
  <c r="C89" i="14"/>
  <c r="C93" i="14"/>
  <c r="C84" i="14"/>
  <c r="C94" i="14"/>
  <c r="C85" i="14"/>
  <c r="C86" i="14"/>
  <c r="C75" i="14"/>
  <c r="C90" i="14"/>
  <c r="C79" i="14"/>
  <c r="C78" i="14"/>
  <c r="C92" i="14"/>
  <c r="D93" i="14"/>
  <c r="D92" i="14"/>
  <c r="C91" i="14"/>
  <c r="D94" i="14"/>
  <c r="D86" i="14"/>
  <c r="D84" i="14"/>
  <c r="D74" i="14"/>
  <c r="D76" i="14"/>
  <c r="D78" i="14"/>
  <c r="D91" i="14"/>
  <c r="D89" i="14"/>
  <c r="D85" i="14"/>
  <c r="E70" i="14"/>
  <c r="D82" i="14"/>
  <c r="D72" i="14"/>
  <c r="D73" i="14"/>
  <c r="D83" i="14"/>
  <c r="D90" i="14"/>
  <c r="D81" i="14"/>
  <c r="D75" i="14"/>
  <c r="D79" i="14"/>
  <c r="D71" i="14"/>
  <c r="D77" i="14"/>
  <c r="D87" i="14"/>
  <c r="D80" i="14"/>
  <c r="E80" i="14" s="1"/>
  <c r="E94" i="14" l="1"/>
  <c r="E83" i="14"/>
  <c r="E87" i="14"/>
  <c r="E79" i="14"/>
  <c r="E92" i="14"/>
  <c r="E90" i="14"/>
  <c r="E75" i="14"/>
  <c r="E88" i="14"/>
  <c r="E76" i="14"/>
  <c r="E74" i="14"/>
  <c r="E81" i="14"/>
  <c r="E71" i="14"/>
  <c r="E82" i="14"/>
  <c r="E77" i="14"/>
  <c r="E93" i="14"/>
  <c r="E73" i="14"/>
  <c r="E72" i="14"/>
  <c r="E86" i="14"/>
  <c r="E89" i="14"/>
  <c r="E78" i="14"/>
  <c r="E85" i="14"/>
  <c r="E91" i="14"/>
  <c r="E84" i="14"/>
  <c r="C42" i="15" l="1"/>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288"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47"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06"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65"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24"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3"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AC11" i="24"/>
  <c r="D26" i="11" l="1"/>
  <c r="J1109" i="29"/>
  <c r="J1110" i="29"/>
  <c r="J1111" i="29"/>
  <c r="J1112" i="29"/>
  <c r="J1113" i="29"/>
  <c r="J1114" i="29"/>
  <c r="J1115" i="29"/>
  <c r="J1116" i="29"/>
  <c r="J1117" i="29"/>
  <c r="J1118" i="29"/>
  <c r="J1119" i="29"/>
  <c r="J1120" i="29"/>
  <c r="J1121" i="29"/>
  <c r="J1122" i="29"/>
  <c r="J1123" i="29"/>
  <c r="J1124" i="29"/>
  <c r="J1125" i="29"/>
  <c r="J1126" i="29"/>
  <c r="J1127" i="29"/>
  <c r="J1128" i="29"/>
  <c r="J1129" i="29"/>
  <c r="J1130" i="29"/>
  <c r="J1131" i="29"/>
  <c r="J1132" i="29"/>
  <c r="J1133" i="29"/>
  <c r="J1134" i="29"/>
  <c r="J1135" i="29"/>
  <c r="J1136" i="29"/>
  <c r="J1137" i="29"/>
  <c r="J1138" i="29"/>
  <c r="J1139" i="29"/>
  <c r="J1140" i="29"/>
  <c r="J1141" i="29"/>
  <c r="J1142" i="29"/>
  <c r="J1143" i="29"/>
  <c r="J1144" i="29"/>
  <c r="J1145" i="29"/>
  <c r="J1146" i="29"/>
  <c r="J1147" i="29"/>
  <c r="J1148" i="29"/>
  <c r="J1149" i="29"/>
  <c r="J1150" i="29"/>
  <c r="J1151" i="29"/>
  <c r="J1152" i="29"/>
  <c r="J1153" i="29"/>
  <c r="J1154" i="29"/>
  <c r="J1155" i="29"/>
  <c r="J1156" i="29"/>
  <c r="J1157" i="29"/>
  <c r="J1158" i="29"/>
  <c r="J1159" i="29"/>
  <c r="J1160" i="29"/>
  <c r="J1161" i="29"/>
  <c r="J1162" i="29"/>
  <c r="J1163" i="29"/>
  <c r="J1164" i="29"/>
  <c r="J1165" i="29"/>
  <c r="J1166" i="29"/>
  <c r="J1167" i="29"/>
  <c r="J1168" i="29"/>
  <c r="J1169" i="29"/>
  <c r="J1170" i="29"/>
  <c r="J1171" i="29"/>
  <c r="J1172" i="29"/>
  <c r="J1173" i="29"/>
  <c r="J1174" i="29"/>
  <c r="J1175" i="29"/>
  <c r="J1176" i="29"/>
  <c r="J1177" i="29"/>
  <c r="J1178" i="29"/>
  <c r="J1179" i="29"/>
  <c r="J1180" i="29"/>
  <c r="J1181" i="29"/>
  <c r="J1182" i="29"/>
  <c r="J1183" i="29"/>
  <c r="J1184" i="29"/>
  <c r="J1185" i="29"/>
  <c r="J1186" i="29"/>
  <c r="J1187" i="29"/>
  <c r="J1188" i="29"/>
  <c r="J1189" i="29"/>
  <c r="J1190" i="29"/>
  <c r="J1191" i="29"/>
  <c r="J1192" i="29"/>
  <c r="J1193" i="29"/>
  <c r="J1194" i="29"/>
  <c r="J1195" i="29"/>
  <c r="J1196" i="29"/>
  <c r="J1197" i="29"/>
  <c r="J1198" i="29"/>
  <c r="J1199" i="29"/>
  <c r="J1200" i="29"/>
  <c r="J1201" i="29"/>
  <c r="J1202" i="29"/>
  <c r="J1203" i="29"/>
  <c r="J1204" i="29"/>
  <c r="J1205" i="29"/>
  <c r="J1206" i="29"/>
  <c r="J1207" i="29"/>
  <c r="J1208" i="29"/>
  <c r="J1209" i="29"/>
  <c r="J1210" i="29"/>
  <c r="J1211" i="29"/>
  <c r="J1212" i="29"/>
  <c r="J1213" i="29"/>
  <c r="J1214" i="29"/>
  <c r="J1215" i="29"/>
  <c r="J1216" i="29"/>
  <c r="J1217" i="29"/>
  <c r="J1218" i="29"/>
  <c r="J1219" i="29"/>
  <c r="J1220" i="29"/>
  <c r="J1221" i="29"/>
  <c r="J1222" i="29"/>
  <c r="J1223" i="29"/>
  <c r="J1224" i="29"/>
  <c r="J1225" i="29"/>
  <c r="J1226" i="29"/>
  <c r="J1227" i="29"/>
  <c r="J1228" i="29"/>
  <c r="J1229" i="29"/>
  <c r="J1230" i="29"/>
  <c r="J1231" i="29"/>
  <c r="J1232" i="29"/>
  <c r="J1233" i="29"/>
  <c r="J1234" i="29"/>
  <c r="J1235" i="29"/>
  <c r="J1236" i="29"/>
  <c r="J1237" i="29"/>
  <c r="J1238" i="29"/>
  <c r="J1239" i="29"/>
  <c r="J1240" i="29"/>
  <c r="J1241" i="29"/>
  <c r="J1242" i="29"/>
  <c r="J1243" i="29"/>
  <c r="J1244" i="29"/>
  <c r="J1245" i="29"/>
  <c r="J1246" i="29"/>
  <c r="J1247" i="29"/>
  <c r="J1248" i="29"/>
  <c r="J1249" i="29"/>
  <c r="J1250" i="29"/>
  <c r="J1251" i="29"/>
  <c r="J1252" i="29"/>
  <c r="J1253" i="29"/>
  <c r="J1254" i="29"/>
  <c r="J1255" i="29"/>
  <c r="J1256" i="29"/>
  <c r="J1257" i="29"/>
  <c r="J1258" i="29"/>
  <c r="J1259" i="29"/>
  <c r="J1260" i="29"/>
  <c r="J1261" i="29"/>
  <c r="J1262" i="29"/>
  <c r="J1263" i="29"/>
  <c r="J1264" i="29"/>
  <c r="J1265" i="29"/>
  <c r="J1266" i="29"/>
  <c r="J1267" i="29"/>
  <c r="J1268" i="29"/>
  <c r="J1269" i="29"/>
  <c r="J1270" i="29"/>
  <c r="J1271" i="29"/>
  <c r="J1272" i="29"/>
  <c r="J1273" i="29"/>
  <c r="J1274" i="29"/>
  <c r="J1275" i="29"/>
  <c r="J1276" i="29"/>
  <c r="J1277" i="29"/>
  <c r="J1278" i="29"/>
  <c r="J1279" i="29"/>
  <c r="J1280" i="29"/>
  <c r="J1281" i="29"/>
  <c r="J1282" i="29"/>
  <c r="J1283" i="29"/>
  <c r="J1284" i="29"/>
  <c r="J1285" i="29"/>
  <c r="J1286" i="29"/>
  <c r="J1287" i="29"/>
  <c r="J1288" i="29"/>
  <c r="J1289" i="29"/>
  <c r="J1290" i="29"/>
  <c r="J1291" i="29"/>
  <c r="J1292" i="29"/>
  <c r="J1293" i="29"/>
  <c r="J1294" i="29"/>
  <c r="J1295" i="29"/>
  <c r="J1296" i="29"/>
  <c r="J1297" i="29"/>
  <c r="J1298" i="29"/>
  <c r="J1299" i="29"/>
  <c r="J1300" i="29"/>
  <c r="J1301" i="29"/>
  <c r="J1302" i="29"/>
  <c r="J1303" i="29"/>
  <c r="J1304" i="29"/>
  <c r="J1305" i="29"/>
  <c r="J1306" i="29"/>
  <c r="J1307" i="29"/>
  <c r="J1308" i="29"/>
  <c r="J1309" i="29"/>
  <c r="J1310" i="29"/>
  <c r="J1311" i="29"/>
  <c r="J1312" i="29"/>
  <c r="J1313" i="29"/>
  <c r="J1314" i="29"/>
  <c r="J1315" i="29"/>
  <c r="J1316" i="29"/>
  <c r="J1317" i="29"/>
  <c r="J1318" i="29"/>
  <c r="J1319" i="29"/>
  <c r="J1320" i="29"/>
  <c r="J1321" i="29"/>
  <c r="J1322" i="29"/>
  <c r="J1323" i="29"/>
  <c r="J1324" i="29"/>
  <c r="J1325" i="29"/>
  <c r="J1326" i="29"/>
  <c r="J1327" i="29"/>
  <c r="J1328" i="29"/>
  <c r="J1329" i="29"/>
  <c r="J1330" i="29"/>
  <c r="J1331" i="29"/>
  <c r="J1332" i="29"/>
  <c r="J1333" i="29"/>
  <c r="J1334" i="29"/>
  <c r="J1335" i="29"/>
  <c r="J1336" i="29"/>
  <c r="J1337" i="29"/>
  <c r="J1338" i="29"/>
  <c r="J1339" i="29"/>
  <c r="J1340" i="29"/>
  <c r="J1341" i="29"/>
  <c r="J1342" i="29"/>
  <c r="J1343" i="29"/>
  <c r="J1344" i="29"/>
  <c r="J1345" i="29"/>
  <c r="J1346" i="29"/>
  <c r="J1347" i="29"/>
  <c r="J1348" i="29"/>
  <c r="J1349" i="29"/>
  <c r="J1350" i="29"/>
  <c r="J1351" i="29"/>
  <c r="J1352" i="29"/>
  <c r="J1353" i="29"/>
  <c r="J1354" i="29"/>
  <c r="J1355" i="29"/>
  <c r="J1356" i="29"/>
  <c r="J1357" i="29"/>
  <c r="J1358" i="29"/>
  <c r="J1359" i="29"/>
  <c r="J1360" i="29"/>
  <c r="J1361" i="29"/>
  <c r="J1362" i="29"/>
  <c r="J1363" i="29"/>
  <c r="J1364" i="29"/>
  <c r="J1365" i="29"/>
  <c r="J1366" i="29"/>
  <c r="J1367" i="29"/>
  <c r="J1368" i="29"/>
  <c r="J1369" i="29"/>
  <c r="J1370" i="29"/>
  <c r="J1371" i="29"/>
  <c r="J1372" i="29"/>
  <c r="J1373" i="29"/>
  <c r="J1374" i="29"/>
  <c r="J1375" i="29"/>
  <c r="J1376" i="29"/>
  <c r="J1377" i="29"/>
  <c r="J1378" i="29"/>
  <c r="J1379" i="29"/>
  <c r="J1380" i="29"/>
  <c r="J1381" i="29"/>
  <c r="J1382" i="29"/>
  <c r="J1383" i="29"/>
  <c r="J1384" i="29"/>
  <c r="J1385" i="29"/>
  <c r="J1386" i="29"/>
  <c r="J1387" i="29"/>
  <c r="J1388" i="29"/>
  <c r="J1389" i="29"/>
  <c r="J1390" i="29"/>
  <c r="J1391" i="29"/>
  <c r="J1392" i="29"/>
  <c r="J1393" i="29"/>
  <c r="J1394" i="29"/>
  <c r="J1395" i="29"/>
  <c r="J1396" i="29"/>
  <c r="J1397" i="29"/>
  <c r="J1398" i="29"/>
  <c r="J1399" i="29"/>
  <c r="J1400" i="29"/>
  <c r="J1401" i="29"/>
  <c r="J1402" i="29"/>
  <c r="J1403" i="29"/>
  <c r="J1404" i="29"/>
  <c r="J1405" i="29"/>
  <c r="J1406" i="29"/>
  <c r="J1407" i="29"/>
  <c r="J1408" i="29"/>
  <c r="J1409" i="29"/>
  <c r="J1410" i="29"/>
  <c r="J1411" i="29"/>
  <c r="J1412" i="29"/>
  <c r="J1413" i="29"/>
  <c r="J1414" i="29"/>
  <c r="J1415" i="29"/>
  <c r="J1416" i="29"/>
  <c r="J1417" i="29"/>
  <c r="J1418" i="29"/>
  <c r="J1419" i="29"/>
  <c r="J1420" i="29"/>
  <c r="J1421" i="29"/>
  <c r="J1422" i="29"/>
  <c r="J1423" i="29"/>
  <c r="J1424" i="29"/>
  <c r="J1425" i="29"/>
  <c r="J1426" i="29"/>
  <c r="J1427" i="29"/>
  <c r="J1428" i="29"/>
  <c r="J1429" i="29"/>
  <c r="J1430" i="29"/>
  <c r="J1431" i="29"/>
  <c r="J1432" i="29"/>
  <c r="J1433" i="29"/>
  <c r="J1434" i="29"/>
  <c r="J1435" i="29"/>
  <c r="J1436" i="29"/>
  <c r="J1437" i="29"/>
  <c r="J1438" i="29"/>
  <c r="J1439" i="29"/>
  <c r="J1440" i="29"/>
  <c r="J1441" i="29"/>
  <c r="J1442" i="29"/>
  <c r="J1443" i="29"/>
  <c r="J1444" i="29"/>
  <c r="J1445" i="29"/>
  <c r="J1446" i="29"/>
  <c r="J1447" i="29"/>
  <c r="J1448" i="29"/>
  <c r="J1449" i="29"/>
  <c r="J1450" i="29"/>
  <c r="J1451" i="29"/>
  <c r="J1452" i="29"/>
  <c r="J1453" i="29"/>
  <c r="J1454" i="29"/>
  <c r="J1455" i="29"/>
  <c r="J1456" i="29"/>
  <c r="J1457" i="29"/>
  <c r="J1458" i="29"/>
  <c r="J1459" i="29"/>
  <c r="J1460" i="29"/>
  <c r="J1461" i="29"/>
  <c r="J1462" i="29"/>
  <c r="J1463" i="29"/>
  <c r="J1464" i="29"/>
  <c r="J1465" i="29"/>
  <c r="J1466" i="29"/>
  <c r="J1467" i="29"/>
  <c r="J1468" i="29"/>
  <c r="J1469" i="29"/>
  <c r="J1470" i="29"/>
  <c r="J1471" i="29"/>
  <c r="J1472" i="29"/>
  <c r="J1473" i="29"/>
  <c r="J1474" i="29"/>
  <c r="J1475" i="29"/>
  <c r="J1476" i="29"/>
  <c r="J1477" i="29"/>
  <c r="J1478" i="29"/>
  <c r="J1479" i="29"/>
  <c r="J1480" i="29"/>
  <c r="J1481" i="29"/>
  <c r="J1482" i="29"/>
  <c r="J1483" i="29"/>
  <c r="J1484" i="29"/>
  <c r="J1485" i="29"/>
  <c r="J1486" i="29"/>
  <c r="J1487" i="29"/>
  <c r="J1488" i="29"/>
  <c r="J1489" i="29"/>
  <c r="J1490" i="29"/>
  <c r="J1491" i="29"/>
  <c r="J1492" i="29"/>
  <c r="J1493" i="29"/>
  <c r="J1494" i="29"/>
  <c r="J1495" i="29"/>
  <c r="J1496" i="29"/>
  <c r="J1497" i="29"/>
  <c r="J1498" i="29"/>
  <c r="J1499" i="29"/>
  <c r="J1500" i="29"/>
  <c r="J1501" i="29"/>
  <c r="J1502" i="29"/>
  <c r="J1503" i="29"/>
  <c r="J1504" i="29"/>
  <c r="J1505" i="29"/>
  <c r="J1506" i="29"/>
  <c r="J1507" i="29"/>
  <c r="J1508" i="29"/>
  <c r="J1509" i="29"/>
  <c r="J1510" i="29"/>
  <c r="J1511" i="29"/>
  <c r="J1512" i="29"/>
  <c r="J1513" i="29"/>
  <c r="J1514" i="29"/>
  <c r="J1515" i="29"/>
  <c r="J1516" i="29"/>
  <c r="J1517" i="29"/>
  <c r="J1518" i="29"/>
  <c r="J1519" i="29"/>
  <c r="J1520" i="29"/>
  <c r="J1521" i="29"/>
  <c r="J1522" i="29"/>
  <c r="J1523" i="29"/>
  <c r="J1524" i="29"/>
  <c r="J1525" i="29"/>
  <c r="J1526" i="29"/>
  <c r="J1527" i="29"/>
  <c r="J1528" i="29"/>
  <c r="J1529" i="29"/>
  <c r="J1530" i="29"/>
  <c r="J1531" i="29"/>
  <c r="J1532" i="29"/>
  <c r="J1533" i="29"/>
  <c r="J1534" i="29"/>
  <c r="J1535" i="29"/>
  <c r="J1536" i="29"/>
  <c r="J1537" i="29"/>
  <c r="J1538" i="29"/>
  <c r="J1539" i="29"/>
  <c r="J1540" i="29"/>
  <c r="J1541" i="29"/>
  <c r="J1542" i="29"/>
  <c r="J1543" i="29"/>
  <c r="J1544" i="29"/>
  <c r="J1545" i="29"/>
  <c r="J1546" i="29"/>
  <c r="J1547" i="29"/>
  <c r="J1548" i="29"/>
  <c r="J1549" i="29"/>
  <c r="J1550" i="29"/>
  <c r="J1551" i="29"/>
  <c r="J1552" i="29"/>
  <c r="J1553" i="29"/>
  <c r="J1554" i="29"/>
  <c r="J1555" i="29"/>
  <c r="J1556" i="29"/>
  <c r="J1557" i="29"/>
  <c r="J1558" i="29"/>
  <c r="J1559" i="29"/>
  <c r="J1560" i="29"/>
  <c r="J1561" i="29"/>
  <c r="J1562" i="29"/>
  <c r="J1563" i="29"/>
  <c r="J1564" i="29"/>
  <c r="J1565" i="29"/>
  <c r="J1566" i="29"/>
  <c r="J1567" i="29"/>
  <c r="J1568" i="29"/>
  <c r="J1569" i="29"/>
  <c r="J1570" i="29"/>
  <c r="J1571" i="29"/>
  <c r="J1572" i="29"/>
  <c r="J1573" i="29"/>
  <c r="J1574" i="29"/>
  <c r="J1575" i="29"/>
  <c r="J1576" i="29"/>
  <c r="J1577" i="29"/>
  <c r="J1578" i="29"/>
  <c r="J1579" i="29"/>
  <c r="J1580" i="29"/>
  <c r="J1581" i="29"/>
  <c r="J1582" i="29"/>
  <c r="J1583" i="29"/>
  <c r="J1584" i="29"/>
  <c r="J1585" i="29"/>
  <c r="J1586" i="29"/>
  <c r="J1587" i="29"/>
  <c r="J1588" i="29"/>
  <c r="J1589" i="29"/>
  <c r="J1590" i="29"/>
  <c r="J1591" i="29"/>
  <c r="J1592" i="29"/>
  <c r="J1593" i="29"/>
  <c r="J1594" i="29"/>
  <c r="J1595" i="29"/>
  <c r="J1596" i="29"/>
  <c r="J1597" i="29"/>
  <c r="J1598" i="29"/>
  <c r="J1599" i="29"/>
  <c r="J1600" i="29"/>
  <c r="J1601" i="29"/>
  <c r="J1602" i="29"/>
  <c r="J1603" i="29"/>
  <c r="J1604" i="29"/>
  <c r="J1605" i="29"/>
  <c r="J1606" i="29"/>
  <c r="J1607" i="29"/>
  <c r="J1608" i="29"/>
  <c r="J1609" i="29"/>
  <c r="J1610" i="29"/>
  <c r="J1611" i="29"/>
  <c r="J1612" i="29"/>
  <c r="J1613" i="29"/>
  <c r="J1614" i="29"/>
  <c r="J1615" i="29"/>
  <c r="J1616" i="29"/>
  <c r="J1617" i="29"/>
  <c r="J1618" i="29"/>
  <c r="J1619" i="29"/>
  <c r="J1620" i="29"/>
  <c r="J1621" i="29"/>
  <c r="J1622" i="29"/>
  <c r="J1623" i="29"/>
  <c r="J1624" i="29"/>
  <c r="J1625" i="29"/>
  <c r="J1626" i="29"/>
  <c r="J1627" i="29"/>
  <c r="J1628" i="29"/>
  <c r="J1629" i="29"/>
  <c r="J1630" i="29"/>
  <c r="J1631" i="29"/>
  <c r="J1632" i="29"/>
  <c r="J1633" i="29"/>
  <c r="J1634" i="29"/>
  <c r="J1635" i="29"/>
  <c r="J1636" i="29"/>
  <c r="J1637" i="29"/>
  <c r="J1638" i="29"/>
  <c r="J1639" i="29"/>
  <c r="J1640" i="29"/>
  <c r="J1641" i="29"/>
  <c r="J1642" i="29"/>
  <c r="J1643" i="29"/>
  <c r="J1644" i="29"/>
  <c r="J1645" i="29"/>
  <c r="J1646" i="29"/>
  <c r="J1647" i="29"/>
  <c r="J1648" i="29"/>
  <c r="J1649" i="29"/>
  <c r="J1650" i="29"/>
  <c r="J1651" i="29"/>
  <c r="J1652" i="29"/>
  <c r="J1653" i="29"/>
  <c r="J1654" i="29"/>
  <c r="J1655" i="29"/>
  <c r="J1656" i="29"/>
  <c r="J1657" i="29"/>
  <c r="J1658" i="29"/>
  <c r="J1659" i="29"/>
  <c r="J1660" i="29"/>
  <c r="J1661" i="29"/>
  <c r="J1662" i="29"/>
  <c r="J1663" i="29"/>
  <c r="J1664" i="29"/>
  <c r="J1665" i="29"/>
  <c r="J1666" i="29"/>
  <c r="J1667" i="29"/>
  <c r="J1668" i="29"/>
  <c r="J1669" i="29"/>
  <c r="J1670" i="29"/>
  <c r="J1671" i="29"/>
  <c r="J1672" i="29"/>
  <c r="J1673" i="29"/>
  <c r="J1674" i="29"/>
  <c r="J1675" i="29"/>
  <c r="J1676" i="29"/>
  <c r="J1677" i="29"/>
  <c r="J1678" i="29"/>
  <c r="J1679" i="29"/>
  <c r="J1680" i="29"/>
  <c r="J1681" i="29"/>
  <c r="J1682" i="29"/>
  <c r="J1683" i="29"/>
  <c r="J1684" i="29"/>
  <c r="J1685" i="29"/>
  <c r="J1686" i="29"/>
  <c r="J1687" i="29"/>
  <c r="J1688" i="29"/>
  <c r="J1689" i="29"/>
  <c r="J1690" i="29"/>
  <c r="J1691" i="29"/>
  <c r="J1692" i="29"/>
  <c r="J1693" i="29"/>
  <c r="J1694" i="29"/>
  <c r="J1695" i="29"/>
  <c r="J1696" i="29"/>
  <c r="J1697" i="29"/>
  <c r="J1698" i="29"/>
  <c r="J1699" i="29"/>
  <c r="J1700" i="29"/>
  <c r="J1701" i="29"/>
  <c r="J1702" i="29"/>
  <c r="J1703" i="29"/>
  <c r="J1704" i="29"/>
  <c r="J1705" i="29"/>
  <c r="J1706" i="29"/>
  <c r="J1707" i="29"/>
  <c r="J1708" i="29"/>
  <c r="J1709" i="29"/>
  <c r="J1710" i="29"/>
  <c r="J1711" i="29"/>
  <c r="J1712" i="29"/>
  <c r="J1713" i="29"/>
  <c r="J1714" i="29"/>
  <c r="J1715" i="29"/>
  <c r="J1716" i="29"/>
  <c r="J1717" i="29"/>
  <c r="J1718" i="29"/>
  <c r="J1719" i="29"/>
  <c r="J1720" i="29"/>
  <c r="J1721" i="29"/>
  <c r="J1722" i="29"/>
  <c r="J1723" i="29"/>
  <c r="J1724" i="29"/>
  <c r="J1725" i="29"/>
  <c r="J1726" i="29"/>
  <c r="J1727" i="29"/>
  <c r="J1728" i="29"/>
  <c r="J1729" i="29"/>
  <c r="J1730" i="29"/>
  <c r="J1731" i="29"/>
  <c r="J1732" i="29"/>
  <c r="J1733" i="29"/>
  <c r="J1734" i="29"/>
  <c r="J1735" i="29"/>
  <c r="J1736" i="29"/>
  <c r="J1737" i="29"/>
  <c r="J1738" i="29"/>
  <c r="J1739" i="29"/>
  <c r="J1740" i="29"/>
  <c r="J1741" i="29"/>
  <c r="J1742" i="29"/>
  <c r="J1743" i="29"/>
  <c r="J1744" i="29"/>
  <c r="J1745" i="29"/>
  <c r="J1746" i="29"/>
  <c r="J1747" i="29"/>
  <c r="J1748" i="29"/>
  <c r="J1749" i="29"/>
  <c r="J1750" i="29"/>
  <c r="J1751" i="29"/>
  <c r="J1752" i="29"/>
  <c r="J1753" i="29"/>
  <c r="J1754" i="29"/>
  <c r="J1755" i="29"/>
  <c r="J1756" i="29"/>
  <c r="J1757" i="29"/>
  <c r="J1758" i="29"/>
  <c r="J1759" i="29"/>
  <c r="J1760" i="29"/>
  <c r="J1761" i="29"/>
  <c r="J1762" i="29"/>
  <c r="J1763" i="29"/>
  <c r="J1764" i="29"/>
  <c r="J1765" i="29"/>
  <c r="J1766" i="29"/>
  <c r="J1767" i="29"/>
  <c r="J1768" i="29"/>
  <c r="J1769" i="29"/>
  <c r="J1770" i="29"/>
  <c r="J1771" i="29"/>
  <c r="J1772" i="29"/>
  <c r="J1773" i="29"/>
  <c r="J1774" i="29"/>
  <c r="J1775" i="29"/>
  <c r="J1776" i="29"/>
  <c r="J1777" i="29"/>
  <c r="J1778" i="29"/>
  <c r="J1779" i="29"/>
  <c r="J1780" i="29"/>
  <c r="J1781" i="29"/>
  <c r="J1782" i="29"/>
  <c r="J1783" i="29"/>
  <c r="J1784" i="29"/>
  <c r="J1785" i="29"/>
  <c r="J1786" i="29"/>
  <c r="J1787" i="29"/>
  <c r="J1788" i="29"/>
  <c r="J1789" i="29"/>
  <c r="J1790" i="29"/>
  <c r="J1791" i="29"/>
  <c r="J1792" i="29"/>
  <c r="J1793" i="29"/>
  <c r="J1794" i="29"/>
  <c r="J1795" i="29"/>
  <c r="J1796" i="29"/>
  <c r="J1797" i="29"/>
  <c r="J1798" i="29"/>
  <c r="J1799" i="29"/>
  <c r="J1800" i="29"/>
  <c r="J1801" i="29"/>
  <c r="J1802" i="29"/>
  <c r="J1803" i="29"/>
  <c r="J1804" i="29"/>
  <c r="J1805" i="29"/>
  <c r="J1806" i="29"/>
  <c r="J1807" i="29"/>
  <c r="J1808" i="29"/>
  <c r="J1809" i="29"/>
  <c r="J1810" i="29"/>
  <c r="J1811" i="29"/>
  <c r="J1812" i="29"/>
  <c r="J1813" i="29"/>
  <c r="J1814" i="29"/>
  <c r="J1815" i="29"/>
  <c r="J1816" i="29"/>
  <c r="J1817" i="29"/>
  <c r="J1818" i="29"/>
  <c r="J1819" i="29"/>
  <c r="J1820" i="29"/>
  <c r="J1821" i="29"/>
  <c r="J1822" i="29"/>
  <c r="J1823" i="29"/>
  <c r="J1824" i="29"/>
  <c r="J1825" i="29"/>
  <c r="J1826" i="29"/>
  <c r="J1827" i="29"/>
  <c r="J1828" i="29"/>
  <c r="J1829" i="29"/>
  <c r="J1830" i="29"/>
  <c r="J1831" i="29"/>
  <c r="J1832" i="29"/>
  <c r="J1833" i="29"/>
  <c r="J1834" i="29"/>
  <c r="J1835" i="29"/>
  <c r="J1836" i="29"/>
  <c r="J1837" i="29"/>
  <c r="J1838" i="29"/>
  <c r="J1839" i="29"/>
  <c r="J1840" i="29"/>
  <c r="J1841" i="29"/>
  <c r="J1842" i="29"/>
  <c r="J1843" i="29"/>
  <c r="J1844" i="29"/>
  <c r="J1845" i="29"/>
  <c r="J1846" i="29"/>
  <c r="J1847" i="29"/>
  <c r="J1848" i="29"/>
  <c r="J1849" i="29"/>
  <c r="J1850" i="29"/>
  <c r="J1851" i="29"/>
  <c r="J1852" i="29"/>
  <c r="J1853" i="29"/>
  <c r="J1854" i="29"/>
  <c r="J1855" i="29"/>
  <c r="J1856" i="29"/>
  <c r="J1857" i="29"/>
  <c r="J1858" i="29"/>
  <c r="J1859" i="29"/>
  <c r="J1860" i="29"/>
  <c r="J1861" i="29"/>
  <c r="J1862" i="29"/>
  <c r="J1863" i="29"/>
  <c r="J1864" i="29"/>
  <c r="J1865" i="29"/>
  <c r="J1866" i="29"/>
  <c r="J1867" i="29"/>
  <c r="J1868" i="29"/>
  <c r="J1869" i="29"/>
  <c r="J1870" i="29"/>
  <c r="J1871" i="29"/>
  <c r="J1872" i="29"/>
  <c r="J1873" i="29"/>
  <c r="J1874" i="29"/>
  <c r="J1875" i="29"/>
  <c r="J1876" i="29"/>
  <c r="J1877" i="29"/>
  <c r="J1878" i="29"/>
  <c r="J1879" i="29"/>
  <c r="J1880" i="29"/>
  <c r="J1881" i="29"/>
  <c r="J1882" i="29"/>
  <c r="J1883" i="29"/>
  <c r="J1884" i="29"/>
  <c r="J1885" i="29"/>
  <c r="J1886" i="29"/>
  <c r="J1887" i="29"/>
  <c r="J1888" i="29"/>
  <c r="J1889" i="29"/>
  <c r="J1890" i="29"/>
  <c r="J1891" i="29"/>
  <c r="J1892" i="29"/>
  <c r="J1893" i="29"/>
  <c r="J1894" i="29"/>
  <c r="J1895" i="29"/>
  <c r="J1896" i="29"/>
  <c r="J1897" i="29"/>
  <c r="J1898" i="29"/>
  <c r="J1899" i="29"/>
  <c r="J1900" i="29"/>
  <c r="J1901" i="29"/>
  <c r="J1902" i="29"/>
  <c r="J1903" i="29"/>
  <c r="J1904" i="29"/>
  <c r="J1905" i="29"/>
  <c r="J1906" i="29"/>
  <c r="J1907" i="29"/>
  <c r="J1908" i="29"/>
  <c r="J1909" i="29"/>
  <c r="J1910" i="29"/>
  <c r="J1911" i="29"/>
  <c r="J1912" i="29"/>
  <c r="J1913" i="29"/>
  <c r="J1914" i="29"/>
  <c r="J1915" i="29"/>
  <c r="J1916" i="29"/>
  <c r="J1917" i="29"/>
  <c r="J1918" i="29"/>
  <c r="J1919" i="29"/>
  <c r="J1920" i="29"/>
  <c r="J1921" i="29"/>
  <c r="J1922" i="29"/>
  <c r="J1923" i="29"/>
  <c r="J1924" i="29"/>
  <c r="J1925" i="29"/>
  <c r="J1926" i="29"/>
  <c r="J1927" i="29"/>
  <c r="J1928" i="29"/>
  <c r="J1929" i="29"/>
  <c r="J1930" i="29"/>
  <c r="J1931" i="29"/>
  <c r="J1932" i="29"/>
  <c r="J1933" i="29"/>
  <c r="J1934" i="29"/>
  <c r="J1935" i="29"/>
  <c r="J1936" i="29"/>
  <c r="J1937" i="29"/>
  <c r="J1938" i="29"/>
  <c r="J1939" i="29"/>
  <c r="J1940" i="29"/>
  <c r="J1941" i="29"/>
  <c r="J1942" i="29"/>
  <c r="J1943" i="29"/>
  <c r="J1944" i="29"/>
  <c r="J1945" i="29"/>
  <c r="J1946" i="29"/>
  <c r="J1947" i="29"/>
  <c r="J1948" i="29"/>
  <c r="J1949" i="29"/>
  <c r="J1950" i="29"/>
  <c r="J1951" i="29"/>
  <c r="J1952" i="29"/>
  <c r="J1953" i="29"/>
  <c r="J1954" i="29"/>
  <c r="J1955" i="29"/>
  <c r="J1956" i="29"/>
  <c r="J1957" i="29"/>
  <c r="J1958" i="29"/>
  <c r="J1959" i="29"/>
  <c r="J1960" i="29"/>
  <c r="J1961" i="29"/>
  <c r="J1962" i="29"/>
  <c r="J1963" i="29"/>
  <c r="J1964" i="29"/>
  <c r="J1965" i="29"/>
  <c r="J1966" i="29"/>
  <c r="J1967" i="29"/>
  <c r="J1968" i="29"/>
  <c r="J1969" i="29"/>
  <c r="J1970" i="29"/>
  <c r="J1971" i="29"/>
  <c r="J1972" i="29"/>
  <c r="J1973" i="29"/>
  <c r="J1974" i="29"/>
  <c r="J1975" i="29"/>
  <c r="J1976" i="29"/>
  <c r="J1977" i="29"/>
  <c r="J1978" i="29"/>
  <c r="J1979" i="29"/>
  <c r="J1980" i="29"/>
  <c r="J1981" i="29"/>
  <c r="J1982" i="29"/>
  <c r="J1983" i="29"/>
  <c r="J1984" i="29"/>
  <c r="J1985" i="29"/>
  <c r="J1986" i="29"/>
  <c r="J1987" i="29"/>
  <c r="J1988" i="29"/>
  <c r="J1989" i="29"/>
  <c r="J1990" i="29"/>
  <c r="J1991" i="29"/>
  <c r="J1992" i="29"/>
  <c r="J1993" i="29"/>
  <c r="J1994" i="29"/>
  <c r="J1995" i="29"/>
  <c r="J1996" i="29"/>
  <c r="J1997" i="29"/>
  <c r="J1998" i="29"/>
  <c r="J1999" i="29"/>
  <c r="J2000" i="29"/>
  <c r="J2001" i="29"/>
  <c r="J2002" i="29"/>
  <c r="J2003" i="29"/>
  <c r="J2004" i="29"/>
  <c r="J2005" i="29"/>
  <c r="J2006" i="29"/>
  <c r="J2007" i="29"/>
  <c r="J2008" i="29"/>
  <c r="J2009" i="29"/>
  <c r="J2010" i="29"/>
  <c r="J1107" i="28"/>
  <c r="J1108" i="28"/>
  <c r="J1109" i="28"/>
  <c r="J1110" i="28"/>
  <c r="J1111" i="28"/>
  <c r="J1112" i="28"/>
  <c r="J1113" i="28"/>
  <c r="J1114" i="28"/>
  <c r="J1115" i="28"/>
  <c r="J1116" i="28"/>
  <c r="J1117" i="28"/>
  <c r="J1118" i="28"/>
  <c r="J1119" i="28"/>
  <c r="J1120" i="28"/>
  <c r="J1121" i="28"/>
  <c r="J1122" i="28"/>
  <c r="J1123" i="28"/>
  <c r="J1124" i="28"/>
  <c r="J1125" i="28"/>
  <c r="J1126" i="28"/>
  <c r="J1127" i="28"/>
  <c r="J1128" i="28"/>
  <c r="J1129" i="28"/>
  <c r="J1130" i="28"/>
  <c r="J1131" i="28"/>
  <c r="J1132" i="28"/>
  <c r="J1133" i="28"/>
  <c r="J1134" i="28"/>
  <c r="J1135" i="28"/>
  <c r="J1136" i="28"/>
  <c r="J1137" i="28"/>
  <c r="J1138" i="28"/>
  <c r="J1139" i="28"/>
  <c r="J1140" i="28"/>
  <c r="J1141" i="28"/>
  <c r="J1142" i="28"/>
  <c r="J1143" i="28"/>
  <c r="J1144" i="28"/>
  <c r="J1145" i="28"/>
  <c r="J1146" i="28"/>
  <c r="J1147" i="28"/>
  <c r="J1148" i="28"/>
  <c r="J1149" i="28"/>
  <c r="J1150" i="28"/>
  <c r="J1151" i="28"/>
  <c r="J1152" i="28"/>
  <c r="J1153" i="28"/>
  <c r="J1154" i="28"/>
  <c r="J1155" i="28"/>
  <c r="J1156" i="28"/>
  <c r="J1157" i="28"/>
  <c r="J1158" i="28"/>
  <c r="J1159" i="28"/>
  <c r="J1160" i="28"/>
  <c r="J1161" i="28"/>
  <c r="J1162" i="28"/>
  <c r="J1163" i="28"/>
  <c r="J1164" i="28"/>
  <c r="J1165" i="28"/>
  <c r="J1166" i="28"/>
  <c r="J1167" i="28"/>
  <c r="J1168" i="28"/>
  <c r="J1169" i="28"/>
  <c r="J1170" i="28"/>
  <c r="J1171" i="28"/>
  <c r="J1172" i="28"/>
  <c r="J1173" i="28"/>
  <c r="J1174" i="28"/>
  <c r="J1175" i="28"/>
  <c r="J1176" i="28"/>
  <c r="J1177" i="28"/>
  <c r="J1178" i="28"/>
  <c r="J1179" i="28"/>
  <c r="J1180" i="28"/>
  <c r="J1181" i="28"/>
  <c r="J1182" i="28"/>
  <c r="J1183" i="28"/>
  <c r="J1184" i="28"/>
  <c r="J1185" i="28"/>
  <c r="J1186" i="28"/>
  <c r="J1187" i="28"/>
  <c r="J1188" i="28"/>
  <c r="J1189" i="28"/>
  <c r="J1190" i="28"/>
  <c r="J1191" i="28"/>
  <c r="J1192" i="28"/>
  <c r="J1193" i="28"/>
  <c r="J1194" i="28"/>
  <c r="J1195" i="28"/>
  <c r="J1196" i="28"/>
  <c r="J1197" i="28"/>
  <c r="J1198" i="28"/>
  <c r="J1199" i="28"/>
  <c r="J1200" i="28"/>
  <c r="J1201" i="28"/>
  <c r="J1202" i="28"/>
  <c r="J1203" i="28"/>
  <c r="J1204" i="28"/>
  <c r="J1205" i="28"/>
  <c r="J1206" i="28"/>
  <c r="J1207" i="28"/>
  <c r="J1208" i="28"/>
  <c r="J1209" i="28"/>
  <c r="J1210" i="28"/>
  <c r="J1211" i="28"/>
  <c r="J1212" i="28"/>
  <c r="J1213" i="28"/>
  <c r="J1214" i="28"/>
  <c r="J1215" i="28"/>
  <c r="J1216" i="28"/>
  <c r="J1217" i="28"/>
  <c r="J1218" i="28"/>
  <c r="J1219" i="28"/>
  <c r="J1220" i="28"/>
  <c r="J1221" i="28"/>
  <c r="J1222" i="28"/>
  <c r="J1223" i="28"/>
  <c r="J1224" i="28"/>
  <c r="J1225" i="28"/>
  <c r="J1226" i="28"/>
  <c r="J1227" i="28"/>
  <c r="J1228" i="28"/>
  <c r="J1229" i="28"/>
  <c r="J1230" i="28"/>
  <c r="J1231" i="28"/>
  <c r="J1232" i="28"/>
  <c r="J1233" i="28"/>
  <c r="J1234" i="28"/>
  <c r="J1235" i="28"/>
  <c r="J1236" i="28"/>
  <c r="J1237" i="28"/>
  <c r="J1238" i="28"/>
  <c r="J1239" i="28"/>
  <c r="J1240" i="28"/>
  <c r="J1241" i="28"/>
  <c r="J1242" i="28"/>
  <c r="J1243" i="28"/>
  <c r="J1244" i="28"/>
  <c r="J1245" i="28"/>
  <c r="J1246" i="28"/>
  <c r="J1247" i="28"/>
  <c r="J1248" i="28"/>
  <c r="J1249" i="28"/>
  <c r="J1250" i="28"/>
  <c r="J1251" i="28"/>
  <c r="J1252" i="28"/>
  <c r="J1253" i="28"/>
  <c r="J1254" i="28"/>
  <c r="J1255" i="28"/>
  <c r="J1256" i="28"/>
  <c r="J1257" i="28"/>
  <c r="J1258" i="28"/>
  <c r="J1259" i="28"/>
  <c r="J1260" i="28"/>
  <c r="J1261" i="28"/>
  <c r="J1262" i="28"/>
  <c r="J1263" i="28"/>
  <c r="J1264" i="28"/>
  <c r="J1265" i="28"/>
  <c r="J1266" i="28"/>
  <c r="J1267" i="28"/>
  <c r="J1268" i="28"/>
  <c r="J1269" i="28"/>
  <c r="J1270" i="28"/>
  <c r="J1271" i="28"/>
  <c r="J1272" i="28"/>
  <c r="J1273" i="28"/>
  <c r="J1274" i="28"/>
  <c r="J1275" i="28"/>
  <c r="J1276" i="28"/>
  <c r="J1277" i="28"/>
  <c r="J1278" i="28"/>
  <c r="J1279" i="28"/>
  <c r="J1280" i="28"/>
  <c r="J1281" i="28"/>
  <c r="J1282" i="28"/>
  <c r="J1283" i="28"/>
  <c r="J1284" i="28"/>
  <c r="J1285" i="28"/>
  <c r="J1286" i="28"/>
  <c r="J1287" i="28"/>
  <c r="J1288" i="28"/>
  <c r="J1289" i="28"/>
  <c r="J1290" i="28"/>
  <c r="J1291" i="28"/>
  <c r="J1292" i="28"/>
  <c r="J1293" i="28"/>
  <c r="J1294" i="28"/>
  <c r="J1295" i="28"/>
  <c r="J1296" i="28"/>
  <c r="J1297" i="28"/>
  <c r="J1298" i="28"/>
  <c r="J1299" i="28"/>
  <c r="J1300" i="28"/>
  <c r="J1301" i="28"/>
  <c r="J1302" i="28"/>
  <c r="J1303" i="28"/>
  <c r="J1304" i="28"/>
  <c r="J1305" i="28"/>
  <c r="J1306" i="28"/>
  <c r="J1307" i="28"/>
  <c r="J1308" i="28"/>
  <c r="J1309" i="28"/>
  <c r="J1310" i="28"/>
  <c r="J1311" i="28"/>
  <c r="J1312" i="28"/>
  <c r="J1313" i="28"/>
  <c r="J1314" i="28"/>
  <c r="J1315" i="28"/>
  <c r="J1316" i="28"/>
  <c r="J1317" i="28"/>
  <c r="J1318" i="28"/>
  <c r="J1319" i="28"/>
  <c r="J1320" i="28"/>
  <c r="J1321" i="28"/>
  <c r="J1322" i="28"/>
  <c r="J1323" i="28"/>
  <c r="J1324" i="28"/>
  <c r="J1325" i="28"/>
  <c r="J1326" i="28"/>
  <c r="J1327" i="28"/>
  <c r="J1328" i="28"/>
  <c r="J1329" i="28"/>
  <c r="J1330" i="28"/>
  <c r="J1331" i="28"/>
  <c r="J1332" i="28"/>
  <c r="J1333" i="28"/>
  <c r="J1334" i="28"/>
  <c r="J1335" i="28"/>
  <c r="J1336" i="28"/>
  <c r="J1337" i="28"/>
  <c r="J1338" i="28"/>
  <c r="J1339" i="28"/>
  <c r="J1340" i="28"/>
  <c r="J1341" i="28"/>
  <c r="J1342" i="28"/>
  <c r="J1343" i="28"/>
  <c r="J1344" i="28"/>
  <c r="J1345" i="28"/>
  <c r="J1346" i="28"/>
  <c r="J1347" i="28"/>
  <c r="J1348" i="28"/>
  <c r="J1349" i="28"/>
  <c r="J1350" i="28"/>
  <c r="J1351" i="28"/>
  <c r="J1352" i="28"/>
  <c r="J1353" i="28"/>
  <c r="J1354" i="28"/>
  <c r="J1355" i="28"/>
  <c r="J1356" i="28"/>
  <c r="J1357" i="28"/>
  <c r="J1358" i="28"/>
  <c r="J1359" i="28"/>
  <c r="J1360" i="28"/>
  <c r="J1361" i="28"/>
  <c r="J1362" i="28"/>
  <c r="J1363" i="28"/>
  <c r="J1364" i="28"/>
  <c r="J1365" i="28"/>
  <c r="J1366" i="28"/>
  <c r="J1367" i="28"/>
  <c r="J1368" i="28"/>
  <c r="J1369" i="28"/>
  <c r="J1370" i="28"/>
  <c r="J1371" i="28"/>
  <c r="J1372" i="28"/>
  <c r="J1373" i="28"/>
  <c r="J1374" i="28"/>
  <c r="J1375" i="28"/>
  <c r="J1376" i="28"/>
  <c r="J1377" i="28"/>
  <c r="J1378" i="28"/>
  <c r="J1379" i="28"/>
  <c r="J1380" i="28"/>
  <c r="J1381" i="28"/>
  <c r="J1382" i="28"/>
  <c r="J1383" i="28"/>
  <c r="J1384" i="28"/>
  <c r="J1385" i="28"/>
  <c r="J1386" i="28"/>
  <c r="J1387" i="28"/>
  <c r="J1388" i="28"/>
  <c r="J1389" i="28"/>
  <c r="J1390" i="28"/>
  <c r="J1391" i="28"/>
  <c r="J1392" i="28"/>
  <c r="J1393" i="28"/>
  <c r="J1394" i="28"/>
  <c r="J1395" i="28"/>
  <c r="J1396" i="28"/>
  <c r="J1397" i="28"/>
  <c r="J1398" i="28"/>
  <c r="J1399" i="28"/>
  <c r="J1400" i="28"/>
  <c r="J1401" i="28"/>
  <c r="J1402" i="28"/>
  <c r="J1403" i="28"/>
  <c r="J1404" i="28"/>
  <c r="J1405" i="28"/>
  <c r="J1406" i="28"/>
  <c r="J1407" i="28"/>
  <c r="J1408" i="28"/>
  <c r="J1409" i="28"/>
  <c r="J1410" i="28"/>
  <c r="J1411" i="28"/>
  <c r="J1412" i="28"/>
  <c r="J1413" i="28"/>
  <c r="J1414" i="28"/>
  <c r="J1415" i="28"/>
  <c r="J1416" i="28"/>
  <c r="J1417" i="28"/>
  <c r="J1418" i="28"/>
  <c r="J1419" i="28"/>
  <c r="J1420" i="28"/>
  <c r="J1421" i="28"/>
  <c r="J1422" i="28"/>
  <c r="J1423" i="28"/>
  <c r="J1424" i="28"/>
  <c r="J1425" i="28"/>
  <c r="J1426" i="28"/>
  <c r="J1427" i="28"/>
  <c r="J1428" i="28"/>
  <c r="J1429" i="28"/>
  <c r="J1430" i="28"/>
  <c r="J1431" i="28"/>
  <c r="J1432" i="28"/>
  <c r="J1433" i="28"/>
  <c r="J1434" i="28"/>
  <c r="J1435" i="28"/>
  <c r="J1436" i="28"/>
  <c r="J1437" i="28"/>
  <c r="J1438" i="28"/>
  <c r="J1439" i="28"/>
  <c r="J1440" i="28"/>
  <c r="J1441" i="28"/>
  <c r="J1442" i="28"/>
  <c r="J1443" i="28"/>
  <c r="J1444" i="28"/>
  <c r="J1445" i="28"/>
  <c r="J1446" i="28"/>
  <c r="J1447" i="28"/>
  <c r="J1448" i="28"/>
  <c r="J1449" i="28"/>
  <c r="J1450" i="28"/>
  <c r="J1451" i="28"/>
  <c r="J1452" i="28"/>
  <c r="J1453" i="28"/>
  <c r="J1454" i="28"/>
  <c r="J1455" i="28"/>
  <c r="J1456" i="28"/>
  <c r="J1457" i="28"/>
  <c r="J1458" i="28"/>
  <c r="J1459" i="28"/>
  <c r="J1460" i="28"/>
  <c r="J1461" i="28"/>
  <c r="J1462" i="28"/>
  <c r="J1463" i="28"/>
  <c r="J1464" i="28"/>
  <c r="J1465" i="28"/>
  <c r="J1466" i="28"/>
  <c r="J1467" i="28"/>
  <c r="J1468" i="28"/>
  <c r="J1469" i="28"/>
  <c r="J1470" i="28"/>
  <c r="J1471" i="28"/>
  <c r="J1472" i="28"/>
  <c r="J1473" i="28"/>
  <c r="J1474" i="28"/>
  <c r="J1475" i="28"/>
  <c r="J1476" i="28"/>
  <c r="J1477" i="28"/>
  <c r="J1478" i="28"/>
  <c r="J1479" i="28"/>
  <c r="J1480" i="28"/>
  <c r="J1481" i="28"/>
  <c r="J1482" i="28"/>
  <c r="J1483" i="28"/>
  <c r="J1484" i="28"/>
  <c r="J1485" i="28"/>
  <c r="J1486" i="28"/>
  <c r="J1487" i="28"/>
  <c r="J1488" i="28"/>
  <c r="J1489" i="28"/>
  <c r="J1490" i="28"/>
  <c r="J1491" i="28"/>
  <c r="J1492" i="28"/>
  <c r="J1493" i="28"/>
  <c r="J1494" i="28"/>
  <c r="J1495" i="28"/>
  <c r="J1496" i="28"/>
  <c r="J1497" i="28"/>
  <c r="J1498" i="28"/>
  <c r="J1499" i="28"/>
  <c r="J1500" i="28"/>
  <c r="J1501" i="28"/>
  <c r="J1502" i="28"/>
  <c r="J1503" i="28"/>
  <c r="J1504" i="28"/>
  <c r="J1505" i="28"/>
  <c r="J1506" i="28"/>
  <c r="J1507" i="28"/>
  <c r="J1508" i="28"/>
  <c r="J1509" i="28"/>
  <c r="J1510" i="28"/>
  <c r="J1511" i="28"/>
  <c r="J1512" i="28"/>
  <c r="J1513" i="28"/>
  <c r="J1514" i="28"/>
  <c r="J1515" i="28"/>
  <c r="J1516" i="28"/>
  <c r="J1517" i="28"/>
  <c r="J1518" i="28"/>
  <c r="J1519" i="28"/>
  <c r="J1520" i="28"/>
  <c r="J1521" i="28"/>
  <c r="J1522" i="28"/>
  <c r="J1523" i="28"/>
  <c r="J1524" i="28"/>
  <c r="J1525" i="28"/>
  <c r="J1526" i="28"/>
  <c r="J1527" i="28"/>
  <c r="J1528" i="28"/>
  <c r="J1529" i="28"/>
  <c r="J1530" i="28"/>
  <c r="J1531" i="28"/>
  <c r="J1532" i="28"/>
  <c r="J1533" i="28"/>
  <c r="J1534" i="28"/>
  <c r="J1535" i="28"/>
  <c r="J1536" i="28"/>
  <c r="J1537" i="28"/>
  <c r="J1538" i="28"/>
  <c r="J1539" i="28"/>
  <c r="J1540" i="28"/>
  <c r="J1541" i="28"/>
  <c r="J1542" i="28"/>
  <c r="J1543" i="28"/>
  <c r="J1544" i="28"/>
  <c r="J1545" i="28"/>
  <c r="J1546" i="28"/>
  <c r="J1547" i="28"/>
  <c r="J1548" i="28"/>
  <c r="J1549" i="28"/>
  <c r="J1550" i="28"/>
  <c r="J1551" i="28"/>
  <c r="J1552" i="28"/>
  <c r="J1553" i="28"/>
  <c r="J1554" i="28"/>
  <c r="J1555" i="28"/>
  <c r="J1556" i="28"/>
  <c r="J1557" i="28"/>
  <c r="J1558" i="28"/>
  <c r="J1559" i="28"/>
  <c r="J1560" i="28"/>
  <c r="J1561" i="28"/>
  <c r="J1562" i="28"/>
  <c r="J1563" i="28"/>
  <c r="J1564" i="28"/>
  <c r="J1565" i="28"/>
  <c r="J1566" i="28"/>
  <c r="J1567" i="28"/>
  <c r="J1568" i="28"/>
  <c r="J1569" i="28"/>
  <c r="J1570" i="28"/>
  <c r="J1571" i="28"/>
  <c r="J1572" i="28"/>
  <c r="J1573" i="28"/>
  <c r="J1574" i="28"/>
  <c r="J1575" i="28"/>
  <c r="J1576" i="28"/>
  <c r="J1577" i="28"/>
  <c r="J1578" i="28"/>
  <c r="J1579" i="28"/>
  <c r="J1580" i="28"/>
  <c r="J1581" i="28"/>
  <c r="J1582" i="28"/>
  <c r="J1583" i="28"/>
  <c r="J1584" i="28"/>
  <c r="J1585" i="28"/>
  <c r="J1586" i="28"/>
  <c r="J1587" i="28"/>
  <c r="J1588" i="28"/>
  <c r="J1589" i="28"/>
  <c r="J1590" i="28"/>
  <c r="J1591" i="28"/>
  <c r="J1592" i="28"/>
  <c r="J1593" i="28"/>
  <c r="J1594" i="28"/>
  <c r="J1595" i="28"/>
  <c r="J1596" i="28"/>
  <c r="J1597" i="28"/>
  <c r="J1598" i="28"/>
  <c r="J1599" i="28"/>
  <c r="J1600" i="28"/>
  <c r="J1601" i="28"/>
  <c r="J1602" i="28"/>
  <c r="J1603" i="28"/>
  <c r="J1604" i="28"/>
  <c r="J1605" i="28"/>
  <c r="J1606" i="28"/>
  <c r="J1607" i="28"/>
  <c r="J1608" i="28"/>
  <c r="J1609" i="28"/>
  <c r="J1610" i="28"/>
  <c r="J1611" i="28"/>
  <c r="J1612" i="28"/>
  <c r="J1613" i="28"/>
  <c r="J1614" i="28"/>
  <c r="J1615" i="28"/>
  <c r="J1616" i="28"/>
  <c r="J1617" i="28"/>
  <c r="J1618" i="28"/>
  <c r="J1619" i="28"/>
  <c r="J1620" i="28"/>
  <c r="J1621" i="28"/>
  <c r="J1622" i="28"/>
  <c r="J1623" i="28"/>
  <c r="J1624" i="28"/>
  <c r="J1625" i="28"/>
  <c r="J1626" i="28"/>
  <c r="J1627" i="28"/>
  <c r="J1628" i="28"/>
  <c r="J1629" i="28"/>
  <c r="J1630" i="28"/>
  <c r="J1631" i="28"/>
  <c r="J1632" i="28"/>
  <c r="J1633" i="28"/>
  <c r="J1634" i="28"/>
  <c r="J1635" i="28"/>
  <c r="J1636" i="28"/>
  <c r="J1637" i="28"/>
  <c r="J1638" i="28"/>
  <c r="J1639" i="28"/>
  <c r="J1640" i="28"/>
  <c r="J1641" i="28"/>
  <c r="J1642" i="28"/>
  <c r="J1643" i="28"/>
  <c r="J1644" i="28"/>
  <c r="J1645" i="28"/>
  <c r="J1646" i="28"/>
  <c r="J1647" i="28"/>
  <c r="J1648" i="28"/>
  <c r="J1649" i="28"/>
  <c r="J1650" i="28"/>
  <c r="J1651" i="28"/>
  <c r="J1652" i="28"/>
  <c r="J1653" i="28"/>
  <c r="J1654" i="28"/>
  <c r="J1655" i="28"/>
  <c r="J1656" i="28"/>
  <c r="J1657" i="28"/>
  <c r="J1658" i="28"/>
  <c r="J1659" i="28"/>
  <c r="J1660" i="28"/>
  <c r="J1661" i="28"/>
  <c r="J1662" i="28"/>
  <c r="J1663" i="28"/>
  <c r="J1664" i="28"/>
  <c r="J1665" i="28"/>
  <c r="J1666" i="28"/>
  <c r="J1667" i="28"/>
  <c r="J1668" i="28"/>
  <c r="J1669" i="28"/>
  <c r="J1670" i="28"/>
  <c r="J1671" i="28"/>
  <c r="J1672" i="28"/>
  <c r="J1673" i="28"/>
  <c r="J1674" i="28"/>
  <c r="J1675" i="28"/>
  <c r="J1676" i="28"/>
  <c r="J1677" i="28"/>
  <c r="J1678" i="28"/>
  <c r="J1679" i="28"/>
  <c r="J1680" i="28"/>
  <c r="J1681" i="28"/>
  <c r="J1682" i="28"/>
  <c r="J1683" i="28"/>
  <c r="J1684" i="28"/>
  <c r="J1685" i="28"/>
  <c r="J1686" i="28"/>
  <c r="J1687" i="28"/>
  <c r="J1688" i="28"/>
  <c r="J1689" i="28"/>
  <c r="J1690" i="28"/>
  <c r="J1691" i="28"/>
  <c r="J1692" i="28"/>
  <c r="J1693" i="28"/>
  <c r="J1694" i="28"/>
  <c r="J1695" i="28"/>
  <c r="J1696" i="28"/>
  <c r="J1697" i="28"/>
  <c r="J1698" i="28"/>
  <c r="J1699" i="28"/>
  <c r="J1700" i="28"/>
  <c r="J1701" i="28"/>
  <c r="J1702" i="28"/>
  <c r="J1703" i="28"/>
  <c r="J1704" i="28"/>
  <c r="J1705" i="28"/>
  <c r="J1706" i="28"/>
  <c r="J1707" i="28"/>
  <c r="J1708" i="28"/>
  <c r="J1709" i="28"/>
  <c r="J1710" i="28"/>
  <c r="J1711" i="28"/>
  <c r="J1712" i="28"/>
  <c r="J1713" i="28"/>
  <c r="J1714" i="28"/>
  <c r="J1715" i="28"/>
  <c r="J1716" i="28"/>
  <c r="J1717" i="28"/>
  <c r="J1718" i="28"/>
  <c r="J1719" i="28"/>
  <c r="J1720" i="28"/>
  <c r="J1721" i="28"/>
  <c r="J1722" i="28"/>
  <c r="J1723" i="28"/>
  <c r="J1724" i="28"/>
  <c r="J1725" i="28"/>
  <c r="J1726" i="28"/>
  <c r="J1727" i="28"/>
  <c r="J1728" i="28"/>
  <c r="J1729" i="28"/>
  <c r="J1730" i="28"/>
  <c r="J1731" i="28"/>
  <c r="J1732" i="28"/>
  <c r="J1733" i="28"/>
  <c r="J1734" i="28"/>
  <c r="J1735" i="28"/>
  <c r="J1736" i="28"/>
  <c r="J1737" i="28"/>
  <c r="J1738" i="28"/>
  <c r="J1739" i="28"/>
  <c r="J1740" i="28"/>
  <c r="J1741" i="28"/>
  <c r="J1742" i="28"/>
  <c r="J1743" i="28"/>
  <c r="J1744" i="28"/>
  <c r="J1745" i="28"/>
  <c r="J1746" i="28"/>
  <c r="J1747" i="28"/>
  <c r="J1748" i="28"/>
  <c r="J1749" i="28"/>
  <c r="J1750" i="28"/>
  <c r="J1751" i="28"/>
  <c r="J1752" i="28"/>
  <c r="J1753" i="28"/>
  <c r="J1754" i="28"/>
  <c r="J1755" i="28"/>
  <c r="J1756" i="28"/>
  <c r="J1757" i="28"/>
  <c r="J1758" i="28"/>
  <c r="J1759" i="28"/>
  <c r="J1760" i="28"/>
  <c r="J1761" i="28"/>
  <c r="J1762" i="28"/>
  <c r="J1763" i="28"/>
  <c r="J1764" i="28"/>
  <c r="J1765" i="28"/>
  <c r="J1766" i="28"/>
  <c r="J1767" i="28"/>
  <c r="J1768" i="28"/>
  <c r="J1769" i="28"/>
  <c r="J1770" i="28"/>
  <c r="J1771" i="28"/>
  <c r="J1772" i="28"/>
  <c r="J1773" i="28"/>
  <c r="J1774" i="28"/>
  <c r="J1775" i="28"/>
  <c r="J1776" i="28"/>
  <c r="J1777" i="28"/>
  <c r="J1778" i="28"/>
  <c r="J1779" i="28"/>
  <c r="J1780" i="28"/>
  <c r="J1781" i="28"/>
  <c r="J1782" i="28"/>
  <c r="J1783" i="28"/>
  <c r="J1784" i="28"/>
  <c r="J1785" i="28"/>
  <c r="J1786" i="28"/>
  <c r="J1787" i="28"/>
  <c r="J1788" i="28"/>
  <c r="J1789" i="28"/>
  <c r="J1790" i="28"/>
  <c r="J1791" i="28"/>
  <c r="J1792" i="28"/>
  <c r="J1793" i="28"/>
  <c r="J1794" i="28"/>
  <c r="J1795" i="28"/>
  <c r="J1796" i="28"/>
  <c r="J1797" i="28"/>
  <c r="J1798" i="28"/>
  <c r="J1799" i="28"/>
  <c r="J1800" i="28"/>
  <c r="J1801" i="28"/>
  <c r="J1802" i="28"/>
  <c r="J1803" i="28"/>
  <c r="J1804" i="28"/>
  <c r="J1805" i="28"/>
  <c r="J1806" i="28"/>
  <c r="J1807" i="28"/>
  <c r="J1808" i="28"/>
  <c r="J1809" i="28"/>
  <c r="J1810" i="28"/>
  <c r="J1811" i="28"/>
  <c r="J1812" i="28"/>
  <c r="J1813" i="28"/>
  <c r="J1814" i="28"/>
  <c r="J1815" i="28"/>
  <c r="J1816" i="28"/>
  <c r="J1817" i="28"/>
  <c r="J1818" i="28"/>
  <c r="J1819" i="28"/>
  <c r="J1820" i="28"/>
  <c r="J1821" i="28"/>
  <c r="J1822" i="28"/>
  <c r="J1823" i="28"/>
  <c r="J1824" i="28"/>
  <c r="J1825" i="28"/>
  <c r="J1826" i="28"/>
  <c r="J1827" i="28"/>
  <c r="J1828" i="28"/>
  <c r="J1829" i="28"/>
  <c r="J1830" i="28"/>
  <c r="J1831" i="28"/>
  <c r="J1832" i="28"/>
  <c r="J1833" i="28"/>
  <c r="J1834" i="28"/>
  <c r="J1835" i="28"/>
  <c r="J1836" i="28"/>
  <c r="J1837" i="28"/>
  <c r="J1838" i="28"/>
  <c r="J1839" i="28"/>
  <c r="J1840" i="28"/>
  <c r="J1841" i="28"/>
  <c r="J1842" i="28"/>
  <c r="J1843" i="28"/>
  <c r="J1844" i="28"/>
  <c r="J1845" i="28"/>
  <c r="J1846" i="28"/>
  <c r="J1847" i="28"/>
  <c r="J1848" i="28"/>
  <c r="J1849" i="28"/>
  <c r="J1850" i="28"/>
  <c r="J1851" i="28"/>
  <c r="J1852" i="28"/>
  <c r="J1853" i="28"/>
  <c r="J1854" i="28"/>
  <c r="J1855" i="28"/>
  <c r="J1856" i="28"/>
  <c r="J1857" i="28"/>
  <c r="J1858" i="28"/>
  <c r="J1859" i="28"/>
  <c r="J1860" i="28"/>
  <c r="J1861" i="28"/>
  <c r="J1862" i="28"/>
  <c r="J1863" i="28"/>
  <c r="J1864" i="28"/>
  <c r="J1865" i="28"/>
  <c r="J1866" i="28"/>
  <c r="J1867" i="28"/>
  <c r="J1868" i="28"/>
  <c r="J1869" i="28"/>
  <c r="J1870" i="28"/>
  <c r="J1871" i="28"/>
  <c r="J1872" i="28"/>
  <c r="J1873" i="28"/>
  <c r="J1874" i="28"/>
  <c r="J1875" i="28"/>
  <c r="J1876" i="28"/>
  <c r="J1877" i="28"/>
  <c r="J1878" i="28"/>
  <c r="J1879" i="28"/>
  <c r="J1880" i="28"/>
  <c r="J1881" i="28"/>
  <c r="J1882" i="28"/>
  <c r="J1883" i="28"/>
  <c r="J1884" i="28"/>
  <c r="J1885" i="28"/>
  <c r="J1886" i="28"/>
  <c r="J1887" i="28"/>
  <c r="J1888" i="28"/>
  <c r="J1889" i="28"/>
  <c r="J1890" i="28"/>
  <c r="J1891" i="28"/>
  <c r="J1892" i="28"/>
  <c r="J1893" i="28"/>
  <c r="J1894" i="28"/>
  <c r="J1895" i="28"/>
  <c r="J1896" i="28"/>
  <c r="J1897" i="28"/>
  <c r="J1898" i="28"/>
  <c r="J1899" i="28"/>
  <c r="J1900" i="28"/>
  <c r="J1901" i="28"/>
  <c r="J1902" i="28"/>
  <c r="J1903" i="28"/>
  <c r="J1904" i="28"/>
  <c r="J1905" i="28"/>
  <c r="J1906" i="28"/>
  <c r="J1907" i="28"/>
  <c r="J1908" i="28"/>
  <c r="J1909" i="28"/>
  <c r="J1910" i="28"/>
  <c r="J1911" i="28"/>
  <c r="J1912" i="28"/>
  <c r="J1913" i="28"/>
  <c r="J1914" i="28"/>
  <c r="J1915" i="28"/>
  <c r="J1916" i="28"/>
  <c r="J1917" i="28"/>
  <c r="J1918" i="28"/>
  <c r="J1919" i="28"/>
  <c r="J1920" i="28"/>
  <c r="J1921" i="28"/>
  <c r="J1922" i="28"/>
  <c r="J1923" i="28"/>
  <c r="J1924" i="28"/>
  <c r="J1925" i="28"/>
  <c r="J1926" i="28"/>
  <c r="J1927" i="28"/>
  <c r="J1928" i="28"/>
  <c r="J1929" i="28"/>
  <c r="J1930" i="28"/>
  <c r="J1931" i="28"/>
  <c r="J1932" i="28"/>
  <c r="J1933" i="28"/>
  <c r="J1934" i="28"/>
  <c r="J1935" i="28"/>
  <c r="J1936" i="28"/>
  <c r="J1937" i="28"/>
  <c r="J1938" i="28"/>
  <c r="J1939" i="28"/>
  <c r="J1940" i="28"/>
  <c r="J1941" i="28"/>
  <c r="J1942" i="28"/>
  <c r="J1943" i="28"/>
  <c r="J1944" i="28"/>
  <c r="J1945" i="28"/>
  <c r="J1946" i="28"/>
  <c r="J1947" i="28"/>
  <c r="J1948" i="28"/>
  <c r="J1949" i="28"/>
  <c r="J1950" i="28"/>
  <c r="J1951" i="28"/>
  <c r="J1952" i="28"/>
  <c r="J1953" i="28"/>
  <c r="J1954" i="28"/>
  <c r="J1955" i="28"/>
  <c r="J1956" i="28"/>
  <c r="J1957" i="28"/>
  <c r="J1958" i="28"/>
  <c r="J1959" i="28"/>
  <c r="J1960" i="28"/>
  <c r="J1961" i="28"/>
  <c r="J1962" i="28"/>
  <c r="J1963" i="28"/>
  <c r="J1964" i="28"/>
  <c r="J1965" i="28"/>
  <c r="J1966" i="28"/>
  <c r="J1967" i="28"/>
  <c r="J1968" i="28"/>
  <c r="J1969" i="28"/>
  <c r="J1970" i="28"/>
  <c r="J1971" i="28"/>
  <c r="J1972" i="28"/>
  <c r="J1973" i="28"/>
  <c r="J1974" i="28"/>
  <c r="J1975" i="28"/>
  <c r="J1976" i="28"/>
  <c r="J1977" i="28"/>
  <c r="J1978" i="28"/>
  <c r="J1979" i="28"/>
  <c r="J1980" i="28"/>
  <c r="J1981" i="28"/>
  <c r="J1982" i="28"/>
  <c r="J1983" i="28"/>
  <c r="J1984" i="28"/>
  <c r="J1985" i="28"/>
  <c r="J1986" i="28"/>
  <c r="J1987" i="28"/>
  <c r="J1988" i="28"/>
  <c r="J1989" i="28"/>
  <c r="J1990" i="28"/>
  <c r="J1991" i="28"/>
  <c r="J1992" i="28"/>
  <c r="J1993" i="28"/>
  <c r="J1994" i="28"/>
  <c r="J1995" i="28"/>
  <c r="J1996" i="28"/>
  <c r="J1997" i="28"/>
  <c r="J1998" i="28"/>
  <c r="J1999" i="28"/>
  <c r="J2000" i="28"/>
  <c r="J2001" i="28"/>
  <c r="J2002" i="28"/>
  <c r="J2003" i="28"/>
  <c r="J2004" i="28"/>
  <c r="J2005" i="28"/>
  <c r="J2006" i="28"/>
  <c r="J2007" i="28"/>
  <c r="J2008" i="28"/>
  <c r="J2009" i="28"/>
  <c r="J2010" i="28"/>
  <c r="V135" i="24"/>
  <c r="AD135" i="24" s="1"/>
  <c r="X135" i="24"/>
  <c r="AC135" i="24"/>
  <c r="V136" i="24"/>
  <c r="AD136" i="24" s="1"/>
  <c r="X136" i="24"/>
  <c r="AC136" i="24"/>
  <c r="V137" i="24"/>
  <c r="W137" i="24" s="1"/>
  <c r="X137" i="24"/>
  <c r="AC137" i="24"/>
  <c r="V138" i="24"/>
  <c r="W138" i="24" s="1"/>
  <c r="X138" i="24"/>
  <c r="AC138" i="24"/>
  <c r="V139" i="24"/>
  <c r="AD139" i="24" s="1"/>
  <c r="X139" i="24"/>
  <c r="AC139" i="24"/>
  <c r="V140" i="24"/>
  <c r="W140" i="24" s="1"/>
  <c r="X140" i="24"/>
  <c r="AC140" i="24"/>
  <c r="V141" i="24"/>
  <c r="X141" i="24"/>
  <c r="AC141" i="24"/>
  <c r="V142" i="24"/>
  <c r="AD142" i="24" s="1"/>
  <c r="X142" i="24"/>
  <c r="AC142" i="24"/>
  <c r="V143" i="24"/>
  <c r="AD143" i="24" s="1"/>
  <c r="X143" i="24"/>
  <c r="AC143" i="24"/>
  <c r="V144" i="24"/>
  <c r="AD144" i="24" s="1"/>
  <c r="X144" i="24"/>
  <c r="AC144" i="24"/>
  <c r="V145" i="24"/>
  <c r="W145" i="24" s="1"/>
  <c r="X145" i="24"/>
  <c r="AC145" i="24"/>
  <c r="V146" i="24"/>
  <c r="W146" i="24" s="1"/>
  <c r="X146" i="24"/>
  <c r="AC146" i="24"/>
  <c r="V147" i="24"/>
  <c r="AD147" i="24" s="1"/>
  <c r="X147" i="24"/>
  <c r="AC147" i="24"/>
  <c r="V148" i="24"/>
  <c r="W148" i="24"/>
  <c r="X148" i="24"/>
  <c r="AC148" i="24"/>
  <c r="V149" i="24"/>
  <c r="W149" i="24"/>
  <c r="X149" i="24"/>
  <c r="AC149" i="24"/>
  <c r="V150" i="24"/>
  <c r="AD150" i="24" s="1"/>
  <c r="X150" i="24"/>
  <c r="AC150" i="24"/>
  <c r="V151" i="24"/>
  <c r="W151" i="24" s="1"/>
  <c r="X151" i="24"/>
  <c r="AC151" i="24"/>
  <c r="V152" i="24"/>
  <c r="W152" i="24" s="1"/>
  <c r="X152" i="24"/>
  <c r="AC152" i="24"/>
  <c r="V153" i="24"/>
  <c r="W153" i="24" s="1"/>
  <c r="X153" i="24"/>
  <c r="AC153" i="24"/>
  <c r="V154" i="24"/>
  <c r="AD154" i="24" s="1"/>
  <c r="X154" i="24"/>
  <c r="AC154" i="24"/>
  <c r="V155" i="24"/>
  <c r="AD155" i="24" s="1"/>
  <c r="X155" i="24"/>
  <c r="AC155" i="24"/>
  <c r="V156" i="24"/>
  <c r="W156" i="24" s="1"/>
  <c r="X156" i="24"/>
  <c r="AC156" i="24"/>
  <c r="V157" i="24"/>
  <c r="AD157" i="24" s="1"/>
  <c r="X157" i="24"/>
  <c r="AC157" i="24"/>
  <c r="V158" i="24"/>
  <c r="AD158" i="24" s="1"/>
  <c r="X158" i="24"/>
  <c r="AC158" i="24"/>
  <c r="V159" i="24"/>
  <c r="W159" i="24" s="1"/>
  <c r="X159" i="24"/>
  <c r="Y159" i="24" s="1"/>
  <c r="AA159" i="24" s="1"/>
  <c r="AC159" i="24"/>
  <c r="AD159" i="24"/>
  <c r="V160" i="24"/>
  <c r="W160" i="24" s="1"/>
  <c r="X160" i="24"/>
  <c r="AC160" i="24"/>
  <c r="V161" i="24"/>
  <c r="W161" i="24" s="1"/>
  <c r="X161" i="24"/>
  <c r="AC161" i="24"/>
  <c r="V162" i="24"/>
  <c r="AD162" i="24" s="1"/>
  <c r="W162" i="24"/>
  <c r="X162" i="24"/>
  <c r="AC162" i="24"/>
  <c r="V163" i="24"/>
  <c r="W163" i="24" s="1"/>
  <c r="X163" i="24"/>
  <c r="AC163" i="24"/>
  <c r="AD163" i="24"/>
  <c r="V164" i="24"/>
  <c r="W164" i="24" s="1"/>
  <c r="X164" i="24"/>
  <c r="AC164" i="24"/>
  <c r="V165" i="24"/>
  <c r="AD165" i="24" s="1"/>
  <c r="X165" i="24"/>
  <c r="AC165" i="24"/>
  <c r="V166" i="24"/>
  <c r="W166" i="24" s="1"/>
  <c r="X166" i="24"/>
  <c r="AC166" i="24"/>
  <c r="V167" i="24"/>
  <c r="AD167" i="24" s="1"/>
  <c r="X167" i="24"/>
  <c r="AC167" i="24"/>
  <c r="V168" i="24"/>
  <c r="W168" i="24" s="1"/>
  <c r="X168" i="24"/>
  <c r="AC168" i="24"/>
  <c r="V169" i="24"/>
  <c r="AD169" i="24" s="1"/>
  <c r="X169" i="24"/>
  <c r="AC169" i="24"/>
  <c r="V170" i="24"/>
  <c r="AD170" i="24" s="1"/>
  <c r="X170" i="24"/>
  <c r="AC170" i="24"/>
  <c r="V171" i="24"/>
  <c r="W171" i="24" s="1"/>
  <c r="X171" i="24"/>
  <c r="AC171" i="24"/>
  <c r="V172" i="24"/>
  <c r="W172" i="24" s="1"/>
  <c r="X172" i="24"/>
  <c r="AC172" i="24"/>
  <c r="V173" i="24"/>
  <c r="AD173" i="24" s="1"/>
  <c r="X173" i="24"/>
  <c r="AC173" i="24"/>
  <c r="V174" i="24"/>
  <c r="W174" i="24" s="1"/>
  <c r="X174" i="24"/>
  <c r="AC174" i="24"/>
  <c r="V175" i="24"/>
  <c r="AD175" i="24" s="1"/>
  <c r="X175" i="24"/>
  <c r="AC175" i="24"/>
  <c r="V176" i="24"/>
  <c r="W176" i="24" s="1"/>
  <c r="X176" i="24"/>
  <c r="AC176" i="24"/>
  <c r="V177" i="24"/>
  <c r="W177" i="24" s="1"/>
  <c r="X177" i="24"/>
  <c r="AC177" i="24"/>
  <c r="V178" i="24"/>
  <c r="AD178" i="24" s="1"/>
  <c r="X178" i="24"/>
  <c r="AC178" i="24"/>
  <c r="V179" i="24"/>
  <c r="AD179" i="24" s="1"/>
  <c r="X179" i="24"/>
  <c r="AC179" i="24"/>
  <c r="V180" i="24"/>
  <c r="W180" i="24" s="1"/>
  <c r="X180" i="24"/>
  <c r="AC180" i="24"/>
  <c r="V181" i="24"/>
  <c r="AD181" i="24" s="1"/>
  <c r="X181" i="24"/>
  <c r="AC181" i="24"/>
  <c r="V182" i="24"/>
  <c r="AD182" i="24" s="1"/>
  <c r="X182" i="24"/>
  <c r="AC182" i="24"/>
  <c r="V183" i="24"/>
  <c r="AD183" i="24" s="1"/>
  <c r="X183" i="24"/>
  <c r="AC183" i="24"/>
  <c r="V184" i="24"/>
  <c r="W184" i="24" s="1"/>
  <c r="X184" i="24"/>
  <c r="AC184" i="24"/>
  <c r="V185" i="24"/>
  <c r="W185" i="24" s="1"/>
  <c r="X185" i="24"/>
  <c r="AC185" i="24"/>
  <c r="V186" i="24"/>
  <c r="AD186" i="24" s="1"/>
  <c r="X186" i="24"/>
  <c r="AC186" i="24"/>
  <c r="V187" i="24"/>
  <c r="AD187" i="24" s="1"/>
  <c r="X187" i="24"/>
  <c r="AC187" i="24"/>
  <c r="V188" i="24"/>
  <c r="W188" i="24" s="1"/>
  <c r="X188" i="24"/>
  <c r="AC188" i="24"/>
  <c r="V189" i="24"/>
  <c r="AD189" i="24" s="1"/>
  <c r="X189" i="24"/>
  <c r="AC189" i="24"/>
  <c r="V190" i="24"/>
  <c r="W190" i="24" s="1"/>
  <c r="X190" i="24"/>
  <c r="AC190" i="24"/>
  <c r="AD190" i="24"/>
  <c r="V191" i="24"/>
  <c r="W191" i="24" s="1"/>
  <c r="X191" i="24"/>
  <c r="AC191" i="24"/>
  <c r="V192" i="24"/>
  <c r="X192" i="24"/>
  <c r="AC192" i="24"/>
  <c r="V193" i="24"/>
  <c r="AD193" i="24" s="1"/>
  <c r="X193" i="24"/>
  <c r="AC193" i="24"/>
  <c r="V194" i="24"/>
  <c r="AD194" i="24" s="1"/>
  <c r="X194" i="24"/>
  <c r="AC194" i="24"/>
  <c r="V195" i="24"/>
  <c r="W195" i="24" s="1"/>
  <c r="X195" i="24"/>
  <c r="AC195" i="24"/>
  <c r="V196" i="24"/>
  <c r="W196" i="24" s="1"/>
  <c r="X196" i="24"/>
  <c r="AC196" i="24"/>
  <c r="V197" i="24"/>
  <c r="AD197" i="24" s="1"/>
  <c r="X197" i="24"/>
  <c r="AC197" i="24"/>
  <c r="V198" i="24"/>
  <c r="AD198" i="24" s="1"/>
  <c r="X198" i="24"/>
  <c r="Y198" i="24"/>
  <c r="AA198" i="24" s="1"/>
  <c r="AC198" i="24"/>
  <c r="V199" i="24"/>
  <c r="AD199" i="24" s="1"/>
  <c r="X199" i="24"/>
  <c r="AC199" i="24"/>
  <c r="V200" i="24"/>
  <c r="W200" i="24" s="1"/>
  <c r="X200" i="24"/>
  <c r="AC200" i="24"/>
  <c r="V151" i="23"/>
  <c r="W151" i="23" s="1"/>
  <c r="X151" i="23"/>
  <c r="AC151" i="23"/>
  <c r="V152" i="23"/>
  <c r="AD152" i="23" s="1"/>
  <c r="X152" i="23"/>
  <c r="AC152" i="23"/>
  <c r="V153" i="23"/>
  <c r="AD153" i="23" s="1"/>
  <c r="X153" i="23"/>
  <c r="AC153" i="23"/>
  <c r="V154" i="23"/>
  <c r="W154" i="23" s="1"/>
  <c r="X154" i="23"/>
  <c r="AC154" i="23"/>
  <c r="V155" i="23"/>
  <c r="W155" i="23" s="1"/>
  <c r="X155" i="23"/>
  <c r="AC155" i="23"/>
  <c r="V156" i="23"/>
  <c r="W156" i="23" s="1"/>
  <c r="X156" i="23"/>
  <c r="Y156" i="23"/>
  <c r="AA156" i="23" s="1"/>
  <c r="AC156" i="23"/>
  <c r="V157" i="23"/>
  <c r="W157" i="23" s="1"/>
  <c r="X157" i="23"/>
  <c r="AC157" i="23"/>
  <c r="V158" i="23"/>
  <c r="AD158" i="23" s="1"/>
  <c r="X158" i="23"/>
  <c r="AC158" i="23"/>
  <c r="V159" i="23"/>
  <c r="AD159" i="23" s="1"/>
  <c r="X159" i="23"/>
  <c r="AC159" i="23"/>
  <c r="V160" i="23"/>
  <c r="AD160" i="23" s="1"/>
  <c r="X160" i="23"/>
  <c r="Y160" i="23" s="1"/>
  <c r="AA160" i="23" s="1"/>
  <c r="AC160" i="23"/>
  <c r="V161" i="23"/>
  <c r="AD161" i="23" s="1"/>
  <c r="X161" i="23"/>
  <c r="AC161" i="23"/>
  <c r="V162" i="23"/>
  <c r="W162" i="23" s="1"/>
  <c r="X162" i="23"/>
  <c r="AC162" i="23"/>
  <c r="V163" i="23"/>
  <c r="W163" i="23" s="1"/>
  <c r="X163" i="23"/>
  <c r="AC163" i="23"/>
  <c r="V164" i="23"/>
  <c r="W164" i="23" s="1"/>
  <c r="X164" i="23"/>
  <c r="AC164" i="23"/>
  <c r="V165" i="23"/>
  <c r="X165" i="23"/>
  <c r="AC165" i="23"/>
  <c r="V166" i="23"/>
  <c r="AD166" i="23" s="1"/>
  <c r="X166" i="23"/>
  <c r="AC166" i="23"/>
  <c r="V167" i="23"/>
  <c r="AD167" i="23" s="1"/>
  <c r="X167" i="23"/>
  <c r="AC167" i="23"/>
  <c r="V168" i="23"/>
  <c r="AD168" i="23" s="1"/>
  <c r="X168" i="23"/>
  <c r="AC168" i="23"/>
  <c r="V169" i="23"/>
  <c r="W169" i="23" s="1"/>
  <c r="X169" i="23"/>
  <c r="AC169" i="23"/>
  <c r="V170" i="23"/>
  <c r="W170" i="23" s="1"/>
  <c r="X170" i="23"/>
  <c r="AC170" i="23"/>
  <c r="V171" i="23"/>
  <c r="X171" i="23"/>
  <c r="AC171" i="23"/>
  <c r="V172" i="23"/>
  <c r="AD172" i="23" s="1"/>
  <c r="X172" i="23"/>
  <c r="AC172" i="23"/>
  <c r="V173" i="23"/>
  <c r="W173" i="23" s="1"/>
  <c r="X173" i="23"/>
  <c r="AC173" i="23"/>
  <c r="V174" i="23"/>
  <c r="W174" i="23" s="1"/>
  <c r="X174" i="23"/>
  <c r="AC174" i="23"/>
  <c r="V175" i="23"/>
  <c r="AD175" i="23" s="1"/>
  <c r="X175" i="23"/>
  <c r="AC175" i="23"/>
  <c r="V176" i="23"/>
  <c r="AD176" i="23" s="1"/>
  <c r="X176" i="23"/>
  <c r="AC176" i="23"/>
  <c r="V177" i="23"/>
  <c r="W177" i="23" s="1"/>
  <c r="X177" i="23"/>
  <c r="AC177" i="23"/>
  <c r="V178" i="23"/>
  <c r="W178" i="23" s="1"/>
  <c r="X178" i="23"/>
  <c r="AC178" i="23"/>
  <c r="V179" i="23"/>
  <c r="X179" i="23"/>
  <c r="AC179" i="23"/>
  <c r="V180" i="23"/>
  <c r="W180" i="23" s="1"/>
  <c r="X180" i="23"/>
  <c r="AC180" i="23"/>
  <c r="V181" i="23"/>
  <c r="W181" i="23" s="1"/>
  <c r="X181" i="23"/>
  <c r="AC181" i="23"/>
  <c r="V182" i="23"/>
  <c r="X182" i="23"/>
  <c r="AC182" i="23"/>
  <c r="V183" i="23"/>
  <c r="AD183" i="23" s="1"/>
  <c r="X183" i="23"/>
  <c r="AC183" i="23"/>
  <c r="V184" i="23"/>
  <c r="W184" i="23" s="1"/>
  <c r="X184" i="23"/>
  <c r="AC184" i="23"/>
  <c r="V185" i="23"/>
  <c r="AD185" i="23" s="1"/>
  <c r="X185" i="23"/>
  <c r="AC185" i="23"/>
  <c r="V186" i="23"/>
  <c r="AD186" i="23" s="1"/>
  <c r="X186" i="23"/>
  <c r="AC186" i="23"/>
  <c r="V187" i="23"/>
  <c r="W187" i="23" s="1"/>
  <c r="X187" i="23"/>
  <c r="AC187" i="23"/>
  <c r="V188" i="23"/>
  <c r="W188" i="23" s="1"/>
  <c r="X188" i="23"/>
  <c r="AC188" i="23"/>
  <c r="V189" i="23"/>
  <c r="W189" i="23" s="1"/>
  <c r="X189" i="23"/>
  <c r="AC189" i="23"/>
  <c r="V190" i="23"/>
  <c r="W190" i="23" s="1"/>
  <c r="X190" i="23"/>
  <c r="AC190" i="23"/>
  <c r="V191" i="23"/>
  <c r="AD191" i="23" s="1"/>
  <c r="X191" i="23"/>
  <c r="AC191" i="23"/>
  <c r="V192" i="23"/>
  <c r="W192" i="23" s="1"/>
  <c r="X192" i="23"/>
  <c r="AC192" i="23"/>
  <c r="V193" i="23"/>
  <c r="AD193" i="23" s="1"/>
  <c r="X193" i="23"/>
  <c r="AC193" i="23"/>
  <c r="V194" i="23"/>
  <c r="AD194" i="23" s="1"/>
  <c r="X194" i="23"/>
  <c r="AC194" i="23"/>
  <c r="V195" i="23"/>
  <c r="W195" i="23" s="1"/>
  <c r="X195" i="23"/>
  <c r="AC195" i="23"/>
  <c r="V196" i="23"/>
  <c r="AD196" i="23" s="1"/>
  <c r="X196" i="23"/>
  <c r="AC196" i="23"/>
  <c r="V197" i="23"/>
  <c r="AD197" i="23" s="1"/>
  <c r="X197" i="23"/>
  <c r="AC197" i="23"/>
  <c r="V198" i="23"/>
  <c r="W198" i="23" s="1"/>
  <c r="X198" i="23"/>
  <c r="AC198" i="23"/>
  <c r="V199" i="23"/>
  <c r="W199" i="23" s="1"/>
  <c r="X199" i="23"/>
  <c r="AC199" i="23"/>
  <c r="V200" i="23"/>
  <c r="AD200" i="23" s="1"/>
  <c r="X200" i="23"/>
  <c r="AC200" i="23"/>
  <c r="V135" i="23"/>
  <c r="AD135" i="23" s="1"/>
  <c r="X135" i="23"/>
  <c r="AC135" i="23"/>
  <c r="V136" i="23"/>
  <c r="W136" i="23" s="1"/>
  <c r="X136" i="23"/>
  <c r="AC136" i="23"/>
  <c r="V137" i="23"/>
  <c r="W137" i="23" s="1"/>
  <c r="X137" i="23"/>
  <c r="AC137" i="23"/>
  <c r="V138" i="23"/>
  <c r="W138" i="23" s="1"/>
  <c r="X138" i="23"/>
  <c r="AC138" i="23"/>
  <c r="V139" i="23"/>
  <c r="W139" i="23" s="1"/>
  <c r="X139" i="23"/>
  <c r="AC139" i="23"/>
  <c r="V140" i="23"/>
  <c r="X140" i="23"/>
  <c r="AC140" i="23"/>
  <c r="V141" i="23"/>
  <c r="W141" i="23" s="1"/>
  <c r="X141" i="23"/>
  <c r="AC141" i="23"/>
  <c r="V142" i="23"/>
  <c r="X142" i="23"/>
  <c r="AC142" i="23"/>
  <c r="V143" i="23"/>
  <c r="W143" i="23" s="1"/>
  <c r="X143" i="23"/>
  <c r="AC143" i="23"/>
  <c r="V144" i="23"/>
  <c r="X144" i="23"/>
  <c r="AC144" i="23"/>
  <c r="V145" i="23"/>
  <c r="W145" i="23" s="1"/>
  <c r="X145" i="23"/>
  <c r="AC145" i="23"/>
  <c r="V146" i="23"/>
  <c r="AD146" i="23" s="1"/>
  <c r="X146" i="23"/>
  <c r="AC146" i="23"/>
  <c r="V147" i="23"/>
  <c r="W147" i="23" s="1"/>
  <c r="X147" i="23"/>
  <c r="AC147" i="23"/>
  <c r="V148" i="23"/>
  <c r="W148" i="23" s="1"/>
  <c r="X148" i="23"/>
  <c r="AC148" i="23"/>
  <c r="V149" i="23"/>
  <c r="W149" i="23" s="1"/>
  <c r="X149" i="23"/>
  <c r="Y149" i="23" s="1"/>
  <c r="AA149" i="23" s="1"/>
  <c r="AC149" i="23"/>
  <c r="V150" i="23"/>
  <c r="W150" i="23" s="1"/>
  <c r="X150" i="23"/>
  <c r="AC150" i="23"/>
  <c r="V121" i="24"/>
  <c r="AD121" i="24" s="1"/>
  <c r="D13" i="31"/>
  <c r="J20" i="29"/>
  <c r="J13" i="29"/>
  <c r="J14" i="29"/>
  <c r="J11" i="29"/>
  <c r="J12" i="29"/>
  <c r="J15" i="29"/>
  <c r="J16" i="29"/>
  <c r="J17" i="29"/>
  <c r="J18" i="29"/>
  <c r="J19"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J507" i="29"/>
  <c r="J508" i="29"/>
  <c r="J509" i="29"/>
  <c r="J510" i="29"/>
  <c r="J511" i="29"/>
  <c r="J512" i="29"/>
  <c r="J513" i="29"/>
  <c r="J514" i="29"/>
  <c r="J515" i="29"/>
  <c r="J516" i="29"/>
  <c r="J517" i="29"/>
  <c r="J518" i="29"/>
  <c r="J519" i="29"/>
  <c r="J520" i="29"/>
  <c r="J521" i="29"/>
  <c r="J522" i="29"/>
  <c r="J523" i="29"/>
  <c r="J524" i="29"/>
  <c r="J525" i="29"/>
  <c r="J526" i="29"/>
  <c r="J527" i="29"/>
  <c r="J528" i="29"/>
  <c r="J529" i="29"/>
  <c r="J530" i="29"/>
  <c r="J531" i="29"/>
  <c r="J532" i="29"/>
  <c r="J533" i="29"/>
  <c r="J534" i="29"/>
  <c r="J535" i="29"/>
  <c r="J536" i="29"/>
  <c r="J537" i="29"/>
  <c r="J538" i="29"/>
  <c r="J539" i="29"/>
  <c r="J540" i="29"/>
  <c r="J541" i="29"/>
  <c r="J542" i="29"/>
  <c r="J543" i="29"/>
  <c r="J544" i="29"/>
  <c r="J545" i="29"/>
  <c r="J546" i="29"/>
  <c r="J547" i="29"/>
  <c r="J548" i="29"/>
  <c r="J549" i="29"/>
  <c r="J550" i="29"/>
  <c r="J551" i="29"/>
  <c r="J552" i="29"/>
  <c r="J553" i="29"/>
  <c r="J554" i="29"/>
  <c r="J555" i="29"/>
  <c r="J556" i="29"/>
  <c r="J557" i="29"/>
  <c r="J558" i="29"/>
  <c r="J559" i="29"/>
  <c r="J560" i="29"/>
  <c r="J561" i="29"/>
  <c r="J562" i="29"/>
  <c r="J563" i="29"/>
  <c r="J564" i="29"/>
  <c r="J565" i="29"/>
  <c r="J566" i="29"/>
  <c r="J567" i="29"/>
  <c r="J568" i="29"/>
  <c r="J569" i="29"/>
  <c r="J570" i="29"/>
  <c r="J571" i="29"/>
  <c r="J572" i="29"/>
  <c r="J573" i="29"/>
  <c r="J574" i="29"/>
  <c r="J575" i="29"/>
  <c r="J576" i="29"/>
  <c r="J577" i="29"/>
  <c r="J578" i="29"/>
  <c r="J579" i="29"/>
  <c r="J580" i="29"/>
  <c r="J581" i="29"/>
  <c r="J582" i="29"/>
  <c r="J583" i="29"/>
  <c r="J584" i="29"/>
  <c r="J585" i="29"/>
  <c r="J586" i="29"/>
  <c r="J587" i="29"/>
  <c r="J588" i="29"/>
  <c r="J589" i="29"/>
  <c r="J590" i="29"/>
  <c r="J591" i="29"/>
  <c r="J592" i="29"/>
  <c r="J593" i="29"/>
  <c r="J594" i="29"/>
  <c r="J595" i="29"/>
  <c r="J596" i="29"/>
  <c r="J597" i="29"/>
  <c r="J598" i="29"/>
  <c r="J599" i="29"/>
  <c r="J600" i="29"/>
  <c r="J601" i="29"/>
  <c r="J602" i="29"/>
  <c r="J603" i="29"/>
  <c r="J604" i="29"/>
  <c r="J605" i="29"/>
  <c r="J606" i="29"/>
  <c r="J607" i="29"/>
  <c r="J608" i="29"/>
  <c r="J609" i="29"/>
  <c r="J610" i="29"/>
  <c r="J611" i="29"/>
  <c r="J612" i="29"/>
  <c r="J613" i="29"/>
  <c r="J614" i="29"/>
  <c r="J615" i="29"/>
  <c r="J616" i="29"/>
  <c r="J617" i="29"/>
  <c r="J618" i="29"/>
  <c r="J619" i="29"/>
  <c r="J620" i="29"/>
  <c r="J621" i="29"/>
  <c r="J622" i="29"/>
  <c r="J623" i="29"/>
  <c r="J624" i="29"/>
  <c r="J625" i="29"/>
  <c r="J626" i="29"/>
  <c r="J627" i="29"/>
  <c r="J628" i="29"/>
  <c r="J629" i="29"/>
  <c r="J630" i="29"/>
  <c r="J631" i="29"/>
  <c r="J632" i="29"/>
  <c r="J633" i="29"/>
  <c r="J634" i="29"/>
  <c r="J635" i="29"/>
  <c r="J636" i="29"/>
  <c r="J637" i="29"/>
  <c r="J638" i="29"/>
  <c r="J639" i="29"/>
  <c r="J640" i="29"/>
  <c r="J641" i="29"/>
  <c r="J642" i="29"/>
  <c r="J643" i="29"/>
  <c r="J644" i="29"/>
  <c r="J645" i="29"/>
  <c r="J646" i="29"/>
  <c r="J647" i="29"/>
  <c r="J648" i="29"/>
  <c r="J649" i="29"/>
  <c r="J650" i="29"/>
  <c r="J651" i="29"/>
  <c r="J652" i="29"/>
  <c r="J653" i="29"/>
  <c r="J654" i="29"/>
  <c r="J655" i="29"/>
  <c r="J656" i="29"/>
  <c r="J657" i="29"/>
  <c r="J658" i="29"/>
  <c r="J659" i="29"/>
  <c r="J660" i="29"/>
  <c r="J661" i="29"/>
  <c r="J662" i="29"/>
  <c r="J663" i="29"/>
  <c r="J664" i="29"/>
  <c r="J665" i="29"/>
  <c r="J666" i="29"/>
  <c r="J667" i="29"/>
  <c r="J668" i="29"/>
  <c r="J669" i="29"/>
  <c r="J670" i="29"/>
  <c r="J671" i="29"/>
  <c r="J672" i="29"/>
  <c r="J673" i="29"/>
  <c r="J674" i="29"/>
  <c r="J675" i="29"/>
  <c r="J676" i="29"/>
  <c r="J677" i="29"/>
  <c r="J678" i="29"/>
  <c r="J679" i="29"/>
  <c r="J680" i="29"/>
  <c r="J681" i="29"/>
  <c r="J682" i="29"/>
  <c r="J683" i="29"/>
  <c r="J684" i="29"/>
  <c r="J685" i="29"/>
  <c r="J686" i="29"/>
  <c r="J687" i="29"/>
  <c r="J688" i="29"/>
  <c r="J689" i="29"/>
  <c r="J690" i="29"/>
  <c r="J691" i="29"/>
  <c r="J692" i="29"/>
  <c r="J693" i="29"/>
  <c r="J694" i="29"/>
  <c r="J695" i="29"/>
  <c r="J696" i="29"/>
  <c r="J697" i="29"/>
  <c r="J698" i="29"/>
  <c r="J699" i="29"/>
  <c r="J700" i="29"/>
  <c r="J701" i="29"/>
  <c r="J702" i="29"/>
  <c r="J703" i="29"/>
  <c r="J704" i="29"/>
  <c r="J705" i="29"/>
  <c r="J706" i="29"/>
  <c r="J707" i="29"/>
  <c r="J708" i="29"/>
  <c r="J709" i="29"/>
  <c r="J710" i="29"/>
  <c r="J711" i="29"/>
  <c r="J712" i="29"/>
  <c r="J713" i="29"/>
  <c r="J714" i="29"/>
  <c r="J715" i="29"/>
  <c r="J716" i="29"/>
  <c r="J717" i="29"/>
  <c r="J718" i="29"/>
  <c r="J719" i="29"/>
  <c r="J720" i="29"/>
  <c r="J721" i="29"/>
  <c r="J722" i="29"/>
  <c r="J723" i="29"/>
  <c r="J724" i="29"/>
  <c r="J725" i="29"/>
  <c r="J726" i="29"/>
  <c r="J727" i="29"/>
  <c r="J728" i="29"/>
  <c r="J729" i="29"/>
  <c r="J730" i="29"/>
  <c r="J731" i="29"/>
  <c r="J732" i="29"/>
  <c r="J733" i="29"/>
  <c r="J734" i="29"/>
  <c r="J735" i="29"/>
  <c r="J736" i="29"/>
  <c r="J737" i="29"/>
  <c r="J738" i="29"/>
  <c r="J739" i="29"/>
  <c r="J740" i="29"/>
  <c r="J741" i="29"/>
  <c r="J742" i="29"/>
  <c r="J743" i="29"/>
  <c r="J744" i="29"/>
  <c r="J745" i="29"/>
  <c r="J746" i="29"/>
  <c r="J747" i="29"/>
  <c r="J748" i="29"/>
  <c r="J749" i="29"/>
  <c r="J750" i="29"/>
  <c r="J751" i="29"/>
  <c r="J752" i="29"/>
  <c r="J753" i="29"/>
  <c r="J754" i="29"/>
  <c r="J755" i="29"/>
  <c r="J756" i="29"/>
  <c r="J757" i="29"/>
  <c r="J758" i="29"/>
  <c r="J759" i="29"/>
  <c r="J760" i="29"/>
  <c r="J761" i="29"/>
  <c r="J762" i="29"/>
  <c r="J763" i="29"/>
  <c r="J764" i="29"/>
  <c r="J765" i="29"/>
  <c r="J766" i="29"/>
  <c r="J767" i="29"/>
  <c r="J768" i="29"/>
  <c r="J769" i="29"/>
  <c r="J770" i="29"/>
  <c r="J771" i="29"/>
  <c r="J772" i="29"/>
  <c r="J773" i="29"/>
  <c r="J774" i="29"/>
  <c r="J775" i="29"/>
  <c r="J776" i="29"/>
  <c r="J777" i="29"/>
  <c r="J778" i="29"/>
  <c r="J779" i="29"/>
  <c r="J780" i="29"/>
  <c r="J781" i="29"/>
  <c r="J782" i="29"/>
  <c r="J783" i="29"/>
  <c r="J784" i="29"/>
  <c r="J785" i="29"/>
  <c r="J786" i="29"/>
  <c r="J787" i="29"/>
  <c r="J788" i="29"/>
  <c r="J789" i="29"/>
  <c r="J790" i="29"/>
  <c r="J791" i="29"/>
  <c r="J792" i="29"/>
  <c r="J793" i="29"/>
  <c r="J794" i="29"/>
  <c r="J795" i="29"/>
  <c r="J796" i="29"/>
  <c r="J797" i="29"/>
  <c r="J798" i="29"/>
  <c r="J799" i="29"/>
  <c r="J800" i="29"/>
  <c r="J801" i="29"/>
  <c r="J802" i="29"/>
  <c r="J803" i="29"/>
  <c r="J804" i="29"/>
  <c r="J805" i="29"/>
  <c r="J806" i="29"/>
  <c r="J807" i="29"/>
  <c r="J808" i="29"/>
  <c r="J809" i="29"/>
  <c r="J810" i="29"/>
  <c r="J811" i="29"/>
  <c r="J812" i="29"/>
  <c r="J813" i="29"/>
  <c r="J814" i="29"/>
  <c r="J815" i="29"/>
  <c r="J816" i="29"/>
  <c r="J817" i="29"/>
  <c r="J818" i="29"/>
  <c r="J819" i="29"/>
  <c r="J820" i="29"/>
  <c r="J821" i="29"/>
  <c r="J822" i="29"/>
  <c r="J823" i="29"/>
  <c r="J824" i="29"/>
  <c r="J825" i="29"/>
  <c r="J826" i="29"/>
  <c r="J827" i="29"/>
  <c r="J828" i="29"/>
  <c r="J829" i="29"/>
  <c r="J830" i="29"/>
  <c r="J831" i="29"/>
  <c r="J832" i="29"/>
  <c r="J833" i="29"/>
  <c r="J834" i="29"/>
  <c r="J835" i="29"/>
  <c r="J836" i="29"/>
  <c r="J837" i="29"/>
  <c r="J838" i="29"/>
  <c r="J839" i="29"/>
  <c r="J840" i="29"/>
  <c r="J841" i="29"/>
  <c r="J842" i="29"/>
  <c r="J843" i="29"/>
  <c r="J844" i="29"/>
  <c r="J845" i="29"/>
  <c r="J846" i="29"/>
  <c r="J847" i="29"/>
  <c r="J848" i="29"/>
  <c r="J849" i="29"/>
  <c r="J850" i="29"/>
  <c r="J851" i="29"/>
  <c r="J852" i="29"/>
  <c r="J853" i="29"/>
  <c r="J854" i="29"/>
  <c r="J855" i="29"/>
  <c r="J856" i="29"/>
  <c r="J857" i="29"/>
  <c r="J858" i="29"/>
  <c r="J859" i="29"/>
  <c r="J860" i="29"/>
  <c r="J861" i="29"/>
  <c r="J862" i="29"/>
  <c r="J863" i="29"/>
  <c r="J864" i="29"/>
  <c r="J865" i="29"/>
  <c r="J866" i="29"/>
  <c r="J867" i="29"/>
  <c r="J868" i="29"/>
  <c r="J869" i="29"/>
  <c r="J870" i="29"/>
  <c r="J871" i="29"/>
  <c r="J872" i="29"/>
  <c r="J873" i="29"/>
  <c r="J874" i="29"/>
  <c r="J875" i="29"/>
  <c r="J876" i="29"/>
  <c r="J877" i="29"/>
  <c r="J878" i="29"/>
  <c r="J879" i="29"/>
  <c r="J880" i="29"/>
  <c r="J881" i="29"/>
  <c r="J882" i="29"/>
  <c r="J883" i="29"/>
  <c r="J884" i="29"/>
  <c r="J885" i="29"/>
  <c r="J886" i="29"/>
  <c r="J887" i="29"/>
  <c r="J888" i="29"/>
  <c r="J889" i="29"/>
  <c r="J890" i="29"/>
  <c r="J891" i="29"/>
  <c r="J892" i="29"/>
  <c r="J893" i="29"/>
  <c r="J894" i="29"/>
  <c r="J895" i="29"/>
  <c r="J896" i="29"/>
  <c r="J897" i="29"/>
  <c r="J898" i="29"/>
  <c r="J899" i="29"/>
  <c r="J900" i="29"/>
  <c r="J901" i="29"/>
  <c r="J902" i="29"/>
  <c r="J903" i="29"/>
  <c r="J904" i="29"/>
  <c r="J905" i="29"/>
  <c r="J906" i="29"/>
  <c r="J907" i="29"/>
  <c r="J908" i="29"/>
  <c r="J909" i="29"/>
  <c r="J910" i="29"/>
  <c r="J911" i="29"/>
  <c r="J912" i="29"/>
  <c r="J913" i="29"/>
  <c r="J914" i="29"/>
  <c r="J915" i="29"/>
  <c r="J916" i="29"/>
  <c r="J917" i="29"/>
  <c r="J918" i="29"/>
  <c r="J919" i="29"/>
  <c r="J920" i="29"/>
  <c r="J921" i="29"/>
  <c r="J922" i="29"/>
  <c r="J923" i="29"/>
  <c r="J924" i="29"/>
  <c r="J925" i="29"/>
  <c r="J926" i="29"/>
  <c r="J927" i="29"/>
  <c r="J928" i="29"/>
  <c r="J929" i="29"/>
  <c r="J930" i="29"/>
  <c r="J931" i="29"/>
  <c r="J932" i="29"/>
  <c r="J933" i="29"/>
  <c r="J934" i="29"/>
  <c r="J935" i="29"/>
  <c r="J936" i="29"/>
  <c r="J937" i="29"/>
  <c r="J938" i="29"/>
  <c r="J939" i="29"/>
  <c r="J940" i="29"/>
  <c r="J941" i="29"/>
  <c r="J942" i="29"/>
  <c r="J943" i="29"/>
  <c r="J944" i="29"/>
  <c r="J945" i="29"/>
  <c r="J946" i="29"/>
  <c r="J947" i="29"/>
  <c r="J948" i="29"/>
  <c r="J949" i="29"/>
  <c r="J950" i="29"/>
  <c r="J951" i="29"/>
  <c r="J952" i="29"/>
  <c r="J953" i="29"/>
  <c r="J954" i="29"/>
  <c r="J955" i="29"/>
  <c r="J956" i="29"/>
  <c r="J957" i="29"/>
  <c r="J958" i="29"/>
  <c r="J959" i="29"/>
  <c r="J960" i="29"/>
  <c r="J961" i="29"/>
  <c r="J962" i="29"/>
  <c r="J963" i="29"/>
  <c r="J964" i="29"/>
  <c r="J965" i="29"/>
  <c r="J966" i="29"/>
  <c r="J967" i="29"/>
  <c r="J968" i="29"/>
  <c r="J969" i="29"/>
  <c r="J970" i="29"/>
  <c r="J971" i="29"/>
  <c r="J972" i="29"/>
  <c r="J973" i="29"/>
  <c r="J974" i="29"/>
  <c r="J975" i="29"/>
  <c r="J976" i="29"/>
  <c r="J977" i="29"/>
  <c r="J978" i="29"/>
  <c r="J979" i="29"/>
  <c r="J980" i="29"/>
  <c r="J981" i="29"/>
  <c r="J982" i="29"/>
  <c r="J983" i="29"/>
  <c r="J984" i="29"/>
  <c r="J985" i="29"/>
  <c r="J986" i="29"/>
  <c r="J987" i="29"/>
  <c r="J988" i="29"/>
  <c r="J989" i="29"/>
  <c r="J990" i="29"/>
  <c r="J991" i="29"/>
  <c r="J992" i="29"/>
  <c r="J993" i="29"/>
  <c r="J994" i="29"/>
  <c r="J995" i="29"/>
  <c r="J996" i="29"/>
  <c r="J997" i="29"/>
  <c r="J998" i="29"/>
  <c r="J999" i="29"/>
  <c r="J1000" i="29"/>
  <c r="J1001" i="29"/>
  <c r="J1002" i="29"/>
  <c r="J1003" i="29"/>
  <c r="J1004" i="29"/>
  <c r="J1005" i="29"/>
  <c r="J1006" i="29"/>
  <c r="J1007" i="29"/>
  <c r="J1008" i="29"/>
  <c r="J1009" i="29"/>
  <c r="J1010" i="29"/>
  <c r="J1011" i="29"/>
  <c r="J1012" i="29"/>
  <c r="J1013" i="29"/>
  <c r="J1014" i="29"/>
  <c r="J1015" i="29"/>
  <c r="J1016" i="29"/>
  <c r="J1017" i="29"/>
  <c r="J1018" i="29"/>
  <c r="J1019" i="29"/>
  <c r="J1020" i="29"/>
  <c r="J1021" i="29"/>
  <c r="J1022" i="29"/>
  <c r="J1023" i="29"/>
  <c r="J1024" i="29"/>
  <c r="J1025" i="29"/>
  <c r="J1026" i="29"/>
  <c r="J1027" i="29"/>
  <c r="J1028" i="29"/>
  <c r="J1029" i="29"/>
  <c r="J1030" i="29"/>
  <c r="J1031" i="29"/>
  <c r="J1032" i="29"/>
  <c r="J1033" i="29"/>
  <c r="J1034" i="29"/>
  <c r="J1035" i="29"/>
  <c r="J1036" i="29"/>
  <c r="J1037" i="29"/>
  <c r="J1038" i="29"/>
  <c r="J1039" i="29"/>
  <c r="J1040" i="29"/>
  <c r="J1041" i="29"/>
  <c r="J1042" i="29"/>
  <c r="J1043" i="29"/>
  <c r="J1044" i="29"/>
  <c r="J1045" i="29"/>
  <c r="J1046" i="29"/>
  <c r="J1047" i="29"/>
  <c r="J1048" i="29"/>
  <c r="J1049" i="29"/>
  <c r="J1050" i="29"/>
  <c r="J1051" i="29"/>
  <c r="J1052" i="29"/>
  <c r="J1053" i="29"/>
  <c r="J1054" i="29"/>
  <c r="J1055" i="29"/>
  <c r="J1056" i="29"/>
  <c r="J1057" i="29"/>
  <c r="J1058" i="29"/>
  <c r="J1059" i="29"/>
  <c r="J1060" i="29"/>
  <c r="J1061" i="29"/>
  <c r="J1062" i="29"/>
  <c r="J1063" i="29"/>
  <c r="J1064" i="29"/>
  <c r="J1065" i="29"/>
  <c r="J1066" i="29"/>
  <c r="J1067" i="29"/>
  <c r="J1068" i="29"/>
  <c r="J1069" i="29"/>
  <c r="J1070" i="29"/>
  <c r="J1071" i="29"/>
  <c r="J1072" i="29"/>
  <c r="J1073" i="29"/>
  <c r="J1074" i="29"/>
  <c r="J1075" i="29"/>
  <c r="J1076" i="29"/>
  <c r="J1077" i="29"/>
  <c r="J1078" i="29"/>
  <c r="J1079" i="29"/>
  <c r="J1080" i="29"/>
  <c r="J1081" i="29"/>
  <c r="J1082" i="29"/>
  <c r="J1083" i="29"/>
  <c r="J1084" i="29"/>
  <c r="J1085" i="29"/>
  <c r="J1086" i="29"/>
  <c r="J1087" i="29"/>
  <c r="J1088" i="29"/>
  <c r="J1089" i="29"/>
  <c r="J1090" i="29"/>
  <c r="J1091" i="29"/>
  <c r="J1092" i="29"/>
  <c r="J1093" i="29"/>
  <c r="J1094" i="29"/>
  <c r="J1095" i="29"/>
  <c r="J1096" i="29"/>
  <c r="J1097" i="29"/>
  <c r="J1098" i="29"/>
  <c r="J1099" i="29"/>
  <c r="J1100" i="29"/>
  <c r="J1101" i="29"/>
  <c r="J1102" i="29"/>
  <c r="J1103" i="29"/>
  <c r="J1104" i="29"/>
  <c r="J1105" i="29"/>
  <c r="J1106" i="29"/>
  <c r="J1107" i="29"/>
  <c r="J1108" i="29"/>
  <c r="C33" i="11"/>
  <c r="E463" i="11"/>
  <c r="F463" i="11" s="1"/>
  <c r="C463" i="11"/>
  <c r="D463" i="11" s="1"/>
  <c r="AC12" i="24"/>
  <c r="AC13" i="24"/>
  <c r="AC14" i="24"/>
  <c r="AC15" i="24"/>
  <c r="AC16" i="24"/>
  <c r="AC17" i="24"/>
  <c r="AC18" i="24"/>
  <c r="AC19" i="24"/>
  <c r="AC20" i="24"/>
  <c r="AC21" i="24"/>
  <c r="AC22" i="24"/>
  <c r="AC23" i="24"/>
  <c r="AC24" i="24"/>
  <c r="AC25" i="24"/>
  <c r="AC26" i="24"/>
  <c r="AC27" i="24"/>
  <c r="AC28" i="24"/>
  <c r="AC29" i="24"/>
  <c r="AC30" i="24"/>
  <c r="AC31" i="24"/>
  <c r="AC32" i="24"/>
  <c r="AC33" i="24"/>
  <c r="AC34" i="24"/>
  <c r="AC35" i="24"/>
  <c r="AC36" i="24"/>
  <c r="AC37" i="24"/>
  <c r="AC38" i="24"/>
  <c r="AC39" i="24"/>
  <c r="AC40" i="24"/>
  <c r="AC41" i="24"/>
  <c r="AC42" i="24"/>
  <c r="AC43" i="24"/>
  <c r="AC44" i="24"/>
  <c r="AC45" i="24"/>
  <c r="AC46" i="24"/>
  <c r="AC47" i="24"/>
  <c r="AC48" i="24"/>
  <c r="AC49" i="24"/>
  <c r="AC50" i="24"/>
  <c r="AC51" i="24"/>
  <c r="AC52" i="24"/>
  <c r="AC53" i="24"/>
  <c r="AC54" i="24"/>
  <c r="AC55" i="24"/>
  <c r="AC56" i="24"/>
  <c r="AC57" i="24"/>
  <c r="AC58" i="24"/>
  <c r="AC59" i="24"/>
  <c r="AC60" i="24"/>
  <c r="AC61" i="24"/>
  <c r="AC62" i="24"/>
  <c r="AC63" i="24"/>
  <c r="AC64" i="24"/>
  <c r="AC65" i="24"/>
  <c r="AC66" i="24"/>
  <c r="AC67" i="24"/>
  <c r="AC68" i="24"/>
  <c r="AC69" i="24"/>
  <c r="AC70" i="24"/>
  <c r="AC71" i="24"/>
  <c r="AC72" i="24"/>
  <c r="AC73" i="24"/>
  <c r="AC74" i="24"/>
  <c r="AC75" i="24"/>
  <c r="AC76" i="24"/>
  <c r="AC77" i="24"/>
  <c r="AC78" i="24"/>
  <c r="AC79" i="24"/>
  <c r="AC80" i="24"/>
  <c r="AC81" i="24"/>
  <c r="AC82" i="24"/>
  <c r="AC83" i="24"/>
  <c r="AC84" i="24"/>
  <c r="AC85" i="24"/>
  <c r="AC86" i="24"/>
  <c r="AC87" i="24"/>
  <c r="AC88" i="24"/>
  <c r="AC89" i="24"/>
  <c r="AC90" i="24"/>
  <c r="AC91" i="24"/>
  <c r="AC92" i="24"/>
  <c r="AC93" i="24"/>
  <c r="AC94" i="24"/>
  <c r="AC95" i="24"/>
  <c r="AC96" i="24"/>
  <c r="AC97" i="24"/>
  <c r="AC98" i="24"/>
  <c r="AC99" i="24"/>
  <c r="AC100" i="24"/>
  <c r="AC101" i="24"/>
  <c r="AC102" i="24"/>
  <c r="AC103" i="24"/>
  <c r="AC104" i="24"/>
  <c r="AC105" i="24"/>
  <c r="AC106" i="24"/>
  <c r="AC107" i="24"/>
  <c r="AC108" i="24"/>
  <c r="AC109" i="24"/>
  <c r="AC110" i="24"/>
  <c r="AC111" i="24"/>
  <c r="AC112" i="24"/>
  <c r="AC113" i="24"/>
  <c r="AC114" i="24"/>
  <c r="AC115" i="24"/>
  <c r="AC116" i="24"/>
  <c r="AC117" i="24"/>
  <c r="AC118" i="24"/>
  <c r="AC119" i="24"/>
  <c r="AC120" i="24"/>
  <c r="AC121" i="24"/>
  <c r="AC122" i="24"/>
  <c r="AC123" i="24"/>
  <c r="AC124" i="24"/>
  <c r="AC125" i="24"/>
  <c r="AC126" i="24"/>
  <c r="AC127" i="24"/>
  <c r="AC128" i="24"/>
  <c r="AC129" i="24"/>
  <c r="AC130" i="24"/>
  <c r="AC131" i="24"/>
  <c r="AC132" i="24"/>
  <c r="AC133" i="24"/>
  <c r="AC134" i="24"/>
  <c r="AC12" i="23"/>
  <c r="AC14" i="23"/>
  <c r="AC11" i="23"/>
  <c r="AC13" i="23"/>
  <c r="AC15" i="23"/>
  <c r="AC16" i="23"/>
  <c r="AC17" i="23"/>
  <c r="AC18" i="23"/>
  <c r="AC19" i="23"/>
  <c r="AC20" i="23"/>
  <c r="AC21" i="23"/>
  <c r="AC22" i="23"/>
  <c r="AC23" i="23"/>
  <c r="AC24" i="23"/>
  <c r="AC25" i="23"/>
  <c r="AC26" i="23"/>
  <c r="AC27" i="23"/>
  <c r="AC28" i="23"/>
  <c r="AC29" i="23"/>
  <c r="AC30" i="23"/>
  <c r="AC31" i="23"/>
  <c r="AC32" i="23"/>
  <c r="AC33" i="23"/>
  <c r="AC34" i="23"/>
  <c r="AC35" i="23"/>
  <c r="AC36" i="23"/>
  <c r="AC37" i="23"/>
  <c r="AC38" i="23"/>
  <c r="AC39" i="23"/>
  <c r="AC40" i="23"/>
  <c r="AC41" i="23"/>
  <c r="AC42" i="23"/>
  <c r="AC43" i="23"/>
  <c r="AC44" i="23"/>
  <c r="AC45" i="23"/>
  <c r="AC46" i="23"/>
  <c r="AC47" i="23"/>
  <c r="AC48" i="23"/>
  <c r="AC49" i="23"/>
  <c r="AC50" i="23"/>
  <c r="AC51" i="23"/>
  <c r="AC52" i="23"/>
  <c r="AC53" i="23"/>
  <c r="AC54" i="23"/>
  <c r="AC55" i="23"/>
  <c r="AC56" i="23"/>
  <c r="AC57" i="23"/>
  <c r="AC58" i="23"/>
  <c r="AC59" i="23"/>
  <c r="AC60" i="23"/>
  <c r="AC61" i="23"/>
  <c r="AC62" i="23"/>
  <c r="AC63" i="23"/>
  <c r="AC64" i="23"/>
  <c r="AC65" i="23"/>
  <c r="AC66" i="23"/>
  <c r="AC67" i="23"/>
  <c r="AC68" i="23"/>
  <c r="AC69" i="23"/>
  <c r="AC70" i="23"/>
  <c r="AC71" i="23"/>
  <c r="AC72" i="23"/>
  <c r="AC73" i="23"/>
  <c r="AC74" i="23"/>
  <c r="AC75" i="23"/>
  <c r="AC76" i="23"/>
  <c r="AC77" i="23"/>
  <c r="AC78" i="23"/>
  <c r="AC79" i="23"/>
  <c r="AC80" i="23"/>
  <c r="AC81" i="23"/>
  <c r="AC82" i="23"/>
  <c r="AC83" i="23"/>
  <c r="AC84" i="23"/>
  <c r="AC85" i="23"/>
  <c r="AC86" i="23"/>
  <c r="AC87" i="23"/>
  <c r="AC88" i="23"/>
  <c r="AC89" i="23"/>
  <c r="AC90" i="23"/>
  <c r="AC91" i="23"/>
  <c r="AC92" i="23"/>
  <c r="AC93" i="23"/>
  <c r="AC94" i="23"/>
  <c r="AC95" i="23"/>
  <c r="AC96" i="23"/>
  <c r="AC97" i="23"/>
  <c r="AC98" i="23"/>
  <c r="AC99" i="23"/>
  <c r="AC100" i="23"/>
  <c r="AC101" i="23"/>
  <c r="AC102" i="23"/>
  <c r="AC103" i="23"/>
  <c r="AC104" i="23"/>
  <c r="AC105" i="23"/>
  <c r="AC106" i="23"/>
  <c r="AC107" i="23"/>
  <c r="AC108" i="23"/>
  <c r="AC109" i="23"/>
  <c r="AC110" i="23"/>
  <c r="AC111" i="23"/>
  <c r="AC112" i="23"/>
  <c r="AC113" i="23"/>
  <c r="AC114" i="23"/>
  <c r="AC115" i="23"/>
  <c r="AC116" i="23"/>
  <c r="AC117" i="23"/>
  <c r="AC118" i="23"/>
  <c r="AC119" i="23"/>
  <c r="AC120" i="23"/>
  <c r="AC121" i="23"/>
  <c r="AC122" i="23"/>
  <c r="AC123" i="23"/>
  <c r="AC124" i="23"/>
  <c r="AC125" i="23"/>
  <c r="AC126" i="23"/>
  <c r="AC127" i="23"/>
  <c r="AC128" i="23"/>
  <c r="AC129" i="23"/>
  <c r="AC130" i="23"/>
  <c r="AC131" i="23"/>
  <c r="AC132" i="23"/>
  <c r="AC133" i="23"/>
  <c r="AC134" i="23"/>
  <c r="Y137" i="23" l="1"/>
  <c r="AA137" i="23" s="1"/>
  <c r="Y155" i="24"/>
  <c r="AA155" i="24" s="1"/>
  <c r="Y195" i="23"/>
  <c r="AA195" i="23" s="1"/>
  <c r="AD188" i="23"/>
  <c r="W155" i="24"/>
  <c r="W173" i="24"/>
  <c r="Y142" i="24"/>
  <c r="AA142" i="24" s="1"/>
  <c r="Y135" i="24"/>
  <c r="AA135" i="24" s="1"/>
  <c r="Y139" i="24"/>
  <c r="AA139" i="24" s="1"/>
  <c r="W139" i="24"/>
  <c r="W186" i="23"/>
  <c r="AD137" i="23"/>
  <c r="Y147" i="23"/>
  <c r="AA147" i="23" s="1"/>
  <c r="AD180" i="23"/>
  <c r="W153" i="23"/>
  <c r="Z153" i="23" s="1"/>
  <c r="AB153" i="23" s="1"/>
  <c r="AD164" i="23"/>
  <c r="W183" i="23"/>
  <c r="Z183" i="23" s="1"/>
  <c r="AB183" i="23" s="1"/>
  <c r="Y146" i="23"/>
  <c r="AA146" i="23" s="1"/>
  <c r="AD156" i="23"/>
  <c r="Y185" i="23"/>
  <c r="AA185" i="23" s="1"/>
  <c r="W167" i="23"/>
  <c r="Z167" i="23" s="1"/>
  <c r="AB167" i="23" s="1"/>
  <c r="Y153" i="23"/>
  <c r="AA153" i="23" s="1"/>
  <c r="Z150" i="23"/>
  <c r="AB150" i="23" s="1"/>
  <c r="Y152" i="23"/>
  <c r="AA152" i="23" s="1"/>
  <c r="W152" i="23"/>
  <c r="Z152" i="23" s="1"/>
  <c r="AB152" i="23" s="1"/>
  <c r="Y169" i="23"/>
  <c r="AA169" i="23" s="1"/>
  <c r="AD195" i="24"/>
  <c r="W183" i="24"/>
  <c r="Y163" i="24"/>
  <c r="AA163" i="24" s="1"/>
  <c r="W175" i="24"/>
  <c r="Z175" i="24" s="1"/>
  <c r="AB175" i="24" s="1"/>
  <c r="W187" i="24"/>
  <c r="Y150" i="24"/>
  <c r="AA150" i="24" s="1"/>
  <c r="Z178" i="23"/>
  <c r="AB178" i="23" s="1"/>
  <c r="Y188" i="23"/>
  <c r="AA188" i="23" s="1"/>
  <c r="W166" i="23"/>
  <c r="Z166" i="23" s="1"/>
  <c r="AB166" i="23" s="1"/>
  <c r="W146" i="23"/>
  <c r="Z146" i="23" s="1"/>
  <c r="AB146" i="23" s="1"/>
  <c r="Y182" i="23"/>
  <c r="AA182" i="23" s="1"/>
  <c r="Y165" i="23"/>
  <c r="AA165" i="23" s="1"/>
  <c r="Y144" i="23"/>
  <c r="AA144" i="23" s="1"/>
  <c r="Z186" i="23"/>
  <c r="AB186" i="23" s="1"/>
  <c r="AD184" i="23"/>
  <c r="Y140" i="23"/>
  <c r="AA140" i="23" s="1"/>
  <c r="AD155" i="23"/>
  <c r="Y184" i="23"/>
  <c r="AA184" i="23" s="1"/>
  <c r="Y172" i="23"/>
  <c r="AA172" i="23" s="1"/>
  <c r="Z137" i="23"/>
  <c r="AB137" i="23" s="1"/>
  <c r="AD190" i="23"/>
  <c r="Z169" i="23"/>
  <c r="AB169" i="23" s="1"/>
  <c r="AD157" i="23"/>
  <c r="Z174" i="23"/>
  <c r="AB174" i="23" s="1"/>
  <c r="Y180" i="23"/>
  <c r="AA180" i="23" s="1"/>
  <c r="Z184" i="23"/>
  <c r="AB184" i="23" s="1"/>
  <c r="W200" i="23"/>
  <c r="Z200" i="23" s="1"/>
  <c r="AB200" i="23" s="1"/>
  <c r="Y166" i="23"/>
  <c r="AA166" i="23" s="1"/>
  <c r="AD192" i="23"/>
  <c r="Y187" i="23"/>
  <c r="AA187" i="23" s="1"/>
  <c r="AD149" i="23"/>
  <c r="AD198" i="23"/>
  <c r="W176" i="23"/>
  <c r="Z176" i="23" s="1"/>
  <c r="AB176" i="23" s="1"/>
  <c r="Y159" i="23"/>
  <c r="AA159" i="23" s="1"/>
  <c r="AD169" i="23"/>
  <c r="AD195" i="23"/>
  <c r="Y186" i="23"/>
  <c r="AA186" i="23" s="1"/>
  <c r="Z190" i="23"/>
  <c r="AB190" i="23" s="1"/>
  <c r="AD189" i="23"/>
  <c r="W144" i="23"/>
  <c r="Z144" i="23" s="1"/>
  <c r="AB144" i="23" s="1"/>
  <c r="Z138" i="23"/>
  <c r="AB138" i="23" s="1"/>
  <c r="W194" i="23"/>
  <c r="Z194" i="23" s="1"/>
  <c r="AB194" i="23" s="1"/>
  <c r="W161" i="23"/>
  <c r="Z161" i="23" s="1"/>
  <c r="AB161" i="23" s="1"/>
  <c r="Z157" i="23"/>
  <c r="AB157" i="23" s="1"/>
  <c r="Y171" i="23"/>
  <c r="AA171" i="23" s="1"/>
  <c r="W160" i="23"/>
  <c r="Z160" i="23" s="1"/>
  <c r="AB160" i="23" s="1"/>
  <c r="Y179" i="23"/>
  <c r="AA179" i="23" s="1"/>
  <c r="Y142" i="23"/>
  <c r="AA142" i="23" s="1"/>
  <c r="Z181" i="23"/>
  <c r="AB181" i="23" s="1"/>
  <c r="W197" i="23"/>
  <c r="Z197" i="23" s="1"/>
  <c r="AB197" i="23" s="1"/>
  <c r="AD187" i="23"/>
  <c r="W168" i="23"/>
  <c r="Z168" i="23" s="1"/>
  <c r="AB168" i="23" s="1"/>
  <c r="Y151" i="23"/>
  <c r="AA151" i="23" s="1"/>
  <c r="Z141" i="23"/>
  <c r="AB141" i="23" s="1"/>
  <c r="AD177" i="23"/>
  <c r="Z155" i="23"/>
  <c r="AB155" i="23" s="1"/>
  <c r="Z189" i="23"/>
  <c r="AB189" i="23" s="1"/>
  <c r="W135" i="23"/>
  <c r="Z135" i="23" s="1"/>
  <c r="AB135" i="23" s="1"/>
  <c r="Y196" i="23"/>
  <c r="AA196" i="23" s="1"/>
  <c r="Y191" i="23"/>
  <c r="AA191" i="23" s="1"/>
  <c r="AD150" i="23"/>
  <c r="Y177" i="23"/>
  <c r="AA177" i="23" s="1"/>
  <c r="W159" i="23"/>
  <c r="Z159" i="23" s="1"/>
  <c r="AB159" i="23" s="1"/>
  <c r="W140" i="23"/>
  <c r="Z140" i="23" s="1"/>
  <c r="AB140" i="23" s="1"/>
  <c r="W191" i="23"/>
  <c r="Z191" i="23" s="1"/>
  <c r="AB191" i="23" s="1"/>
  <c r="Y167" i="23"/>
  <c r="AA167" i="23" s="1"/>
  <c r="W147" i="24"/>
  <c r="Z147" i="24" s="1"/>
  <c r="AB147" i="24" s="1"/>
  <c r="W135" i="24"/>
  <c r="W199" i="24"/>
  <c r="Z199" i="24" s="1"/>
  <c r="AB199" i="24" s="1"/>
  <c r="W182" i="24"/>
  <c r="Z182" i="24" s="1"/>
  <c r="AB182" i="24" s="1"/>
  <c r="W193" i="24"/>
  <c r="Z193" i="24" s="1"/>
  <c r="AB193" i="24" s="1"/>
  <c r="Y197" i="24"/>
  <c r="AA197" i="24" s="1"/>
  <c r="Y144" i="24"/>
  <c r="AA144" i="24" s="1"/>
  <c r="Y170" i="24"/>
  <c r="AA170" i="24" s="1"/>
  <c r="Y147" i="24"/>
  <c r="AA147" i="24" s="1"/>
  <c r="W136" i="24"/>
  <c r="Z136" i="24" s="1"/>
  <c r="AB136" i="24" s="1"/>
  <c r="AD191" i="24"/>
  <c r="Y186" i="24"/>
  <c r="AA186" i="24" s="1"/>
  <c r="AD151" i="24"/>
  <c r="Y140" i="24"/>
  <c r="AA140" i="24" s="1"/>
  <c r="W144" i="24"/>
  <c r="Z144" i="24" s="1"/>
  <c r="AB144" i="24" s="1"/>
  <c r="Z145" i="24"/>
  <c r="AB145" i="24" s="1"/>
  <c r="W189" i="24"/>
  <c r="Z189" i="24" s="1"/>
  <c r="AB189" i="24" s="1"/>
  <c r="Y145" i="24"/>
  <c r="AA145" i="24" s="1"/>
  <c r="AD166" i="24"/>
  <c r="AD156" i="24"/>
  <c r="Y156" i="24"/>
  <c r="AA156" i="24" s="1"/>
  <c r="Y191" i="24"/>
  <c r="AA191" i="24" s="1"/>
  <c r="Y195" i="24"/>
  <c r="AA195" i="24" s="1"/>
  <c r="Y190" i="24"/>
  <c r="AA190" i="24" s="1"/>
  <c r="Y143" i="24"/>
  <c r="AA143" i="24" s="1"/>
  <c r="Y179" i="24"/>
  <c r="AA179" i="24" s="1"/>
  <c r="Z174" i="24"/>
  <c r="AB174" i="24" s="1"/>
  <c r="W158" i="24"/>
  <c r="Z158" i="24" s="1"/>
  <c r="AB158" i="24" s="1"/>
  <c r="Y199" i="24"/>
  <c r="AA199" i="24" s="1"/>
  <c r="W143" i="24"/>
  <c r="Z143" i="24" s="1"/>
  <c r="AB143" i="24" s="1"/>
  <c r="AD137" i="24"/>
  <c r="Z148" i="23"/>
  <c r="AB148" i="23" s="1"/>
  <c r="Y183" i="23"/>
  <c r="AA183" i="23" s="1"/>
  <c r="Y161" i="23"/>
  <c r="AA161" i="23" s="1"/>
  <c r="Y175" i="24"/>
  <c r="AA175" i="24" s="1"/>
  <c r="Y158" i="24"/>
  <c r="AA158" i="24" s="1"/>
  <c r="AD147" i="23"/>
  <c r="AD143" i="23"/>
  <c r="Y135" i="23"/>
  <c r="AA135" i="23" s="1"/>
  <c r="Y197" i="23"/>
  <c r="AA197" i="23" s="1"/>
  <c r="W179" i="23"/>
  <c r="Z179" i="23" s="1"/>
  <c r="AB179" i="23" s="1"/>
  <c r="W172" i="23"/>
  <c r="Z172" i="23" s="1"/>
  <c r="AB172" i="23" s="1"/>
  <c r="Y168" i="23"/>
  <c r="AA168" i="23" s="1"/>
  <c r="W165" i="23"/>
  <c r="Z165" i="23" s="1"/>
  <c r="AB165" i="23" s="1"/>
  <c r="W158" i="23"/>
  <c r="Z158" i="23" s="1"/>
  <c r="AB158" i="23" s="1"/>
  <c r="Z154" i="23"/>
  <c r="AB154" i="23" s="1"/>
  <c r="W197" i="24"/>
  <c r="Z197" i="24" s="1"/>
  <c r="AB197" i="24" s="1"/>
  <c r="W179" i="24"/>
  <c r="Z179" i="24" s="1"/>
  <c r="AB179" i="24" s="1"/>
  <c r="Y136" i="24"/>
  <c r="AA136" i="24" s="1"/>
  <c r="Y143" i="23"/>
  <c r="AA143" i="23" s="1"/>
  <c r="AD182" i="23"/>
  <c r="AD174" i="24"/>
  <c r="W170" i="24"/>
  <c r="Z170" i="24" s="1"/>
  <c r="AB170" i="24" s="1"/>
  <c r="Y148" i="24"/>
  <c r="AA148" i="24" s="1"/>
  <c r="Y193" i="23"/>
  <c r="AA193" i="23" s="1"/>
  <c r="Y189" i="23"/>
  <c r="AA189" i="23" s="1"/>
  <c r="Y175" i="23"/>
  <c r="AA175" i="23" s="1"/>
  <c r="W171" i="23"/>
  <c r="Z171" i="23" s="1"/>
  <c r="AB171" i="23" s="1"/>
  <c r="Y164" i="23"/>
  <c r="AA164" i="23" s="1"/>
  <c r="Y157" i="23"/>
  <c r="AA157" i="23" s="1"/>
  <c r="W178" i="24"/>
  <c r="Z178" i="24" s="1"/>
  <c r="AB178" i="24" s="1"/>
  <c r="Z191" i="24"/>
  <c r="AB191" i="24" s="1"/>
  <c r="Y174" i="24"/>
  <c r="AA174" i="24" s="1"/>
  <c r="W193" i="23"/>
  <c r="Z193" i="23" s="1"/>
  <c r="AB193" i="23" s="1"/>
  <c r="W182" i="23"/>
  <c r="Z182" i="23" s="1"/>
  <c r="AB182" i="23" s="1"/>
  <c r="W175" i="23"/>
  <c r="Z175" i="23" s="1"/>
  <c r="AB175" i="23" s="1"/>
  <c r="W165" i="24"/>
  <c r="Z165" i="24" s="1"/>
  <c r="AB165" i="24" s="1"/>
  <c r="Y150" i="23"/>
  <c r="AA150" i="23" s="1"/>
  <c r="Y200" i="23"/>
  <c r="AA200" i="23" s="1"/>
  <c r="W196" i="23"/>
  <c r="Z196" i="23" s="1"/>
  <c r="AB196" i="23" s="1"/>
  <c r="Z177" i="23"/>
  <c r="AB177" i="23" s="1"/>
  <c r="Z170" i="23"/>
  <c r="AB170" i="23" s="1"/>
  <c r="W142" i="23"/>
  <c r="Z142" i="23" s="1"/>
  <c r="AB142" i="23" s="1"/>
  <c r="W185" i="23"/>
  <c r="Z185" i="23" s="1"/>
  <c r="AB185" i="23" s="1"/>
  <c r="Z163" i="23"/>
  <c r="AB163" i="23" s="1"/>
  <c r="Z199" i="23"/>
  <c r="AB199" i="23" s="1"/>
  <c r="Z192" i="23"/>
  <c r="AB192" i="23" s="1"/>
  <c r="Y174" i="23"/>
  <c r="AA174" i="23" s="1"/>
  <c r="Y163" i="23"/>
  <c r="AA163" i="23" s="1"/>
  <c r="Y199" i="23"/>
  <c r="AA199" i="23" s="1"/>
  <c r="Y192" i="23"/>
  <c r="AA192" i="23" s="1"/>
  <c r="W181" i="24"/>
  <c r="Z181" i="24" s="1"/>
  <c r="AB181" i="24" s="1"/>
  <c r="AD145" i="24"/>
  <c r="Z145" i="23"/>
  <c r="AB145" i="23" s="1"/>
  <c r="AD140" i="23"/>
  <c r="Z195" i="23"/>
  <c r="AB195" i="23" s="1"/>
  <c r="Z173" i="23"/>
  <c r="AB173" i="23" s="1"/>
  <c r="Z162" i="23"/>
  <c r="AB162" i="23" s="1"/>
  <c r="Z190" i="24"/>
  <c r="AB190" i="24" s="1"/>
  <c r="W142" i="24"/>
  <c r="Y145" i="23"/>
  <c r="AA145" i="23" s="1"/>
  <c r="Y136" i="23"/>
  <c r="AA136" i="23" s="1"/>
  <c r="Y198" i="23"/>
  <c r="AA198" i="23" s="1"/>
  <c r="Y173" i="23"/>
  <c r="AA173" i="23" s="1"/>
  <c r="W198" i="24"/>
  <c r="Z198" i="24" s="1"/>
  <c r="AB198" i="24" s="1"/>
  <c r="Y167" i="24"/>
  <c r="AA167" i="24" s="1"/>
  <c r="Y137" i="24"/>
  <c r="AA137" i="24" s="1"/>
  <c r="Z139" i="23"/>
  <c r="AB139" i="23" s="1"/>
  <c r="Y176" i="23"/>
  <c r="AA176" i="23" s="1"/>
  <c r="Y189" i="24"/>
  <c r="AA189" i="24" s="1"/>
  <c r="Z136" i="23"/>
  <c r="AB136" i="23" s="1"/>
  <c r="Z198" i="23"/>
  <c r="AB198" i="23" s="1"/>
  <c r="Y194" i="23"/>
  <c r="AA194" i="23" s="1"/>
  <c r="Z187" i="23"/>
  <c r="AB187" i="23" s="1"/>
  <c r="AD154" i="23"/>
  <c r="W167" i="24"/>
  <c r="Z167" i="24" s="1"/>
  <c r="AB167" i="24" s="1"/>
  <c r="Z137" i="24"/>
  <c r="AB137" i="24" s="1"/>
  <c r="Z196" i="24"/>
  <c r="AB196" i="24" s="1"/>
  <c r="Y151" i="24"/>
  <c r="AA151" i="24" s="1"/>
  <c r="Y171" i="24"/>
  <c r="AA171" i="24" s="1"/>
  <c r="Y183" i="24"/>
  <c r="AA183" i="24" s="1"/>
  <c r="Z162" i="24"/>
  <c r="AB162" i="24" s="1"/>
  <c r="Z166" i="24"/>
  <c r="AB166" i="24" s="1"/>
  <c r="Y166" i="24"/>
  <c r="AA166" i="24" s="1"/>
  <c r="Z146" i="24"/>
  <c r="AB146" i="24" s="1"/>
  <c r="Y187" i="24"/>
  <c r="AA187" i="24" s="1"/>
  <c r="AD148" i="24"/>
  <c r="Y141" i="24"/>
  <c r="AA141" i="24" s="1"/>
  <c r="W186" i="24"/>
  <c r="Z186" i="24" s="1"/>
  <c r="AB186" i="24" s="1"/>
  <c r="Y165" i="24"/>
  <c r="AA165" i="24" s="1"/>
  <c r="AD140" i="24"/>
  <c r="Y192" i="24"/>
  <c r="AA192" i="24" s="1"/>
  <c r="Y181" i="24"/>
  <c r="AA181" i="24" s="1"/>
  <c r="W157" i="24"/>
  <c r="Z157" i="24" s="1"/>
  <c r="AB157" i="24" s="1"/>
  <c r="Z164" i="24"/>
  <c r="AB164" i="24" s="1"/>
  <c r="Z188" i="24"/>
  <c r="AB188" i="24" s="1"/>
  <c r="Y177" i="24"/>
  <c r="AA177" i="24" s="1"/>
  <c r="Z152" i="24"/>
  <c r="AB152" i="24" s="1"/>
  <c r="Y188" i="24"/>
  <c r="AA188" i="24" s="1"/>
  <c r="Y184" i="24"/>
  <c r="AA184" i="24" s="1"/>
  <c r="Z142" i="24"/>
  <c r="AB142" i="24" s="1"/>
  <c r="Z138" i="24"/>
  <c r="AB138" i="24" s="1"/>
  <c r="Y138" i="24"/>
  <c r="AA138" i="24" s="1"/>
  <c r="Y194" i="24"/>
  <c r="AA194" i="24" s="1"/>
  <c r="Z176" i="24"/>
  <c r="AB176" i="24" s="1"/>
  <c r="Z180" i="24"/>
  <c r="AB180" i="24" s="1"/>
  <c r="Y176" i="24"/>
  <c r="AA176" i="24" s="1"/>
  <c r="Y173" i="24"/>
  <c r="AA173" i="24" s="1"/>
  <c r="W194" i="24"/>
  <c r="Z194" i="24" s="1"/>
  <c r="AB194" i="24" s="1"/>
  <c r="W169" i="24"/>
  <c r="Z169" i="24" s="1"/>
  <c r="AB169" i="24" s="1"/>
  <c r="Y162" i="24"/>
  <c r="AA162" i="24" s="1"/>
  <c r="W141" i="24"/>
  <c r="Z141" i="24" s="1"/>
  <c r="AB141" i="24" s="1"/>
  <c r="Y160" i="24"/>
  <c r="AA160" i="24" s="1"/>
  <c r="Y149" i="24"/>
  <c r="AA149" i="24" s="1"/>
  <c r="Z184" i="24"/>
  <c r="AB184" i="24" s="1"/>
  <c r="Z200" i="24"/>
  <c r="AB200" i="24" s="1"/>
  <c r="Y168" i="24"/>
  <c r="AA168" i="24" s="1"/>
  <c r="Y200" i="24"/>
  <c r="AA200" i="24" s="1"/>
  <c r="AD171" i="24"/>
  <c r="Y182" i="24"/>
  <c r="AA182" i="24" s="1"/>
  <c r="Y161" i="24"/>
  <c r="AA161" i="24" s="1"/>
  <c r="W150" i="24"/>
  <c r="Z150" i="24" s="1"/>
  <c r="AB150" i="24" s="1"/>
  <c r="Z185" i="24"/>
  <c r="AB185" i="24" s="1"/>
  <c r="Z160" i="24"/>
  <c r="AB160" i="24" s="1"/>
  <c r="Y185" i="24"/>
  <c r="AA185" i="24" s="1"/>
  <c r="Z153" i="24"/>
  <c r="AB153" i="24" s="1"/>
  <c r="Z177" i="24"/>
  <c r="AB177" i="24" s="1"/>
  <c r="Z168" i="24"/>
  <c r="AB168" i="24" s="1"/>
  <c r="Z172" i="24"/>
  <c r="AB172" i="24" s="1"/>
  <c r="Z161" i="24"/>
  <c r="AB161" i="24" s="1"/>
  <c r="Y154" i="24"/>
  <c r="AA154" i="24" s="1"/>
  <c r="W192" i="24"/>
  <c r="Z192" i="24" s="1"/>
  <c r="AB192" i="24" s="1"/>
  <c r="Y178" i="24"/>
  <c r="AA178" i="24" s="1"/>
  <c r="AD160" i="24"/>
  <c r="Y157" i="24"/>
  <c r="AA157" i="24" s="1"/>
  <c r="W154" i="24"/>
  <c r="Z154" i="24" s="1"/>
  <c r="AB154" i="24" s="1"/>
  <c r="Y146" i="24"/>
  <c r="AA146" i="24" s="1"/>
  <c r="AD192" i="24"/>
  <c r="AD176" i="24"/>
  <c r="Z139" i="24"/>
  <c r="AB139" i="24" s="1"/>
  <c r="AD184" i="24"/>
  <c r="AD141" i="24"/>
  <c r="AD149" i="24"/>
  <c r="AD152" i="24"/>
  <c r="AD168" i="24"/>
  <c r="AD200" i="24"/>
  <c r="Z155" i="24"/>
  <c r="AB155" i="24" s="1"/>
  <c r="AD138" i="24"/>
  <c r="Z195" i="24"/>
  <c r="AB195" i="24" s="1"/>
  <c r="Z171" i="24"/>
  <c r="AB171" i="24" s="1"/>
  <c r="Z163" i="24"/>
  <c r="AB163" i="24" s="1"/>
  <c r="AD146" i="24"/>
  <c r="Z187" i="24"/>
  <c r="AB187" i="24" s="1"/>
  <c r="Y152" i="24"/>
  <c r="AA152" i="24" s="1"/>
  <c r="Z173" i="24"/>
  <c r="AB173" i="24" s="1"/>
  <c r="AD153" i="24"/>
  <c r="AD180" i="24"/>
  <c r="AD177" i="24"/>
  <c r="AD161" i="24"/>
  <c r="AD188" i="24"/>
  <c r="AD164" i="24"/>
  <c r="Y180" i="24"/>
  <c r="AA180" i="24" s="1"/>
  <c r="Y193" i="24"/>
  <c r="AA193" i="24" s="1"/>
  <c r="Y169" i="24"/>
  <c r="AA169" i="24" s="1"/>
  <c r="Z156" i="24"/>
  <c r="AB156" i="24" s="1"/>
  <c r="Z149" i="24"/>
  <c r="AB149" i="24" s="1"/>
  <c r="Z135" i="24"/>
  <c r="AB135" i="24" s="1"/>
  <c r="AD196" i="24"/>
  <c r="AD185" i="24"/>
  <c r="AD172" i="24"/>
  <c r="Z151" i="24"/>
  <c r="AB151" i="24" s="1"/>
  <c r="Z159" i="24"/>
  <c r="AB159" i="24" s="1"/>
  <c r="Z140" i="24"/>
  <c r="AB140" i="24" s="1"/>
  <c r="Y196" i="24"/>
  <c r="AA196" i="24" s="1"/>
  <c r="Z183" i="24"/>
  <c r="AB183" i="24" s="1"/>
  <c r="Y172" i="24"/>
  <c r="AA172" i="24" s="1"/>
  <c r="Y164" i="24"/>
  <c r="AA164" i="24" s="1"/>
  <c r="Y153" i="24"/>
  <c r="AA153" i="24" s="1"/>
  <c r="Z148" i="24"/>
  <c r="AB148" i="24" s="1"/>
  <c r="Z151" i="23"/>
  <c r="AB151" i="23" s="1"/>
  <c r="Z149" i="23"/>
  <c r="AB149" i="23" s="1"/>
  <c r="Z164" i="23"/>
  <c r="AB164" i="23" s="1"/>
  <c r="AD139" i="23"/>
  <c r="AD179" i="23"/>
  <c r="AD171" i="23"/>
  <c r="AD163" i="23"/>
  <c r="Y148" i="23"/>
  <c r="AA148" i="23" s="1"/>
  <c r="AD142" i="23"/>
  <c r="Y139" i="23"/>
  <c r="AA139" i="23" s="1"/>
  <c r="AD136" i="23"/>
  <c r="Y190" i="23"/>
  <c r="AA190" i="23" s="1"/>
  <c r="Y155" i="23"/>
  <c r="AA155" i="23" s="1"/>
  <c r="Z180" i="23"/>
  <c r="AB180" i="23" s="1"/>
  <c r="AD145" i="23"/>
  <c r="Y158" i="23"/>
  <c r="AA158" i="23" s="1"/>
  <c r="AD148" i="23"/>
  <c r="Z143" i="23"/>
  <c r="AB143" i="23" s="1"/>
  <c r="AD174" i="23"/>
  <c r="AD138" i="23"/>
  <c r="AD141" i="23"/>
  <c r="AD173" i="23"/>
  <c r="Y154" i="23"/>
  <c r="AA154" i="23" s="1"/>
  <c r="AD151" i="23"/>
  <c r="Z188" i="23"/>
  <c r="AB188" i="23" s="1"/>
  <c r="Z156" i="23"/>
  <c r="AB156" i="23" s="1"/>
  <c r="AD144" i="23"/>
  <c r="AD199" i="23"/>
  <c r="AD181" i="23"/>
  <c r="AD178" i="23"/>
  <c r="AD170" i="23"/>
  <c r="AD162" i="23"/>
  <c r="AD165" i="23"/>
  <c r="Z147" i="23"/>
  <c r="AB147" i="23" s="1"/>
  <c r="Y138" i="23"/>
  <c r="AA138" i="23" s="1"/>
  <c r="Y178" i="23"/>
  <c r="AA178" i="23" s="1"/>
  <c r="Y162" i="23"/>
  <c r="AA162" i="23" s="1"/>
  <c r="Y141" i="23"/>
  <c r="AA141" i="23" s="1"/>
  <c r="Y181" i="23"/>
  <c r="AA181" i="23" s="1"/>
  <c r="Y170" i="23"/>
  <c r="AA170" i="23" s="1"/>
  <c r="X11" i="24"/>
  <c r="X12" i="24"/>
  <c r="X13" i="24"/>
  <c r="X14" i="24"/>
  <c r="X15" i="24"/>
  <c r="X16" i="24"/>
  <c r="X17" i="24"/>
  <c r="X18" i="24"/>
  <c r="X19" i="24"/>
  <c r="X20" i="24"/>
  <c r="X21" i="24"/>
  <c r="X22" i="24"/>
  <c r="X23" i="24"/>
  <c r="X24" i="24"/>
  <c r="X25" i="24"/>
  <c r="X26" i="24"/>
  <c r="X27" i="24"/>
  <c r="X28" i="24"/>
  <c r="X29" i="24"/>
  <c r="X30" i="24"/>
  <c r="X31" i="24"/>
  <c r="X32" i="24"/>
  <c r="X33" i="24"/>
  <c r="X34" i="24"/>
  <c r="X35" i="24"/>
  <c r="X36" i="24"/>
  <c r="X37" i="24"/>
  <c r="X38" i="24"/>
  <c r="X39" i="24"/>
  <c r="X40" i="24"/>
  <c r="X41" i="24"/>
  <c r="X42" i="24"/>
  <c r="X43" i="24"/>
  <c r="X44" i="24"/>
  <c r="X45" i="24"/>
  <c r="X46" i="24"/>
  <c r="X47" i="24"/>
  <c r="X48" i="24"/>
  <c r="X49" i="24"/>
  <c r="X50"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X89" i="24"/>
  <c r="X90" i="24"/>
  <c r="X91" i="24"/>
  <c r="X92" i="24"/>
  <c r="X93" i="24"/>
  <c r="X94" i="24"/>
  <c r="X95" i="24"/>
  <c r="X96" i="24"/>
  <c r="X97" i="24"/>
  <c r="X98" i="24"/>
  <c r="X99" i="24"/>
  <c r="X100" i="24"/>
  <c r="X101" i="24"/>
  <c r="X102" i="24"/>
  <c r="X103" i="24"/>
  <c r="X104" i="24"/>
  <c r="X105" i="24"/>
  <c r="X106" i="24"/>
  <c r="X107" i="24"/>
  <c r="X108" i="24"/>
  <c r="X109" i="24"/>
  <c r="X110" i="24"/>
  <c r="X111" i="24"/>
  <c r="X112" i="24"/>
  <c r="X113" i="24"/>
  <c r="X114" i="24"/>
  <c r="X115" i="24"/>
  <c r="X116" i="24"/>
  <c r="X117" i="24"/>
  <c r="X118" i="24"/>
  <c r="X119" i="24"/>
  <c r="X120" i="24"/>
  <c r="X121" i="24"/>
  <c r="Y121" i="24" s="1"/>
  <c r="AA121" i="24" s="1"/>
  <c r="X122" i="24"/>
  <c r="X123" i="24"/>
  <c r="X124" i="24"/>
  <c r="X125" i="24"/>
  <c r="X126" i="24"/>
  <c r="X127" i="24"/>
  <c r="X128" i="24"/>
  <c r="X129" i="24"/>
  <c r="X130" i="24"/>
  <c r="X131" i="24"/>
  <c r="X132" i="24"/>
  <c r="X133" i="24"/>
  <c r="X134" i="24"/>
  <c r="X11" i="23"/>
  <c r="V11" i="23"/>
  <c r="AD11" i="23" s="1"/>
  <c r="V12" i="23"/>
  <c r="AD12" i="23" s="1"/>
  <c r="V13" i="23"/>
  <c r="AD13" i="23" s="1"/>
  <c r="V14" i="23"/>
  <c r="AD14" i="23" s="1"/>
  <c r="V15" i="23"/>
  <c r="AD15" i="23" s="1"/>
  <c r="V16" i="23"/>
  <c r="AD16" i="23" s="1"/>
  <c r="V17" i="23"/>
  <c r="AD17" i="23" s="1"/>
  <c r="V18" i="23"/>
  <c r="AD18" i="23" s="1"/>
  <c r="V19" i="23"/>
  <c r="AD19" i="23" s="1"/>
  <c r="V20" i="23"/>
  <c r="AD20" i="23" s="1"/>
  <c r="V21" i="23"/>
  <c r="AD21" i="23" s="1"/>
  <c r="V22" i="23"/>
  <c r="AD22" i="23" s="1"/>
  <c r="V23" i="23"/>
  <c r="AD23" i="23" s="1"/>
  <c r="V24" i="23"/>
  <c r="AD24" i="23" s="1"/>
  <c r="V25" i="23"/>
  <c r="AD25" i="23" s="1"/>
  <c r="V26" i="23"/>
  <c r="AD26" i="23" s="1"/>
  <c r="V27" i="23"/>
  <c r="AD27" i="23" s="1"/>
  <c r="V28" i="23"/>
  <c r="AD28" i="23" s="1"/>
  <c r="V29" i="23"/>
  <c r="AD29" i="23" s="1"/>
  <c r="V30" i="23"/>
  <c r="AD30" i="23" s="1"/>
  <c r="V31" i="23"/>
  <c r="AD31" i="23" s="1"/>
  <c r="V32" i="23"/>
  <c r="AD32" i="23" s="1"/>
  <c r="V33" i="23"/>
  <c r="AD33" i="23" s="1"/>
  <c r="V34" i="23"/>
  <c r="AD34" i="23" s="1"/>
  <c r="V35" i="23"/>
  <c r="AD35" i="23" s="1"/>
  <c r="V36" i="23"/>
  <c r="AD36" i="23" s="1"/>
  <c r="V37" i="23"/>
  <c r="AD37" i="23" s="1"/>
  <c r="V38" i="23"/>
  <c r="AD38" i="23" s="1"/>
  <c r="V39" i="23"/>
  <c r="AD39" i="23" s="1"/>
  <c r="V40" i="23"/>
  <c r="AD40" i="23" s="1"/>
  <c r="V41" i="23"/>
  <c r="AD41" i="23" s="1"/>
  <c r="V42" i="23"/>
  <c r="AD42" i="23" s="1"/>
  <c r="V43" i="23"/>
  <c r="AD43" i="23" s="1"/>
  <c r="V44" i="23"/>
  <c r="AD44" i="23" s="1"/>
  <c r="V45" i="23"/>
  <c r="AD45" i="23" s="1"/>
  <c r="V46" i="23"/>
  <c r="AD46" i="23" s="1"/>
  <c r="V47" i="23"/>
  <c r="AD47" i="23" s="1"/>
  <c r="V48" i="23"/>
  <c r="AD48" i="23" s="1"/>
  <c r="V49" i="23"/>
  <c r="AD49" i="23" s="1"/>
  <c r="V50" i="23"/>
  <c r="AD50" i="23" s="1"/>
  <c r="V51" i="23"/>
  <c r="AD51" i="23" s="1"/>
  <c r="V52" i="23"/>
  <c r="AD52" i="23" s="1"/>
  <c r="V53" i="23"/>
  <c r="AD53" i="23" s="1"/>
  <c r="V54" i="23"/>
  <c r="AD54" i="23" s="1"/>
  <c r="V55" i="23"/>
  <c r="AD55" i="23" s="1"/>
  <c r="V56" i="23"/>
  <c r="AD56" i="23" s="1"/>
  <c r="V57" i="23"/>
  <c r="AD57" i="23" s="1"/>
  <c r="V58" i="23"/>
  <c r="AD58" i="23" s="1"/>
  <c r="V59" i="23"/>
  <c r="AD59" i="23" s="1"/>
  <c r="V60" i="23"/>
  <c r="AD60" i="23" s="1"/>
  <c r="V61" i="23"/>
  <c r="AD61" i="23" s="1"/>
  <c r="V62" i="23"/>
  <c r="AD62" i="23" s="1"/>
  <c r="V63" i="23"/>
  <c r="AD63" i="23" s="1"/>
  <c r="V64" i="23"/>
  <c r="AD64" i="23" s="1"/>
  <c r="V65" i="23"/>
  <c r="AD65" i="23" s="1"/>
  <c r="V66" i="23"/>
  <c r="AD66" i="23" s="1"/>
  <c r="V67" i="23"/>
  <c r="AD67" i="23" s="1"/>
  <c r="V68" i="23"/>
  <c r="AD68" i="23" s="1"/>
  <c r="V69" i="23"/>
  <c r="AD69" i="23" s="1"/>
  <c r="V70" i="23"/>
  <c r="AD70" i="23" s="1"/>
  <c r="V71" i="23"/>
  <c r="AD71" i="23" s="1"/>
  <c r="V72" i="23"/>
  <c r="AD72" i="23" s="1"/>
  <c r="V73" i="23"/>
  <c r="AD73" i="23" s="1"/>
  <c r="V74" i="23"/>
  <c r="AD74" i="23" s="1"/>
  <c r="V75" i="23"/>
  <c r="AD75" i="23" s="1"/>
  <c r="V76" i="23"/>
  <c r="AD76" i="23" s="1"/>
  <c r="V77" i="23"/>
  <c r="AD77" i="23" s="1"/>
  <c r="V78" i="23"/>
  <c r="AD78" i="23" s="1"/>
  <c r="V79" i="23"/>
  <c r="AD79" i="23" s="1"/>
  <c r="V80" i="23"/>
  <c r="AD80" i="23" s="1"/>
  <c r="V81" i="23"/>
  <c r="AD81" i="23" s="1"/>
  <c r="V82" i="23"/>
  <c r="AD82" i="23" s="1"/>
  <c r="V83" i="23"/>
  <c r="AD83" i="23" s="1"/>
  <c r="V84" i="23"/>
  <c r="AD84" i="23" s="1"/>
  <c r="V85" i="23"/>
  <c r="AD85" i="23" s="1"/>
  <c r="V86" i="23"/>
  <c r="AD86" i="23" s="1"/>
  <c r="V87" i="23"/>
  <c r="AD87" i="23" s="1"/>
  <c r="V88" i="23"/>
  <c r="AD88" i="23" s="1"/>
  <c r="V89" i="23"/>
  <c r="AD89" i="23" s="1"/>
  <c r="V90" i="23"/>
  <c r="AD90" i="23" s="1"/>
  <c r="V91" i="23"/>
  <c r="AD91" i="23" s="1"/>
  <c r="V92" i="23"/>
  <c r="AD92" i="23" s="1"/>
  <c r="V93" i="23"/>
  <c r="AD93" i="23" s="1"/>
  <c r="V94" i="23"/>
  <c r="AD94" i="23" s="1"/>
  <c r="V95" i="23"/>
  <c r="AD95" i="23" s="1"/>
  <c r="V96" i="23"/>
  <c r="AD96" i="23" s="1"/>
  <c r="V97" i="23"/>
  <c r="AD97" i="23" s="1"/>
  <c r="V98" i="23"/>
  <c r="AD98" i="23" s="1"/>
  <c r="V99" i="23"/>
  <c r="AD99" i="23" s="1"/>
  <c r="V100" i="23"/>
  <c r="AD100" i="23" s="1"/>
  <c r="V101" i="23"/>
  <c r="AD101" i="23" s="1"/>
  <c r="V102" i="23"/>
  <c r="AD102" i="23" s="1"/>
  <c r="V103" i="23"/>
  <c r="AD103" i="23" s="1"/>
  <c r="V104" i="23"/>
  <c r="AD104" i="23" s="1"/>
  <c r="V105" i="23"/>
  <c r="AD105" i="23" s="1"/>
  <c r="V106" i="23"/>
  <c r="AD106" i="23" s="1"/>
  <c r="V107" i="23"/>
  <c r="AD107" i="23" s="1"/>
  <c r="V108" i="23"/>
  <c r="AD108" i="23" s="1"/>
  <c r="V109" i="23"/>
  <c r="AD109" i="23" s="1"/>
  <c r="V110" i="23"/>
  <c r="AD110" i="23" s="1"/>
  <c r="V111" i="23"/>
  <c r="AD111" i="23" s="1"/>
  <c r="V112" i="23"/>
  <c r="AD112" i="23" s="1"/>
  <c r="V113" i="23"/>
  <c r="AD113" i="23" s="1"/>
  <c r="V114" i="23"/>
  <c r="AD114" i="23" s="1"/>
  <c r="V115" i="23"/>
  <c r="AD115" i="23" s="1"/>
  <c r="V116" i="23"/>
  <c r="AD116" i="23" s="1"/>
  <c r="V117" i="23"/>
  <c r="AD117" i="23" s="1"/>
  <c r="V118" i="23"/>
  <c r="AD118" i="23" s="1"/>
  <c r="V119" i="23"/>
  <c r="AD119" i="23" s="1"/>
  <c r="V120" i="23"/>
  <c r="AD120" i="23" s="1"/>
  <c r="V121" i="23"/>
  <c r="AD121" i="23" s="1"/>
  <c r="V122" i="23"/>
  <c r="AD122" i="23" s="1"/>
  <c r="V123" i="23"/>
  <c r="AD123" i="23" s="1"/>
  <c r="V124" i="23"/>
  <c r="AD124" i="23" s="1"/>
  <c r="V125" i="23"/>
  <c r="AD125" i="23" s="1"/>
  <c r="V126" i="23"/>
  <c r="AD126" i="23" s="1"/>
  <c r="V127" i="23"/>
  <c r="AD127" i="23" s="1"/>
  <c r="V128" i="23"/>
  <c r="AD128" i="23" s="1"/>
  <c r="V129" i="23"/>
  <c r="AD129" i="23" s="1"/>
  <c r="V130" i="23"/>
  <c r="AD130" i="23" s="1"/>
  <c r="V131" i="23"/>
  <c r="AD131" i="23" s="1"/>
  <c r="V132" i="23"/>
  <c r="AD132" i="23" s="1"/>
  <c r="V133" i="23"/>
  <c r="AD133" i="23" s="1"/>
  <c r="V134" i="23"/>
  <c r="AD134" i="23" s="1"/>
  <c r="D11" i="31"/>
  <c r="D12" i="31"/>
  <c r="D14" i="31"/>
  <c r="D15" i="31"/>
  <c r="D16" i="31"/>
  <c r="D17" i="31"/>
  <c r="D11" i="30"/>
  <c r="D12" i="30"/>
  <c r="D13" i="30"/>
  <c r="D14" i="30"/>
  <c r="D15" i="30"/>
  <c r="D16" i="30"/>
  <c r="D17" i="30"/>
  <c r="V11" i="24"/>
  <c r="AD11" i="24" s="1"/>
  <c r="W121" i="24"/>
  <c r="V12" i="24"/>
  <c r="AD12" i="24" s="1"/>
  <c r="V13" i="24"/>
  <c r="AD13" i="24" s="1"/>
  <c r="V14" i="24"/>
  <c r="AD14" i="24" s="1"/>
  <c r="V15" i="24"/>
  <c r="AD15" i="24" s="1"/>
  <c r="V16" i="24"/>
  <c r="AD16" i="24" s="1"/>
  <c r="V17" i="24"/>
  <c r="AD17" i="24" s="1"/>
  <c r="V18" i="24"/>
  <c r="AD18" i="24" s="1"/>
  <c r="V19" i="24"/>
  <c r="AD19" i="24" s="1"/>
  <c r="V20" i="24"/>
  <c r="AD20" i="24" s="1"/>
  <c r="V21" i="24"/>
  <c r="AD21" i="24" s="1"/>
  <c r="V22" i="24"/>
  <c r="AD22" i="24" s="1"/>
  <c r="V23" i="24"/>
  <c r="AD23" i="24" s="1"/>
  <c r="V24" i="24"/>
  <c r="AD24" i="24" s="1"/>
  <c r="V25" i="24"/>
  <c r="AD25" i="24" s="1"/>
  <c r="V26" i="24"/>
  <c r="AD26" i="24" s="1"/>
  <c r="V27" i="24"/>
  <c r="AD27" i="24" s="1"/>
  <c r="V28" i="24"/>
  <c r="AD28" i="24" s="1"/>
  <c r="V29" i="24"/>
  <c r="AD29" i="24" s="1"/>
  <c r="V30" i="24"/>
  <c r="AD30" i="24" s="1"/>
  <c r="V31" i="24"/>
  <c r="AD31" i="24" s="1"/>
  <c r="V32" i="24"/>
  <c r="AD32" i="24" s="1"/>
  <c r="V33" i="24"/>
  <c r="AD33" i="24" s="1"/>
  <c r="V34" i="24"/>
  <c r="AD34" i="24" s="1"/>
  <c r="V35" i="24"/>
  <c r="AD35" i="24" s="1"/>
  <c r="V36" i="24"/>
  <c r="AD36" i="24" s="1"/>
  <c r="V37" i="24"/>
  <c r="AD37" i="24" s="1"/>
  <c r="V38" i="24"/>
  <c r="AD38" i="24" s="1"/>
  <c r="V39" i="24"/>
  <c r="AD39" i="24" s="1"/>
  <c r="V40" i="24"/>
  <c r="AD40" i="24" s="1"/>
  <c r="V41" i="24"/>
  <c r="AD41" i="24" s="1"/>
  <c r="V42" i="24"/>
  <c r="AD42" i="24" s="1"/>
  <c r="V43" i="24"/>
  <c r="AD43" i="24" s="1"/>
  <c r="V44" i="24"/>
  <c r="AD44" i="24" s="1"/>
  <c r="V45" i="24"/>
  <c r="AD45" i="24" s="1"/>
  <c r="V46" i="24"/>
  <c r="AD46" i="24" s="1"/>
  <c r="V47" i="24"/>
  <c r="AD47" i="24" s="1"/>
  <c r="V48" i="24"/>
  <c r="AD48" i="24" s="1"/>
  <c r="V49" i="24"/>
  <c r="AD49" i="24" s="1"/>
  <c r="V50" i="24"/>
  <c r="AD50" i="24" s="1"/>
  <c r="V51" i="24"/>
  <c r="AD51" i="24" s="1"/>
  <c r="V52" i="24"/>
  <c r="AD52" i="24" s="1"/>
  <c r="V53" i="24"/>
  <c r="AD53" i="24" s="1"/>
  <c r="V54" i="24"/>
  <c r="AD54" i="24" s="1"/>
  <c r="V55" i="24"/>
  <c r="AD55" i="24" s="1"/>
  <c r="V56" i="24"/>
  <c r="AD56" i="24" s="1"/>
  <c r="V57" i="24"/>
  <c r="AD57" i="24" s="1"/>
  <c r="V58" i="24"/>
  <c r="AD58" i="24" s="1"/>
  <c r="V59" i="24"/>
  <c r="AD59" i="24" s="1"/>
  <c r="V60" i="24"/>
  <c r="AD60" i="24" s="1"/>
  <c r="V61" i="24"/>
  <c r="AD61" i="24" s="1"/>
  <c r="V62" i="24"/>
  <c r="AD62" i="24" s="1"/>
  <c r="V63" i="24"/>
  <c r="AD63" i="24" s="1"/>
  <c r="V64" i="24"/>
  <c r="AD64" i="24" s="1"/>
  <c r="V65" i="24"/>
  <c r="AD65" i="24" s="1"/>
  <c r="V66" i="24"/>
  <c r="AD66" i="24" s="1"/>
  <c r="V67" i="24"/>
  <c r="AD67" i="24" s="1"/>
  <c r="V68" i="24"/>
  <c r="AD68" i="24" s="1"/>
  <c r="V69" i="24"/>
  <c r="AD69" i="24" s="1"/>
  <c r="V70" i="24"/>
  <c r="AD70" i="24" s="1"/>
  <c r="V71" i="24"/>
  <c r="AD71" i="24" s="1"/>
  <c r="V72" i="24"/>
  <c r="AD72" i="24" s="1"/>
  <c r="V73" i="24"/>
  <c r="AD73" i="24" s="1"/>
  <c r="V74" i="24"/>
  <c r="AD74" i="24" s="1"/>
  <c r="V75" i="24"/>
  <c r="AD75" i="24" s="1"/>
  <c r="V76" i="24"/>
  <c r="AD76" i="24" s="1"/>
  <c r="V77" i="24"/>
  <c r="AD77" i="24" s="1"/>
  <c r="V78" i="24"/>
  <c r="AD78" i="24" s="1"/>
  <c r="V79" i="24"/>
  <c r="AD79" i="24" s="1"/>
  <c r="V80" i="24"/>
  <c r="AD80" i="24" s="1"/>
  <c r="V81" i="24"/>
  <c r="AD81" i="24" s="1"/>
  <c r="V82" i="24"/>
  <c r="AD82" i="24" s="1"/>
  <c r="V83" i="24"/>
  <c r="AD83" i="24" s="1"/>
  <c r="V84" i="24"/>
  <c r="AD84" i="24" s="1"/>
  <c r="V85" i="24"/>
  <c r="AD85" i="24" s="1"/>
  <c r="V86" i="24"/>
  <c r="AD86" i="24" s="1"/>
  <c r="V87" i="24"/>
  <c r="AD87" i="24" s="1"/>
  <c r="V88" i="24"/>
  <c r="AD88" i="24" s="1"/>
  <c r="V89" i="24"/>
  <c r="AD89" i="24" s="1"/>
  <c r="V90" i="24"/>
  <c r="AD90" i="24" s="1"/>
  <c r="V91" i="24"/>
  <c r="AD91" i="24" s="1"/>
  <c r="V92" i="24"/>
  <c r="AD92" i="24" s="1"/>
  <c r="V93" i="24"/>
  <c r="AD93" i="24" s="1"/>
  <c r="V94" i="24"/>
  <c r="AD94" i="24" s="1"/>
  <c r="V95" i="24"/>
  <c r="AD95" i="24" s="1"/>
  <c r="V96" i="24"/>
  <c r="AD96" i="24" s="1"/>
  <c r="V97" i="24"/>
  <c r="AD97" i="24" s="1"/>
  <c r="V98" i="24"/>
  <c r="AD98" i="24" s="1"/>
  <c r="V99" i="24"/>
  <c r="AD99" i="24" s="1"/>
  <c r="V100" i="24"/>
  <c r="AD100" i="24" s="1"/>
  <c r="V101" i="24"/>
  <c r="AD101" i="24" s="1"/>
  <c r="V102" i="24"/>
  <c r="AD102" i="24" s="1"/>
  <c r="V103" i="24"/>
  <c r="AD103" i="24" s="1"/>
  <c r="V104" i="24"/>
  <c r="AD104" i="24" s="1"/>
  <c r="V105" i="24"/>
  <c r="AD105" i="24" s="1"/>
  <c r="V106" i="24"/>
  <c r="AD106" i="24" s="1"/>
  <c r="V107" i="24"/>
  <c r="AD107" i="24" s="1"/>
  <c r="V108" i="24"/>
  <c r="AD108" i="24" s="1"/>
  <c r="V109" i="24"/>
  <c r="AD109" i="24" s="1"/>
  <c r="V110" i="24"/>
  <c r="AD110" i="24" s="1"/>
  <c r="V111" i="24"/>
  <c r="AD111" i="24" s="1"/>
  <c r="V112" i="24"/>
  <c r="AD112" i="24" s="1"/>
  <c r="V113" i="24"/>
  <c r="AD113" i="24" s="1"/>
  <c r="V114" i="24"/>
  <c r="AD114" i="24" s="1"/>
  <c r="V115" i="24"/>
  <c r="AD115" i="24" s="1"/>
  <c r="V116" i="24"/>
  <c r="AD116" i="24" s="1"/>
  <c r="V117" i="24"/>
  <c r="AD117" i="24" s="1"/>
  <c r="V118" i="24"/>
  <c r="AD118" i="24" s="1"/>
  <c r="V119" i="24"/>
  <c r="AD119" i="24" s="1"/>
  <c r="V120" i="24"/>
  <c r="AD120" i="24" s="1"/>
  <c r="V122" i="24"/>
  <c r="AD122" i="24" s="1"/>
  <c r="V123" i="24"/>
  <c r="AD123" i="24" s="1"/>
  <c r="V124" i="24"/>
  <c r="AD124" i="24" s="1"/>
  <c r="V125" i="24"/>
  <c r="AD125" i="24" s="1"/>
  <c r="V126" i="24"/>
  <c r="AD126" i="24" s="1"/>
  <c r="V127" i="24"/>
  <c r="AD127" i="24" s="1"/>
  <c r="V128" i="24"/>
  <c r="AD128" i="24" s="1"/>
  <c r="V129" i="24"/>
  <c r="AD129" i="24" s="1"/>
  <c r="V130" i="24"/>
  <c r="AD130" i="24" s="1"/>
  <c r="V131" i="24"/>
  <c r="AD131" i="24" s="1"/>
  <c r="V132" i="24"/>
  <c r="AD132" i="24" s="1"/>
  <c r="V133" i="24"/>
  <c r="AD133" i="24" s="1"/>
  <c r="V134" i="24"/>
  <c r="AD134" i="24" s="1"/>
  <c r="X12" i="23"/>
  <c r="X13" i="23"/>
  <c r="X14" i="23"/>
  <c r="X15" i="23"/>
  <c r="X16" i="23"/>
  <c r="X17" i="23"/>
  <c r="X18" i="23"/>
  <c r="X19" i="23"/>
  <c r="X20" i="23"/>
  <c r="X21" i="23"/>
  <c r="X22" i="23"/>
  <c r="X23" i="23"/>
  <c r="X24" i="23"/>
  <c r="X25" i="23"/>
  <c r="X26" i="23"/>
  <c r="X27" i="23"/>
  <c r="X28" i="23"/>
  <c r="X29" i="23"/>
  <c r="X30" i="23"/>
  <c r="X31" i="23"/>
  <c r="X32" i="23"/>
  <c r="X33" i="23"/>
  <c r="X34" i="23"/>
  <c r="X35" i="23"/>
  <c r="X36" i="23"/>
  <c r="X37" i="23"/>
  <c r="X38" i="23"/>
  <c r="X39" i="23"/>
  <c r="X40" i="23"/>
  <c r="X41" i="23"/>
  <c r="X42" i="23"/>
  <c r="X43" i="23"/>
  <c r="X44" i="23"/>
  <c r="X45" i="23"/>
  <c r="X46" i="23"/>
  <c r="X47" i="23"/>
  <c r="X48" i="23"/>
  <c r="X49" i="23"/>
  <c r="X50" i="23"/>
  <c r="X51" i="23"/>
  <c r="X52" i="23"/>
  <c r="X53" i="23"/>
  <c r="X54" i="23"/>
  <c r="X55" i="23"/>
  <c r="X56" i="23"/>
  <c r="X57" i="23"/>
  <c r="X58" i="23"/>
  <c r="X59" i="23"/>
  <c r="X60" i="23"/>
  <c r="X61" i="23"/>
  <c r="X62" i="23"/>
  <c r="X63" i="23"/>
  <c r="X64" i="23"/>
  <c r="X65" i="23"/>
  <c r="X66" i="23"/>
  <c r="X67" i="23"/>
  <c r="X68" i="23"/>
  <c r="X69" i="23"/>
  <c r="X70" i="23"/>
  <c r="X71" i="23"/>
  <c r="X72" i="23"/>
  <c r="X73" i="23"/>
  <c r="X74" i="23"/>
  <c r="X75" i="23"/>
  <c r="X76" i="23"/>
  <c r="X77" i="23"/>
  <c r="X78" i="23"/>
  <c r="X79" i="23"/>
  <c r="X80" i="23"/>
  <c r="X81" i="23"/>
  <c r="X82" i="23"/>
  <c r="X83" i="23"/>
  <c r="X84" i="23"/>
  <c r="X85" i="23"/>
  <c r="X86" i="23"/>
  <c r="X87" i="23"/>
  <c r="X88" i="23"/>
  <c r="X89" i="23"/>
  <c r="X90" i="23"/>
  <c r="X91" i="23"/>
  <c r="X92" i="23"/>
  <c r="X93" i="23"/>
  <c r="X94" i="23"/>
  <c r="X95" i="23"/>
  <c r="X96" i="23"/>
  <c r="X97" i="23"/>
  <c r="X98" i="23"/>
  <c r="X99" i="23"/>
  <c r="X100" i="23"/>
  <c r="X101" i="23"/>
  <c r="X102" i="23"/>
  <c r="X103" i="23"/>
  <c r="X104" i="23"/>
  <c r="X105" i="23"/>
  <c r="X106" i="23"/>
  <c r="X107" i="23"/>
  <c r="X108" i="23"/>
  <c r="X109" i="23"/>
  <c r="X110" i="23"/>
  <c r="X111" i="23"/>
  <c r="X112" i="23"/>
  <c r="X113" i="23"/>
  <c r="X114" i="23"/>
  <c r="X115" i="23"/>
  <c r="X116" i="23"/>
  <c r="X117" i="23"/>
  <c r="X118" i="23"/>
  <c r="X119" i="23"/>
  <c r="X120" i="23"/>
  <c r="X121" i="23"/>
  <c r="X122" i="23"/>
  <c r="X123" i="23"/>
  <c r="X124" i="23"/>
  <c r="X125" i="23"/>
  <c r="X126" i="23"/>
  <c r="X127" i="23"/>
  <c r="X128" i="23"/>
  <c r="X129" i="23"/>
  <c r="X130" i="23"/>
  <c r="X131" i="23"/>
  <c r="X132" i="23"/>
  <c r="X133" i="23"/>
  <c r="X134" i="23"/>
  <c r="W33" i="23" l="1"/>
  <c r="W30" i="23"/>
  <c r="W119" i="23"/>
  <c r="W38" i="23"/>
  <c r="W95" i="23"/>
  <c r="Y33" i="23"/>
  <c r="AA33" i="23" s="1"/>
  <c r="W105" i="23"/>
  <c r="W85" i="23"/>
  <c r="Z119" i="23"/>
  <c r="AB119" i="23" s="1"/>
  <c r="W81" i="23"/>
  <c r="Y113" i="23"/>
  <c r="AA113" i="23" s="1"/>
  <c r="W102" i="23"/>
  <c r="Z102" i="23" s="1"/>
  <c r="AB102" i="23" s="1"/>
  <c r="W78" i="23"/>
  <c r="Y73" i="23"/>
  <c r="AA73" i="23" s="1"/>
  <c r="W134" i="23"/>
  <c r="Z134" i="23" s="1"/>
  <c r="AB134" i="23" s="1"/>
  <c r="W39" i="23"/>
  <c r="Z39" i="23" s="1"/>
  <c r="AB39" i="23" s="1"/>
  <c r="Y72" i="23"/>
  <c r="AA72" i="23" s="1"/>
  <c r="Y111" i="23"/>
  <c r="AA111" i="23" s="1"/>
  <c r="Y110" i="23"/>
  <c r="AA110" i="23" s="1"/>
  <c r="Y90" i="23"/>
  <c r="AA90" i="23" s="1"/>
  <c r="Y70" i="23"/>
  <c r="AA70" i="23" s="1"/>
  <c r="Y50" i="23"/>
  <c r="AA50" i="23" s="1"/>
  <c r="Y30" i="23"/>
  <c r="AA30" i="23" s="1"/>
  <c r="Y71" i="23"/>
  <c r="AA71" i="23" s="1"/>
  <c r="Y65" i="23"/>
  <c r="AA65" i="23" s="1"/>
  <c r="Y32" i="23"/>
  <c r="AA32" i="23" s="1"/>
  <c r="Y112" i="23"/>
  <c r="AA112" i="23" s="1"/>
  <c r="Y31" i="23"/>
  <c r="AA31" i="23" s="1"/>
  <c r="Y130" i="23"/>
  <c r="AA130" i="23" s="1"/>
  <c r="W65" i="23"/>
  <c r="Y88" i="23"/>
  <c r="AA88" i="23" s="1"/>
  <c r="Y25" i="23"/>
  <c r="AA25" i="23" s="1"/>
  <c r="Y22" i="23"/>
  <c r="AA22" i="23" s="1"/>
  <c r="W62" i="23"/>
  <c r="Z62" i="23" s="1"/>
  <c r="AB62" i="23" s="1"/>
  <c r="Y102" i="23"/>
  <c r="AA102" i="23" s="1"/>
  <c r="Y82" i="23"/>
  <c r="AA82" i="23" s="1"/>
  <c r="W48" i="23"/>
  <c r="Z48" i="23" s="1"/>
  <c r="AB48" i="23" s="1"/>
  <c r="W40" i="23"/>
  <c r="Z40" i="23" s="1"/>
  <c r="AB40" i="23" s="1"/>
  <c r="Y48" i="23"/>
  <c r="AA48" i="23" s="1"/>
  <c r="Y122" i="23"/>
  <c r="AA122" i="23" s="1"/>
  <c r="Y105" i="23"/>
  <c r="AA105" i="23" s="1"/>
  <c r="Y62" i="23"/>
  <c r="AA62" i="23" s="1"/>
  <c r="W63" i="23"/>
  <c r="Z63" i="23" s="1"/>
  <c r="AB63" i="23" s="1"/>
  <c r="W32" i="23"/>
  <c r="Z32" i="23" s="1"/>
  <c r="AB32" i="23" s="1"/>
  <c r="Y128" i="23"/>
  <c r="AA128" i="23" s="1"/>
  <c r="Y42" i="23"/>
  <c r="AA42" i="23" s="1"/>
  <c r="W31" i="23"/>
  <c r="Z31" i="23" s="1"/>
  <c r="AB31" i="23" s="1"/>
  <c r="Y131" i="24"/>
  <c r="AA131" i="24" s="1"/>
  <c r="W46" i="23"/>
  <c r="Z46" i="23" s="1"/>
  <c r="AB46" i="23" s="1"/>
  <c r="Y87" i="23"/>
  <c r="AA87" i="23" s="1"/>
  <c r="W80" i="23"/>
  <c r="Z80" i="23" s="1"/>
  <c r="AB80" i="23" s="1"/>
  <c r="Y90" i="24"/>
  <c r="AA90" i="24" s="1"/>
  <c r="Y50" i="24"/>
  <c r="AA50" i="24" s="1"/>
  <c r="Y30" i="24"/>
  <c r="AA30" i="24" s="1"/>
  <c r="W129" i="23"/>
  <c r="Z129" i="23" s="1"/>
  <c r="AB129" i="23" s="1"/>
  <c r="Y129" i="23"/>
  <c r="AA129" i="23" s="1"/>
  <c r="Y89" i="23"/>
  <c r="AA89" i="23" s="1"/>
  <c r="Y49" i="23"/>
  <c r="AA49" i="23" s="1"/>
  <c r="W127" i="23"/>
  <c r="Z127" i="23" s="1"/>
  <c r="AB127" i="23" s="1"/>
  <c r="W47" i="23"/>
  <c r="Z47" i="23" s="1"/>
  <c r="AB47" i="23" s="1"/>
  <c r="W126" i="23"/>
  <c r="Z126" i="23" s="1"/>
  <c r="AB126" i="23" s="1"/>
  <c r="Y126" i="23"/>
  <c r="AA126" i="23" s="1"/>
  <c r="Y106" i="23"/>
  <c r="AA106" i="23" s="1"/>
  <c r="Y86" i="23"/>
  <c r="AA86" i="23" s="1"/>
  <c r="Y66" i="23"/>
  <c r="AA66" i="23" s="1"/>
  <c r="Y46" i="23"/>
  <c r="AA46" i="23" s="1"/>
  <c r="Y26" i="23"/>
  <c r="AA26" i="23" s="1"/>
  <c r="W118" i="23"/>
  <c r="Z118" i="23" s="1"/>
  <c r="AB118" i="23" s="1"/>
  <c r="Y127" i="23"/>
  <c r="AA127" i="23" s="1"/>
  <c r="Y47" i="23"/>
  <c r="AA47" i="23" s="1"/>
  <c r="Y104" i="23"/>
  <c r="AA104" i="23" s="1"/>
  <c r="Y64" i="23"/>
  <c r="AA64" i="23" s="1"/>
  <c r="Y24" i="23"/>
  <c r="AA24" i="23" s="1"/>
  <c r="W104" i="23"/>
  <c r="Z104" i="23" s="1"/>
  <c r="AB104" i="23" s="1"/>
  <c r="Y63" i="23"/>
  <c r="AA63" i="23" s="1"/>
  <c r="W103" i="23"/>
  <c r="Z103" i="23" s="1"/>
  <c r="AB103" i="23" s="1"/>
  <c r="Z95" i="23"/>
  <c r="AB95" i="23" s="1"/>
  <c r="Y51" i="24"/>
  <c r="AA51" i="24" s="1"/>
  <c r="P3" i="23"/>
  <c r="Y23" i="23"/>
  <c r="AA23" i="23" s="1"/>
  <c r="W94" i="23"/>
  <c r="Z94" i="23" s="1"/>
  <c r="AB94" i="23" s="1"/>
  <c r="W87" i="23"/>
  <c r="Z87" i="23" s="1"/>
  <c r="AB87" i="23" s="1"/>
  <c r="W22" i="23"/>
  <c r="Z22" i="23" s="1"/>
  <c r="AB22" i="23" s="1"/>
  <c r="Y103" i="23"/>
  <c r="AA103" i="23" s="1"/>
  <c r="W23" i="23"/>
  <c r="Z23" i="23" s="1"/>
  <c r="AB23" i="23" s="1"/>
  <c r="W86" i="23"/>
  <c r="Z86" i="23" s="1"/>
  <c r="AB86" i="23" s="1"/>
  <c r="Y109" i="24"/>
  <c r="AA109" i="24" s="1"/>
  <c r="Y69" i="24"/>
  <c r="AA69" i="24" s="1"/>
  <c r="Y29" i="24"/>
  <c r="AA29" i="24" s="1"/>
  <c r="Y68" i="24"/>
  <c r="AA68" i="24" s="1"/>
  <c r="Y59" i="24"/>
  <c r="AA59" i="24" s="1"/>
  <c r="P3" i="24"/>
  <c r="Y133" i="24"/>
  <c r="AA133" i="24" s="1"/>
  <c r="Y53" i="24"/>
  <c r="AA53" i="24" s="1"/>
  <c r="Y13" i="24"/>
  <c r="AA13" i="24" s="1"/>
  <c r="W90" i="24"/>
  <c r="Z90" i="24" s="1"/>
  <c r="AB90" i="24" s="1"/>
  <c r="Y134" i="24"/>
  <c r="AA134" i="24" s="1"/>
  <c r="Y114" i="24"/>
  <c r="AA114" i="24" s="1"/>
  <c r="Y74" i="24"/>
  <c r="AA74" i="24" s="1"/>
  <c r="Y54" i="24"/>
  <c r="AA54" i="24" s="1"/>
  <c r="Y34" i="24"/>
  <c r="AA34" i="24" s="1"/>
  <c r="Y132" i="24"/>
  <c r="AA132" i="24" s="1"/>
  <c r="W66" i="24"/>
  <c r="Z66" i="24" s="1"/>
  <c r="AB66" i="24" s="1"/>
  <c r="Y67" i="24"/>
  <c r="AA67" i="24" s="1"/>
  <c r="Y45" i="24"/>
  <c r="AA45" i="24" s="1"/>
  <c r="Y26" i="24"/>
  <c r="AA26" i="24" s="1"/>
  <c r="Y27" i="24"/>
  <c r="AA27" i="24" s="1"/>
  <c r="Y124" i="24"/>
  <c r="AA124" i="24" s="1"/>
  <c r="Y82" i="24"/>
  <c r="AA82" i="24" s="1"/>
  <c r="Y43" i="24"/>
  <c r="AA43" i="24" s="1"/>
  <c r="Y66" i="24"/>
  <c r="AA66" i="24" s="1"/>
  <c r="Y123" i="24"/>
  <c r="AA123" i="24" s="1"/>
  <c r="Y20" i="24"/>
  <c r="AA20" i="24" s="1"/>
  <c r="Y117" i="24"/>
  <c r="AA117" i="24" s="1"/>
  <c r="Y95" i="24"/>
  <c r="AA95" i="24" s="1"/>
  <c r="Y94" i="24"/>
  <c r="AA94" i="24" s="1"/>
  <c r="Y106" i="24"/>
  <c r="AA106" i="24" s="1"/>
  <c r="Y42" i="24"/>
  <c r="AA42" i="24" s="1"/>
  <c r="Y93" i="24"/>
  <c r="AA93" i="24" s="1"/>
  <c r="W114" i="24"/>
  <c r="Z114" i="24" s="1"/>
  <c r="AB114" i="24" s="1"/>
  <c r="Y98" i="24"/>
  <c r="AA98" i="24" s="1"/>
  <c r="Y58" i="24"/>
  <c r="AA58" i="24" s="1"/>
  <c r="Y84" i="24"/>
  <c r="AA84" i="24" s="1"/>
  <c r="W106" i="24"/>
  <c r="Z106" i="24" s="1"/>
  <c r="AB106" i="24" s="1"/>
  <c r="Y83" i="24"/>
  <c r="AA83" i="24" s="1"/>
  <c r="W98" i="24"/>
  <c r="Z98" i="24" s="1"/>
  <c r="AB98" i="24" s="1"/>
  <c r="W41" i="23"/>
  <c r="Z41" i="23" s="1"/>
  <c r="AB41" i="23" s="1"/>
  <c r="W121" i="23"/>
  <c r="Z121" i="23" s="1"/>
  <c r="AB121" i="23" s="1"/>
  <c r="W120" i="23"/>
  <c r="Z120" i="23" s="1"/>
  <c r="AB120" i="23" s="1"/>
  <c r="W79" i="23"/>
  <c r="Z79" i="23" s="1"/>
  <c r="AB79" i="23" s="1"/>
  <c r="W37" i="23"/>
  <c r="Z37" i="23" s="1"/>
  <c r="AB37" i="23" s="1"/>
  <c r="W71" i="23"/>
  <c r="Z71" i="23" s="1"/>
  <c r="AB71" i="23" s="1"/>
  <c r="W112" i="23"/>
  <c r="Z112" i="23" s="1"/>
  <c r="AB112" i="23" s="1"/>
  <c r="Y81" i="23"/>
  <c r="AA81" i="23" s="1"/>
  <c r="Y98" i="23"/>
  <c r="AA98" i="23" s="1"/>
  <c r="Y97" i="23"/>
  <c r="AA97" i="23" s="1"/>
  <c r="W73" i="23"/>
  <c r="Z73" i="23" s="1"/>
  <c r="AB73" i="23" s="1"/>
  <c r="Y41" i="23"/>
  <c r="AA41" i="23" s="1"/>
  <c r="W70" i="23"/>
  <c r="Z70" i="23" s="1"/>
  <c r="AB70" i="23" s="1"/>
  <c r="Y120" i="23"/>
  <c r="AA120" i="23" s="1"/>
  <c r="Y79" i="23"/>
  <c r="AA79" i="23" s="1"/>
  <c r="Y58" i="23"/>
  <c r="AA58" i="23" s="1"/>
  <c r="Y57" i="23"/>
  <c r="AA57" i="23" s="1"/>
  <c r="W57" i="23"/>
  <c r="Z57" i="23" s="1"/>
  <c r="AB57" i="23" s="1"/>
  <c r="Y96" i="23"/>
  <c r="AA96" i="23" s="1"/>
  <c r="Y56" i="23"/>
  <c r="AA56" i="23" s="1"/>
  <c r="Y16" i="23"/>
  <c r="AA16" i="23" s="1"/>
  <c r="W101" i="23"/>
  <c r="Z101" i="23" s="1"/>
  <c r="AB101" i="23" s="1"/>
  <c r="W56" i="23"/>
  <c r="Z56" i="23" s="1"/>
  <c r="AB56" i="23" s="1"/>
  <c r="W14" i="23"/>
  <c r="Z14" i="23" s="1"/>
  <c r="AB14" i="23" s="1"/>
  <c r="W110" i="23"/>
  <c r="Z110" i="23" s="1"/>
  <c r="AB110" i="23" s="1"/>
  <c r="Y119" i="23"/>
  <c r="AA119" i="23" s="1"/>
  <c r="Y39" i="23"/>
  <c r="AA39" i="23" s="1"/>
  <c r="Y118" i="23"/>
  <c r="AA118" i="23" s="1"/>
  <c r="Y38" i="23"/>
  <c r="AA38" i="23" s="1"/>
  <c r="Y17" i="23"/>
  <c r="AA17" i="23" s="1"/>
  <c r="W15" i="23"/>
  <c r="Z15" i="23" s="1"/>
  <c r="AB15" i="23" s="1"/>
  <c r="Y95" i="23"/>
  <c r="AA95" i="23" s="1"/>
  <c r="Y55" i="23"/>
  <c r="AA55" i="23" s="1"/>
  <c r="Y15" i="23"/>
  <c r="AA15" i="23" s="1"/>
  <c r="W97" i="23"/>
  <c r="Z97" i="23" s="1"/>
  <c r="AB97" i="23" s="1"/>
  <c r="W55" i="23"/>
  <c r="Z55" i="23" s="1"/>
  <c r="AB55" i="23" s="1"/>
  <c r="W72" i="23"/>
  <c r="Z72" i="23" s="1"/>
  <c r="AB72" i="23" s="1"/>
  <c r="W111" i="23"/>
  <c r="Z111" i="23" s="1"/>
  <c r="AB111" i="23" s="1"/>
  <c r="Y121" i="23"/>
  <c r="AA121" i="23" s="1"/>
  <c r="Y80" i="23"/>
  <c r="AA80" i="23" s="1"/>
  <c r="Y40" i="23"/>
  <c r="AA40" i="23" s="1"/>
  <c r="W17" i="23"/>
  <c r="Z17" i="23" s="1"/>
  <c r="AB17" i="23" s="1"/>
  <c r="Y78" i="23"/>
  <c r="AA78" i="23" s="1"/>
  <c r="Y18" i="23"/>
  <c r="AA18" i="23" s="1"/>
  <c r="W16" i="23"/>
  <c r="Z16" i="23" s="1"/>
  <c r="AB16" i="23" s="1"/>
  <c r="Y134" i="23"/>
  <c r="AA134" i="23" s="1"/>
  <c r="Y114" i="23"/>
  <c r="AA114" i="23" s="1"/>
  <c r="Y94" i="23"/>
  <c r="AA94" i="23" s="1"/>
  <c r="Y74" i="23"/>
  <c r="AA74" i="23" s="1"/>
  <c r="Y54" i="23"/>
  <c r="AA54" i="23" s="1"/>
  <c r="Y34" i="23"/>
  <c r="AA34" i="23" s="1"/>
  <c r="Y14" i="23"/>
  <c r="AA14" i="23" s="1"/>
  <c r="W96" i="23"/>
  <c r="Z96" i="23" s="1"/>
  <c r="AB96" i="23" s="1"/>
  <c r="W54" i="23"/>
  <c r="Z54" i="23" s="1"/>
  <c r="AB54" i="23" s="1"/>
  <c r="Y18" i="24"/>
  <c r="AA18" i="24" s="1"/>
  <c r="Y130" i="24"/>
  <c r="AA130" i="24" s="1"/>
  <c r="Y44" i="24"/>
  <c r="AA44" i="24" s="1"/>
  <c r="W65" i="24"/>
  <c r="Z65" i="24" s="1"/>
  <c r="AB65" i="24" s="1"/>
  <c r="Y113" i="24"/>
  <c r="AA113" i="24" s="1"/>
  <c r="Y105" i="24"/>
  <c r="AA105" i="24" s="1"/>
  <c r="Y97" i="24"/>
  <c r="AA97" i="24" s="1"/>
  <c r="Y89" i="24"/>
  <c r="AA89" i="24" s="1"/>
  <c r="Y81" i="24"/>
  <c r="AA81" i="24" s="1"/>
  <c r="Y73" i="24"/>
  <c r="AA73" i="24" s="1"/>
  <c r="Y65" i="24"/>
  <c r="AA65" i="24" s="1"/>
  <c r="Y57" i="24"/>
  <c r="AA57" i="24" s="1"/>
  <c r="Y49" i="24"/>
  <c r="AA49" i="24" s="1"/>
  <c r="Y41" i="24"/>
  <c r="AA41" i="24" s="1"/>
  <c r="Y33" i="24"/>
  <c r="AA33" i="24" s="1"/>
  <c r="Y25" i="24"/>
  <c r="AA25" i="24" s="1"/>
  <c r="Y17" i="24"/>
  <c r="AA17" i="24" s="1"/>
  <c r="Y122" i="24"/>
  <c r="AA122" i="24" s="1"/>
  <c r="Y116" i="24"/>
  <c r="AA116" i="24" s="1"/>
  <c r="Y92" i="24"/>
  <c r="AA92" i="24" s="1"/>
  <c r="Y12" i="24"/>
  <c r="AA12" i="24" s="1"/>
  <c r="W57" i="24"/>
  <c r="Z57" i="24" s="1"/>
  <c r="AB57" i="24" s="1"/>
  <c r="W61" i="23"/>
  <c r="Z61" i="23" s="1"/>
  <c r="AB61" i="23" s="1"/>
  <c r="Y115" i="24"/>
  <c r="AA115" i="24" s="1"/>
  <c r="Y91" i="24"/>
  <c r="AA91" i="24" s="1"/>
  <c r="Y55" i="24"/>
  <c r="AA55" i="24" s="1"/>
  <c r="Y31" i="24"/>
  <c r="AA31" i="24" s="1"/>
  <c r="W97" i="24"/>
  <c r="Z97" i="24" s="1"/>
  <c r="AB97" i="24" s="1"/>
  <c r="W50" i="24"/>
  <c r="Z50" i="24" s="1"/>
  <c r="AB50" i="24" s="1"/>
  <c r="W49" i="24"/>
  <c r="Z49" i="24" s="1"/>
  <c r="AB49" i="24" s="1"/>
  <c r="W73" i="24"/>
  <c r="Z73" i="24" s="1"/>
  <c r="AB73" i="24" s="1"/>
  <c r="W130" i="24"/>
  <c r="Z130" i="24" s="1"/>
  <c r="AB130" i="24" s="1"/>
  <c r="W89" i="24"/>
  <c r="Z89" i="24" s="1"/>
  <c r="AB89" i="24" s="1"/>
  <c r="W42" i="24"/>
  <c r="Z42" i="24" s="1"/>
  <c r="AB42" i="24" s="1"/>
  <c r="W113" i="24"/>
  <c r="Z113" i="24" s="1"/>
  <c r="AB113" i="24" s="1"/>
  <c r="W25" i="24"/>
  <c r="Z25" i="24" s="1"/>
  <c r="AB25" i="24" s="1"/>
  <c r="W125" i="23"/>
  <c r="Z125" i="23" s="1"/>
  <c r="AB125" i="23" s="1"/>
  <c r="Y108" i="24"/>
  <c r="AA108" i="24" s="1"/>
  <c r="Y133" i="23"/>
  <c r="AA133" i="23" s="1"/>
  <c r="Y125" i="23"/>
  <c r="AA125" i="23" s="1"/>
  <c r="Y117" i="23"/>
  <c r="AA117" i="23" s="1"/>
  <c r="Y109" i="23"/>
  <c r="AA109" i="23" s="1"/>
  <c r="Y101" i="23"/>
  <c r="AA101" i="23" s="1"/>
  <c r="Y93" i="23"/>
  <c r="AA93" i="23" s="1"/>
  <c r="Y85" i="23"/>
  <c r="AA85" i="23" s="1"/>
  <c r="Y77" i="23"/>
  <c r="AA77" i="23" s="1"/>
  <c r="Y69" i="23"/>
  <c r="AA69" i="23" s="1"/>
  <c r="Y61" i="23"/>
  <c r="AA61" i="23" s="1"/>
  <c r="Y53" i="23"/>
  <c r="AA53" i="23" s="1"/>
  <c r="Y45" i="23"/>
  <c r="AA45" i="23" s="1"/>
  <c r="Y37" i="23"/>
  <c r="AA37" i="23" s="1"/>
  <c r="Y29" i="23"/>
  <c r="AA29" i="23" s="1"/>
  <c r="Y21" i="23"/>
  <c r="AA21" i="23" s="1"/>
  <c r="Y13" i="23"/>
  <c r="AA13" i="23" s="1"/>
  <c r="W21" i="23"/>
  <c r="Z21" i="23" s="1"/>
  <c r="AB21" i="23" s="1"/>
  <c r="Y107" i="24"/>
  <c r="AA107" i="24" s="1"/>
  <c r="Y70" i="24"/>
  <c r="AA70" i="24" s="1"/>
  <c r="Y52" i="24"/>
  <c r="AA52" i="24" s="1"/>
  <c r="Y28" i="24"/>
  <c r="AA28" i="24" s="1"/>
  <c r="W74" i="24"/>
  <c r="Z74" i="24" s="1"/>
  <c r="AB74" i="24" s="1"/>
  <c r="W34" i="24"/>
  <c r="Z34" i="24" s="1"/>
  <c r="AB34" i="24" s="1"/>
  <c r="W33" i="24"/>
  <c r="Z33" i="24" s="1"/>
  <c r="AB33" i="24" s="1"/>
  <c r="W16" i="24"/>
  <c r="Z16" i="24" s="1"/>
  <c r="AB16" i="24" s="1"/>
  <c r="Y129" i="24"/>
  <c r="AA129" i="24" s="1"/>
  <c r="Y16" i="24"/>
  <c r="AA16" i="24" s="1"/>
  <c r="W26" i="24"/>
  <c r="Z26" i="24" s="1"/>
  <c r="AB26" i="24" s="1"/>
  <c r="W48" i="24"/>
  <c r="Z48" i="24" s="1"/>
  <c r="AB48" i="24" s="1"/>
  <c r="Z85" i="23"/>
  <c r="AB85" i="23" s="1"/>
  <c r="W32" i="24"/>
  <c r="Z32" i="24" s="1"/>
  <c r="AB32" i="24" s="1"/>
  <c r="Y112" i="24"/>
  <c r="AA112" i="24" s="1"/>
  <c r="Y80" i="24"/>
  <c r="AA80" i="24" s="1"/>
  <c r="Y40" i="24"/>
  <c r="AA40" i="24" s="1"/>
  <c r="Z30" i="23"/>
  <c r="AB30" i="23" s="1"/>
  <c r="W109" i="23"/>
  <c r="Z109" i="23" s="1"/>
  <c r="AB109" i="23" s="1"/>
  <c r="W45" i="23"/>
  <c r="Z45" i="23" s="1"/>
  <c r="AB45" i="23" s="1"/>
  <c r="Y39" i="24"/>
  <c r="AA39" i="24" s="1"/>
  <c r="W72" i="24"/>
  <c r="Z72" i="24" s="1"/>
  <c r="AB72" i="24" s="1"/>
  <c r="Y63" i="24"/>
  <c r="AA63" i="24" s="1"/>
  <c r="W29" i="23"/>
  <c r="Z29" i="23" s="1"/>
  <c r="AB29" i="23" s="1"/>
  <c r="Y127" i="24"/>
  <c r="AA127" i="24" s="1"/>
  <c r="Y87" i="24"/>
  <c r="AA87" i="24" s="1"/>
  <c r="Y62" i="24"/>
  <c r="AA62" i="24" s="1"/>
  <c r="W88" i="24"/>
  <c r="Z88" i="24" s="1"/>
  <c r="AB88" i="24" s="1"/>
  <c r="W24" i="24"/>
  <c r="Z24" i="24" s="1"/>
  <c r="AB24" i="24" s="1"/>
  <c r="Z38" i="23"/>
  <c r="AB38" i="23" s="1"/>
  <c r="W120" i="24"/>
  <c r="Z120" i="24" s="1"/>
  <c r="AB120" i="24" s="1"/>
  <c r="W96" i="24"/>
  <c r="Z96" i="24" s="1"/>
  <c r="AB96" i="24" s="1"/>
  <c r="Y96" i="24"/>
  <c r="AA96" i="24" s="1"/>
  <c r="Y72" i="24"/>
  <c r="AA72" i="24" s="1"/>
  <c r="Y56" i="24"/>
  <c r="AA56" i="24" s="1"/>
  <c r="Y32" i="24"/>
  <c r="AA32" i="24" s="1"/>
  <c r="Y128" i="24"/>
  <c r="AA128" i="24" s="1"/>
  <c r="Y102" i="24"/>
  <c r="AA102" i="24" s="1"/>
  <c r="Y77" i="24"/>
  <c r="AA77" i="24" s="1"/>
  <c r="Y101" i="24"/>
  <c r="AA101" i="24" s="1"/>
  <c r="Y76" i="24"/>
  <c r="AA76" i="24" s="1"/>
  <c r="Y37" i="24"/>
  <c r="AA37" i="24" s="1"/>
  <c r="W128" i="23"/>
  <c r="Z128" i="23" s="1"/>
  <c r="AB128" i="23" s="1"/>
  <c r="W117" i="23"/>
  <c r="Z117" i="23" s="1"/>
  <c r="AB117" i="23" s="1"/>
  <c r="W89" i="23"/>
  <c r="Z89" i="23" s="1"/>
  <c r="AB89" i="23" s="1"/>
  <c r="W64" i="23"/>
  <c r="Z64" i="23" s="1"/>
  <c r="AB64" i="23" s="1"/>
  <c r="W53" i="23"/>
  <c r="Z53" i="23" s="1"/>
  <c r="AB53" i="23" s="1"/>
  <c r="W25" i="23"/>
  <c r="Z25" i="23" s="1"/>
  <c r="AB25" i="23" s="1"/>
  <c r="Y126" i="24"/>
  <c r="AA126" i="24" s="1"/>
  <c r="Y111" i="24"/>
  <c r="AA111" i="24" s="1"/>
  <c r="Y100" i="24"/>
  <c r="AA100" i="24" s="1"/>
  <c r="Y86" i="24"/>
  <c r="AA86" i="24" s="1"/>
  <c r="Y75" i="24"/>
  <c r="AA75" i="24" s="1"/>
  <c r="Y61" i="24"/>
  <c r="AA61" i="24" s="1"/>
  <c r="Y47" i="24"/>
  <c r="AA47" i="24" s="1"/>
  <c r="Y36" i="24"/>
  <c r="AA36" i="24" s="1"/>
  <c r="Y22" i="24"/>
  <c r="AA22" i="24" s="1"/>
  <c r="W129" i="24"/>
  <c r="Z129" i="24" s="1"/>
  <c r="AB129" i="24" s="1"/>
  <c r="W105" i="24"/>
  <c r="Z105" i="24" s="1"/>
  <c r="AB105" i="24" s="1"/>
  <c r="W82" i="24"/>
  <c r="Z82" i="24" s="1"/>
  <c r="AB82" i="24" s="1"/>
  <c r="W64" i="24"/>
  <c r="Z64" i="24" s="1"/>
  <c r="AB64" i="24" s="1"/>
  <c r="W41" i="24"/>
  <c r="Z41" i="24" s="1"/>
  <c r="AB41" i="24" s="1"/>
  <c r="W18" i="24"/>
  <c r="Z18" i="24" s="1"/>
  <c r="AB18" i="24" s="1"/>
  <c r="W80" i="24"/>
  <c r="Z80" i="24" s="1"/>
  <c r="AB80" i="24" s="1"/>
  <c r="W56" i="24"/>
  <c r="Z56" i="24" s="1"/>
  <c r="AB56" i="24" s="1"/>
  <c r="Y120" i="24"/>
  <c r="AA120" i="24" s="1"/>
  <c r="Y79" i="24"/>
  <c r="AA79" i="24" s="1"/>
  <c r="Y104" i="24"/>
  <c r="AA104" i="24" s="1"/>
  <c r="Y88" i="24"/>
  <c r="AA88" i="24" s="1"/>
  <c r="Y64" i="24"/>
  <c r="AA64" i="24" s="1"/>
  <c r="Y48" i="24"/>
  <c r="AA48" i="24" s="1"/>
  <c r="Y24" i="24"/>
  <c r="AA24" i="24" s="1"/>
  <c r="Y103" i="24"/>
  <c r="AA103" i="24" s="1"/>
  <c r="Y78" i="24"/>
  <c r="AA78" i="24" s="1"/>
  <c r="W133" i="23"/>
  <c r="Z133" i="23" s="1"/>
  <c r="AB133" i="23" s="1"/>
  <c r="W69" i="23"/>
  <c r="Z69" i="23" s="1"/>
  <c r="AB69" i="23" s="1"/>
  <c r="Y38" i="24"/>
  <c r="AA38" i="24" s="1"/>
  <c r="W112" i="24"/>
  <c r="Z112" i="24" s="1"/>
  <c r="AB112" i="24" s="1"/>
  <c r="W93" i="23"/>
  <c r="Z93" i="23" s="1"/>
  <c r="AB93" i="23" s="1"/>
  <c r="Y23" i="24"/>
  <c r="AA23" i="24" s="1"/>
  <c r="Z78" i="23"/>
  <c r="AB78" i="23" s="1"/>
  <c r="W113" i="23"/>
  <c r="Z113" i="23" s="1"/>
  <c r="AB113" i="23" s="1"/>
  <c r="W88" i="23"/>
  <c r="Z88" i="23" s="1"/>
  <c r="AB88" i="23" s="1"/>
  <c r="W77" i="23"/>
  <c r="Z77" i="23" s="1"/>
  <c r="AB77" i="23" s="1"/>
  <c r="W49" i="23"/>
  <c r="Z49" i="23" s="1"/>
  <c r="AB49" i="23" s="1"/>
  <c r="W24" i="23"/>
  <c r="Z24" i="23" s="1"/>
  <c r="AB24" i="23" s="1"/>
  <c r="W13" i="23"/>
  <c r="Z13" i="23" s="1"/>
  <c r="AB13" i="23" s="1"/>
  <c r="Y125" i="24"/>
  <c r="AA125" i="24" s="1"/>
  <c r="Y110" i="24"/>
  <c r="AA110" i="24" s="1"/>
  <c r="Y99" i="24"/>
  <c r="AA99" i="24" s="1"/>
  <c r="Y85" i="24"/>
  <c r="AA85" i="24" s="1"/>
  <c r="Y71" i="24"/>
  <c r="AA71" i="24" s="1"/>
  <c r="Y60" i="24"/>
  <c r="AA60" i="24" s="1"/>
  <c r="Y46" i="24"/>
  <c r="AA46" i="24" s="1"/>
  <c r="Y35" i="24"/>
  <c r="AA35" i="24" s="1"/>
  <c r="Y21" i="24"/>
  <c r="AA21" i="24" s="1"/>
  <c r="W122" i="24"/>
  <c r="Z122" i="24" s="1"/>
  <c r="AB122" i="24" s="1"/>
  <c r="W104" i="24"/>
  <c r="Z104" i="24" s="1"/>
  <c r="AB104" i="24" s="1"/>
  <c r="W81" i="24"/>
  <c r="Z81" i="24" s="1"/>
  <c r="AB81" i="24" s="1"/>
  <c r="W58" i="24"/>
  <c r="Z58" i="24" s="1"/>
  <c r="AB58" i="24" s="1"/>
  <c r="W40" i="24"/>
  <c r="Z40" i="24" s="1"/>
  <c r="AB40" i="24" s="1"/>
  <c r="W17" i="24"/>
  <c r="Z17" i="24" s="1"/>
  <c r="AB17" i="24" s="1"/>
  <c r="W92" i="23"/>
  <c r="Z92" i="23" s="1"/>
  <c r="AB92" i="23" s="1"/>
  <c r="W36" i="23"/>
  <c r="Z36" i="23" s="1"/>
  <c r="AB36" i="23" s="1"/>
  <c r="Y119" i="24"/>
  <c r="AA119" i="24" s="1"/>
  <c r="W115" i="23"/>
  <c r="Z115" i="23" s="1"/>
  <c r="AB115" i="23" s="1"/>
  <c r="W59" i="23"/>
  <c r="Z59" i="23" s="1"/>
  <c r="AB59" i="23" s="1"/>
  <c r="W19" i="23"/>
  <c r="Z19" i="23" s="1"/>
  <c r="AB19" i="23" s="1"/>
  <c r="W130" i="23"/>
  <c r="Z130" i="23" s="1"/>
  <c r="AB130" i="23" s="1"/>
  <c r="W122" i="23"/>
  <c r="Z122" i="23" s="1"/>
  <c r="AB122" i="23" s="1"/>
  <c r="W114" i="23"/>
  <c r="Z114" i="23" s="1"/>
  <c r="AB114" i="23" s="1"/>
  <c r="W106" i="23"/>
  <c r="Z106" i="23" s="1"/>
  <c r="AB106" i="23" s="1"/>
  <c r="W98" i="23"/>
  <c r="Z98" i="23" s="1"/>
  <c r="AB98" i="23" s="1"/>
  <c r="W90" i="23"/>
  <c r="Z90" i="23" s="1"/>
  <c r="AB90" i="23" s="1"/>
  <c r="W82" i="23"/>
  <c r="Z82" i="23" s="1"/>
  <c r="AB82" i="23" s="1"/>
  <c r="W74" i="23"/>
  <c r="Z74" i="23" s="1"/>
  <c r="AB74" i="23" s="1"/>
  <c r="W66" i="23"/>
  <c r="Z66" i="23" s="1"/>
  <c r="AB66" i="23" s="1"/>
  <c r="W58" i="23"/>
  <c r="Z58" i="23" s="1"/>
  <c r="AB58" i="23" s="1"/>
  <c r="W50" i="23"/>
  <c r="Z50" i="23" s="1"/>
  <c r="AB50" i="23" s="1"/>
  <c r="W42" i="23"/>
  <c r="Z42" i="23" s="1"/>
  <c r="AB42" i="23" s="1"/>
  <c r="W34" i="23"/>
  <c r="Z34" i="23" s="1"/>
  <c r="AB34" i="23" s="1"/>
  <c r="W26" i="23"/>
  <c r="Z26" i="23" s="1"/>
  <c r="AB26" i="23" s="1"/>
  <c r="W18" i="23"/>
  <c r="Z18" i="23" s="1"/>
  <c r="AB18" i="23" s="1"/>
  <c r="W127" i="24"/>
  <c r="Z127" i="24" s="1"/>
  <c r="AB127" i="24" s="1"/>
  <c r="W119" i="24"/>
  <c r="Z119" i="24" s="1"/>
  <c r="AB119" i="24" s="1"/>
  <c r="W111" i="24"/>
  <c r="Z111" i="24" s="1"/>
  <c r="AB111" i="24" s="1"/>
  <c r="W103" i="24"/>
  <c r="Z103" i="24" s="1"/>
  <c r="AB103" i="24" s="1"/>
  <c r="W95" i="24"/>
  <c r="Z95" i="24" s="1"/>
  <c r="AB95" i="24" s="1"/>
  <c r="W87" i="24"/>
  <c r="Z87" i="24" s="1"/>
  <c r="AB87" i="24" s="1"/>
  <c r="W79" i="24"/>
  <c r="Z79" i="24" s="1"/>
  <c r="AB79" i="24" s="1"/>
  <c r="W71" i="24"/>
  <c r="Z71" i="24" s="1"/>
  <c r="AB71" i="24" s="1"/>
  <c r="W63" i="24"/>
  <c r="Z63" i="24" s="1"/>
  <c r="AB63" i="24" s="1"/>
  <c r="W55" i="24"/>
  <c r="Z55" i="24" s="1"/>
  <c r="AB55" i="24" s="1"/>
  <c r="W47" i="24"/>
  <c r="Z47" i="24" s="1"/>
  <c r="AB47" i="24" s="1"/>
  <c r="W39" i="24"/>
  <c r="Z39" i="24" s="1"/>
  <c r="AB39" i="24" s="1"/>
  <c r="W31" i="24"/>
  <c r="Z31" i="24" s="1"/>
  <c r="AB31" i="24" s="1"/>
  <c r="W23" i="24"/>
  <c r="Z23" i="24" s="1"/>
  <c r="AB23" i="24" s="1"/>
  <c r="W15" i="24"/>
  <c r="Z15" i="24" s="1"/>
  <c r="AB15" i="24" s="1"/>
  <c r="Y11" i="23"/>
  <c r="AA11" i="23" s="1"/>
  <c r="W108" i="23"/>
  <c r="Z108" i="23" s="1"/>
  <c r="AB108" i="23" s="1"/>
  <c r="W76" i="23"/>
  <c r="Z76" i="23" s="1"/>
  <c r="AB76" i="23" s="1"/>
  <c r="W52" i="23"/>
  <c r="Z52" i="23" s="1"/>
  <c r="AB52" i="23" s="1"/>
  <c r="W12" i="23"/>
  <c r="Z12" i="23" s="1"/>
  <c r="AB12" i="23" s="1"/>
  <c r="W123" i="23"/>
  <c r="Z123" i="23" s="1"/>
  <c r="AB123" i="23" s="1"/>
  <c r="W83" i="23"/>
  <c r="Z83" i="23" s="1"/>
  <c r="AB83" i="23" s="1"/>
  <c r="W67" i="23"/>
  <c r="Z67" i="23" s="1"/>
  <c r="AB67" i="23" s="1"/>
  <c r="W35" i="23"/>
  <c r="Z35" i="23" s="1"/>
  <c r="AB35" i="23" s="1"/>
  <c r="W134" i="24"/>
  <c r="Z134" i="24" s="1"/>
  <c r="AB134" i="24" s="1"/>
  <c r="W126" i="24"/>
  <c r="Z126" i="24" s="1"/>
  <c r="AB126" i="24" s="1"/>
  <c r="W118" i="24"/>
  <c r="Z118" i="24" s="1"/>
  <c r="AB118" i="24" s="1"/>
  <c r="W110" i="24"/>
  <c r="Z110" i="24" s="1"/>
  <c r="AB110" i="24" s="1"/>
  <c r="W102" i="24"/>
  <c r="Z102" i="24" s="1"/>
  <c r="AB102" i="24" s="1"/>
  <c r="W94" i="24"/>
  <c r="Z94" i="24" s="1"/>
  <c r="AB94" i="24" s="1"/>
  <c r="W86" i="24"/>
  <c r="Z86" i="24" s="1"/>
  <c r="AB86" i="24" s="1"/>
  <c r="W78" i="24"/>
  <c r="Z78" i="24" s="1"/>
  <c r="AB78" i="24" s="1"/>
  <c r="W70" i="24"/>
  <c r="Z70" i="24" s="1"/>
  <c r="AB70" i="24" s="1"/>
  <c r="W62" i="24"/>
  <c r="Z62" i="24" s="1"/>
  <c r="AB62" i="24" s="1"/>
  <c r="W54" i="24"/>
  <c r="Z54" i="24" s="1"/>
  <c r="AB54" i="24" s="1"/>
  <c r="W46" i="24"/>
  <c r="Z46" i="24" s="1"/>
  <c r="AB46" i="24" s="1"/>
  <c r="W38" i="24"/>
  <c r="Z38" i="24" s="1"/>
  <c r="AB38" i="24" s="1"/>
  <c r="W30" i="24"/>
  <c r="Z30" i="24" s="1"/>
  <c r="AB30" i="24" s="1"/>
  <c r="W22" i="24"/>
  <c r="Z22" i="24" s="1"/>
  <c r="AB22" i="24" s="1"/>
  <c r="W14" i="24"/>
  <c r="Z14" i="24" s="1"/>
  <c r="AB14" i="24" s="1"/>
  <c r="Y118" i="24"/>
  <c r="AA118" i="24" s="1"/>
  <c r="W132" i="23"/>
  <c r="Z132" i="23" s="1"/>
  <c r="AB132" i="23" s="1"/>
  <c r="W100" i="23"/>
  <c r="Z100" i="23" s="1"/>
  <c r="AB100" i="23" s="1"/>
  <c r="W68" i="23"/>
  <c r="Z68" i="23" s="1"/>
  <c r="AB68" i="23" s="1"/>
  <c r="W44" i="23"/>
  <c r="Z44" i="23" s="1"/>
  <c r="AB44" i="23" s="1"/>
  <c r="W20" i="23"/>
  <c r="Z20" i="23" s="1"/>
  <c r="AB20" i="23" s="1"/>
  <c r="W131" i="23"/>
  <c r="Z131" i="23" s="1"/>
  <c r="AB131" i="23" s="1"/>
  <c r="W107" i="23"/>
  <c r="Z107" i="23" s="1"/>
  <c r="AB107" i="23" s="1"/>
  <c r="W75" i="23"/>
  <c r="Z75" i="23" s="1"/>
  <c r="AB75" i="23" s="1"/>
  <c r="W27" i="23"/>
  <c r="Z27" i="23" s="1"/>
  <c r="AB27" i="23" s="1"/>
  <c r="W133" i="24"/>
  <c r="Z133" i="24" s="1"/>
  <c r="AB133" i="24" s="1"/>
  <c r="W125" i="24"/>
  <c r="Z125" i="24" s="1"/>
  <c r="AB125" i="24" s="1"/>
  <c r="W117" i="24"/>
  <c r="Z117" i="24" s="1"/>
  <c r="AB117" i="24" s="1"/>
  <c r="W109" i="24"/>
  <c r="Z109" i="24" s="1"/>
  <c r="AB109" i="24" s="1"/>
  <c r="W101" i="24"/>
  <c r="Z101" i="24" s="1"/>
  <c r="AB101" i="24" s="1"/>
  <c r="W93" i="24"/>
  <c r="Z93" i="24" s="1"/>
  <c r="AB93" i="24" s="1"/>
  <c r="W85" i="24"/>
  <c r="Z85" i="24" s="1"/>
  <c r="AB85" i="24" s="1"/>
  <c r="W77" i="24"/>
  <c r="Z77" i="24" s="1"/>
  <c r="AB77" i="24" s="1"/>
  <c r="W69" i="24"/>
  <c r="Z69" i="24" s="1"/>
  <c r="AB69" i="24" s="1"/>
  <c r="W61" i="24"/>
  <c r="Z61" i="24" s="1"/>
  <c r="AB61" i="24" s="1"/>
  <c r="W53" i="24"/>
  <c r="Z53" i="24" s="1"/>
  <c r="AB53" i="24" s="1"/>
  <c r="W45" i="24"/>
  <c r="Z45" i="24" s="1"/>
  <c r="AB45" i="24" s="1"/>
  <c r="W37" i="24"/>
  <c r="Z37" i="24" s="1"/>
  <c r="AB37" i="24" s="1"/>
  <c r="W29" i="24"/>
  <c r="Z29" i="24" s="1"/>
  <c r="AB29" i="24" s="1"/>
  <c r="W21" i="24"/>
  <c r="Z21" i="24" s="1"/>
  <c r="AB21" i="24" s="1"/>
  <c r="W13" i="24"/>
  <c r="Z13" i="24" s="1"/>
  <c r="AB13" i="24" s="1"/>
  <c r="W124" i="23"/>
  <c r="Z124" i="23" s="1"/>
  <c r="AB124" i="23" s="1"/>
  <c r="W60" i="23"/>
  <c r="Z60" i="23" s="1"/>
  <c r="AB60" i="23" s="1"/>
  <c r="W99" i="23"/>
  <c r="Z99" i="23" s="1"/>
  <c r="AB99" i="23" s="1"/>
  <c r="W51" i="23"/>
  <c r="Z51" i="23" s="1"/>
  <c r="AB51" i="23" s="1"/>
  <c r="W128" i="24"/>
  <c r="Z128" i="24" s="1"/>
  <c r="AB128" i="24" s="1"/>
  <c r="Z105" i="23"/>
  <c r="AB105" i="23" s="1"/>
  <c r="Z81" i="23"/>
  <c r="AB81" i="23" s="1"/>
  <c r="Z65" i="23"/>
  <c r="AB65" i="23" s="1"/>
  <c r="Z33" i="23"/>
  <c r="AB33" i="23" s="1"/>
  <c r="Y132" i="23"/>
  <c r="AA132" i="23" s="1"/>
  <c r="Y124" i="23"/>
  <c r="AA124" i="23" s="1"/>
  <c r="Y116" i="23"/>
  <c r="AA116" i="23" s="1"/>
  <c r="Y108" i="23"/>
  <c r="AA108" i="23" s="1"/>
  <c r="Y100" i="23"/>
  <c r="AA100" i="23" s="1"/>
  <c r="Y92" i="23"/>
  <c r="AA92" i="23" s="1"/>
  <c r="Y84" i="23"/>
  <c r="AA84" i="23" s="1"/>
  <c r="Y76" i="23"/>
  <c r="AA76" i="23" s="1"/>
  <c r="Y68" i="23"/>
  <c r="AA68" i="23" s="1"/>
  <c r="Y60" i="23"/>
  <c r="AA60" i="23" s="1"/>
  <c r="Y52" i="23"/>
  <c r="AA52" i="23" s="1"/>
  <c r="Y44" i="23"/>
  <c r="AA44" i="23" s="1"/>
  <c r="Y36" i="23"/>
  <c r="AA36" i="23" s="1"/>
  <c r="Y28" i="23"/>
  <c r="AA28" i="23" s="1"/>
  <c r="Y20" i="23"/>
  <c r="AA20" i="23" s="1"/>
  <c r="Y12" i="23"/>
  <c r="AA12" i="23" s="1"/>
  <c r="Y15" i="24"/>
  <c r="AA15" i="24" s="1"/>
  <c r="W132" i="24"/>
  <c r="Z132" i="24" s="1"/>
  <c r="AB132" i="24" s="1"/>
  <c r="W124" i="24"/>
  <c r="Z124" i="24" s="1"/>
  <c r="AB124" i="24" s="1"/>
  <c r="W116" i="24"/>
  <c r="Z116" i="24" s="1"/>
  <c r="AB116" i="24" s="1"/>
  <c r="W108" i="24"/>
  <c r="Z108" i="24" s="1"/>
  <c r="AB108" i="24" s="1"/>
  <c r="W100" i="24"/>
  <c r="Z100" i="24" s="1"/>
  <c r="AB100" i="24" s="1"/>
  <c r="W92" i="24"/>
  <c r="Z92" i="24" s="1"/>
  <c r="AB92" i="24" s="1"/>
  <c r="W84" i="24"/>
  <c r="Z84" i="24" s="1"/>
  <c r="AB84" i="24" s="1"/>
  <c r="W76" i="24"/>
  <c r="Z76" i="24" s="1"/>
  <c r="AB76" i="24" s="1"/>
  <c r="W68" i="24"/>
  <c r="Z68" i="24" s="1"/>
  <c r="AB68" i="24" s="1"/>
  <c r="W60" i="24"/>
  <c r="Z60" i="24" s="1"/>
  <c r="AB60" i="24" s="1"/>
  <c r="W52" i="24"/>
  <c r="Z52" i="24" s="1"/>
  <c r="AB52" i="24" s="1"/>
  <c r="W44" i="24"/>
  <c r="Z44" i="24" s="1"/>
  <c r="AB44" i="24" s="1"/>
  <c r="W36" i="24"/>
  <c r="Z36" i="24" s="1"/>
  <c r="AB36" i="24" s="1"/>
  <c r="W28" i="24"/>
  <c r="Z28" i="24" s="1"/>
  <c r="AB28" i="24" s="1"/>
  <c r="W20" i="24"/>
  <c r="Z20" i="24" s="1"/>
  <c r="AB20" i="24" s="1"/>
  <c r="W12" i="24"/>
  <c r="Z12" i="24" s="1"/>
  <c r="AB12" i="24" s="1"/>
  <c r="W116" i="23"/>
  <c r="Z116" i="23" s="1"/>
  <c r="AB116" i="23" s="1"/>
  <c r="W84" i="23"/>
  <c r="Z84" i="23" s="1"/>
  <c r="AB84" i="23" s="1"/>
  <c r="W28" i="23"/>
  <c r="Z28" i="23" s="1"/>
  <c r="AB28" i="23" s="1"/>
  <c r="W91" i="23"/>
  <c r="Z91" i="23" s="1"/>
  <c r="AB91" i="23" s="1"/>
  <c r="W43" i="23"/>
  <c r="Z43" i="23" s="1"/>
  <c r="AB43" i="23" s="1"/>
  <c r="W11" i="23"/>
  <c r="Z11" i="23" s="1"/>
  <c r="AB11" i="23" s="1"/>
  <c r="Y131" i="23"/>
  <c r="AA131" i="23" s="1"/>
  <c r="Y123" i="23"/>
  <c r="AA123" i="23" s="1"/>
  <c r="Y115" i="23"/>
  <c r="AA115" i="23" s="1"/>
  <c r="Y107" i="23"/>
  <c r="AA107" i="23" s="1"/>
  <c r="Y99" i="23"/>
  <c r="AA99" i="23" s="1"/>
  <c r="Y91" i="23"/>
  <c r="AA91" i="23" s="1"/>
  <c r="Y83" i="23"/>
  <c r="AA83" i="23" s="1"/>
  <c r="Y75" i="23"/>
  <c r="AA75" i="23" s="1"/>
  <c r="Y67" i="23"/>
  <c r="AA67" i="23" s="1"/>
  <c r="Y59" i="23"/>
  <c r="AA59" i="23" s="1"/>
  <c r="Y51" i="23"/>
  <c r="AA51" i="23" s="1"/>
  <c r="Y43" i="23"/>
  <c r="AA43" i="23" s="1"/>
  <c r="Y35" i="23"/>
  <c r="AA35" i="23" s="1"/>
  <c r="Y27" i="23"/>
  <c r="AA27" i="23" s="1"/>
  <c r="Y19" i="23"/>
  <c r="AA19" i="23" s="1"/>
  <c r="Y14" i="24"/>
  <c r="AA14" i="24" s="1"/>
  <c r="W131" i="24"/>
  <c r="Z131" i="24" s="1"/>
  <c r="AB131" i="24" s="1"/>
  <c r="W123" i="24"/>
  <c r="Z123" i="24" s="1"/>
  <c r="AB123" i="24" s="1"/>
  <c r="W115" i="24"/>
  <c r="Z115" i="24" s="1"/>
  <c r="AB115" i="24" s="1"/>
  <c r="W107" i="24"/>
  <c r="Z107" i="24" s="1"/>
  <c r="AB107" i="24" s="1"/>
  <c r="W99" i="24"/>
  <c r="Z99" i="24" s="1"/>
  <c r="AB99" i="24" s="1"/>
  <c r="W91" i="24"/>
  <c r="Z91" i="24" s="1"/>
  <c r="AB91" i="24" s="1"/>
  <c r="W83" i="24"/>
  <c r="Z83" i="24" s="1"/>
  <c r="AB83" i="24" s="1"/>
  <c r="W75" i="24"/>
  <c r="Z75" i="24" s="1"/>
  <c r="AB75" i="24" s="1"/>
  <c r="W67" i="24"/>
  <c r="Z67" i="24" s="1"/>
  <c r="AB67" i="24" s="1"/>
  <c r="W59" i="24"/>
  <c r="Z59" i="24" s="1"/>
  <c r="AB59" i="24" s="1"/>
  <c r="W51" i="24"/>
  <c r="Z51" i="24" s="1"/>
  <c r="AB51" i="24" s="1"/>
  <c r="W43" i="24"/>
  <c r="Z43" i="24" s="1"/>
  <c r="AB43" i="24" s="1"/>
  <c r="W35" i="24"/>
  <c r="Z35" i="24" s="1"/>
  <c r="AB35" i="24" s="1"/>
  <c r="W27" i="24"/>
  <c r="Z27" i="24" s="1"/>
  <c r="AB27" i="24" s="1"/>
  <c r="W19" i="24"/>
  <c r="Z19" i="24" s="1"/>
  <c r="AB19" i="24" s="1"/>
  <c r="W11" i="24"/>
  <c r="Z11" i="24" s="1"/>
  <c r="AB11" i="24" s="1"/>
  <c r="Y19" i="24"/>
  <c r="AA19" i="24" s="1"/>
  <c r="Y11" i="24"/>
  <c r="AA11" i="24" s="1"/>
  <c r="Z121" i="24"/>
  <c r="AB121" i="24" s="1"/>
  <c r="C19" i="14"/>
  <c r="J1004" i="28"/>
  <c r="J1005" i="28"/>
  <c r="J1006" i="28"/>
  <c r="J1007" i="28"/>
  <c r="J1008" i="28"/>
  <c r="J1009" i="28"/>
  <c r="J1010" i="28"/>
  <c r="J1011" i="28"/>
  <c r="J1012" i="28"/>
  <c r="J1013" i="28"/>
  <c r="J1014" i="28"/>
  <c r="J1015" i="28"/>
  <c r="J1016" i="28"/>
  <c r="J1017" i="28"/>
  <c r="J1018" i="28"/>
  <c r="J1019" i="28"/>
  <c r="J1020" i="28"/>
  <c r="J1021" i="28"/>
  <c r="J1022" i="28"/>
  <c r="J1023" i="28"/>
  <c r="J1024" i="28"/>
  <c r="J1025" i="28"/>
  <c r="J1026" i="28"/>
  <c r="J1027" i="28"/>
  <c r="J1028" i="28"/>
  <c r="J1029" i="28"/>
  <c r="J1030" i="28"/>
  <c r="J1031" i="28"/>
  <c r="J1032" i="28"/>
  <c r="J1033" i="28"/>
  <c r="J1034" i="28"/>
  <c r="J1035" i="28"/>
  <c r="J1036" i="28"/>
  <c r="J1037" i="28"/>
  <c r="J1038" i="28"/>
  <c r="J1039" i="28"/>
  <c r="J1040" i="28"/>
  <c r="J1041" i="28"/>
  <c r="J1042" i="28"/>
  <c r="J1043" i="28"/>
  <c r="J1044" i="28"/>
  <c r="J1045" i="28"/>
  <c r="J1046" i="28"/>
  <c r="J1047" i="28"/>
  <c r="J1048" i="28"/>
  <c r="J1049" i="28"/>
  <c r="J1050" i="28"/>
  <c r="J1051" i="28"/>
  <c r="J1052" i="28"/>
  <c r="J1053" i="28"/>
  <c r="J1054" i="28"/>
  <c r="J1055" i="28"/>
  <c r="J1056" i="28"/>
  <c r="J1057" i="28"/>
  <c r="J1058" i="28"/>
  <c r="J1059" i="28"/>
  <c r="J1060" i="28"/>
  <c r="J1061" i="28"/>
  <c r="J1062" i="28"/>
  <c r="J1063" i="28"/>
  <c r="J1064" i="28"/>
  <c r="J1065" i="28"/>
  <c r="J1066" i="28"/>
  <c r="J1067" i="28"/>
  <c r="J1068" i="28"/>
  <c r="J1069" i="28"/>
  <c r="J1070" i="28"/>
  <c r="J1071" i="28"/>
  <c r="J1072" i="28"/>
  <c r="J1073" i="28"/>
  <c r="J1074" i="28"/>
  <c r="J1075" i="28"/>
  <c r="J1076" i="28"/>
  <c r="J1077" i="28"/>
  <c r="J1078" i="28"/>
  <c r="J1079" i="28"/>
  <c r="J1080" i="28"/>
  <c r="J1081" i="28"/>
  <c r="J1082" i="28"/>
  <c r="J1083" i="28"/>
  <c r="J1084" i="28"/>
  <c r="J1085" i="28"/>
  <c r="J1086" i="28"/>
  <c r="J1087" i="28"/>
  <c r="J1088" i="28"/>
  <c r="J1089" i="28"/>
  <c r="J1090" i="28"/>
  <c r="J1091" i="28"/>
  <c r="J1092" i="28"/>
  <c r="J1093" i="28"/>
  <c r="J1094" i="28"/>
  <c r="J1095" i="28"/>
  <c r="J1096" i="28"/>
  <c r="J1097" i="28"/>
  <c r="J1098" i="28"/>
  <c r="J1099" i="28"/>
  <c r="J1100" i="28"/>
  <c r="J1101" i="28"/>
  <c r="J1102" i="28"/>
  <c r="J1103" i="28"/>
  <c r="J1104" i="28"/>
  <c r="J1105" i="28"/>
  <c r="J1106" i="28"/>
  <c r="W399" i="11" l="1"/>
  <c r="W395" i="11"/>
  <c r="W394" i="11"/>
  <c r="W393" i="11"/>
  <c r="W392" i="11"/>
  <c r="W391" i="11"/>
  <c r="W390" i="11"/>
  <c r="W389" i="11"/>
  <c r="W388" i="11"/>
  <c r="W387" i="11"/>
  <c r="W386" i="11"/>
  <c r="W385" i="11"/>
  <c r="W384" i="11"/>
  <c r="W383" i="11"/>
  <c r="W382" i="11"/>
  <c r="W381" i="11"/>
  <c r="W380" i="11"/>
  <c r="W379" i="11"/>
  <c r="W378" i="11"/>
  <c r="W377" i="11"/>
  <c r="W376" i="11"/>
  <c r="W375" i="11"/>
  <c r="W374" i="11"/>
  <c r="W373" i="11"/>
  <c r="W372" i="11"/>
  <c r="W371" i="11"/>
  <c r="W370" i="11"/>
  <c r="W369" i="11"/>
  <c r="W368" i="11"/>
  <c r="W367" i="11"/>
  <c r="W366" i="11"/>
  <c r="W365" i="11"/>
  <c r="W364" i="11"/>
  <c r="V399" i="11"/>
  <c r="X399" i="11" s="1"/>
  <c r="V395" i="11"/>
  <c r="X395" i="11" s="1"/>
  <c r="V394" i="11"/>
  <c r="X394" i="11" s="1"/>
  <c r="V393" i="11"/>
  <c r="X393" i="11" s="1"/>
  <c r="V392" i="11"/>
  <c r="X392" i="11" s="1"/>
  <c r="V391" i="11"/>
  <c r="X391" i="11" s="1"/>
  <c r="V390" i="11"/>
  <c r="X390" i="11" s="1"/>
  <c r="V389" i="11"/>
  <c r="V388" i="11"/>
  <c r="V387" i="11"/>
  <c r="V386" i="11"/>
  <c r="V385" i="11"/>
  <c r="V384" i="11"/>
  <c r="V383" i="11"/>
  <c r="V382" i="11"/>
  <c r="V381" i="11"/>
  <c r="V380" i="11"/>
  <c r="V379" i="11"/>
  <c r="V378" i="11"/>
  <c r="V377" i="11"/>
  <c r="V376" i="11"/>
  <c r="X376" i="11" s="1"/>
  <c r="V375" i="11"/>
  <c r="X375" i="11" s="1"/>
  <c r="V374" i="11"/>
  <c r="X374" i="11" s="1"/>
  <c r="V373" i="11"/>
  <c r="X373" i="11" s="1"/>
  <c r="V372" i="11"/>
  <c r="X372" i="11" s="1"/>
  <c r="V371" i="11"/>
  <c r="X371" i="11" s="1"/>
  <c r="V370" i="11"/>
  <c r="X370" i="11" s="1"/>
  <c r="V369" i="11"/>
  <c r="V368" i="11"/>
  <c r="V367" i="11"/>
  <c r="V366" i="11"/>
  <c r="V365" i="11"/>
  <c r="V364" i="11"/>
  <c r="T399" i="11"/>
  <c r="T395" i="11"/>
  <c r="T394" i="11"/>
  <c r="T393" i="11"/>
  <c r="T392" i="11"/>
  <c r="T391" i="11"/>
  <c r="T390" i="11"/>
  <c r="T389" i="11"/>
  <c r="T388" i="11"/>
  <c r="T387" i="11"/>
  <c r="T386" i="11"/>
  <c r="T385" i="11"/>
  <c r="T384" i="11"/>
  <c r="T383" i="11"/>
  <c r="T382" i="11"/>
  <c r="T381" i="11"/>
  <c r="T380" i="11"/>
  <c r="T379" i="11"/>
  <c r="T378" i="11"/>
  <c r="T377" i="11"/>
  <c r="T376" i="11"/>
  <c r="T375" i="11"/>
  <c r="T374" i="11"/>
  <c r="T373" i="11"/>
  <c r="T372" i="11"/>
  <c r="T371" i="11"/>
  <c r="T370" i="11"/>
  <c r="T369" i="11"/>
  <c r="T368" i="11"/>
  <c r="T367" i="11"/>
  <c r="T366" i="11"/>
  <c r="T365" i="11"/>
  <c r="T364" i="11"/>
  <c r="S399" i="11"/>
  <c r="U399" i="11" s="1"/>
  <c r="S395" i="11"/>
  <c r="S394" i="11"/>
  <c r="S393" i="11"/>
  <c r="S392" i="11"/>
  <c r="S391" i="11"/>
  <c r="S390" i="11"/>
  <c r="S389" i="11"/>
  <c r="S388" i="11"/>
  <c r="S387" i="11"/>
  <c r="S386" i="11"/>
  <c r="S385" i="11"/>
  <c r="S384" i="11"/>
  <c r="S383" i="11"/>
  <c r="S382" i="11"/>
  <c r="U382" i="11" s="1"/>
  <c r="S381" i="11"/>
  <c r="U381" i="11" s="1"/>
  <c r="S380" i="11"/>
  <c r="U380" i="11" s="1"/>
  <c r="S379" i="11"/>
  <c r="U379" i="11" s="1"/>
  <c r="S378" i="11"/>
  <c r="U378" i="11" s="1"/>
  <c r="S377" i="11"/>
  <c r="U377" i="11" s="1"/>
  <c r="S376" i="11"/>
  <c r="U376" i="11" s="1"/>
  <c r="S375" i="11"/>
  <c r="S374" i="11"/>
  <c r="S373" i="11"/>
  <c r="S372" i="11"/>
  <c r="S371" i="11"/>
  <c r="S370" i="11"/>
  <c r="S369" i="11"/>
  <c r="S368" i="11"/>
  <c r="S367" i="11"/>
  <c r="S366" i="11"/>
  <c r="S365" i="11"/>
  <c r="S364" i="11"/>
  <c r="O399" i="11"/>
  <c r="O395" i="11"/>
  <c r="O394" i="11"/>
  <c r="O393" i="11"/>
  <c r="O392" i="11"/>
  <c r="O391" i="11"/>
  <c r="O390" i="11"/>
  <c r="O389" i="11"/>
  <c r="O388" i="11"/>
  <c r="O387" i="11"/>
  <c r="O386" i="11"/>
  <c r="O385" i="11"/>
  <c r="O384" i="11"/>
  <c r="O383" i="11"/>
  <c r="O382" i="11"/>
  <c r="O381" i="11"/>
  <c r="O380" i="11"/>
  <c r="O379" i="11"/>
  <c r="O378" i="11"/>
  <c r="O377" i="11"/>
  <c r="O376" i="11"/>
  <c r="O375" i="11"/>
  <c r="O374" i="11"/>
  <c r="O373" i="11"/>
  <c r="O372" i="11"/>
  <c r="O371" i="11"/>
  <c r="O370" i="11"/>
  <c r="O369" i="11"/>
  <c r="O368" i="11"/>
  <c r="O367" i="11"/>
  <c r="O366" i="11"/>
  <c r="O365" i="11"/>
  <c r="O364" i="11"/>
  <c r="N399" i="11"/>
  <c r="N395" i="11"/>
  <c r="N394" i="11"/>
  <c r="N393" i="11"/>
  <c r="N392" i="11"/>
  <c r="N391" i="11"/>
  <c r="N390" i="11"/>
  <c r="N389" i="11"/>
  <c r="N388" i="11"/>
  <c r="P388" i="11" s="1"/>
  <c r="N387" i="11"/>
  <c r="P387" i="11" s="1"/>
  <c r="N386" i="11"/>
  <c r="P386" i="11" s="1"/>
  <c r="N385" i="11"/>
  <c r="P385" i="11" s="1"/>
  <c r="N384" i="11"/>
  <c r="P384" i="11" s="1"/>
  <c r="N383" i="11"/>
  <c r="P383" i="11" s="1"/>
  <c r="N382" i="11"/>
  <c r="P382" i="11" s="1"/>
  <c r="N381" i="11"/>
  <c r="N380" i="11"/>
  <c r="N379" i="11"/>
  <c r="N378" i="11"/>
  <c r="N377" i="11"/>
  <c r="N376" i="11"/>
  <c r="N375" i="11"/>
  <c r="N374" i="11"/>
  <c r="N373" i="11"/>
  <c r="N372" i="11"/>
  <c r="N371" i="11"/>
  <c r="N370" i="11"/>
  <c r="N369" i="11"/>
  <c r="N368" i="11"/>
  <c r="P368" i="11" s="1"/>
  <c r="N367" i="11"/>
  <c r="P367" i="11" s="1"/>
  <c r="N366" i="11"/>
  <c r="P366" i="11" s="1"/>
  <c r="N365" i="11"/>
  <c r="P365" i="11" s="1"/>
  <c r="N364" i="11"/>
  <c r="P364" i="11" s="1"/>
  <c r="L399" i="11"/>
  <c r="L395" i="11"/>
  <c r="L394" i="11"/>
  <c r="L393" i="11"/>
  <c r="L392" i="11"/>
  <c r="L391" i="11"/>
  <c r="L390" i="11"/>
  <c r="L389" i="11"/>
  <c r="L388" i="11"/>
  <c r="L387" i="11"/>
  <c r="L386" i="11"/>
  <c r="L385" i="11"/>
  <c r="L384" i="11"/>
  <c r="L383" i="11"/>
  <c r="L382" i="11"/>
  <c r="L381" i="11"/>
  <c r="L380" i="11"/>
  <c r="L379" i="11"/>
  <c r="L378" i="11"/>
  <c r="L377" i="11"/>
  <c r="L376" i="11"/>
  <c r="L375" i="11"/>
  <c r="L374" i="11"/>
  <c r="L373" i="11"/>
  <c r="L372" i="11"/>
  <c r="L371" i="11"/>
  <c r="L370" i="11"/>
  <c r="L369" i="11"/>
  <c r="L368" i="11"/>
  <c r="L367" i="11"/>
  <c r="L366" i="11"/>
  <c r="L365" i="11"/>
  <c r="L364" i="11"/>
  <c r="K399" i="11"/>
  <c r="K395" i="11"/>
  <c r="K394" i="11"/>
  <c r="M394" i="11" s="1"/>
  <c r="K393" i="11"/>
  <c r="M393" i="11" s="1"/>
  <c r="K392" i="11"/>
  <c r="M392" i="11" s="1"/>
  <c r="K391" i="11"/>
  <c r="M391" i="11" s="1"/>
  <c r="K390" i="11"/>
  <c r="M390" i="11" s="1"/>
  <c r="K389" i="11"/>
  <c r="M389" i="11" s="1"/>
  <c r="K388" i="11"/>
  <c r="M388" i="11" s="1"/>
  <c r="K387" i="11"/>
  <c r="K386" i="11"/>
  <c r="K385" i="11"/>
  <c r="K384" i="11"/>
  <c r="K383" i="11"/>
  <c r="K382" i="11"/>
  <c r="K381" i="11"/>
  <c r="K380" i="11"/>
  <c r="K379" i="11"/>
  <c r="K378" i="11"/>
  <c r="K377" i="11"/>
  <c r="K376" i="11"/>
  <c r="K375" i="11"/>
  <c r="K374" i="11"/>
  <c r="M374" i="11" s="1"/>
  <c r="K373" i="11"/>
  <c r="M373" i="11" s="1"/>
  <c r="K372" i="11"/>
  <c r="M372" i="11" s="1"/>
  <c r="K371" i="11"/>
  <c r="M371" i="11" s="1"/>
  <c r="K370" i="11"/>
  <c r="M370" i="11" s="1"/>
  <c r="K369" i="11"/>
  <c r="M369" i="11" s="1"/>
  <c r="K368" i="11"/>
  <c r="M368" i="11" s="1"/>
  <c r="K367" i="11"/>
  <c r="K366" i="11"/>
  <c r="K365" i="11"/>
  <c r="K364" i="11"/>
  <c r="G399"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F399" i="11"/>
  <c r="H399" i="11" s="1"/>
  <c r="F395" i="11"/>
  <c r="H395" i="11" s="1"/>
  <c r="F394" i="11"/>
  <c r="H394" i="11" s="1"/>
  <c r="F393" i="11"/>
  <c r="F392" i="11"/>
  <c r="F391" i="11"/>
  <c r="F390" i="11"/>
  <c r="F389" i="11"/>
  <c r="F388" i="11"/>
  <c r="F387" i="11"/>
  <c r="F386" i="11"/>
  <c r="F385" i="11"/>
  <c r="F384" i="11"/>
  <c r="F383" i="11"/>
  <c r="F382" i="11"/>
  <c r="F381" i="11"/>
  <c r="F380" i="11"/>
  <c r="H380" i="11" s="1"/>
  <c r="F379" i="11"/>
  <c r="H379" i="11" s="1"/>
  <c r="F378" i="11"/>
  <c r="H378" i="11" s="1"/>
  <c r="F377" i="11"/>
  <c r="H377" i="11" s="1"/>
  <c r="F376" i="11"/>
  <c r="H376" i="11" s="1"/>
  <c r="F375" i="11"/>
  <c r="H375" i="11" s="1"/>
  <c r="F374" i="11"/>
  <c r="H374" i="11" s="1"/>
  <c r="F373" i="11"/>
  <c r="F372" i="11"/>
  <c r="F371" i="11"/>
  <c r="F370" i="11"/>
  <c r="F369" i="11"/>
  <c r="F368" i="11"/>
  <c r="F367" i="11"/>
  <c r="F366" i="11"/>
  <c r="F365" i="11"/>
  <c r="F364" i="11"/>
  <c r="D399"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C399" i="11"/>
  <c r="C395" i="11"/>
  <c r="C394" i="11"/>
  <c r="C393" i="11"/>
  <c r="C392" i="11"/>
  <c r="C391" i="11"/>
  <c r="C390" i="11"/>
  <c r="C389" i="11"/>
  <c r="C388" i="11"/>
  <c r="C387" i="11"/>
  <c r="C386" i="11"/>
  <c r="E386" i="11" s="1"/>
  <c r="C385" i="11"/>
  <c r="E385" i="11" s="1"/>
  <c r="C384" i="11"/>
  <c r="E384" i="11" s="1"/>
  <c r="C383" i="11"/>
  <c r="E383" i="11" s="1"/>
  <c r="C382" i="11"/>
  <c r="E382" i="11" s="1"/>
  <c r="C381" i="11"/>
  <c r="E381" i="11" s="1"/>
  <c r="C380" i="11"/>
  <c r="E380" i="11" s="1"/>
  <c r="C379" i="11"/>
  <c r="C378" i="11"/>
  <c r="C377" i="11"/>
  <c r="C376" i="11"/>
  <c r="C375" i="11"/>
  <c r="C374" i="11"/>
  <c r="C373" i="11"/>
  <c r="C372" i="11"/>
  <c r="C371" i="11"/>
  <c r="C370" i="11"/>
  <c r="C369" i="11"/>
  <c r="C368" i="11"/>
  <c r="C367" i="11"/>
  <c r="C366" i="11"/>
  <c r="E366" i="11" s="1"/>
  <c r="C365" i="11"/>
  <c r="E365" i="11" s="1"/>
  <c r="C364" i="11"/>
  <c r="E364" i="11" s="1"/>
  <c r="AD355" i="11"/>
  <c r="AD351" i="11"/>
  <c r="AD350" i="11"/>
  <c r="AD349" i="11"/>
  <c r="AD348" i="11"/>
  <c r="AD347" i="11"/>
  <c r="AD346" i="11"/>
  <c r="AD345" i="11"/>
  <c r="AD344" i="11"/>
  <c r="AD343" i="11"/>
  <c r="AD342" i="11"/>
  <c r="AD341" i="11"/>
  <c r="AD340" i="11"/>
  <c r="AD339" i="11"/>
  <c r="AD338" i="11"/>
  <c r="AD337" i="11"/>
  <c r="AD336" i="11"/>
  <c r="AD335" i="11"/>
  <c r="AD334" i="11"/>
  <c r="AD333" i="11"/>
  <c r="AD332" i="11"/>
  <c r="AD331" i="11"/>
  <c r="AD330" i="11"/>
  <c r="AD329" i="11"/>
  <c r="AD328" i="11"/>
  <c r="AD327" i="11"/>
  <c r="AD326" i="11"/>
  <c r="AD325" i="11"/>
  <c r="AD324" i="11"/>
  <c r="AD323" i="11"/>
  <c r="AD322" i="11"/>
  <c r="AD321" i="11"/>
  <c r="AD320" i="11"/>
  <c r="AC355" i="11"/>
  <c r="AC351" i="11"/>
  <c r="AC350" i="11"/>
  <c r="AC349" i="11"/>
  <c r="AC348" i="11"/>
  <c r="AC347" i="11"/>
  <c r="AC346" i="11"/>
  <c r="AC345" i="11"/>
  <c r="AC344" i="11"/>
  <c r="AC343" i="11"/>
  <c r="AC342" i="11"/>
  <c r="AC341" i="11"/>
  <c r="AC340" i="11"/>
  <c r="AC339" i="11"/>
  <c r="AC338" i="11"/>
  <c r="AC337" i="11"/>
  <c r="AC336" i="11"/>
  <c r="AC335" i="11"/>
  <c r="AC334" i="11"/>
  <c r="AC333" i="11"/>
  <c r="AC332" i="11"/>
  <c r="AC331" i="11"/>
  <c r="AC330" i="11"/>
  <c r="AC329" i="11"/>
  <c r="AC328" i="11"/>
  <c r="AC327" i="11"/>
  <c r="AC326" i="11"/>
  <c r="AC325" i="11"/>
  <c r="AC324" i="11"/>
  <c r="AC323" i="11"/>
  <c r="AC322" i="11"/>
  <c r="AC321" i="11"/>
  <c r="AC320" i="11"/>
  <c r="V355" i="11"/>
  <c r="AA355" i="11" s="1"/>
  <c r="V351" i="11"/>
  <c r="AA351" i="11" s="1"/>
  <c r="V350" i="11"/>
  <c r="AA350" i="11" s="1"/>
  <c r="V349" i="11"/>
  <c r="AA349" i="11" s="1"/>
  <c r="V348" i="11"/>
  <c r="AA348" i="11" s="1"/>
  <c r="V347" i="11"/>
  <c r="AA347" i="11" s="1"/>
  <c r="V346" i="11"/>
  <c r="AA346" i="11" s="1"/>
  <c r="V345" i="11"/>
  <c r="AA345" i="11" s="1"/>
  <c r="V344" i="11"/>
  <c r="AA344" i="11" s="1"/>
  <c r="V343" i="11"/>
  <c r="AA343" i="11" s="1"/>
  <c r="V342" i="11"/>
  <c r="AA342" i="11" s="1"/>
  <c r="V341" i="11"/>
  <c r="AA341" i="11" s="1"/>
  <c r="V340" i="11"/>
  <c r="AA340" i="11" s="1"/>
  <c r="V339" i="11"/>
  <c r="AA339" i="11" s="1"/>
  <c r="V338" i="11"/>
  <c r="AA338" i="11" s="1"/>
  <c r="V337" i="11"/>
  <c r="AA337" i="11" s="1"/>
  <c r="V336" i="11"/>
  <c r="AA336" i="11" s="1"/>
  <c r="V335" i="11"/>
  <c r="AA335" i="11" s="1"/>
  <c r="V334" i="11"/>
  <c r="AA334" i="11" s="1"/>
  <c r="V333" i="11"/>
  <c r="AA333" i="11" s="1"/>
  <c r="V332" i="11"/>
  <c r="AA332" i="11" s="1"/>
  <c r="V331" i="11"/>
  <c r="AA331" i="11" s="1"/>
  <c r="V330" i="11"/>
  <c r="AA330" i="11" s="1"/>
  <c r="V329" i="11"/>
  <c r="AA329" i="11" s="1"/>
  <c r="V328" i="11"/>
  <c r="AA328" i="11" s="1"/>
  <c r="V327" i="11"/>
  <c r="AA327" i="11" s="1"/>
  <c r="V326" i="11"/>
  <c r="AA326" i="11" s="1"/>
  <c r="V325" i="11"/>
  <c r="AA325" i="11" s="1"/>
  <c r="V324" i="11"/>
  <c r="AA324" i="11" s="1"/>
  <c r="V323" i="11"/>
  <c r="AA323" i="11" s="1"/>
  <c r="V322" i="11"/>
  <c r="AA322" i="11" s="1"/>
  <c r="V321" i="11"/>
  <c r="AA321" i="11" s="1"/>
  <c r="V320" i="11"/>
  <c r="AA320" i="11" s="1"/>
  <c r="U355" i="11"/>
  <c r="Z355" i="11" s="1"/>
  <c r="U351" i="11"/>
  <c r="Z351" i="11" s="1"/>
  <c r="U350" i="11"/>
  <c r="Z350" i="11" s="1"/>
  <c r="U349" i="11"/>
  <c r="Z349" i="11" s="1"/>
  <c r="U348" i="11"/>
  <c r="Z348" i="11" s="1"/>
  <c r="U347" i="11"/>
  <c r="Z347" i="11" s="1"/>
  <c r="U346" i="11"/>
  <c r="Z346" i="11" s="1"/>
  <c r="U345" i="11"/>
  <c r="Z345" i="11" s="1"/>
  <c r="U344" i="11"/>
  <c r="Z344" i="11" s="1"/>
  <c r="U343" i="11"/>
  <c r="Z343" i="11" s="1"/>
  <c r="U342" i="11"/>
  <c r="Z342" i="11" s="1"/>
  <c r="U341" i="11"/>
  <c r="Z341" i="11" s="1"/>
  <c r="U340" i="11"/>
  <c r="Z340" i="11" s="1"/>
  <c r="U339" i="11"/>
  <c r="Z339" i="11" s="1"/>
  <c r="U338" i="11"/>
  <c r="Z338" i="11" s="1"/>
  <c r="U337" i="11"/>
  <c r="Z337" i="11" s="1"/>
  <c r="U336" i="11"/>
  <c r="Z336" i="11" s="1"/>
  <c r="U335" i="11"/>
  <c r="Z335" i="11" s="1"/>
  <c r="U334" i="11"/>
  <c r="Z334" i="11" s="1"/>
  <c r="U333" i="11"/>
  <c r="Z333" i="11" s="1"/>
  <c r="U332" i="11"/>
  <c r="Z332" i="11" s="1"/>
  <c r="U331" i="11"/>
  <c r="Z331" i="11" s="1"/>
  <c r="U330" i="11"/>
  <c r="Z330" i="11" s="1"/>
  <c r="U329" i="11"/>
  <c r="Z329" i="11" s="1"/>
  <c r="U328" i="11"/>
  <c r="Z328" i="11" s="1"/>
  <c r="U327" i="11"/>
  <c r="Z327" i="11" s="1"/>
  <c r="U326" i="11"/>
  <c r="Z326" i="11" s="1"/>
  <c r="U325" i="11"/>
  <c r="Z325" i="11" s="1"/>
  <c r="U324" i="11"/>
  <c r="Z324" i="11" s="1"/>
  <c r="U323" i="11"/>
  <c r="Z323" i="11" s="1"/>
  <c r="U322" i="11"/>
  <c r="Z322" i="11" s="1"/>
  <c r="U321" i="11"/>
  <c r="Z321" i="11" s="1"/>
  <c r="U320" i="11"/>
  <c r="Z320" i="11" s="1"/>
  <c r="T355" i="11"/>
  <c r="Y355" i="11" s="1"/>
  <c r="T351" i="11"/>
  <c r="Y351" i="11" s="1"/>
  <c r="T350" i="11"/>
  <c r="Y350" i="11" s="1"/>
  <c r="T349" i="11"/>
  <c r="Y349" i="11" s="1"/>
  <c r="T348" i="11"/>
  <c r="Y348" i="11" s="1"/>
  <c r="T347" i="11"/>
  <c r="Y347" i="11" s="1"/>
  <c r="T346" i="11"/>
  <c r="Y346" i="11" s="1"/>
  <c r="T345" i="11"/>
  <c r="Y345" i="11" s="1"/>
  <c r="T344" i="11"/>
  <c r="Y344" i="11" s="1"/>
  <c r="T343" i="11"/>
  <c r="Y343" i="11" s="1"/>
  <c r="T342" i="11"/>
  <c r="Y342" i="11" s="1"/>
  <c r="T341" i="11"/>
  <c r="Y341" i="11" s="1"/>
  <c r="T340" i="11"/>
  <c r="Y340" i="11" s="1"/>
  <c r="T339" i="11"/>
  <c r="Y339" i="11" s="1"/>
  <c r="T338" i="11"/>
  <c r="Y338" i="11" s="1"/>
  <c r="T337" i="11"/>
  <c r="Y337" i="11" s="1"/>
  <c r="T336" i="11"/>
  <c r="Y336" i="11" s="1"/>
  <c r="T335" i="11"/>
  <c r="Y335" i="11" s="1"/>
  <c r="T334" i="11"/>
  <c r="Y334" i="11" s="1"/>
  <c r="T333" i="11"/>
  <c r="Y333" i="11" s="1"/>
  <c r="T332" i="11"/>
  <c r="Y332" i="11" s="1"/>
  <c r="T331" i="11"/>
  <c r="Y331" i="11" s="1"/>
  <c r="T330" i="11"/>
  <c r="Y330" i="11" s="1"/>
  <c r="T329" i="11"/>
  <c r="Y329" i="11" s="1"/>
  <c r="T328" i="11"/>
  <c r="Y328" i="11" s="1"/>
  <c r="T327" i="11"/>
  <c r="Y327" i="11" s="1"/>
  <c r="T326" i="11"/>
  <c r="Y326" i="11" s="1"/>
  <c r="T325" i="11"/>
  <c r="Y325" i="11" s="1"/>
  <c r="T324" i="11"/>
  <c r="Y324" i="11" s="1"/>
  <c r="T323" i="11"/>
  <c r="Y323" i="11" s="1"/>
  <c r="T322" i="11"/>
  <c r="Y322" i="11" s="1"/>
  <c r="T321" i="11"/>
  <c r="Y321" i="11" s="1"/>
  <c r="T320" i="11"/>
  <c r="Y320" i="11" s="1"/>
  <c r="S355" i="11"/>
  <c r="X355" i="11" s="1"/>
  <c r="S351" i="11"/>
  <c r="X351" i="11" s="1"/>
  <c r="S350" i="11"/>
  <c r="X350" i="11" s="1"/>
  <c r="S349" i="11"/>
  <c r="X349" i="11" s="1"/>
  <c r="S348" i="11"/>
  <c r="X348" i="11" s="1"/>
  <c r="S347" i="11"/>
  <c r="X347" i="11" s="1"/>
  <c r="S346" i="11"/>
  <c r="X346" i="11" s="1"/>
  <c r="S345" i="11"/>
  <c r="X345" i="11" s="1"/>
  <c r="S344" i="11"/>
  <c r="X344" i="11" s="1"/>
  <c r="S343" i="11"/>
  <c r="X343" i="11" s="1"/>
  <c r="S342" i="11"/>
  <c r="X342" i="11" s="1"/>
  <c r="S341" i="11"/>
  <c r="X341" i="11" s="1"/>
  <c r="S340" i="11"/>
  <c r="X340" i="11" s="1"/>
  <c r="S339" i="11"/>
  <c r="X339" i="11" s="1"/>
  <c r="S338" i="11"/>
  <c r="X338" i="11" s="1"/>
  <c r="S337" i="11"/>
  <c r="X337" i="11" s="1"/>
  <c r="S336" i="11"/>
  <c r="X336" i="11" s="1"/>
  <c r="S335" i="11"/>
  <c r="X335" i="11" s="1"/>
  <c r="S334" i="11"/>
  <c r="X334" i="11" s="1"/>
  <c r="S333" i="11"/>
  <c r="X333" i="11" s="1"/>
  <c r="S332" i="11"/>
  <c r="X332" i="11" s="1"/>
  <c r="S331" i="11"/>
  <c r="X331" i="11" s="1"/>
  <c r="S330" i="11"/>
  <c r="X330" i="11" s="1"/>
  <c r="S329" i="11"/>
  <c r="X329" i="11" s="1"/>
  <c r="S328" i="11"/>
  <c r="X328" i="11" s="1"/>
  <c r="S327" i="11"/>
  <c r="X327" i="11" s="1"/>
  <c r="S326" i="11"/>
  <c r="X326" i="11" s="1"/>
  <c r="S325" i="11"/>
  <c r="X325" i="11" s="1"/>
  <c r="S324" i="11"/>
  <c r="X324" i="11" s="1"/>
  <c r="S323" i="11"/>
  <c r="X323" i="11" s="1"/>
  <c r="S322" i="11"/>
  <c r="X322" i="11" s="1"/>
  <c r="S321" i="11"/>
  <c r="X321" i="11" s="1"/>
  <c r="S320" i="11"/>
  <c r="X320" i="11" s="1"/>
  <c r="R355" i="11"/>
  <c r="W355" i="11" s="1"/>
  <c r="R351" i="11"/>
  <c r="W351" i="11" s="1"/>
  <c r="R350" i="11"/>
  <c r="W350" i="11" s="1"/>
  <c r="R349" i="11"/>
  <c r="W349" i="11" s="1"/>
  <c r="R348" i="11"/>
  <c r="W348" i="11" s="1"/>
  <c r="R347" i="11"/>
  <c r="W347" i="11" s="1"/>
  <c r="R346" i="11"/>
  <c r="W346" i="11" s="1"/>
  <c r="R345" i="11"/>
  <c r="W345" i="11" s="1"/>
  <c r="R344" i="11"/>
  <c r="W344" i="11" s="1"/>
  <c r="R343" i="11"/>
  <c r="W343" i="11" s="1"/>
  <c r="R342" i="11"/>
  <c r="W342" i="11" s="1"/>
  <c r="R341" i="11"/>
  <c r="W341" i="11" s="1"/>
  <c r="R340" i="11"/>
  <c r="W340" i="11" s="1"/>
  <c r="R339" i="11"/>
  <c r="W339" i="11" s="1"/>
  <c r="R338" i="11"/>
  <c r="W338" i="11" s="1"/>
  <c r="R337" i="11"/>
  <c r="W337" i="11" s="1"/>
  <c r="R336" i="11"/>
  <c r="W336" i="11" s="1"/>
  <c r="R335" i="11"/>
  <c r="W335" i="11" s="1"/>
  <c r="R334" i="11"/>
  <c r="W334" i="11" s="1"/>
  <c r="R333" i="11"/>
  <c r="W333" i="11" s="1"/>
  <c r="R332" i="11"/>
  <c r="W332" i="11" s="1"/>
  <c r="R331" i="11"/>
  <c r="W331" i="11" s="1"/>
  <c r="R330" i="11"/>
  <c r="W330" i="11" s="1"/>
  <c r="R329" i="11"/>
  <c r="W329" i="11" s="1"/>
  <c r="R328" i="11"/>
  <c r="W328" i="11" s="1"/>
  <c r="R327" i="11"/>
  <c r="W327" i="11" s="1"/>
  <c r="R326" i="11"/>
  <c r="W326" i="11" s="1"/>
  <c r="R325" i="11"/>
  <c r="W325" i="11" s="1"/>
  <c r="R324" i="11"/>
  <c r="W324" i="11" s="1"/>
  <c r="R323" i="11"/>
  <c r="W323" i="11" s="1"/>
  <c r="R322" i="11"/>
  <c r="W322" i="11" s="1"/>
  <c r="R321" i="11"/>
  <c r="W321" i="11" s="1"/>
  <c r="R320" i="11"/>
  <c r="W320" i="11" s="1"/>
  <c r="O355" i="11"/>
  <c r="O351" i="11"/>
  <c r="O350" i="11"/>
  <c r="O349" i="11"/>
  <c r="O348" i="11"/>
  <c r="O347"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N355" i="11"/>
  <c r="N351" i="11"/>
  <c r="N350" i="11"/>
  <c r="N349" i="11"/>
  <c r="N348" i="11"/>
  <c r="N347" i="11"/>
  <c r="N346" i="11"/>
  <c r="N345" i="11"/>
  <c r="N344" i="11"/>
  <c r="N343" i="11"/>
  <c r="N342" i="11"/>
  <c r="N341" i="11"/>
  <c r="N340" i="11"/>
  <c r="N339" i="11"/>
  <c r="N338" i="11"/>
  <c r="N337" i="11"/>
  <c r="N336" i="11"/>
  <c r="N335" i="11"/>
  <c r="N334" i="11"/>
  <c r="N333" i="11"/>
  <c r="N332" i="11"/>
  <c r="N331" i="11"/>
  <c r="N330" i="11"/>
  <c r="N329" i="11"/>
  <c r="N328" i="11"/>
  <c r="N327" i="11"/>
  <c r="N326" i="11"/>
  <c r="N325" i="11"/>
  <c r="N324" i="11"/>
  <c r="N323" i="11"/>
  <c r="N322" i="11"/>
  <c r="N321" i="11"/>
  <c r="N320" i="11"/>
  <c r="G355" i="11"/>
  <c r="L355" i="11" s="1"/>
  <c r="G351" i="11"/>
  <c r="L351" i="11" s="1"/>
  <c r="G350" i="11"/>
  <c r="L350" i="11" s="1"/>
  <c r="G349" i="11"/>
  <c r="L349" i="11" s="1"/>
  <c r="G348" i="11"/>
  <c r="L348" i="11" s="1"/>
  <c r="G347" i="11"/>
  <c r="L347" i="11" s="1"/>
  <c r="G346" i="11"/>
  <c r="L346" i="11" s="1"/>
  <c r="G345" i="11"/>
  <c r="L345" i="11" s="1"/>
  <c r="G344" i="11"/>
  <c r="L344" i="11" s="1"/>
  <c r="G343" i="11"/>
  <c r="L343" i="11" s="1"/>
  <c r="G342" i="11"/>
  <c r="L342" i="11" s="1"/>
  <c r="G341" i="11"/>
  <c r="L341" i="11" s="1"/>
  <c r="G340" i="11"/>
  <c r="L340" i="11" s="1"/>
  <c r="G339" i="11"/>
  <c r="L339" i="11" s="1"/>
  <c r="G338" i="11"/>
  <c r="L338" i="11" s="1"/>
  <c r="G337" i="11"/>
  <c r="L337" i="11" s="1"/>
  <c r="G336" i="11"/>
  <c r="L336" i="11" s="1"/>
  <c r="G335" i="11"/>
  <c r="L335" i="11" s="1"/>
  <c r="G334" i="11"/>
  <c r="L334" i="11" s="1"/>
  <c r="G333" i="11"/>
  <c r="L333" i="11" s="1"/>
  <c r="G332" i="11"/>
  <c r="L332" i="11" s="1"/>
  <c r="G331" i="11"/>
  <c r="L331" i="11" s="1"/>
  <c r="G330" i="11"/>
  <c r="L330" i="11" s="1"/>
  <c r="G329" i="11"/>
  <c r="L329" i="11" s="1"/>
  <c r="G328" i="11"/>
  <c r="L328" i="11" s="1"/>
  <c r="G327" i="11"/>
  <c r="L327" i="11" s="1"/>
  <c r="G326" i="11"/>
  <c r="L326" i="11" s="1"/>
  <c r="G325" i="11"/>
  <c r="L325" i="11" s="1"/>
  <c r="G324" i="11"/>
  <c r="L324" i="11" s="1"/>
  <c r="G323" i="11"/>
  <c r="L323" i="11" s="1"/>
  <c r="G322" i="11"/>
  <c r="L322" i="11" s="1"/>
  <c r="G321" i="11"/>
  <c r="L321" i="11" s="1"/>
  <c r="G320" i="11"/>
  <c r="L320" i="11" s="1"/>
  <c r="F355" i="11"/>
  <c r="K355" i="11" s="1"/>
  <c r="F351" i="11"/>
  <c r="K351" i="11" s="1"/>
  <c r="F350" i="11"/>
  <c r="K350" i="11" s="1"/>
  <c r="F349" i="11"/>
  <c r="K349" i="11" s="1"/>
  <c r="F348" i="11"/>
  <c r="K348" i="11" s="1"/>
  <c r="F347" i="11"/>
  <c r="K347" i="11" s="1"/>
  <c r="F346" i="11"/>
  <c r="K346" i="11" s="1"/>
  <c r="F345" i="11"/>
  <c r="K345" i="11" s="1"/>
  <c r="F344" i="11"/>
  <c r="K344" i="11" s="1"/>
  <c r="F343" i="11"/>
  <c r="K343" i="11" s="1"/>
  <c r="F342" i="11"/>
  <c r="K342" i="11" s="1"/>
  <c r="F341" i="11"/>
  <c r="K341" i="11" s="1"/>
  <c r="F340" i="11"/>
  <c r="K340" i="11" s="1"/>
  <c r="F339" i="11"/>
  <c r="K339" i="11" s="1"/>
  <c r="F338" i="11"/>
  <c r="K338" i="11" s="1"/>
  <c r="F337" i="11"/>
  <c r="K337" i="11" s="1"/>
  <c r="F336" i="11"/>
  <c r="K336" i="11" s="1"/>
  <c r="F335" i="11"/>
  <c r="K335" i="11" s="1"/>
  <c r="F334" i="11"/>
  <c r="K334" i="11" s="1"/>
  <c r="F333" i="11"/>
  <c r="K333" i="11" s="1"/>
  <c r="F332" i="11"/>
  <c r="K332" i="11" s="1"/>
  <c r="F331" i="11"/>
  <c r="K331" i="11" s="1"/>
  <c r="F330" i="11"/>
  <c r="K330" i="11" s="1"/>
  <c r="F329" i="11"/>
  <c r="K329" i="11" s="1"/>
  <c r="F328" i="11"/>
  <c r="K328" i="11" s="1"/>
  <c r="F327" i="11"/>
  <c r="K327" i="11" s="1"/>
  <c r="F326" i="11"/>
  <c r="K326" i="11" s="1"/>
  <c r="F325" i="11"/>
  <c r="K325" i="11" s="1"/>
  <c r="F324" i="11"/>
  <c r="K324" i="11" s="1"/>
  <c r="F323" i="11"/>
  <c r="K323" i="11" s="1"/>
  <c r="F322" i="11"/>
  <c r="K322" i="11" s="1"/>
  <c r="F321" i="11"/>
  <c r="K321" i="11" s="1"/>
  <c r="F320" i="11"/>
  <c r="K320" i="11" s="1"/>
  <c r="E355" i="11"/>
  <c r="J355" i="11" s="1"/>
  <c r="E351" i="11"/>
  <c r="J351" i="11" s="1"/>
  <c r="E350" i="11"/>
  <c r="J350" i="11" s="1"/>
  <c r="E349" i="11"/>
  <c r="J349" i="11" s="1"/>
  <c r="E348" i="11"/>
  <c r="J348" i="11" s="1"/>
  <c r="E347" i="11"/>
  <c r="J347" i="11" s="1"/>
  <c r="E346" i="11"/>
  <c r="J346" i="11" s="1"/>
  <c r="E345" i="11"/>
  <c r="J345" i="11" s="1"/>
  <c r="E344" i="11"/>
  <c r="J344" i="11" s="1"/>
  <c r="E343" i="11"/>
  <c r="J343" i="11" s="1"/>
  <c r="E342" i="11"/>
  <c r="J342" i="11" s="1"/>
  <c r="E341" i="11"/>
  <c r="J341" i="11" s="1"/>
  <c r="E340" i="11"/>
  <c r="J340" i="11" s="1"/>
  <c r="E339" i="11"/>
  <c r="J339" i="11" s="1"/>
  <c r="E338" i="11"/>
  <c r="J338" i="11" s="1"/>
  <c r="E337" i="11"/>
  <c r="J337" i="11" s="1"/>
  <c r="E336" i="11"/>
  <c r="J336" i="11" s="1"/>
  <c r="E335" i="11"/>
  <c r="J335" i="11" s="1"/>
  <c r="E334" i="11"/>
  <c r="J334" i="11" s="1"/>
  <c r="E333" i="11"/>
  <c r="J333" i="11" s="1"/>
  <c r="E332" i="11"/>
  <c r="J332" i="11" s="1"/>
  <c r="E331" i="11"/>
  <c r="J331" i="11" s="1"/>
  <c r="E330" i="11"/>
  <c r="J330" i="11" s="1"/>
  <c r="E329" i="11"/>
  <c r="J329" i="11" s="1"/>
  <c r="E328" i="11"/>
  <c r="J328" i="11" s="1"/>
  <c r="E327" i="11"/>
  <c r="J327" i="11" s="1"/>
  <c r="E326" i="11"/>
  <c r="J326" i="11" s="1"/>
  <c r="E325" i="11"/>
  <c r="J325" i="11" s="1"/>
  <c r="E324" i="11"/>
  <c r="J324" i="11" s="1"/>
  <c r="E323" i="11"/>
  <c r="J323" i="11" s="1"/>
  <c r="E322" i="11"/>
  <c r="J322" i="11" s="1"/>
  <c r="E321" i="11"/>
  <c r="J321" i="11" s="1"/>
  <c r="E320" i="11"/>
  <c r="J320" i="11" s="1"/>
  <c r="D355" i="11"/>
  <c r="I355" i="11" s="1"/>
  <c r="D351" i="11"/>
  <c r="I351" i="11" s="1"/>
  <c r="D350" i="11"/>
  <c r="I350" i="11" s="1"/>
  <c r="D349" i="11"/>
  <c r="I349" i="11" s="1"/>
  <c r="D348" i="11"/>
  <c r="I348" i="11" s="1"/>
  <c r="D347" i="11"/>
  <c r="I347" i="11" s="1"/>
  <c r="D346" i="11"/>
  <c r="I346" i="11" s="1"/>
  <c r="D345" i="11"/>
  <c r="I345" i="11" s="1"/>
  <c r="D344" i="11"/>
  <c r="I344" i="11" s="1"/>
  <c r="D343" i="11"/>
  <c r="I343" i="11" s="1"/>
  <c r="D342" i="11"/>
  <c r="I342" i="11" s="1"/>
  <c r="D341" i="11"/>
  <c r="I341" i="11" s="1"/>
  <c r="D340" i="11"/>
  <c r="I340" i="11" s="1"/>
  <c r="D339" i="11"/>
  <c r="I339" i="11" s="1"/>
  <c r="D338" i="11"/>
  <c r="I338" i="11" s="1"/>
  <c r="D337" i="11"/>
  <c r="I337" i="11" s="1"/>
  <c r="D336" i="11"/>
  <c r="I336" i="11" s="1"/>
  <c r="D335" i="11"/>
  <c r="I335" i="11" s="1"/>
  <c r="D334" i="11"/>
  <c r="I334" i="11" s="1"/>
  <c r="D333" i="11"/>
  <c r="I333" i="11" s="1"/>
  <c r="D332" i="11"/>
  <c r="I332" i="11" s="1"/>
  <c r="D331" i="11"/>
  <c r="I331" i="11" s="1"/>
  <c r="D330" i="11"/>
  <c r="I330" i="11" s="1"/>
  <c r="D329" i="11"/>
  <c r="I329" i="11" s="1"/>
  <c r="D328" i="11"/>
  <c r="I328" i="11" s="1"/>
  <c r="D327" i="11"/>
  <c r="I327" i="11" s="1"/>
  <c r="D326" i="11"/>
  <c r="I326" i="11" s="1"/>
  <c r="D325" i="11"/>
  <c r="I325" i="11" s="1"/>
  <c r="D324" i="11"/>
  <c r="I324" i="11" s="1"/>
  <c r="D323" i="11"/>
  <c r="I323" i="11" s="1"/>
  <c r="D322" i="11"/>
  <c r="I322" i="11" s="1"/>
  <c r="D321" i="11"/>
  <c r="I321" i="11" s="1"/>
  <c r="D320" i="11"/>
  <c r="I320" i="11" s="1"/>
  <c r="C355" i="11"/>
  <c r="H355" i="11" s="1"/>
  <c r="C351" i="11"/>
  <c r="H351" i="11" s="1"/>
  <c r="C350" i="11"/>
  <c r="H350" i="11" s="1"/>
  <c r="C349" i="11"/>
  <c r="H349" i="11" s="1"/>
  <c r="C348" i="11"/>
  <c r="H348" i="11" s="1"/>
  <c r="C347" i="11"/>
  <c r="H347" i="11" s="1"/>
  <c r="C346" i="11"/>
  <c r="H346" i="11" s="1"/>
  <c r="C345" i="11"/>
  <c r="H345" i="11" s="1"/>
  <c r="C344" i="11"/>
  <c r="H344" i="11" s="1"/>
  <c r="C343" i="11"/>
  <c r="H343" i="11" s="1"/>
  <c r="C342" i="11"/>
  <c r="H342" i="11" s="1"/>
  <c r="C341" i="11"/>
  <c r="H341" i="11" s="1"/>
  <c r="C340" i="11"/>
  <c r="H340" i="11" s="1"/>
  <c r="C339" i="11"/>
  <c r="H339" i="11" s="1"/>
  <c r="C338" i="11"/>
  <c r="H338" i="11" s="1"/>
  <c r="C337" i="11"/>
  <c r="H337" i="11" s="1"/>
  <c r="C336" i="11"/>
  <c r="H336" i="11" s="1"/>
  <c r="C335" i="11"/>
  <c r="H335" i="11" s="1"/>
  <c r="C334" i="11"/>
  <c r="H334" i="11" s="1"/>
  <c r="C333" i="11"/>
  <c r="H333" i="11" s="1"/>
  <c r="C332" i="11"/>
  <c r="H332" i="11" s="1"/>
  <c r="C331" i="11"/>
  <c r="H331" i="11" s="1"/>
  <c r="C330" i="11"/>
  <c r="H330" i="11" s="1"/>
  <c r="C329" i="11"/>
  <c r="H329" i="11" s="1"/>
  <c r="C328" i="11"/>
  <c r="H328" i="11" s="1"/>
  <c r="C327" i="11"/>
  <c r="H327" i="11" s="1"/>
  <c r="C326" i="11"/>
  <c r="H326" i="11" s="1"/>
  <c r="C325" i="11"/>
  <c r="H325" i="11" s="1"/>
  <c r="C324" i="11"/>
  <c r="H324" i="11" s="1"/>
  <c r="C323" i="11"/>
  <c r="H323" i="11" s="1"/>
  <c r="C322" i="11"/>
  <c r="H322" i="11" s="1"/>
  <c r="C321" i="11"/>
  <c r="H321" i="11" s="1"/>
  <c r="C320" i="11"/>
  <c r="H320" i="11" s="1"/>
  <c r="AD314" i="11"/>
  <c r="AD310" i="11"/>
  <c r="AD309" i="11"/>
  <c r="AD308" i="11"/>
  <c r="AD307" i="11"/>
  <c r="AD306" i="11"/>
  <c r="AD305" i="11"/>
  <c r="AD304" i="11"/>
  <c r="AD303" i="11"/>
  <c r="AD302" i="11"/>
  <c r="AD301" i="11"/>
  <c r="AD300" i="11"/>
  <c r="AD299" i="11"/>
  <c r="AD298" i="11"/>
  <c r="AD297" i="11"/>
  <c r="AD296" i="11"/>
  <c r="AD295" i="11"/>
  <c r="AD294" i="11"/>
  <c r="AD293" i="11"/>
  <c r="AD292" i="11"/>
  <c r="AD291" i="11"/>
  <c r="AD290" i="11"/>
  <c r="AD289" i="11"/>
  <c r="AD288" i="11"/>
  <c r="AD287" i="11"/>
  <c r="AD286" i="11"/>
  <c r="AD285" i="11"/>
  <c r="AD284" i="11"/>
  <c r="AD283" i="11"/>
  <c r="AD282" i="11"/>
  <c r="AD281" i="11"/>
  <c r="AD280" i="11"/>
  <c r="AD279" i="11"/>
  <c r="AC314" i="11"/>
  <c r="AC310" i="11"/>
  <c r="AC309" i="11"/>
  <c r="AC308" i="11"/>
  <c r="AC307" i="11"/>
  <c r="AC306" i="11"/>
  <c r="AC305" i="11"/>
  <c r="AC304" i="11"/>
  <c r="AC303" i="11"/>
  <c r="AC302" i="11"/>
  <c r="AC301" i="11"/>
  <c r="AC300" i="11"/>
  <c r="AC299" i="11"/>
  <c r="AC298" i="11"/>
  <c r="AC297" i="11"/>
  <c r="AC296" i="11"/>
  <c r="AC295" i="11"/>
  <c r="AC294" i="11"/>
  <c r="AC293" i="11"/>
  <c r="AC292" i="11"/>
  <c r="AC291" i="11"/>
  <c r="AC290" i="11"/>
  <c r="AC289" i="11"/>
  <c r="AC288" i="11"/>
  <c r="AC287" i="11"/>
  <c r="AC286" i="11"/>
  <c r="AC285" i="11"/>
  <c r="AC284" i="11"/>
  <c r="AC283" i="11"/>
  <c r="AC282" i="11"/>
  <c r="AC281" i="11"/>
  <c r="AC280" i="11"/>
  <c r="AC279" i="11"/>
  <c r="V314" i="11"/>
  <c r="AA314" i="11" s="1"/>
  <c r="V310" i="11"/>
  <c r="AA310" i="11" s="1"/>
  <c r="V309" i="11"/>
  <c r="AA309" i="11" s="1"/>
  <c r="V308" i="11"/>
  <c r="AA308" i="11" s="1"/>
  <c r="V307" i="11"/>
  <c r="AA307" i="11" s="1"/>
  <c r="V306" i="11"/>
  <c r="AA306" i="11" s="1"/>
  <c r="V305" i="11"/>
  <c r="AA305" i="11" s="1"/>
  <c r="V304" i="11"/>
  <c r="AA304" i="11" s="1"/>
  <c r="V303" i="11"/>
  <c r="AA303" i="11" s="1"/>
  <c r="V302" i="11"/>
  <c r="AA302" i="11" s="1"/>
  <c r="V301" i="11"/>
  <c r="AA301" i="11" s="1"/>
  <c r="V300" i="11"/>
  <c r="AA300" i="11" s="1"/>
  <c r="V299" i="11"/>
  <c r="AA299" i="11" s="1"/>
  <c r="V298" i="11"/>
  <c r="AA298" i="11" s="1"/>
  <c r="V297" i="11"/>
  <c r="AA297" i="11" s="1"/>
  <c r="V296" i="11"/>
  <c r="AA296" i="11" s="1"/>
  <c r="V295" i="11"/>
  <c r="AA295" i="11" s="1"/>
  <c r="V294" i="11"/>
  <c r="AA294" i="11" s="1"/>
  <c r="V293" i="11"/>
  <c r="AA293" i="11" s="1"/>
  <c r="V292" i="11"/>
  <c r="AA292" i="11" s="1"/>
  <c r="V291" i="11"/>
  <c r="AA291" i="11" s="1"/>
  <c r="V290" i="11"/>
  <c r="AA290" i="11" s="1"/>
  <c r="V289" i="11"/>
  <c r="AA289" i="11" s="1"/>
  <c r="V288" i="11"/>
  <c r="AA288" i="11" s="1"/>
  <c r="V287" i="11"/>
  <c r="AA287" i="11" s="1"/>
  <c r="V286" i="11"/>
  <c r="AA286" i="11" s="1"/>
  <c r="V285" i="11"/>
  <c r="AA285" i="11" s="1"/>
  <c r="V284" i="11"/>
  <c r="AA284" i="11" s="1"/>
  <c r="V283" i="11"/>
  <c r="AA283" i="11" s="1"/>
  <c r="V282" i="11"/>
  <c r="AA282" i="11" s="1"/>
  <c r="V281" i="11"/>
  <c r="AA281" i="11" s="1"/>
  <c r="V280" i="11"/>
  <c r="AA280" i="11" s="1"/>
  <c r="V279" i="11"/>
  <c r="AA279" i="11" s="1"/>
  <c r="U314" i="11"/>
  <c r="Z314" i="11" s="1"/>
  <c r="U310" i="11"/>
  <c r="Z310" i="11" s="1"/>
  <c r="U309" i="11"/>
  <c r="Z309" i="11" s="1"/>
  <c r="U308" i="11"/>
  <c r="Z308" i="11" s="1"/>
  <c r="U307" i="11"/>
  <c r="Z307" i="11" s="1"/>
  <c r="U306" i="11"/>
  <c r="Z306" i="11" s="1"/>
  <c r="U305" i="11"/>
  <c r="Z305" i="11" s="1"/>
  <c r="U304" i="11"/>
  <c r="Z304" i="11" s="1"/>
  <c r="U303" i="11"/>
  <c r="Z303" i="11" s="1"/>
  <c r="U302" i="11"/>
  <c r="Z302" i="11" s="1"/>
  <c r="U301" i="11"/>
  <c r="Z301" i="11" s="1"/>
  <c r="U300" i="11"/>
  <c r="Z300" i="11" s="1"/>
  <c r="U299" i="11"/>
  <c r="Z299" i="11" s="1"/>
  <c r="U298" i="11"/>
  <c r="Z298" i="11" s="1"/>
  <c r="U297" i="11"/>
  <c r="Z297" i="11" s="1"/>
  <c r="U296" i="11"/>
  <c r="Z296" i="11" s="1"/>
  <c r="U295" i="11"/>
  <c r="Z295" i="11" s="1"/>
  <c r="U294" i="11"/>
  <c r="Z294" i="11" s="1"/>
  <c r="U293" i="11"/>
  <c r="Z293" i="11" s="1"/>
  <c r="U292" i="11"/>
  <c r="Z292" i="11" s="1"/>
  <c r="U291" i="11"/>
  <c r="Z291" i="11" s="1"/>
  <c r="U290" i="11"/>
  <c r="Z290" i="11" s="1"/>
  <c r="U289" i="11"/>
  <c r="Z289" i="11" s="1"/>
  <c r="U288" i="11"/>
  <c r="Z288" i="11" s="1"/>
  <c r="U287" i="11"/>
  <c r="Z287" i="11" s="1"/>
  <c r="U286" i="11"/>
  <c r="Z286" i="11" s="1"/>
  <c r="U285" i="11"/>
  <c r="Z285" i="11" s="1"/>
  <c r="U284" i="11"/>
  <c r="Z284" i="11" s="1"/>
  <c r="U283" i="11"/>
  <c r="Z283" i="11" s="1"/>
  <c r="U282" i="11"/>
  <c r="Z282" i="11" s="1"/>
  <c r="U281" i="11"/>
  <c r="Z281" i="11" s="1"/>
  <c r="U280" i="11"/>
  <c r="Z280" i="11" s="1"/>
  <c r="U279" i="11"/>
  <c r="Z279" i="11" s="1"/>
  <c r="T314" i="11"/>
  <c r="Y314" i="11" s="1"/>
  <c r="T310" i="11"/>
  <c r="Y310" i="11" s="1"/>
  <c r="T309" i="11"/>
  <c r="Y309" i="11" s="1"/>
  <c r="T308" i="11"/>
  <c r="Y308" i="11" s="1"/>
  <c r="T307" i="11"/>
  <c r="Y307" i="11" s="1"/>
  <c r="T306" i="11"/>
  <c r="Y306" i="11" s="1"/>
  <c r="T305" i="11"/>
  <c r="Y305" i="11" s="1"/>
  <c r="T304" i="11"/>
  <c r="Y304" i="11" s="1"/>
  <c r="T303" i="11"/>
  <c r="Y303" i="11" s="1"/>
  <c r="T302" i="11"/>
  <c r="Y302" i="11" s="1"/>
  <c r="T301" i="11"/>
  <c r="Y301" i="11" s="1"/>
  <c r="T300" i="11"/>
  <c r="Y300" i="11" s="1"/>
  <c r="T299" i="11"/>
  <c r="Y299" i="11" s="1"/>
  <c r="T298" i="11"/>
  <c r="Y298" i="11" s="1"/>
  <c r="T297" i="11"/>
  <c r="Y297" i="11" s="1"/>
  <c r="T296" i="11"/>
  <c r="Y296" i="11" s="1"/>
  <c r="T295" i="11"/>
  <c r="Y295" i="11" s="1"/>
  <c r="T294" i="11"/>
  <c r="Y294" i="11" s="1"/>
  <c r="T293" i="11"/>
  <c r="Y293" i="11" s="1"/>
  <c r="T292" i="11"/>
  <c r="Y292" i="11" s="1"/>
  <c r="T291" i="11"/>
  <c r="Y291" i="11" s="1"/>
  <c r="T290" i="11"/>
  <c r="Y290" i="11" s="1"/>
  <c r="T289" i="11"/>
  <c r="Y289" i="11" s="1"/>
  <c r="T288" i="11"/>
  <c r="Y288" i="11" s="1"/>
  <c r="T287" i="11"/>
  <c r="Y287" i="11" s="1"/>
  <c r="T286" i="11"/>
  <c r="Y286" i="11" s="1"/>
  <c r="T285" i="11"/>
  <c r="Y285" i="11" s="1"/>
  <c r="T284" i="11"/>
  <c r="Y284" i="11" s="1"/>
  <c r="T283" i="11"/>
  <c r="Y283" i="11" s="1"/>
  <c r="T282" i="11"/>
  <c r="Y282" i="11" s="1"/>
  <c r="T281" i="11"/>
  <c r="Y281" i="11" s="1"/>
  <c r="T280" i="11"/>
  <c r="Y280" i="11" s="1"/>
  <c r="T279" i="11"/>
  <c r="Y279" i="11" s="1"/>
  <c r="S314" i="11"/>
  <c r="X314" i="11" s="1"/>
  <c r="S310" i="11"/>
  <c r="X310" i="11" s="1"/>
  <c r="S309" i="11"/>
  <c r="X309" i="11" s="1"/>
  <c r="S308" i="11"/>
  <c r="X308" i="11" s="1"/>
  <c r="S307" i="11"/>
  <c r="X307" i="11" s="1"/>
  <c r="S306" i="11"/>
  <c r="X306" i="11" s="1"/>
  <c r="S305" i="11"/>
  <c r="X305" i="11" s="1"/>
  <c r="S304" i="11"/>
  <c r="X304" i="11" s="1"/>
  <c r="S303" i="11"/>
  <c r="X303" i="11" s="1"/>
  <c r="S302" i="11"/>
  <c r="X302" i="11" s="1"/>
  <c r="S301" i="11"/>
  <c r="X301" i="11" s="1"/>
  <c r="S300" i="11"/>
  <c r="X300" i="11" s="1"/>
  <c r="S299" i="11"/>
  <c r="X299" i="11" s="1"/>
  <c r="S298" i="11"/>
  <c r="X298" i="11" s="1"/>
  <c r="S297" i="11"/>
  <c r="X297" i="11" s="1"/>
  <c r="S296" i="11"/>
  <c r="X296" i="11" s="1"/>
  <c r="S295" i="11"/>
  <c r="X295" i="11" s="1"/>
  <c r="S294" i="11"/>
  <c r="X294" i="11" s="1"/>
  <c r="S293" i="11"/>
  <c r="X293" i="11" s="1"/>
  <c r="S292" i="11"/>
  <c r="X292" i="11" s="1"/>
  <c r="S291" i="11"/>
  <c r="X291" i="11" s="1"/>
  <c r="S290" i="11"/>
  <c r="X290" i="11" s="1"/>
  <c r="S289" i="11"/>
  <c r="X289" i="11" s="1"/>
  <c r="S288" i="11"/>
  <c r="X288" i="11" s="1"/>
  <c r="S287" i="11"/>
  <c r="X287" i="11" s="1"/>
  <c r="S286" i="11"/>
  <c r="X286" i="11" s="1"/>
  <c r="S285" i="11"/>
  <c r="X285" i="11" s="1"/>
  <c r="S284" i="11"/>
  <c r="X284" i="11" s="1"/>
  <c r="S283" i="11"/>
  <c r="X283" i="11" s="1"/>
  <c r="S282" i="11"/>
  <c r="X282" i="11" s="1"/>
  <c r="S281" i="11"/>
  <c r="X281" i="11" s="1"/>
  <c r="S280" i="11"/>
  <c r="X280" i="11" s="1"/>
  <c r="S279" i="11"/>
  <c r="X279" i="11" s="1"/>
  <c r="R314" i="11"/>
  <c r="W314" i="11" s="1"/>
  <c r="R310" i="11"/>
  <c r="W310" i="11" s="1"/>
  <c r="R309" i="11"/>
  <c r="W309" i="11" s="1"/>
  <c r="R308" i="11"/>
  <c r="W308" i="11" s="1"/>
  <c r="R307" i="11"/>
  <c r="W307" i="11" s="1"/>
  <c r="R306" i="11"/>
  <c r="W306" i="11" s="1"/>
  <c r="R305" i="11"/>
  <c r="W305" i="11" s="1"/>
  <c r="R304" i="11"/>
  <c r="W304" i="11" s="1"/>
  <c r="R303" i="11"/>
  <c r="W303" i="11" s="1"/>
  <c r="R302" i="11"/>
  <c r="W302" i="11" s="1"/>
  <c r="R301" i="11"/>
  <c r="W301" i="11" s="1"/>
  <c r="R300" i="11"/>
  <c r="W300" i="11" s="1"/>
  <c r="R299" i="11"/>
  <c r="W299" i="11" s="1"/>
  <c r="R298" i="11"/>
  <c r="W298" i="11" s="1"/>
  <c r="R297" i="11"/>
  <c r="W297" i="11" s="1"/>
  <c r="R296" i="11"/>
  <c r="W296" i="11" s="1"/>
  <c r="R295" i="11"/>
  <c r="W295" i="11" s="1"/>
  <c r="R294" i="11"/>
  <c r="W294" i="11" s="1"/>
  <c r="R293" i="11"/>
  <c r="W293" i="11" s="1"/>
  <c r="R292" i="11"/>
  <c r="W292" i="11" s="1"/>
  <c r="R291" i="11"/>
  <c r="W291" i="11" s="1"/>
  <c r="R290" i="11"/>
  <c r="W290" i="11" s="1"/>
  <c r="R289" i="11"/>
  <c r="W289" i="11" s="1"/>
  <c r="R288" i="11"/>
  <c r="W288" i="11" s="1"/>
  <c r="R287" i="11"/>
  <c r="W287" i="11" s="1"/>
  <c r="R286" i="11"/>
  <c r="W286" i="11" s="1"/>
  <c r="R285" i="11"/>
  <c r="W285" i="11" s="1"/>
  <c r="R284" i="11"/>
  <c r="W284" i="11" s="1"/>
  <c r="R283" i="11"/>
  <c r="W283" i="11" s="1"/>
  <c r="R282" i="11"/>
  <c r="W282" i="11" s="1"/>
  <c r="R281" i="11"/>
  <c r="W281" i="11" s="1"/>
  <c r="R280" i="11"/>
  <c r="W280" i="11" s="1"/>
  <c r="R279" i="11"/>
  <c r="W279" i="11" s="1"/>
  <c r="O314" i="11"/>
  <c r="O310" i="11"/>
  <c r="O309" i="11"/>
  <c r="O308" i="11"/>
  <c r="O307" i="11"/>
  <c r="O306" i="1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N314" i="11"/>
  <c r="N310" i="11"/>
  <c r="N309" i="11"/>
  <c r="N308" i="11"/>
  <c r="N307" i="11"/>
  <c r="N306" i="11"/>
  <c r="N305" i="11"/>
  <c r="N304" i="11"/>
  <c r="N303" i="11"/>
  <c r="N302" i="11"/>
  <c r="N301" i="11"/>
  <c r="N300" i="11"/>
  <c r="N299" i="11"/>
  <c r="N298" i="11"/>
  <c r="N297" i="11"/>
  <c r="N296" i="11"/>
  <c r="N295" i="11"/>
  <c r="N294" i="11"/>
  <c r="N293" i="11"/>
  <c r="N292" i="11"/>
  <c r="N291" i="11"/>
  <c r="N290" i="11"/>
  <c r="N289" i="11"/>
  <c r="N288" i="11"/>
  <c r="N287" i="11"/>
  <c r="N286" i="11"/>
  <c r="N285" i="11"/>
  <c r="N284" i="11"/>
  <c r="N283" i="11"/>
  <c r="N282" i="11"/>
  <c r="N281" i="11"/>
  <c r="N280" i="11"/>
  <c r="N279" i="11"/>
  <c r="G314" i="11"/>
  <c r="L314" i="11" s="1"/>
  <c r="G310" i="11"/>
  <c r="L310" i="11" s="1"/>
  <c r="G309" i="11"/>
  <c r="L309" i="11" s="1"/>
  <c r="G308" i="11"/>
  <c r="L308" i="11" s="1"/>
  <c r="G307" i="11"/>
  <c r="L307" i="11" s="1"/>
  <c r="G306" i="11"/>
  <c r="L306" i="11" s="1"/>
  <c r="G305" i="11"/>
  <c r="L305" i="11" s="1"/>
  <c r="G304" i="11"/>
  <c r="L304" i="11" s="1"/>
  <c r="G303" i="11"/>
  <c r="L303" i="11" s="1"/>
  <c r="G302" i="11"/>
  <c r="L302" i="11" s="1"/>
  <c r="G301" i="11"/>
  <c r="L301" i="11" s="1"/>
  <c r="G300" i="11"/>
  <c r="L300" i="11" s="1"/>
  <c r="G299" i="11"/>
  <c r="L299" i="11" s="1"/>
  <c r="G298" i="11"/>
  <c r="L298" i="11" s="1"/>
  <c r="G297" i="11"/>
  <c r="L297" i="11" s="1"/>
  <c r="G296" i="11"/>
  <c r="L296" i="11" s="1"/>
  <c r="G295" i="11"/>
  <c r="L295" i="11" s="1"/>
  <c r="G294" i="11"/>
  <c r="L294" i="11" s="1"/>
  <c r="G293" i="11"/>
  <c r="L293" i="11" s="1"/>
  <c r="G292" i="11"/>
  <c r="L292" i="11" s="1"/>
  <c r="G291" i="11"/>
  <c r="L291" i="11" s="1"/>
  <c r="G290" i="11"/>
  <c r="L290" i="11" s="1"/>
  <c r="G289" i="11"/>
  <c r="L289" i="11" s="1"/>
  <c r="G288" i="11"/>
  <c r="L288" i="11" s="1"/>
  <c r="G287" i="11"/>
  <c r="L287" i="11" s="1"/>
  <c r="G286" i="11"/>
  <c r="L286" i="11" s="1"/>
  <c r="G285" i="11"/>
  <c r="L285" i="11" s="1"/>
  <c r="G284" i="11"/>
  <c r="L284" i="11" s="1"/>
  <c r="G283" i="11"/>
  <c r="L283" i="11" s="1"/>
  <c r="G282" i="11"/>
  <c r="L282" i="11" s="1"/>
  <c r="G281" i="11"/>
  <c r="L281" i="11" s="1"/>
  <c r="G280" i="11"/>
  <c r="L280" i="11" s="1"/>
  <c r="G279" i="11"/>
  <c r="L279" i="11" s="1"/>
  <c r="F314" i="11"/>
  <c r="K314" i="11" s="1"/>
  <c r="F310" i="11"/>
  <c r="K310" i="11" s="1"/>
  <c r="F309" i="11"/>
  <c r="K309" i="11" s="1"/>
  <c r="F308" i="11"/>
  <c r="K308" i="11" s="1"/>
  <c r="F307" i="11"/>
  <c r="K307" i="11" s="1"/>
  <c r="F306" i="11"/>
  <c r="K306" i="11" s="1"/>
  <c r="F305" i="11"/>
  <c r="K305" i="11" s="1"/>
  <c r="F304" i="11"/>
  <c r="K304" i="11" s="1"/>
  <c r="F303" i="11"/>
  <c r="K303" i="11" s="1"/>
  <c r="F302" i="11"/>
  <c r="K302" i="11" s="1"/>
  <c r="F301" i="11"/>
  <c r="K301" i="11" s="1"/>
  <c r="F300" i="11"/>
  <c r="K300" i="11" s="1"/>
  <c r="F299" i="11"/>
  <c r="K299" i="11" s="1"/>
  <c r="F298" i="11"/>
  <c r="K298" i="11" s="1"/>
  <c r="F297" i="11"/>
  <c r="K297" i="11" s="1"/>
  <c r="F296" i="11"/>
  <c r="K296" i="11" s="1"/>
  <c r="F295" i="11"/>
  <c r="K295" i="11" s="1"/>
  <c r="F294" i="11"/>
  <c r="K294" i="11" s="1"/>
  <c r="F293" i="11"/>
  <c r="K293" i="11" s="1"/>
  <c r="F292" i="11"/>
  <c r="K292" i="11" s="1"/>
  <c r="F291" i="11"/>
  <c r="K291" i="11" s="1"/>
  <c r="F290" i="11"/>
  <c r="K290" i="11" s="1"/>
  <c r="F289" i="11"/>
  <c r="K289" i="11" s="1"/>
  <c r="F288" i="11"/>
  <c r="K288" i="11" s="1"/>
  <c r="F287" i="11"/>
  <c r="K287" i="11" s="1"/>
  <c r="F286" i="11"/>
  <c r="K286" i="11" s="1"/>
  <c r="F285" i="11"/>
  <c r="K285" i="11" s="1"/>
  <c r="F284" i="11"/>
  <c r="K284" i="11" s="1"/>
  <c r="F283" i="11"/>
  <c r="K283" i="11" s="1"/>
  <c r="F282" i="11"/>
  <c r="K282" i="11" s="1"/>
  <c r="F281" i="11"/>
  <c r="K281" i="11" s="1"/>
  <c r="F280" i="11"/>
  <c r="K280" i="11" s="1"/>
  <c r="F279" i="11"/>
  <c r="K279" i="11" s="1"/>
  <c r="E314" i="11"/>
  <c r="J314" i="11" s="1"/>
  <c r="E310" i="11"/>
  <c r="J310" i="11" s="1"/>
  <c r="E309" i="11"/>
  <c r="J309" i="11" s="1"/>
  <c r="E308" i="11"/>
  <c r="J308" i="11" s="1"/>
  <c r="E307" i="11"/>
  <c r="J307" i="11" s="1"/>
  <c r="E306" i="11"/>
  <c r="J306" i="11" s="1"/>
  <c r="E305" i="11"/>
  <c r="J305" i="11" s="1"/>
  <c r="E304" i="11"/>
  <c r="J304" i="11" s="1"/>
  <c r="E303" i="11"/>
  <c r="J303" i="11" s="1"/>
  <c r="E302" i="11"/>
  <c r="J302" i="11" s="1"/>
  <c r="E301" i="11"/>
  <c r="J301" i="11" s="1"/>
  <c r="E300" i="11"/>
  <c r="J300" i="11" s="1"/>
  <c r="E299" i="11"/>
  <c r="J299" i="11" s="1"/>
  <c r="E298" i="11"/>
  <c r="J298" i="11" s="1"/>
  <c r="E297" i="11"/>
  <c r="J297" i="11" s="1"/>
  <c r="E296" i="11"/>
  <c r="J296" i="11" s="1"/>
  <c r="E295" i="11"/>
  <c r="J295" i="11" s="1"/>
  <c r="E294" i="11"/>
  <c r="J294" i="11" s="1"/>
  <c r="E293" i="11"/>
  <c r="J293" i="11" s="1"/>
  <c r="E292" i="11"/>
  <c r="J292" i="11" s="1"/>
  <c r="E291" i="11"/>
  <c r="J291" i="11" s="1"/>
  <c r="E290" i="11"/>
  <c r="J290" i="11" s="1"/>
  <c r="E289" i="11"/>
  <c r="J289" i="11" s="1"/>
  <c r="E288" i="11"/>
  <c r="J288" i="11" s="1"/>
  <c r="E287" i="11"/>
  <c r="J287" i="11" s="1"/>
  <c r="E286" i="11"/>
  <c r="J286" i="11" s="1"/>
  <c r="E285" i="11"/>
  <c r="J285" i="11" s="1"/>
  <c r="E284" i="11"/>
  <c r="J284" i="11" s="1"/>
  <c r="E283" i="11"/>
  <c r="J283" i="11" s="1"/>
  <c r="E282" i="11"/>
  <c r="J282" i="11" s="1"/>
  <c r="E281" i="11"/>
  <c r="J281" i="11" s="1"/>
  <c r="E280" i="11"/>
  <c r="J280" i="11" s="1"/>
  <c r="E279" i="11"/>
  <c r="J279" i="11" s="1"/>
  <c r="D314" i="11"/>
  <c r="I314" i="11" s="1"/>
  <c r="D310" i="11"/>
  <c r="I310" i="11" s="1"/>
  <c r="D309" i="11"/>
  <c r="I309" i="11" s="1"/>
  <c r="D308" i="11"/>
  <c r="I308" i="11" s="1"/>
  <c r="D307" i="11"/>
  <c r="I307" i="11" s="1"/>
  <c r="D306" i="11"/>
  <c r="I306" i="11" s="1"/>
  <c r="D305" i="11"/>
  <c r="I305" i="11" s="1"/>
  <c r="D304" i="11"/>
  <c r="I304" i="11" s="1"/>
  <c r="D303" i="11"/>
  <c r="I303" i="11" s="1"/>
  <c r="D302" i="11"/>
  <c r="I302" i="11" s="1"/>
  <c r="D301" i="11"/>
  <c r="I301" i="11" s="1"/>
  <c r="D300" i="11"/>
  <c r="I300" i="11" s="1"/>
  <c r="D299" i="11"/>
  <c r="I299" i="11" s="1"/>
  <c r="D298" i="11"/>
  <c r="I298" i="11" s="1"/>
  <c r="D297" i="11"/>
  <c r="I297" i="11" s="1"/>
  <c r="D296" i="11"/>
  <c r="I296" i="11" s="1"/>
  <c r="D295" i="11"/>
  <c r="I295" i="11" s="1"/>
  <c r="D294" i="11"/>
  <c r="I294" i="11" s="1"/>
  <c r="D293" i="11"/>
  <c r="I293" i="11" s="1"/>
  <c r="D292" i="11"/>
  <c r="I292" i="11" s="1"/>
  <c r="D291" i="11"/>
  <c r="I291" i="11" s="1"/>
  <c r="D290" i="11"/>
  <c r="I290" i="11" s="1"/>
  <c r="D289" i="11"/>
  <c r="I289" i="11" s="1"/>
  <c r="D288" i="11"/>
  <c r="I288" i="11" s="1"/>
  <c r="D287" i="11"/>
  <c r="I287" i="11" s="1"/>
  <c r="D286" i="11"/>
  <c r="I286" i="11" s="1"/>
  <c r="D285" i="11"/>
  <c r="I285" i="11" s="1"/>
  <c r="D284" i="11"/>
  <c r="I284" i="11" s="1"/>
  <c r="D283" i="11"/>
  <c r="I283" i="11" s="1"/>
  <c r="D282" i="11"/>
  <c r="I282" i="11" s="1"/>
  <c r="D281" i="11"/>
  <c r="I281" i="11" s="1"/>
  <c r="D280" i="11"/>
  <c r="I280" i="11" s="1"/>
  <c r="D279" i="11"/>
  <c r="I279" i="11" s="1"/>
  <c r="C314" i="11"/>
  <c r="H314" i="11" s="1"/>
  <c r="C310" i="11"/>
  <c r="H310" i="11" s="1"/>
  <c r="C309" i="11"/>
  <c r="H309" i="11" s="1"/>
  <c r="C308" i="11"/>
  <c r="H308" i="11" s="1"/>
  <c r="C307" i="11"/>
  <c r="H307" i="11" s="1"/>
  <c r="C306" i="11"/>
  <c r="H306" i="11" s="1"/>
  <c r="C305" i="11"/>
  <c r="H305" i="11" s="1"/>
  <c r="C304" i="11"/>
  <c r="H304" i="11" s="1"/>
  <c r="C303" i="11"/>
  <c r="H303" i="11" s="1"/>
  <c r="C302" i="11"/>
  <c r="H302" i="11" s="1"/>
  <c r="C301" i="11"/>
  <c r="H301" i="11" s="1"/>
  <c r="C300" i="11"/>
  <c r="H300" i="11" s="1"/>
  <c r="C299" i="11"/>
  <c r="H299" i="11" s="1"/>
  <c r="C298" i="11"/>
  <c r="H298" i="11" s="1"/>
  <c r="C297" i="11"/>
  <c r="H297" i="11" s="1"/>
  <c r="C296" i="11"/>
  <c r="H296" i="11" s="1"/>
  <c r="C295" i="11"/>
  <c r="H295" i="11" s="1"/>
  <c r="C294" i="11"/>
  <c r="H294" i="11" s="1"/>
  <c r="C293" i="11"/>
  <c r="H293" i="11" s="1"/>
  <c r="C292" i="11"/>
  <c r="H292" i="11" s="1"/>
  <c r="C291" i="11"/>
  <c r="H291" i="11" s="1"/>
  <c r="C290" i="11"/>
  <c r="H290" i="11" s="1"/>
  <c r="C289" i="11"/>
  <c r="H289" i="11" s="1"/>
  <c r="C288" i="11"/>
  <c r="H288" i="11" s="1"/>
  <c r="C287" i="11"/>
  <c r="H287" i="11" s="1"/>
  <c r="C286" i="11"/>
  <c r="H286" i="11" s="1"/>
  <c r="C285" i="11"/>
  <c r="H285" i="11" s="1"/>
  <c r="C284" i="11"/>
  <c r="H284" i="11" s="1"/>
  <c r="C283" i="11"/>
  <c r="H283" i="11" s="1"/>
  <c r="C282" i="11"/>
  <c r="H282" i="11" s="1"/>
  <c r="C281" i="11"/>
  <c r="H281" i="11" s="1"/>
  <c r="C280" i="11"/>
  <c r="H280" i="11" s="1"/>
  <c r="C279" i="11"/>
  <c r="H279" i="11" s="1"/>
  <c r="AD273" i="11"/>
  <c r="AD269" i="11"/>
  <c r="AD268" i="11"/>
  <c r="AD267" i="11"/>
  <c r="AD266" i="11"/>
  <c r="AD265" i="11"/>
  <c r="AD264" i="11"/>
  <c r="AD263" i="11"/>
  <c r="AD262" i="11"/>
  <c r="AD261" i="11"/>
  <c r="AD260" i="11"/>
  <c r="AD259" i="11"/>
  <c r="AD258" i="11"/>
  <c r="AD257" i="11"/>
  <c r="AD256" i="11"/>
  <c r="AD255" i="11"/>
  <c r="AD254" i="11"/>
  <c r="AD253" i="11"/>
  <c r="AD252" i="11"/>
  <c r="AD251" i="11"/>
  <c r="AD250" i="11"/>
  <c r="AD249" i="11"/>
  <c r="AD248" i="11"/>
  <c r="AD247" i="11"/>
  <c r="AD246" i="11"/>
  <c r="AD245" i="11"/>
  <c r="AD244" i="11"/>
  <c r="AD243" i="11"/>
  <c r="AD242" i="11"/>
  <c r="AD241" i="11"/>
  <c r="AD240" i="11"/>
  <c r="AD239" i="11"/>
  <c r="AD238" i="11"/>
  <c r="AC273" i="11"/>
  <c r="AC269" i="11"/>
  <c r="AC268" i="11"/>
  <c r="AC267" i="11"/>
  <c r="AC266" i="11"/>
  <c r="AC265" i="11"/>
  <c r="AC264" i="11"/>
  <c r="AC263" i="11"/>
  <c r="AC262" i="11"/>
  <c r="AC261" i="11"/>
  <c r="AC260" i="11"/>
  <c r="AC259" i="11"/>
  <c r="AC258" i="11"/>
  <c r="AC257" i="11"/>
  <c r="AC256" i="11"/>
  <c r="AC255" i="11"/>
  <c r="AC254" i="11"/>
  <c r="AC253" i="11"/>
  <c r="AC252" i="11"/>
  <c r="AC251" i="11"/>
  <c r="AC250" i="11"/>
  <c r="AC249" i="11"/>
  <c r="AC248" i="11"/>
  <c r="AC247" i="11"/>
  <c r="AC246" i="11"/>
  <c r="AC245" i="11"/>
  <c r="AC244" i="11"/>
  <c r="AC243" i="11"/>
  <c r="AC242" i="11"/>
  <c r="AC241" i="11"/>
  <c r="AC240" i="11"/>
  <c r="AC239" i="11"/>
  <c r="AC238" i="11"/>
  <c r="V273" i="11"/>
  <c r="AA273" i="11" s="1"/>
  <c r="V269" i="11"/>
  <c r="AA269" i="11" s="1"/>
  <c r="V268" i="11"/>
  <c r="AA268" i="11" s="1"/>
  <c r="V267" i="11"/>
  <c r="AA267" i="11" s="1"/>
  <c r="V266" i="11"/>
  <c r="AA266" i="11" s="1"/>
  <c r="V265" i="11"/>
  <c r="AA265" i="11" s="1"/>
  <c r="V264" i="11"/>
  <c r="AA264" i="11" s="1"/>
  <c r="V263" i="11"/>
  <c r="AA263" i="11" s="1"/>
  <c r="V262" i="11"/>
  <c r="AA262" i="11" s="1"/>
  <c r="V261" i="11"/>
  <c r="AA261" i="11" s="1"/>
  <c r="V260" i="11"/>
  <c r="AA260" i="11" s="1"/>
  <c r="V259" i="11"/>
  <c r="AA259" i="11" s="1"/>
  <c r="V258" i="11"/>
  <c r="AA258" i="11" s="1"/>
  <c r="V257" i="11"/>
  <c r="AA257" i="11" s="1"/>
  <c r="V256" i="11"/>
  <c r="AA256" i="11" s="1"/>
  <c r="V255" i="11"/>
  <c r="AA255" i="11" s="1"/>
  <c r="V254" i="11"/>
  <c r="AA254" i="11" s="1"/>
  <c r="V253" i="11"/>
  <c r="AA253" i="11" s="1"/>
  <c r="V252" i="11"/>
  <c r="AA252" i="11" s="1"/>
  <c r="V251" i="11"/>
  <c r="AA251" i="11" s="1"/>
  <c r="V250" i="11"/>
  <c r="AA250" i="11" s="1"/>
  <c r="V249" i="11"/>
  <c r="AA249" i="11" s="1"/>
  <c r="V248" i="11"/>
  <c r="AA248" i="11" s="1"/>
  <c r="V247" i="11"/>
  <c r="AA247" i="11" s="1"/>
  <c r="V246" i="11"/>
  <c r="AA246" i="11" s="1"/>
  <c r="V245" i="11"/>
  <c r="AA245" i="11" s="1"/>
  <c r="V244" i="11"/>
  <c r="AA244" i="11" s="1"/>
  <c r="V243" i="11"/>
  <c r="AA243" i="11" s="1"/>
  <c r="V242" i="11"/>
  <c r="AA242" i="11" s="1"/>
  <c r="V241" i="11"/>
  <c r="AA241" i="11" s="1"/>
  <c r="V240" i="11"/>
  <c r="AA240" i="11" s="1"/>
  <c r="V239" i="11"/>
  <c r="AA239" i="11" s="1"/>
  <c r="V238" i="11"/>
  <c r="AA238" i="11" s="1"/>
  <c r="U273" i="11"/>
  <c r="Z273" i="11" s="1"/>
  <c r="U269" i="11"/>
  <c r="Z269" i="11" s="1"/>
  <c r="U268" i="11"/>
  <c r="Z268" i="11" s="1"/>
  <c r="U267" i="11"/>
  <c r="Z267" i="11" s="1"/>
  <c r="U266" i="11"/>
  <c r="Z266" i="11" s="1"/>
  <c r="U265" i="11"/>
  <c r="Z265" i="11" s="1"/>
  <c r="U264" i="11"/>
  <c r="Z264" i="11" s="1"/>
  <c r="U263" i="11"/>
  <c r="Z263" i="11" s="1"/>
  <c r="U262" i="11"/>
  <c r="Z262" i="11" s="1"/>
  <c r="U261" i="11"/>
  <c r="Z261" i="11" s="1"/>
  <c r="U260" i="11"/>
  <c r="Z260" i="11" s="1"/>
  <c r="U259" i="11"/>
  <c r="Z259" i="11" s="1"/>
  <c r="U258" i="11"/>
  <c r="Z258" i="11" s="1"/>
  <c r="U257" i="11"/>
  <c r="Z257" i="11" s="1"/>
  <c r="U256" i="11"/>
  <c r="Z256" i="11" s="1"/>
  <c r="U255" i="11"/>
  <c r="Z255" i="11" s="1"/>
  <c r="U254" i="11"/>
  <c r="Z254" i="11" s="1"/>
  <c r="U253" i="11"/>
  <c r="Z253" i="11" s="1"/>
  <c r="U252" i="11"/>
  <c r="Z252" i="11" s="1"/>
  <c r="U251" i="11"/>
  <c r="Z251" i="11" s="1"/>
  <c r="U250" i="11"/>
  <c r="Z250" i="11" s="1"/>
  <c r="U249" i="11"/>
  <c r="Z249" i="11" s="1"/>
  <c r="U248" i="11"/>
  <c r="Z248" i="11" s="1"/>
  <c r="U247" i="11"/>
  <c r="Z247" i="11" s="1"/>
  <c r="U246" i="11"/>
  <c r="Z246" i="11" s="1"/>
  <c r="U245" i="11"/>
  <c r="Z245" i="11" s="1"/>
  <c r="U244" i="11"/>
  <c r="Z244" i="11" s="1"/>
  <c r="U243" i="11"/>
  <c r="Z243" i="11" s="1"/>
  <c r="U242" i="11"/>
  <c r="Z242" i="11" s="1"/>
  <c r="U241" i="11"/>
  <c r="Z241" i="11" s="1"/>
  <c r="U240" i="11"/>
  <c r="Z240" i="11" s="1"/>
  <c r="U239" i="11"/>
  <c r="Z239" i="11" s="1"/>
  <c r="U238" i="11"/>
  <c r="Z238" i="11" s="1"/>
  <c r="T273" i="11"/>
  <c r="Y273" i="11" s="1"/>
  <c r="T269" i="11"/>
  <c r="Y269" i="11" s="1"/>
  <c r="T268" i="11"/>
  <c r="Y268" i="11" s="1"/>
  <c r="T267" i="11"/>
  <c r="Y267" i="11" s="1"/>
  <c r="T266" i="11"/>
  <c r="Y266" i="11" s="1"/>
  <c r="T265" i="11"/>
  <c r="Y265" i="11" s="1"/>
  <c r="T264" i="11"/>
  <c r="Y264" i="11" s="1"/>
  <c r="T263" i="11"/>
  <c r="Y263" i="11" s="1"/>
  <c r="T262" i="11"/>
  <c r="Y262" i="11" s="1"/>
  <c r="T261" i="11"/>
  <c r="Y261" i="11" s="1"/>
  <c r="T260" i="11"/>
  <c r="Y260" i="11" s="1"/>
  <c r="T259" i="11"/>
  <c r="Y259" i="11" s="1"/>
  <c r="T258" i="11"/>
  <c r="Y258" i="11" s="1"/>
  <c r="T257" i="11"/>
  <c r="Y257" i="11" s="1"/>
  <c r="T256" i="11"/>
  <c r="Y256" i="11" s="1"/>
  <c r="T255" i="11"/>
  <c r="Y255" i="11" s="1"/>
  <c r="T254" i="11"/>
  <c r="Y254" i="11" s="1"/>
  <c r="T253" i="11"/>
  <c r="Y253" i="11" s="1"/>
  <c r="T252" i="11"/>
  <c r="Y252" i="11" s="1"/>
  <c r="T251" i="11"/>
  <c r="Y251" i="11" s="1"/>
  <c r="T250" i="11"/>
  <c r="Y250" i="11" s="1"/>
  <c r="T249" i="11"/>
  <c r="Y249" i="11" s="1"/>
  <c r="T248" i="11"/>
  <c r="Y248" i="11" s="1"/>
  <c r="T247" i="11"/>
  <c r="Y247" i="11" s="1"/>
  <c r="T246" i="11"/>
  <c r="Y246" i="11" s="1"/>
  <c r="T245" i="11"/>
  <c r="Y245" i="11" s="1"/>
  <c r="T244" i="11"/>
  <c r="Y244" i="11" s="1"/>
  <c r="T243" i="11"/>
  <c r="Y243" i="11" s="1"/>
  <c r="T242" i="11"/>
  <c r="Y242" i="11" s="1"/>
  <c r="T241" i="11"/>
  <c r="Y241" i="11" s="1"/>
  <c r="T240" i="11"/>
  <c r="Y240" i="11" s="1"/>
  <c r="T239" i="11"/>
  <c r="Y239" i="11" s="1"/>
  <c r="T238" i="11"/>
  <c r="Y238" i="11" s="1"/>
  <c r="S273" i="11"/>
  <c r="X273" i="11" s="1"/>
  <c r="S269" i="11"/>
  <c r="X269" i="11" s="1"/>
  <c r="S268" i="11"/>
  <c r="X268" i="11" s="1"/>
  <c r="S267" i="11"/>
  <c r="X267" i="11" s="1"/>
  <c r="S266" i="11"/>
  <c r="X266" i="11" s="1"/>
  <c r="S265" i="11"/>
  <c r="X265" i="11" s="1"/>
  <c r="S264" i="11"/>
  <c r="X264" i="11" s="1"/>
  <c r="S263" i="11"/>
  <c r="X263" i="11" s="1"/>
  <c r="S262" i="11"/>
  <c r="X262" i="11" s="1"/>
  <c r="S261" i="11"/>
  <c r="X261" i="11" s="1"/>
  <c r="S260" i="11"/>
  <c r="X260" i="11" s="1"/>
  <c r="S259" i="11"/>
  <c r="X259" i="11" s="1"/>
  <c r="S258" i="11"/>
  <c r="X258" i="11" s="1"/>
  <c r="S257" i="11"/>
  <c r="X257" i="11" s="1"/>
  <c r="S256" i="11"/>
  <c r="X256" i="11" s="1"/>
  <c r="S255" i="11"/>
  <c r="X255" i="11" s="1"/>
  <c r="S254" i="11"/>
  <c r="X254" i="11" s="1"/>
  <c r="S253" i="11"/>
  <c r="X253" i="11" s="1"/>
  <c r="S252" i="11"/>
  <c r="X252" i="11" s="1"/>
  <c r="S251" i="11"/>
  <c r="X251" i="11" s="1"/>
  <c r="S250" i="11"/>
  <c r="X250" i="11" s="1"/>
  <c r="S249" i="11"/>
  <c r="X249" i="11" s="1"/>
  <c r="S248" i="11"/>
  <c r="X248" i="11" s="1"/>
  <c r="S247" i="11"/>
  <c r="X247" i="11" s="1"/>
  <c r="S246" i="11"/>
  <c r="X246" i="11" s="1"/>
  <c r="S245" i="11"/>
  <c r="X245" i="11" s="1"/>
  <c r="S244" i="11"/>
  <c r="X244" i="11" s="1"/>
  <c r="S243" i="11"/>
  <c r="X243" i="11" s="1"/>
  <c r="S242" i="11"/>
  <c r="X242" i="11" s="1"/>
  <c r="S241" i="11"/>
  <c r="X241" i="11" s="1"/>
  <c r="S240" i="11"/>
  <c r="X240" i="11" s="1"/>
  <c r="S239" i="11"/>
  <c r="X239" i="11" s="1"/>
  <c r="S238" i="11"/>
  <c r="X238" i="11" s="1"/>
  <c r="R273" i="11"/>
  <c r="W273" i="11" s="1"/>
  <c r="R269" i="11"/>
  <c r="W269" i="11" s="1"/>
  <c r="R268" i="11"/>
  <c r="W268" i="11" s="1"/>
  <c r="R267" i="11"/>
  <c r="W267" i="11" s="1"/>
  <c r="R266" i="11"/>
  <c r="W266" i="11" s="1"/>
  <c r="R265" i="11"/>
  <c r="W265" i="11" s="1"/>
  <c r="R264" i="11"/>
  <c r="W264" i="11" s="1"/>
  <c r="R263" i="11"/>
  <c r="W263" i="11" s="1"/>
  <c r="R262" i="11"/>
  <c r="W262" i="11" s="1"/>
  <c r="R261" i="11"/>
  <c r="W261" i="11" s="1"/>
  <c r="R260" i="11"/>
  <c r="W260" i="11" s="1"/>
  <c r="R259" i="11"/>
  <c r="W259" i="11" s="1"/>
  <c r="R258" i="11"/>
  <c r="W258" i="11" s="1"/>
  <c r="R257" i="11"/>
  <c r="W257" i="11" s="1"/>
  <c r="R256" i="11"/>
  <c r="W256" i="11" s="1"/>
  <c r="R255" i="11"/>
  <c r="W255" i="11" s="1"/>
  <c r="R254" i="11"/>
  <c r="W254" i="11" s="1"/>
  <c r="R253" i="11"/>
  <c r="W253" i="11" s="1"/>
  <c r="R252" i="11"/>
  <c r="W252" i="11" s="1"/>
  <c r="R251" i="11"/>
  <c r="W251" i="11" s="1"/>
  <c r="R250" i="11"/>
  <c r="W250" i="11" s="1"/>
  <c r="R249" i="11"/>
  <c r="W249" i="11" s="1"/>
  <c r="R248" i="11"/>
  <c r="W248" i="11" s="1"/>
  <c r="R247" i="11"/>
  <c r="W247" i="11" s="1"/>
  <c r="R246" i="11"/>
  <c r="W246" i="11" s="1"/>
  <c r="R245" i="11"/>
  <c r="W245" i="11" s="1"/>
  <c r="R244" i="11"/>
  <c r="W244" i="11" s="1"/>
  <c r="R243" i="11"/>
  <c r="W243" i="11" s="1"/>
  <c r="R242" i="11"/>
  <c r="W242" i="11" s="1"/>
  <c r="R241" i="11"/>
  <c r="W241" i="11" s="1"/>
  <c r="R240" i="11"/>
  <c r="W240" i="11" s="1"/>
  <c r="R239" i="11"/>
  <c r="W239" i="11" s="1"/>
  <c r="R238" i="11"/>
  <c r="W238" i="11" s="1"/>
  <c r="O273" i="11"/>
  <c r="O269" i="11"/>
  <c r="O268" i="1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N273" i="11"/>
  <c r="N269" i="11"/>
  <c r="N268" i="11"/>
  <c r="N267" i="11"/>
  <c r="N266" i="11"/>
  <c r="N265" i="11"/>
  <c r="N264" i="11"/>
  <c r="N263" i="11"/>
  <c r="N262" i="11"/>
  <c r="N261" i="11"/>
  <c r="N260" i="11"/>
  <c r="N259" i="11"/>
  <c r="N258" i="11"/>
  <c r="N257" i="11"/>
  <c r="N256" i="11"/>
  <c r="N255" i="11"/>
  <c r="N254" i="11"/>
  <c r="N253" i="11"/>
  <c r="N252" i="11"/>
  <c r="N251" i="11"/>
  <c r="N250" i="11"/>
  <c r="N249" i="11"/>
  <c r="N248" i="11"/>
  <c r="N247" i="11"/>
  <c r="N246" i="11"/>
  <c r="N245" i="11"/>
  <c r="N244" i="11"/>
  <c r="N243" i="11"/>
  <c r="N242" i="11"/>
  <c r="N241" i="11"/>
  <c r="N240" i="11"/>
  <c r="N239" i="11"/>
  <c r="N238" i="11"/>
  <c r="G273" i="11"/>
  <c r="L273" i="11" s="1"/>
  <c r="G269" i="11"/>
  <c r="L269" i="11" s="1"/>
  <c r="G268" i="11"/>
  <c r="L268" i="11" s="1"/>
  <c r="G267" i="11"/>
  <c r="L267" i="11" s="1"/>
  <c r="G266" i="11"/>
  <c r="L266" i="11" s="1"/>
  <c r="G265" i="11"/>
  <c r="L265" i="11" s="1"/>
  <c r="G264" i="11"/>
  <c r="L264" i="11" s="1"/>
  <c r="G263" i="11"/>
  <c r="L263" i="11" s="1"/>
  <c r="G262" i="11"/>
  <c r="L262" i="11" s="1"/>
  <c r="G261" i="11"/>
  <c r="L261" i="11" s="1"/>
  <c r="G260" i="11"/>
  <c r="L260" i="11" s="1"/>
  <c r="G259" i="11"/>
  <c r="L259" i="11" s="1"/>
  <c r="G258" i="11"/>
  <c r="L258" i="11" s="1"/>
  <c r="G257" i="11"/>
  <c r="L257" i="11" s="1"/>
  <c r="G256" i="11"/>
  <c r="L256" i="11" s="1"/>
  <c r="G255" i="11"/>
  <c r="L255" i="11" s="1"/>
  <c r="G254" i="11"/>
  <c r="L254" i="11" s="1"/>
  <c r="G253" i="11"/>
  <c r="L253" i="11" s="1"/>
  <c r="G252" i="11"/>
  <c r="L252" i="11" s="1"/>
  <c r="G251" i="11"/>
  <c r="L251" i="11" s="1"/>
  <c r="G250" i="11"/>
  <c r="L250" i="11" s="1"/>
  <c r="G249" i="11"/>
  <c r="L249" i="11" s="1"/>
  <c r="G248" i="11"/>
  <c r="L248" i="11" s="1"/>
  <c r="G247" i="11"/>
  <c r="L247" i="11" s="1"/>
  <c r="G246" i="11"/>
  <c r="L246" i="11" s="1"/>
  <c r="G245" i="11"/>
  <c r="L245" i="11" s="1"/>
  <c r="G244" i="11"/>
  <c r="L244" i="11" s="1"/>
  <c r="G243" i="11"/>
  <c r="L243" i="11" s="1"/>
  <c r="G242" i="11"/>
  <c r="L242" i="11" s="1"/>
  <c r="G241" i="11"/>
  <c r="L241" i="11" s="1"/>
  <c r="G240" i="11"/>
  <c r="L240" i="11" s="1"/>
  <c r="G239" i="11"/>
  <c r="L239" i="11" s="1"/>
  <c r="G238" i="11"/>
  <c r="L238" i="11" s="1"/>
  <c r="F273" i="11"/>
  <c r="K273" i="11" s="1"/>
  <c r="F269" i="11"/>
  <c r="K269" i="11" s="1"/>
  <c r="F268" i="11"/>
  <c r="K268" i="11" s="1"/>
  <c r="F267" i="11"/>
  <c r="K267" i="11" s="1"/>
  <c r="F266" i="11"/>
  <c r="K266" i="11" s="1"/>
  <c r="F265" i="11"/>
  <c r="K265" i="11" s="1"/>
  <c r="F264" i="11"/>
  <c r="K264" i="11" s="1"/>
  <c r="F263" i="11"/>
  <c r="K263" i="11" s="1"/>
  <c r="F262" i="11"/>
  <c r="K262" i="11" s="1"/>
  <c r="F261" i="11"/>
  <c r="K261" i="11" s="1"/>
  <c r="F260" i="11"/>
  <c r="K260" i="11" s="1"/>
  <c r="F259" i="11"/>
  <c r="K259" i="11" s="1"/>
  <c r="F258" i="11"/>
  <c r="K258" i="11" s="1"/>
  <c r="F257" i="11"/>
  <c r="K257" i="11" s="1"/>
  <c r="F256" i="11"/>
  <c r="K256" i="11" s="1"/>
  <c r="F255" i="11"/>
  <c r="K255" i="11" s="1"/>
  <c r="F254" i="11"/>
  <c r="K254" i="11" s="1"/>
  <c r="F253" i="11"/>
  <c r="K253" i="11" s="1"/>
  <c r="F252" i="11"/>
  <c r="K252" i="11" s="1"/>
  <c r="F251" i="11"/>
  <c r="K251" i="11" s="1"/>
  <c r="F250" i="11"/>
  <c r="K250" i="11" s="1"/>
  <c r="F249" i="11"/>
  <c r="K249" i="11" s="1"/>
  <c r="F248" i="11"/>
  <c r="K248" i="11" s="1"/>
  <c r="F247" i="11"/>
  <c r="K247" i="11" s="1"/>
  <c r="F246" i="11"/>
  <c r="K246" i="11" s="1"/>
  <c r="F245" i="11"/>
  <c r="K245" i="11" s="1"/>
  <c r="F244" i="11"/>
  <c r="K244" i="11" s="1"/>
  <c r="F243" i="11"/>
  <c r="K243" i="11" s="1"/>
  <c r="F242" i="11"/>
  <c r="K242" i="11" s="1"/>
  <c r="F241" i="11"/>
  <c r="K241" i="11" s="1"/>
  <c r="F240" i="11"/>
  <c r="K240" i="11" s="1"/>
  <c r="F239" i="11"/>
  <c r="K239" i="11" s="1"/>
  <c r="F238" i="11"/>
  <c r="K238" i="11" s="1"/>
  <c r="E273" i="11"/>
  <c r="J273" i="11" s="1"/>
  <c r="E269" i="11"/>
  <c r="J269" i="11" s="1"/>
  <c r="E268" i="11"/>
  <c r="J268" i="11" s="1"/>
  <c r="E267" i="11"/>
  <c r="J267" i="11" s="1"/>
  <c r="E266" i="11"/>
  <c r="J266" i="11" s="1"/>
  <c r="E265" i="11"/>
  <c r="J265" i="11" s="1"/>
  <c r="E264" i="11"/>
  <c r="J264" i="11" s="1"/>
  <c r="E263" i="11"/>
  <c r="J263" i="11" s="1"/>
  <c r="E262" i="11"/>
  <c r="J262" i="11" s="1"/>
  <c r="E261" i="11"/>
  <c r="J261" i="11" s="1"/>
  <c r="E260" i="11"/>
  <c r="J260" i="11" s="1"/>
  <c r="E259" i="11"/>
  <c r="J259" i="11" s="1"/>
  <c r="E258" i="11"/>
  <c r="J258" i="11" s="1"/>
  <c r="E257" i="11"/>
  <c r="J257" i="11" s="1"/>
  <c r="E256" i="11"/>
  <c r="J256" i="11" s="1"/>
  <c r="E255" i="11"/>
  <c r="J255" i="11" s="1"/>
  <c r="E254" i="11"/>
  <c r="J254" i="11" s="1"/>
  <c r="E253" i="11"/>
  <c r="J253" i="11" s="1"/>
  <c r="E252" i="11"/>
  <c r="J252" i="11" s="1"/>
  <c r="E251" i="11"/>
  <c r="J251" i="11" s="1"/>
  <c r="E250" i="11"/>
  <c r="J250" i="11" s="1"/>
  <c r="E249" i="11"/>
  <c r="J249" i="11" s="1"/>
  <c r="E248" i="11"/>
  <c r="J248" i="11" s="1"/>
  <c r="E247" i="11"/>
  <c r="J247" i="11" s="1"/>
  <c r="E246" i="11"/>
  <c r="J246" i="11" s="1"/>
  <c r="E245" i="11"/>
  <c r="J245" i="11" s="1"/>
  <c r="E244" i="11"/>
  <c r="J244" i="11" s="1"/>
  <c r="E243" i="11"/>
  <c r="J243" i="11" s="1"/>
  <c r="E242" i="11"/>
  <c r="J242" i="11" s="1"/>
  <c r="E241" i="11"/>
  <c r="J241" i="11" s="1"/>
  <c r="E240" i="11"/>
  <c r="J240" i="11" s="1"/>
  <c r="E239" i="11"/>
  <c r="J239" i="11" s="1"/>
  <c r="E238" i="11"/>
  <c r="J238" i="11" s="1"/>
  <c r="D273" i="11"/>
  <c r="I273" i="11" s="1"/>
  <c r="D269" i="11"/>
  <c r="I269" i="11" s="1"/>
  <c r="D268" i="11"/>
  <c r="I268" i="11" s="1"/>
  <c r="D267" i="11"/>
  <c r="I267" i="11" s="1"/>
  <c r="D266" i="11"/>
  <c r="I266" i="11" s="1"/>
  <c r="D265" i="11"/>
  <c r="I265" i="11" s="1"/>
  <c r="D264" i="11"/>
  <c r="I264" i="11" s="1"/>
  <c r="D263" i="11"/>
  <c r="I263" i="11" s="1"/>
  <c r="D262" i="11"/>
  <c r="I262" i="11" s="1"/>
  <c r="D261" i="11"/>
  <c r="I261" i="11" s="1"/>
  <c r="D260" i="11"/>
  <c r="I260" i="11" s="1"/>
  <c r="D259" i="11"/>
  <c r="I259" i="11" s="1"/>
  <c r="D258" i="11"/>
  <c r="I258" i="11" s="1"/>
  <c r="D257" i="11"/>
  <c r="I257" i="11" s="1"/>
  <c r="D256" i="11"/>
  <c r="I256" i="11" s="1"/>
  <c r="D255" i="11"/>
  <c r="I255" i="11" s="1"/>
  <c r="D254" i="11"/>
  <c r="I254" i="11" s="1"/>
  <c r="D253" i="11"/>
  <c r="I253" i="11" s="1"/>
  <c r="D252" i="11"/>
  <c r="I252" i="11" s="1"/>
  <c r="D251" i="11"/>
  <c r="I251" i="11" s="1"/>
  <c r="D250" i="11"/>
  <c r="I250" i="11" s="1"/>
  <c r="D249" i="11"/>
  <c r="I249" i="11" s="1"/>
  <c r="D248" i="11"/>
  <c r="I248" i="11" s="1"/>
  <c r="D247" i="11"/>
  <c r="I247" i="11" s="1"/>
  <c r="D246" i="11"/>
  <c r="I246" i="11" s="1"/>
  <c r="D245" i="11"/>
  <c r="I245" i="11" s="1"/>
  <c r="D244" i="11"/>
  <c r="I244" i="11" s="1"/>
  <c r="D243" i="11"/>
  <c r="I243" i="11" s="1"/>
  <c r="D242" i="11"/>
  <c r="I242" i="11" s="1"/>
  <c r="D241" i="11"/>
  <c r="I241" i="11" s="1"/>
  <c r="D240" i="11"/>
  <c r="I240" i="11" s="1"/>
  <c r="D239" i="11"/>
  <c r="I239" i="11" s="1"/>
  <c r="D238" i="11"/>
  <c r="I238" i="11" s="1"/>
  <c r="C273" i="11"/>
  <c r="H273" i="11" s="1"/>
  <c r="C269" i="11"/>
  <c r="H269" i="11" s="1"/>
  <c r="C268" i="11"/>
  <c r="H268" i="11" s="1"/>
  <c r="C267" i="11"/>
  <c r="H267" i="11" s="1"/>
  <c r="C266" i="11"/>
  <c r="H266" i="11" s="1"/>
  <c r="C265" i="11"/>
  <c r="H265" i="11" s="1"/>
  <c r="C264" i="11"/>
  <c r="H264" i="11" s="1"/>
  <c r="C263" i="11"/>
  <c r="H263" i="11" s="1"/>
  <c r="C262" i="11"/>
  <c r="H262" i="11" s="1"/>
  <c r="C261" i="11"/>
  <c r="H261" i="11" s="1"/>
  <c r="C260" i="11"/>
  <c r="H260" i="11" s="1"/>
  <c r="C259" i="11"/>
  <c r="H259" i="11" s="1"/>
  <c r="C258" i="11"/>
  <c r="H258" i="11" s="1"/>
  <c r="C257" i="11"/>
  <c r="H257" i="11" s="1"/>
  <c r="C256" i="11"/>
  <c r="H256" i="11" s="1"/>
  <c r="C255" i="11"/>
  <c r="H255" i="11" s="1"/>
  <c r="C254" i="11"/>
  <c r="H254" i="11" s="1"/>
  <c r="C253" i="11"/>
  <c r="H253" i="11" s="1"/>
  <c r="C252" i="11"/>
  <c r="H252" i="11" s="1"/>
  <c r="C251" i="11"/>
  <c r="H251" i="11" s="1"/>
  <c r="C250" i="11"/>
  <c r="H250" i="11" s="1"/>
  <c r="C249" i="11"/>
  <c r="H249" i="11" s="1"/>
  <c r="C248" i="11"/>
  <c r="H248" i="11" s="1"/>
  <c r="C247" i="11"/>
  <c r="H247" i="11" s="1"/>
  <c r="C246" i="11"/>
  <c r="H246" i="11" s="1"/>
  <c r="C245" i="11"/>
  <c r="H245" i="11" s="1"/>
  <c r="C244" i="11"/>
  <c r="H244" i="11" s="1"/>
  <c r="C243" i="11"/>
  <c r="H243" i="11" s="1"/>
  <c r="C242" i="11"/>
  <c r="H242" i="11" s="1"/>
  <c r="C241" i="11"/>
  <c r="H241" i="11" s="1"/>
  <c r="C240" i="11"/>
  <c r="H240" i="11" s="1"/>
  <c r="C239" i="11"/>
  <c r="H239" i="11" s="1"/>
  <c r="C238" i="11"/>
  <c r="H238" i="11" s="1"/>
  <c r="AD232" i="11"/>
  <c r="AD228" i="11"/>
  <c r="AD227" i="11"/>
  <c r="AD226" i="11"/>
  <c r="AD225" i="11"/>
  <c r="AD224" i="11"/>
  <c r="AD223" i="11"/>
  <c r="AD222" i="11"/>
  <c r="AD221" i="11"/>
  <c r="AD220" i="11"/>
  <c r="AD219" i="11"/>
  <c r="AD218" i="11"/>
  <c r="AD217" i="11"/>
  <c r="AD216" i="11"/>
  <c r="AD215" i="11"/>
  <c r="AD214" i="11"/>
  <c r="AD213" i="11"/>
  <c r="AD212" i="11"/>
  <c r="AD211" i="11"/>
  <c r="AD210" i="11"/>
  <c r="AD209" i="11"/>
  <c r="AD208" i="11"/>
  <c r="AD207" i="11"/>
  <c r="AD206" i="11"/>
  <c r="AD205" i="11"/>
  <c r="AD204" i="11"/>
  <c r="AD203" i="11"/>
  <c r="AD202" i="11"/>
  <c r="AD201" i="11"/>
  <c r="AD200" i="11"/>
  <c r="AD199" i="11"/>
  <c r="AD198" i="11"/>
  <c r="AD197" i="11"/>
  <c r="AC232" i="11"/>
  <c r="AC228" i="11"/>
  <c r="AC227" i="11"/>
  <c r="AC226" i="11"/>
  <c r="AC225" i="11"/>
  <c r="AC224" i="11"/>
  <c r="AC223" i="11"/>
  <c r="AC222" i="11"/>
  <c r="AC221" i="11"/>
  <c r="AC220" i="11"/>
  <c r="AC219" i="11"/>
  <c r="AC218" i="11"/>
  <c r="AC217" i="11"/>
  <c r="AC216" i="11"/>
  <c r="AC215" i="11"/>
  <c r="AC214" i="11"/>
  <c r="AC213" i="11"/>
  <c r="AC212" i="11"/>
  <c r="AC211" i="11"/>
  <c r="AC210" i="11"/>
  <c r="AC209" i="11"/>
  <c r="AC208" i="11"/>
  <c r="AC207" i="11"/>
  <c r="AC206" i="11"/>
  <c r="AC205" i="11"/>
  <c r="AC204" i="11"/>
  <c r="AC203" i="11"/>
  <c r="AC202" i="11"/>
  <c r="AC201" i="11"/>
  <c r="AC200" i="11"/>
  <c r="AC199" i="11"/>
  <c r="AC198" i="11"/>
  <c r="AC197" i="11"/>
  <c r="V232" i="11"/>
  <c r="AA232" i="11" s="1"/>
  <c r="V228" i="11"/>
  <c r="AA228" i="11" s="1"/>
  <c r="V227" i="11"/>
  <c r="AA227" i="11" s="1"/>
  <c r="V226" i="11"/>
  <c r="AA226" i="11" s="1"/>
  <c r="V225" i="11"/>
  <c r="AA225" i="11" s="1"/>
  <c r="V224" i="11"/>
  <c r="AA224" i="11" s="1"/>
  <c r="V223" i="11"/>
  <c r="AA223" i="11" s="1"/>
  <c r="V222" i="11"/>
  <c r="AA222" i="11" s="1"/>
  <c r="V221" i="11"/>
  <c r="AA221" i="11" s="1"/>
  <c r="V220" i="11"/>
  <c r="AA220" i="11" s="1"/>
  <c r="V219" i="11"/>
  <c r="AA219" i="11" s="1"/>
  <c r="V218" i="11"/>
  <c r="AA218" i="11" s="1"/>
  <c r="V217" i="11"/>
  <c r="AA217" i="11" s="1"/>
  <c r="V216" i="11"/>
  <c r="AA216" i="11" s="1"/>
  <c r="V215" i="11"/>
  <c r="AA215" i="11" s="1"/>
  <c r="V214" i="11"/>
  <c r="AA214" i="11" s="1"/>
  <c r="V213" i="11"/>
  <c r="AA213" i="11" s="1"/>
  <c r="V212" i="11"/>
  <c r="AA212" i="11" s="1"/>
  <c r="V211" i="11"/>
  <c r="AA211" i="11" s="1"/>
  <c r="V210" i="11"/>
  <c r="AA210" i="11" s="1"/>
  <c r="V209" i="11"/>
  <c r="AA209" i="11" s="1"/>
  <c r="V208" i="11"/>
  <c r="AA208" i="11" s="1"/>
  <c r="V207" i="11"/>
  <c r="AA207" i="11" s="1"/>
  <c r="V206" i="11"/>
  <c r="AA206" i="11" s="1"/>
  <c r="V205" i="11"/>
  <c r="AA205" i="11" s="1"/>
  <c r="V204" i="11"/>
  <c r="AA204" i="11" s="1"/>
  <c r="V203" i="11"/>
  <c r="AA203" i="11" s="1"/>
  <c r="V202" i="11"/>
  <c r="AA202" i="11" s="1"/>
  <c r="V201" i="11"/>
  <c r="AA201" i="11" s="1"/>
  <c r="V200" i="11"/>
  <c r="AA200" i="11" s="1"/>
  <c r="V199" i="11"/>
  <c r="AA199" i="11" s="1"/>
  <c r="V198" i="11"/>
  <c r="AA198" i="11" s="1"/>
  <c r="V197" i="11"/>
  <c r="AA197" i="11" s="1"/>
  <c r="U232" i="11"/>
  <c r="Z232" i="11" s="1"/>
  <c r="U228" i="11"/>
  <c r="Z228" i="11" s="1"/>
  <c r="U227" i="11"/>
  <c r="Z227" i="11" s="1"/>
  <c r="U226" i="11"/>
  <c r="Z226" i="11" s="1"/>
  <c r="U225" i="11"/>
  <c r="Z225" i="11" s="1"/>
  <c r="U224" i="11"/>
  <c r="Z224" i="11" s="1"/>
  <c r="U223" i="11"/>
  <c r="Z223" i="11" s="1"/>
  <c r="U222" i="11"/>
  <c r="Z222" i="11" s="1"/>
  <c r="U221" i="11"/>
  <c r="Z221" i="11" s="1"/>
  <c r="U220" i="11"/>
  <c r="Z220" i="11" s="1"/>
  <c r="U219" i="11"/>
  <c r="Z219" i="11" s="1"/>
  <c r="U218" i="11"/>
  <c r="Z218" i="11" s="1"/>
  <c r="U217" i="11"/>
  <c r="Z217" i="11" s="1"/>
  <c r="U216" i="11"/>
  <c r="Z216" i="11" s="1"/>
  <c r="U215" i="11"/>
  <c r="Z215" i="11" s="1"/>
  <c r="U214" i="11"/>
  <c r="Z214" i="11" s="1"/>
  <c r="U213" i="11"/>
  <c r="Z213" i="11" s="1"/>
  <c r="U212" i="11"/>
  <c r="Z212" i="11" s="1"/>
  <c r="U211" i="11"/>
  <c r="Z211" i="11" s="1"/>
  <c r="U210" i="11"/>
  <c r="Z210" i="11" s="1"/>
  <c r="U209" i="11"/>
  <c r="Z209" i="11" s="1"/>
  <c r="U208" i="11"/>
  <c r="Z208" i="11" s="1"/>
  <c r="U207" i="11"/>
  <c r="Z207" i="11" s="1"/>
  <c r="U206" i="11"/>
  <c r="Z206" i="11" s="1"/>
  <c r="U205" i="11"/>
  <c r="Z205" i="11" s="1"/>
  <c r="U204" i="11"/>
  <c r="Z204" i="11" s="1"/>
  <c r="U203" i="11"/>
  <c r="Z203" i="11" s="1"/>
  <c r="U202" i="11"/>
  <c r="Z202" i="11" s="1"/>
  <c r="U201" i="11"/>
  <c r="Z201" i="11" s="1"/>
  <c r="U200" i="11"/>
  <c r="Z200" i="11" s="1"/>
  <c r="U199" i="11"/>
  <c r="Z199" i="11" s="1"/>
  <c r="U198" i="11"/>
  <c r="Z198" i="11" s="1"/>
  <c r="U197" i="11"/>
  <c r="Z197" i="11" s="1"/>
  <c r="T232" i="11"/>
  <c r="Y232" i="11" s="1"/>
  <c r="T228" i="11"/>
  <c r="Y228" i="11" s="1"/>
  <c r="T227" i="11"/>
  <c r="Y227" i="11" s="1"/>
  <c r="T226" i="11"/>
  <c r="Y226" i="11" s="1"/>
  <c r="T225" i="11"/>
  <c r="Y225" i="11" s="1"/>
  <c r="T224" i="11"/>
  <c r="Y224" i="11" s="1"/>
  <c r="T223" i="11"/>
  <c r="Y223" i="11" s="1"/>
  <c r="T222" i="11"/>
  <c r="Y222" i="11" s="1"/>
  <c r="T221" i="11"/>
  <c r="Y221" i="11" s="1"/>
  <c r="T220" i="11"/>
  <c r="Y220" i="11" s="1"/>
  <c r="T219" i="11"/>
  <c r="Y219" i="11" s="1"/>
  <c r="T218" i="11"/>
  <c r="Y218" i="11" s="1"/>
  <c r="T217" i="11"/>
  <c r="Y217" i="11" s="1"/>
  <c r="T216" i="11"/>
  <c r="Y216" i="11" s="1"/>
  <c r="T215" i="11"/>
  <c r="Y215" i="11" s="1"/>
  <c r="T214" i="11"/>
  <c r="Y214" i="11" s="1"/>
  <c r="T213" i="11"/>
  <c r="Y213" i="11" s="1"/>
  <c r="T212" i="11"/>
  <c r="Y212" i="11" s="1"/>
  <c r="T211" i="11"/>
  <c r="Y211" i="11" s="1"/>
  <c r="T210" i="11"/>
  <c r="Y210" i="11" s="1"/>
  <c r="T209" i="11"/>
  <c r="Y209" i="11" s="1"/>
  <c r="T208" i="11"/>
  <c r="Y208" i="11" s="1"/>
  <c r="T207" i="11"/>
  <c r="Y207" i="11" s="1"/>
  <c r="T206" i="11"/>
  <c r="Y206" i="11" s="1"/>
  <c r="T205" i="11"/>
  <c r="Y205" i="11" s="1"/>
  <c r="T204" i="11"/>
  <c r="Y204" i="11" s="1"/>
  <c r="T203" i="11"/>
  <c r="Y203" i="11" s="1"/>
  <c r="T202" i="11"/>
  <c r="Y202" i="11" s="1"/>
  <c r="T201" i="11"/>
  <c r="Y201" i="11" s="1"/>
  <c r="T200" i="11"/>
  <c r="Y200" i="11" s="1"/>
  <c r="T199" i="11"/>
  <c r="Y199" i="11" s="1"/>
  <c r="T198" i="11"/>
  <c r="Y198" i="11" s="1"/>
  <c r="T197" i="11"/>
  <c r="Y197" i="11" s="1"/>
  <c r="S232" i="11"/>
  <c r="X232" i="11" s="1"/>
  <c r="S228" i="11"/>
  <c r="X228" i="11" s="1"/>
  <c r="S227" i="11"/>
  <c r="X227" i="11" s="1"/>
  <c r="S226" i="11"/>
  <c r="X226" i="11" s="1"/>
  <c r="S225" i="11"/>
  <c r="X225" i="11" s="1"/>
  <c r="S224" i="11"/>
  <c r="X224" i="11" s="1"/>
  <c r="S223" i="11"/>
  <c r="X223" i="11" s="1"/>
  <c r="S222" i="11"/>
  <c r="X222" i="11" s="1"/>
  <c r="S221" i="11"/>
  <c r="X221" i="11" s="1"/>
  <c r="S220" i="11"/>
  <c r="X220" i="11" s="1"/>
  <c r="S219" i="11"/>
  <c r="X219" i="11" s="1"/>
  <c r="S218" i="11"/>
  <c r="X218" i="11" s="1"/>
  <c r="S217" i="11"/>
  <c r="X217" i="11" s="1"/>
  <c r="S216" i="11"/>
  <c r="X216" i="11" s="1"/>
  <c r="S215" i="11"/>
  <c r="X215" i="11" s="1"/>
  <c r="S214" i="11"/>
  <c r="X214" i="11" s="1"/>
  <c r="S213" i="11"/>
  <c r="X213" i="11" s="1"/>
  <c r="S212" i="11"/>
  <c r="X212" i="11" s="1"/>
  <c r="S211" i="11"/>
  <c r="X211" i="11" s="1"/>
  <c r="S210" i="11"/>
  <c r="X210" i="11" s="1"/>
  <c r="S209" i="11"/>
  <c r="X209" i="11" s="1"/>
  <c r="S208" i="11"/>
  <c r="X208" i="11" s="1"/>
  <c r="S207" i="11"/>
  <c r="X207" i="11" s="1"/>
  <c r="S206" i="11"/>
  <c r="X206" i="11" s="1"/>
  <c r="S205" i="11"/>
  <c r="X205" i="11" s="1"/>
  <c r="S204" i="11"/>
  <c r="X204" i="11" s="1"/>
  <c r="S203" i="11"/>
  <c r="X203" i="11" s="1"/>
  <c r="S202" i="11"/>
  <c r="X202" i="11" s="1"/>
  <c r="S201" i="11"/>
  <c r="X201" i="11" s="1"/>
  <c r="S200" i="11"/>
  <c r="X200" i="11" s="1"/>
  <c r="S199" i="11"/>
  <c r="X199" i="11" s="1"/>
  <c r="S198" i="11"/>
  <c r="X198" i="11" s="1"/>
  <c r="S197" i="11"/>
  <c r="X197" i="11" s="1"/>
  <c r="R232" i="11"/>
  <c r="W232" i="11" s="1"/>
  <c r="R228" i="11"/>
  <c r="W228" i="11" s="1"/>
  <c r="R227" i="11"/>
  <c r="W227" i="11" s="1"/>
  <c r="R226" i="11"/>
  <c r="W226" i="11" s="1"/>
  <c r="R225" i="11"/>
  <c r="W225" i="11" s="1"/>
  <c r="R224" i="11"/>
  <c r="W224" i="11" s="1"/>
  <c r="R223" i="11"/>
  <c r="W223" i="11" s="1"/>
  <c r="R222" i="11"/>
  <c r="W222" i="11" s="1"/>
  <c r="R221" i="11"/>
  <c r="W221" i="11" s="1"/>
  <c r="R220" i="11"/>
  <c r="W220" i="11" s="1"/>
  <c r="R219" i="11"/>
  <c r="W219" i="11" s="1"/>
  <c r="R218" i="11"/>
  <c r="W218" i="11" s="1"/>
  <c r="R217" i="11"/>
  <c r="W217" i="11" s="1"/>
  <c r="R216" i="11"/>
  <c r="W216" i="11" s="1"/>
  <c r="R215" i="11"/>
  <c r="W215" i="11" s="1"/>
  <c r="R214" i="11"/>
  <c r="W214" i="11" s="1"/>
  <c r="R213" i="11"/>
  <c r="W213" i="11" s="1"/>
  <c r="R212" i="11"/>
  <c r="W212" i="11" s="1"/>
  <c r="R211" i="11"/>
  <c r="W211" i="11" s="1"/>
  <c r="R210" i="11"/>
  <c r="W210" i="11" s="1"/>
  <c r="R209" i="11"/>
  <c r="W209" i="11" s="1"/>
  <c r="R208" i="11"/>
  <c r="W208" i="11" s="1"/>
  <c r="R207" i="11"/>
  <c r="W207" i="11" s="1"/>
  <c r="R206" i="11"/>
  <c r="W206" i="11" s="1"/>
  <c r="R205" i="11"/>
  <c r="W205" i="11" s="1"/>
  <c r="R204" i="11"/>
  <c r="W204" i="11" s="1"/>
  <c r="R203" i="11"/>
  <c r="W203" i="11" s="1"/>
  <c r="R202" i="11"/>
  <c r="W202" i="11" s="1"/>
  <c r="R201" i="11"/>
  <c r="W201" i="11" s="1"/>
  <c r="R200" i="11"/>
  <c r="W200" i="11" s="1"/>
  <c r="R199" i="11"/>
  <c r="W199" i="11" s="1"/>
  <c r="R198" i="11"/>
  <c r="W198" i="11" s="1"/>
  <c r="R197" i="11"/>
  <c r="W197" i="11" s="1"/>
  <c r="O232"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N232" i="11"/>
  <c r="N228" i="11"/>
  <c r="N227" i="11"/>
  <c r="N226" i="11"/>
  <c r="N225" i="11"/>
  <c r="N224" i="11"/>
  <c r="N223" i="11"/>
  <c r="N222" i="11"/>
  <c r="N221" i="11"/>
  <c r="N220" i="11"/>
  <c r="N219" i="11"/>
  <c r="N218" i="11"/>
  <c r="N217" i="11"/>
  <c r="N216" i="11"/>
  <c r="N215" i="11"/>
  <c r="N214" i="11"/>
  <c r="N213" i="11"/>
  <c r="N212" i="11"/>
  <c r="N211" i="11"/>
  <c r="N210" i="11"/>
  <c r="N209" i="11"/>
  <c r="N208" i="11"/>
  <c r="N207" i="11"/>
  <c r="N206" i="11"/>
  <c r="N205" i="11"/>
  <c r="N204" i="11"/>
  <c r="N203" i="11"/>
  <c r="N202" i="11"/>
  <c r="N201" i="11"/>
  <c r="N200" i="11"/>
  <c r="N199" i="11"/>
  <c r="N198" i="11"/>
  <c r="N197" i="11"/>
  <c r="G232" i="11"/>
  <c r="L232" i="11" s="1"/>
  <c r="G228" i="11"/>
  <c r="L228" i="11" s="1"/>
  <c r="G227" i="11"/>
  <c r="L227" i="11" s="1"/>
  <c r="G226" i="11"/>
  <c r="L226" i="11" s="1"/>
  <c r="G225" i="11"/>
  <c r="L225" i="11" s="1"/>
  <c r="G224" i="11"/>
  <c r="L224" i="11" s="1"/>
  <c r="G223" i="11"/>
  <c r="L223" i="11" s="1"/>
  <c r="G222" i="11"/>
  <c r="L222" i="11" s="1"/>
  <c r="G221" i="11"/>
  <c r="L221" i="11" s="1"/>
  <c r="G220" i="11"/>
  <c r="L220" i="11" s="1"/>
  <c r="G219" i="11"/>
  <c r="L219" i="11" s="1"/>
  <c r="G218" i="11"/>
  <c r="L218" i="11" s="1"/>
  <c r="G217" i="11"/>
  <c r="L217" i="11" s="1"/>
  <c r="G216" i="11"/>
  <c r="L216" i="11" s="1"/>
  <c r="G215" i="11"/>
  <c r="L215" i="11" s="1"/>
  <c r="G214" i="11"/>
  <c r="L214" i="11" s="1"/>
  <c r="G213" i="11"/>
  <c r="L213" i="11" s="1"/>
  <c r="G212" i="11"/>
  <c r="L212" i="11" s="1"/>
  <c r="G211" i="11"/>
  <c r="L211" i="11" s="1"/>
  <c r="G210" i="11"/>
  <c r="L210" i="11" s="1"/>
  <c r="G209" i="11"/>
  <c r="L209" i="11" s="1"/>
  <c r="G208" i="11"/>
  <c r="L208" i="11" s="1"/>
  <c r="G207" i="11"/>
  <c r="L207" i="11" s="1"/>
  <c r="G206" i="11"/>
  <c r="L206" i="11" s="1"/>
  <c r="G205" i="11"/>
  <c r="L205" i="11" s="1"/>
  <c r="G204" i="11"/>
  <c r="L204" i="11" s="1"/>
  <c r="G203" i="11"/>
  <c r="L203" i="11" s="1"/>
  <c r="G202" i="11"/>
  <c r="L202" i="11" s="1"/>
  <c r="G201" i="11"/>
  <c r="L201" i="11" s="1"/>
  <c r="G200" i="11"/>
  <c r="L200" i="11" s="1"/>
  <c r="G199" i="11"/>
  <c r="L199" i="11" s="1"/>
  <c r="G198" i="11"/>
  <c r="L198" i="11" s="1"/>
  <c r="G197" i="11"/>
  <c r="L197" i="11" s="1"/>
  <c r="F232" i="11"/>
  <c r="K232" i="11" s="1"/>
  <c r="F228" i="11"/>
  <c r="K228" i="11" s="1"/>
  <c r="F227" i="11"/>
  <c r="K227" i="11" s="1"/>
  <c r="F226" i="11"/>
  <c r="K226" i="11" s="1"/>
  <c r="F225" i="11"/>
  <c r="K225" i="11" s="1"/>
  <c r="F224" i="11"/>
  <c r="K224" i="11" s="1"/>
  <c r="F223" i="11"/>
  <c r="K223" i="11" s="1"/>
  <c r="F222" i="11"/>
  <c r="K222" i="11" s="1"/>
  <c r="F221" i="11"/>
  <c r="K221" i="11" s="1"/>
  <c r="F220" i="11"/>
  <c r="K220" i="11" s="1"/>
  <c r="F219" i="11"/>
  <c r="K219" i="11" s="1"/>
  <c r="F218" i="11"/>
  <c r="K218" i="11" s="1"/>
  <c r="F217" i="11"/>
  <c r="K217" i="11" s="1"/>
  <c r="F216" i="11"/>
  <c r="K216" i="11" s="1"/>
  <c r="F215" i="11"/>
  <c r="K215" i="11" s="1"/>
  <c r="F214" i="11"/>
  <c r="K214" i="11" s="1"/>
  <c r="F213" i="11"/>
  <c r="K213" i="11" s="1"/>
  <c r="F212" i="11"/>
  <c r="K212" i="11" s="1"/>
  <c r="F211" i="11"/>
  <c r="K211" i="11" s="1"/>
  <c r="F210" i="11"/>
  <c r="K210" i="11" s="1"/>
  <c r="F209" i="11"/>
  <c r="K209" i="11" s="1"/>
  <c r="F208" i="11"/>
  <c r="K208" i="11" s="1"/>
  <c r="F207" i="11"/>
  <c r="K207" i="11" s="1"/>
  <c r="F206" i="11"/>
  <c r="K206" i="11" s="1"/>
  <c r="F205" i="11"/>
  <c r="K205" i="11" s="1"/>
  <c r="F204" i="11"/>
  <c r="K204" i="11" s="1"/>
  <c r="F203" i="11"/>
  <c r="K203" i="11" s="1"/>
  <c r="F202" i="11"/>
  <c r="K202" i="11" s="1"/>
  <c r="F201" i="11"/>
  <c r="K201" i="11" s="1"/>
  <c r="F200" i="11"/>
  <c r="K200" i="11" s="1"/>
  <c r="F199" i="11"/>
  <c r="K199" i="11" s="1"/>
  <c r="F198" i="11"/>
  <c r="K198" i="11" s="1"/>
  <c r="F197" i="11"/>
  <c r="K197" i="11" s="1"/>
  <c r="E232" i="11"/>
  <c r="J232" i="11" s="1"/>
  <c r="E228" i="11"/>
  <c r="J228" i="11" s="1"/>
  <c r="E227" i="11"/>
  <c r="J227" i="11" s="1"/>
  <c r="E226" i="11"/>
  <c r="J226" i="11" s="1"/>
  <c r="E225" i="11"/>
  <c r="J225" i="11" s="1"/>
  <c r="E224" i="11"/>
  <c r="J224" i="11" s="1"/>
  <c r="E223" i="11"/>
  <c r="J223" i="11" s="1"/>
  <c r="E222" i="11"/>
  <c r="J222" i="11" s="1"/>
  <c r="E221" i="11"/>
  <c r="J221" i="11" s="1"/>
  <c r="E220" i="11"/>
  <c r="J220" i="11" s="1"/>
  <c r="E219" i="11"/>
  <c r="J219" i="11" s="1"/>
  <c r="E218" i="11"/>
  <c r="J218" i="11" s="1"/>
  <c r="E217" i="11"/>
  <c r="J217" i="11" s="1"/>
  <c r="E216" i="11"/>
  <c r="J216" i="11" s="1"/>
  <c r="E215" i="11"/>
  <c r="J215" i="11" s="1"/>
  <c r="E214" i="11"/>
  <c r="J214" i="11" s="1"/>
  <c r="E213" i="11"/>
  <c r="J213" i="11" s="1"/>
  <c r="E212" i="11"/>
  <c r="J212" i="11" s="1"/>
  <c r="E211" i="11"/>
  <c r="J211" i="11" s="1"/>
  <c r="E210" i="11"/>
  <c r="J210" i="11" s="1"/>
  <c r="E209" i="11"/>
  <c r="J209" i="11" s="1"/>
  <c r="E208" i="11"/>
  <c r="J208" i="11" s="1"/>
  <c r="E207" i="11"/>
  <c r="J207" i="11" s="1"/>
  <c r="E206" i="11"/>
  <c r="J206" i="11" s="1"/>
  <c r="E205" i="11"/>
  <c r="J205" i="11" s="1"/>
  <c r="E204" i="11"/>
  <c r="J204" i="11" s="1"/>
  <c r="E203" i="11"/>
  <c r="J203" i="11" s="1"/>
  <c r="E202" i="11"/>
  <c r="J202" i="11" s="1"/>
  <c r="E201" i="11"/>
  <c r="J201" i="11" s="1"/>
  <c r="E200" i="11"/>
  <c r="J200" i="11" s="1"/>
  <c r="E199" i="11"/>
  <c r="J199" i="11" s="1"/>
  <c r="E198" i="11"/>
  <c r="J198" i="11" s="1"/>
  <c r="E197" i="11"/>
  <c r="J197" i="11" s="1"/>
  <c r="D232" i="11"/>
  <c r="I232" i="11" s="1"/>
  <c r="D228" i="11"/>
  <c r="I228" i="11" s="1"/>
  <c r="D227" i="11"/>
  <c r="I227" i="11" s="1"/>
  <c r="D226" i="11"/>
  <c r="I226" i="11" s="1"/>
  <c r="D225" i="11"/>
  <c r="I225" i="11" s="1"/>
  <c r="D224" i="11"/>
  <c r="I224" i="11" s="1"/>
  <c r="D223" i="11"/>
  <c r="I223" i="11" s="1"/>
  <c r="D222" i="11"/>
  <c r="I222" i="11" s="1"/>
  <c r="D221" i="11"/>
  <c r="I221" i="11" s="1"/>
  <c r="D220" i="11"/>
  <c r="I220" i="11" s="1"/>
  <c r="D219" i="11"/>
  <c r="I219" i="11" s="1"/>
  <c r="D218" i="11"/>
  <c r="I218" i="11" s="1"/>
  <c r="D217" i="11"/>
  <c r="I217" i="11" s="1"/>
  <c r="D216" i="11"/>
  <c r="I216" i="11" s="1"/>
  <c r="D215" i="11"/>
  <c r="I215" i="11" s="1"/>
  <c r="D214" i="11"/>
  <c r="I214" i="11" s="1"/>
  <c r="D213" i="11"/>
  <c r="I213" i="11" s="1"/>
  <c r="D212" i="11"/>
  <c r="I212" i="11" s="1"/>
  <c r="D211" i="11"/>
  <c r="I211" i="11" s="1"/>
  <c r="D210" i="11"/>
  <c r="I210" i="11" s="1"/>
  <c r="D209" i="11"/>
  <c r="I209" i="11" s="1"/>
  <c r="D208" i="11"/>
  <c r="I208" i="11" s="1"/>
  <c r="D207" i="11"/>
  <c r="I207" i="11" s="1"/>
  <c r="D206" i="11"/>
  <c r="I206" i="11" s="1"/>
  <c r="D205" i="11"/>
  <c r="I205" i="11" s="1"/>
  <c r="D204" i="11"/>
  <c r="I204" i="11" s="1"/>
  <c r="D203" i="11"/>
  <c r="I203" i="11" s="1"/>
  <c r="D202" i="11"/>
  <c r="I202" i="11" s="1"/>
  <c r="D201" i="11"/>
  <c r="I201" i="11" s="1"/>
  <c r="D200" i="11"/>
  <c r="I200" i="11" s="1"/>
  <c r="D199" i="11"/>
  <c r="I199" i="11" s="1"/>
  <c r="D198" i="11"/>
  <c r="I198" i="11" s="1"/>
  <c r="D197" i="11"/>
  <c r="I197" i="11" s="1"/>
  <c r="C232" i="11"/>
  <c r="H232" i="11" s="1"/>
  <c r="C228" i="11"/>
  <c r="H228" i="11" s="1"/>
  <c r="C227" i="11"/>
  <c r="H227" i="11" s="1"/>
  <c r="C226" i="11"/>
  <c r="H226" i="11" s="1"/>
  <c r="C225" i="11"/>
  <c r="H225" i="11" s="1"/>
  <c r="C224" i="11"/>
  <c r="H224" i="11" s="1"/>
  <c r="C223" i="11"/>
  <c r="H223" i="11" s="1"/>
  <c r="C222" i="11"/>
  <c r="H222" i="11" s="1"/>
  <c r="C221" i="11"/>
  <c r="H221" i="11" s="1"/>
  <c r="C220" i="11"/>
  <c r="H220" i="11" s="1"/>
  <c r="C219" i="11"/>
  <c r="H219" i="11" s="1"/>
  <c r="C218" i="11"/>
  <c r="H218" i="11" s="1"/>
  <c r="C217" i="11"/>
  <c r="H217" i="11" s="1"/>
  <c r="C216" i="11"/>
  <c r="H216" i="11" s="1"/>
  <c r="C215" i="11"/>
  <c r="H215" i="11" s="1"/>
  <c r="C214" i="11"/>
  <c r="H214" i="11" s="1"/>
  <c r="C213" i="11"/>
  <c r="H213" i="11" s="1"/>
  <c r="C212" i="11"/>
  <c r="H212" i="11" s="1"/>
  <c r="C211" i="11"/>
  <c r="H211" i="11" s="1"/>
  <c r="C210" i="11"/>
  <c r="H210" i="11" s="1"/>
  <c r="C209" i="11"/>
  <c r="H209" i="11" s="1"/>
  <c r="C208" i="11"/>
  <c r="H208" i="11" s="1"/>
  <c r="C207" i="11"/>
  <c r="H207" i="11" s="1"/>
  <c r="C206" i="11"/>
  <c r="H206" i="11" s="1"/>
  <c r="C205" i="11"/>
  <c r="H205" i="11" s="1"/>
  <c r="C204" i="11"/>
  <c r="H204" i="11" s="1"/>
  <c r="C203" i="11"/>
  <c r="H203" i="11" s="1"/>
  <c r="C202" i="11"/>
  <c r="H202" i="11" s="1"/>
  <c r="C201" i="11"/>
  <c r="H201" i="11" s="1"/>
  <c r="C200" i="11"/>
  <c r="H200" i="11" s="1"/>
  <c r="C199" i="11"/>
  <c r="H199" i="11" s="1"/>
  <c r="C198" i="11"/>
  <c r="H198" i="11" s="1"/>
  <c r="C197" i="11"/>
  <c r="H197" i="11" s="1"/>
  <c r="AD191" i="11"/>
  <c r="AD187" i="11"/>
  <c r="AD186" i="11"/>
  <c r="AD185" i="11"/>
  <c r="AD184" i="11"/>
  <c r="AD183" i="11"/>
  <c r="AD182" i="11"/>
  <c r="AD181" i="11"/>
  <c r="AD180" i="11"/>
  <c r="AD179" i="11"/>
  <c r="AD178" i="11"/>
  <c r="AD177" i="11"/>
  <c r="AD176" i="11"/>
  <c r="AD175" i="11"/>
  <c r="AD174" i="11"/>
  <c r="AD173" i="11"/>
  <c r="AD172" i="11"/>
  <c r="AD171" i="11"/>
  <c r="AD170" i="11"/>
  <c r="AD169" i="11"/>
  <c r="AD168" i="11"/>
  <c r="AD167" i="11"/>
  <c r="AD166" i="11"/>
  <c r="AD165" i="11"/>
  <c r="AD164" i="11"/>
  <c r="AD163" i="11"/>
  <c r="AD162" i="11"/>
  <c r="AD161" i="11"/>
  <c r="AD160" i="11"/>
  <c r="AD159" i="11"/>
  <c r="AD158" i="11"/>
  <c r="AD157" i="11"/>
  <c r="AD156" i="11"/>
  <c r="AC191" i="11"/>
  <c r="AC187" i="11"/>
  <c r="AC186" i="11"/>
  <c r="AC185" i="11"/>
  <c r="AC184" i="11"/>
  <c r="AC183" i="11"/>
  <c r="AC182" i="11"/>
  <c r="AC181" i="11"/>
  <c r="AC180" i="11"/>
  <c r="AC179" i="11"/>
  <c r="AC178" i="11"/>
  <c r="AC177" i="11"/>
  <c r="AC176" i="11"/>
  <c r="AC175" i="11"/>
  <c r="AC174" i="11"/>
  <c r="AC173" i="11"/>
  <c r="AC172" i="11"/>
  <c r="AC171" i="11"/>
  <c r="AC170" i="11"/>
  <c r="AC169" i="11"/>
  <c r="AC168" i="11"/>
  <c r="AC167" i="11"/>
  <c r="AC166" i="11"/>
  <c r="AC165" i="11"/>
  <c r="AC164" i="11"/>
  <c r="AC163" i="11"/>
  <c r="AC162" i="11"/>
  <c r="AC161" i="11"/>
  <c r="AC160" i="11"/>
  <c r="AC159" i="11"/>
  <c r="AC158" i="11"/>
  <c r="AC157" i="11"/>
  <c r="AC156" i="11"/>
  <c r="V191" i="11"/>
  <c r="AA191" i="11" s="1"/>
  <c r="V187" i="11"/>
  <c r="AA187" i="11" s="1"/>
  <c r="V186" i="11"/>
  <c r="AA186" i="11" s="1"/>
  <c r="V185" i="11"/>
  <c r="AA185" i="11" s="1"/>
  <c r="V184" i="11"/>
  <c r="AA184" i="11" s="1"/>
  <c r="V183" i="11"/>
  <c r="AA183" i="11" s="1"/>
  <c r="V182" i="11"/>
  <c r="AA182" i="11" s="1"/>
  <c r="V181" i="11"/>
  <c r="AA181" i="11" s="1"/>
  <c r="V180" i="11"/>
  <c r="AA180" i="11" s="1"/>
  <c r="V179" i="11"/>
  <c r="AA179" i="11" s="1"/>
  <c r="V178" i="11"/>
  <c r="AA178" i="11" s="1"/>
  <c r="V177" i="11"/>
  <c r="AA177" i="11" s="1"/>
  <c r="V176" i="11"/>
  <c r="AA176" i="11" s="1"/>
  <c r="V175" i="11"/>
  <c r="AA175" i="11" s="1"/>
  <c r="V174" i="11"/>
  <c r="AA174" i="11" s="1"/>
  <c r="V173" i="11"/>
  <c r="AA173" i="11" s="1"/>
  <c r="V172" i="11"/>
  <c r="AA172" i="11" s="1"/>
  <c r="V171" i="11"/>
  <c r="AA171" i="11" s="1"/>
  <c r="V170" i="11"/>
  <c r="AA170" i="11" s="1"/>
  <c r="V169" i="11"/>
  <c r="AA169" i="11" s="1"/>
  <c r="V168" i="11"/>
  <c r="AA168" i="11" s="1"/>
  <c r="V167" i="11"/>
  <c r="AA167" i="11" s="1"/>
  <c r="V166" i="11"/>
  <c r="AA166" i="11" s="1"/>
  <c r="V165" i="11"/>
  <c r="AA165" i="11" s="1"/>
  <c r="V164" i="11"/>
  <c r="AA164" i="11" s="1"/>
  <c r="V163" i="11"/>
  <c r="AA163" i="11" s="1"/>
  <c r="V162" i="11"/>
  <c r="AA162" i="11" s="1"/>
  <c r="V161" i="11"/>
  <c r="AA161" i="11" s="1"/>
  <c r="V160" i="11"/>
  <c r="AA160" i="11" s="1"/>
  <c r="V159" i="11"/>
  <c r="AA159" i="11" s="1"/>
  <c r="V158" i="11"/>
  <c r="AA158" i="11" s="1"/>
  <c r="V157" i="11"/>
  <c r="AA157" i="11" s="1"/>
  <c r="V156" i="11"/>
  <c r="AA156" i="11" s="1"/>
  <c r="U191" i="11"/>
  <c r="Z191" i="11" s="1"/>
  <c r="U187" i="11"/>
  <c r="Z187" i="11" s="1"/>
  <c r="U186" i="11"/>
  <c r="Z186" i="11" s="1"/>
  <c r="U185" i="11"/>
  <c r="Z185" i="11" s="1"/>
  <c r="U184" i="11"/>
  <c r="Z184" i="11" s="1"/>
  <c r="U183" i="11"/>
  <c r="Z183" i="11" s="1"/>
  <c r="U182" i="11"/>
  <c r="Z182" i="11" s="1"/>
  <c r="U181" i="11"/>
  <c r="Z181" i="11" s="1"/>
  <c r="U180" i="11"/>
  <c r="Z180" i="11" s="1"/>
  <c r="U179" i="11"/>
  <c r="Z179" i="11" s="1"/>
  <c r="U178" i="11"/>
  <c r="Z178" i="11" s="1"/>
  <c r="U177" i="11"/>
  <c r="Z177" i="11" s="1"/>
  <c r="U176" i="11"/>
  <c r="Z176" i="11" s="1"/>
  <c r="U175" i="11"/>
  <c r="Z175" i="11" s="1"/>
  <c r="U174" i="11"/>
  <c r="Z174" i="11" s="1"/>
  <c r="U173" i="11"/>
  <c r="Z173" i="11" s="1"/>
  <c r="U172" i="11"/>
  <c r="Z172" i="11" s="1"/>
  <c r="U171" i="11"/>
  <c r="Z171" i="11" s="1"/>
  <c r="U170" i="11"/>
  <c r="Z170" i="11" s="1"/>
  <c r="U169" i="11"/>
  <c r="Z169" i="11" s="1"/>
  <c r="U168" i="11"/>
  <c r="Z168" i="11" s="1"/>
  <c r="U167" i="11"/>
  <c r="Z167" i="11" s="1"/>
  <c r="U166" i="11"/>
  <c r="Z166" i="11" s="1"/>
  <c r="U165" i="11"/>
  <c r="Z165" i="11" s="1"/>
  <c r="U164" i="11"/>
  <c r="Z164" i="11" s="1"/>
  <c r="U163" i="11"/>
  <c r="Z163" i="11" s="1"/>
  <c r="U162" i="11"/>
  <c r="Z162" i="11" s="1"/>
  <c r="U161" i="11"/>
  <c r="Z161" i="11" s="1"/>
  <c r="U160" i="11"/>
  <c r="Z160" i="11" s="1"/>
  <c r="U159" i="11"/>
  <c r="Z159" i="11" s="1"/>
  <c r="U158" i="11"/>
  <c r="Z158" i="11" s="1"/>
  <c r="U157" i="11"/>
  <c r="Z157" i="11" s="1"/>
  <c r="U156" i="11"/>
  <c r="Z156" i="11" s="1"/>
  <c r="T191" i="11"/>
  <c r="Y191" i="11" s="1"/>
  <c r="T187" i="11"/>
  <c r="Y187" i="11" s="1"/>
  <c r="T186" i="11"/>
  <c r="Y186" i="11" s="1"/>
  <c r="T185" i="11"/>
  <c r="Y185" i="11" s="1"/>
  <c r="T184" i="11"/>
  <c r="Y184" i="11" s="1"/>
  <c r="T183" i="11"/>
  <c r="Y183" i="11" s="1"/>
  <c r="T182" i="11"/>
  <c r="Y182" i="11" s="1"/>
  <c r="T181" i="11"/>
  <c r="Y181" i="11" s="1"/>
  <c r="T180" i="11"/>
  <c r="Y180" i="11" s="1"/>
  <c r="T179" i="11"/>
  <c r="Y179" i="11" s="1"/>
  <c r="T178" i="11"/>
  <c r="Y178" i="11" s="1"/>
  <c r="T177" i="11"/>
  <c r="Y177" i="11" s="1"/>
  <c r="T176" i="11"/>
  <c r="Y176" i="11" s="1"/>
  <c r="T175" i="11"/>
  <c r="Y175" i="11" s="1"/>
  <c r="T174" i="11"/>
  <c r="Y174" i="11" s="1"/>
  <c r="T173" i="11"/>
  <c r="Y173" i="11" s="1"/>
  <c r="T172" i="11"/>
  <c r="Y172" i="11" s="1"/>
  <c r="T171" i="11"/>
  <c r="Y171" i="11" s="1"/>
  <c r="T170" i="11"/>
  <c r="Y170" i="11" s="1"/>
  <c r="T169" i="11"/>
  <c r="Y169" i="11" s="1"/>
  <c r="T168" i="11"/>
  <c r="Y168" i="11" s="1"/>
  <c r="T167" i="11"/>
  <c r="Y167" i="11" s="1"/>
  <c r="T166" i="11"/>
  <c r="Y166" i="11" s="1"/>
  <c r="T165" i="11"/>
  <c r="Y165" i="11" s="1"/>
  <c r="T164" i="11"/>
  <c r="Y164" i="11" s="1"/>
  <c r="T163" i="11"/>
  <c r="Y163" i="11" s="1"/>
  <c r="T162" i="11"/>
  <c r="Y162" i="11" s="1"/>
  <c r="T161" i="11"/>
  <c r="Y161" i="11" s="1"/>
  <c r="T160" i="11"/>
  <c r="Y160" i="11" s="1"/>
  <c r="T159" i="11"/>
  <c r="Y159" i="11" s="1"/>
  <c r="T158" i="11"/>
  <c r="Y158" i="11" s="1"/>
  <c r="T157" i="11"/>
  <c r="Y157" i="11" s="1"/>
  <c r="T156" i="11"/>
  <c r="Y156" i="11" s="1"/>
  <c r="S191" i="11"/>
  <c r="X191" i="11" s="1"/>
  <c r="S187" i="11"/>
  <c r="X187" i="11" s="1"/>
  <c r="S186" i="11"/>
  <c r="X186" i="11" s="1"/>
  <c r="S185" i="11"/>
  <c r="X185" i="11" s="1"/>
  <c r="S184" i="11"/>
  <c r="X184" i="11" s="1"/>
  <c r="S183" i="11"/>
  <c r="X183" i="11" s="1"/>
  <c r="S182" i="11"/>
  <c r="X182" i="11" s="1"/>
  <c r="S181" i="11"/>
  <c r="X181" i="11" s="1"/>
  <c r="S180" i="11"/>
  <c r="X180" i="11" s="1"/>
  <c r="S179" i="11"/>
  <c r="X179" i="11" s="1"/>
  <c r="S178" i="11"/>
  <c r="X178" i="11" s="1"/>
  <c r="S177" i="11"/>
  <c r="X177" i="11" s="1"/>
  <c r="S176" i="11"/>
  <c r="X176" i="11" s="1"/>
  <c r="S175" i="11"/>
  <c r="X175" i="11" s="1"/>
  <c r="S174" i="11"/>
  <c r="X174" i="11" s="1"/>
  <c r="S173" i="11"/>
  <c r="X173" i="11" s="1"/>
  <c r="S172" i="11"/>
  <c r="X172" i="11" s="1"/>
  <c r="S171" i="11"/>
  <c r="X171" i="11" s="1"/>
  <c r="S170" i="11"/>
  <c r="X170" i="11" s="1"/>
  <c r="S169" i="11"/>
  <c r="X169" i="11" s="1"/>
  <c r="S168" i="11"/>
  <c r="X168" i="11" s="1"/>
  <c r="S167" i="11"/>
  <c r="X167" i="11" s="1"/>
  <c r="S166" i="11"/>
  <c r="X166" i="11" s="1"/>
  <c r="S165" i="11"/>
  <c r="X165" i="11" s="1"/>
  <c r="S164" i="11"/>
  <c r="X164" i="11" s="1"/>
  <c r="S163" i="11"/>
  <c r="X163" i="11" s="1"/>
  <c r="S162" i="11"/>
  <c r="X162" i="11" s="1"/>
  <c r="S161" i="11"/>
  <c r="X161" i="11" s="1"/>
  <c r="S160" i="11"/>
  <c r="X160" i="11" s="1"/>
  <c r="S159" i="11"/>
  <c r="X159" i="11" s="1"/>
  <c r="S158" i="11"/>
  <c r="X158" i="11" s="1"/>
  <c r="S157" i="11"/>
  <c r="X157" i="11" s="1"/>
  <c r="S156" i="11"/>
  <c r="X156" i="11" s="1"/>
  <c r="R191" i="11"/>
  <c r="W191" i="11" s="1"/>
  <c r="R187" i="11"/>
  <c r="W187" i="11" s="1"/>
  <c r="R186" i="11"/>
  <c r="W186" i="11" s="1"/>
  <c r="R185" i="11"/>
  <c r="W185" i="11" s="1"/>
  <c r="R184" i="11"/>
  <c r="W184" i="11" s="1"/>
  <c r="R183" i="11"/>
  <c r="W183" i="11" s="1"/>
  <c r="R182" i="11"/>
  <c r="W182" i="11" s="1"/>
  <c r="R181" i="11"/>
  <c r="W181" i="11" s="1"/>
  <c r="R180" i="11"/>
  <c r="W180" i="11" s="1"/>
  <c r="R179" i="11"/>
  <c r="W179" i="11" s="1"/>
  <c r="R178" i="11"/>
  <c r="W178" i="11" s="1"/>
  <c r="R177" i="11"/>
  <c r="W177" i="11" s="1"/>
  <c r="R176" i="11"/>
  <c r="W176" i="11" s="1"/>
  <c r="R175" i="11"/>
  <c r="W175" i="11" s="1"/>
  <c r="R174" i="11"/>
  <c r="W174" i="11" s="1"/>
  <c r="R173" i="11"/>
  <c r="W173" i="11" s="1"/>
  <c r="R172" i="11"/>
  <c r="W172" i="11" s="1"/>
  <c r="R171" i="11"/>
  <c r="W171" i="11" s="1"/>
  <c r="R170" i="11"/>
  <c r="W170" i="11" s="1"/>
  <c r="R169" i="11"/>
  <c r="W169" i="11" s="1"/>
  <c r="R168" i="11"/>
  <c r="W168" i="11" s="1"/>
  <c r="R167" i="11"/>
  <c r="W167" i="11" s="1"/>
  <c r="R166" i="11"/>
  <c r="W166" i="11" s="1"/>
  <c r="R165" i="11"/>
  <c r="W165" i="11" s="1"/>
  <c r="R164" i="11"/>
  <c r="W164" i="11" s="1"/>
  <c r="R163" i="11"/>
  <c r="W163" i="11" s="1"/>
  <c r="R162" i="11"/>
  <c r="W162" i="11" s="1"/>
  <c r="R161" i="11"/>
  <c r="W161" i="11" s="1"/>
  <c r="R160" i="11"/>
  <c r="W160" i="11" s="1"/>
  <c r="R159" i="11"/>
  <c r="W159" i="11" s="1"/>
  <c r="R158" i="11"/>
  <c r="W158" i="11" s="1"/>
  <c r="R157" i="11"/>
  <c r="W157" i="11" s="1"/>
  <c r="R156" i="11"/>
  <c r="W156" i="11" s="1"/>
  <c r="O191"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N191" i="11"/>
  <c r="N187" i="11"/>
  <c r="N186" i="11"/>
  <c r="N185" i="11"/>
  <c r="N184" i="11"/>
  <c r="N183" i="11"/>
  <c r="N182" i="11"/>
  <c r="N181" i="11"/>
  <c r="N180" i="11"/>
  <c r="N179" i="11"/>
  <c r="N178" i="11"/>
  <c r="N177" i="11"/>
  <c r="N176" i="11"/>
  <c r="N175" i="11"/>
  <c r="N174" i="11"/>
  <c r="N173" i="11"/>
  <c r="N172" i="11"/>
  <c r="N171" i="11"/>
  <c r="N170" i="11"/>
  <c r="N169" i="11"/>
  <c r="N168" i="11"/>
  <c r="N167" i="11"/>
  <c r="N166" i="11"/>
  <c r="N165" i="11"/>
  <c r="N164" i="11"/>
  <c r="N163" i="11"/>
  <c r="N162" i="11"/>
  <c r="N161" i="11"/>
  <c r="N160" i="11"/>
  <c r="N159" i="11"/>
  <c r="N158" i="11"/>
  <c r="N157" i="11"/>
  <c r="N156" i="11"/>
  <c r="G191" i="11"/>
  <c r="L191" i="11" s="1"/>
  <c r="G187" i="11"/>
  <c r="L187" i="11" s="1"/>
  <c r="G186" i="11"/>
  <c r="L186" i="11" s="1"/>
  <c r="G185" i="11"/>
  <c r="L185" i="11" s="1"/>
  <c r="G184" i="11"/>
  <c r="L184" i="11" s="1"/>
  <c r="G183" i="11"/>
  <c r="L183" i="11" s="1"/>
  <c r="G182" i="11"/>
  <c r="L182" i="11" s="1"/>
  <c r="G181" i="11"/>
  <c r="L181" i="11" s="1"/>
  <c r="G180" i="11"/>
  <c r="L180" i="11" s="1"/>
  <c r="G179" i="11"/>
  <c r="L179" i="11" s="1"/>
  <c r="G178" i="11"/>
  <c r="L178" i="11" s="1"/>
  <c r="G177" i="11"/>
  <c r="L177" i="11" s="1"/>
  <c r="G176" i="11"/>
  <c r="L176" i="11" s="1"/>
  <c r="G175" i="11"/>
  <c r="L175" i="11" s="1"/>
  <c r="G174" i="11"/>
  <c r="L174" i="11" s="1"/>
  <c r="G173" i="11"/>
  <c r="L173" i="11" s="1"/>
  <c r="G172" i="11"/>
  <c r="L172" i="11" s="1"/>
  <c r="G171" i="11"/>
  <c r="L171" i="11" s="1"/>
  <c r="G170" i="11"/>
  <c r="L170" i="11" s="1"/>
  <c r="G169" i="11"/>
  <c r="L169" i="11" s="1"/>
  <c r="G168" i="11"/>
  <c r="L168" i="11" s="1"/>
  <c r="G167" i="11"/>
  <c r="L167" i="11" s="1"/>
  <c r="G166" i="11"/>
  <c r="L166" i="11" s="1"/>
  <c r="G165" i="11"/>
  <c r="L165" i="11" s="1"/>
  <c r="G164" i="11"/>
  <c r="L164" i="11" s="1"/>
  <c r="G163" i="11"/>
  <c r="L163" i="11" s="1"/>
  <c r="G162" i="11"/>
  <c r="L162" i="11" s="1"/>
  <c r="G161" i="11"/>
  <c r="L161" i="11" s="1"/>
  <c r="G160" i="11"/>
  <c r="L160" i="11" s="1"/>
  <c r="G159" i="11"/>
  <c r="L159" i="11" s="1"/>
  <c r="G158" i="11"/>
  <c r="L158" i="11" s="1"/>
  <c r="G157" i="11"/>
  <c r="L157" i="11" s="1"/>
  <c r="G156" i="11"/>
  <c r="L156" i="11" s="1"/>
  <c r="F191" i="11"/>
  <c r="K191" i="11" s="1"/>
  <c r="F187" i="11"/>
  <c r="K187" i="11" s="1"/>
  <c r="F186" i="11"/>
  <c r="K186" i="11" s="1"/>
  <c r="F185" i="11"/>
  <c r="K185" i="11" s="1"/>
  <c r="F184" i="11"/>
  <c r="K184" i="11" s="1"/>
  <c r="F183" i="11"/>
  <c r="K183" i="11" s="1"/>
  <c r="F182" i="11"/>
  <c r="K182" i="11" s="1"/>
  <c r="F181" i="11"/>
  <c r="K181" i="11" s="1"/>
  <c r="F180" i="11"/>
  <c r="K180" i="11" s="1"/>
  <c r="F179" i="11"/>
  <c r="K179" i="11" s="1"/>
  <c r="F178" i="11"/>
  <c r="K178" i="11" s="1"/>
  <c r="F177" i="11"/>
  <c r="K177" i="11" s="1"/>
  <c r="F176" i="11"/>
  <c r="K176" i="11" s="1"/>
  <c r="F175" i="11"/>
  <c r="K175" i="11" s="1"/>
  <c r="F174" i="11"/>
  <c r="K174" i="11" s="1"/>
  <c r="F173" i="11"/>
  <c r="K173" i="11" s="1"/>
  <c r="F172" i="11"/>
  <c r="K172" i="11" s="1"/>
  <c r="F171" i="11"/>
  <c r="K171" i="11" s="1"/>
  <c r="F170" i="11"/>
  <c r="K170" i="11" s="1"/>
  <c r="F169" i="11"/>
  <c r="K169" i="11" s="1"/>
  <c r="F168" i="11"/>
  <c r="K168" i="11" s="1"/>
  <c r="F167" i="11"/>
  <c r="K167" i="11" s="1"/>
  <c r="F166" i="11"/>
  <c r="K166" i="11" s="1"/>
  <c r="F165" i="11"/>
  <c r="K165" i="11" s="1"/>
  <c r="F164" i="11"/>
  <c r="K164" i="11" s="1"/>
  <c r="F163" i="11"/>
  <c r="K163" i="11" s="1"/>
  <c r="F162" i="11"/>
  <c r="K162" i="11" s="1"/>
  <c r="F161" i="11"/>
  <c r="K161" i="11" s="1"/>
  <c r="F160" i="11"/>
  <c r="K160" i="11" s="1"/>
  <c r="F159" i="11"/>
  <c r="K159" i="11" s="1"/>
  <c r="F158" i="11"/>
  <c r="K158" i="11" s="1"/>
  <c r="F157" i="11"/>
  <c r="K157" i="11" s="1"/>
  <c r="F156" i="11"/>
  <c r="K156" i="11" s="1"/>
  <c r="E191" i="11"/>
  <c r="J191" i="11" s="1"/>
  <c r="E187" i="11"/>
  <c r="J187" i="11" s="1"/>
  <c r="E186" i="11"/>
  <c r="J186" i="11" s="1"/>
  <c r="E185" i="11"/>
  <c r="J185" i="11" s="1"/>
  <c r="E184" i="11"/>
  <c r="J184" i="11" s="1"/>
  <c r="E183" i="11"/>
  <c r="J183" i="11" s="1"/>
  <c r="E182" i="11"/>
  <c r="J182" i="11" s="1"/>
  <c r="E181" i="11"/>
  <c r="J181" i="11" s="1"/>
  <c r="E180" i="11"/>
  <c r="J180" i="11" s="1"/>
  <c r="E179" i="11"/>
  <c r="J179" i="11" s="1"/>
  <c r="E178" i="11"/>
  <c r="J178" i="11" s="1"/>
  <c r="E177" i="11"/>
  <c r="J177" i="11" s="1"/>
  <c r="E176" i="11"/>
  <c r="J176" i="11" s="1"/>
  <c r="E175" i="11"/>
  <c r="J175" i="11" s="1"/>
  <c r="E174" i="11"/>
  <c r="J174" i="11" s="1"/>
  <c r="E173" i="11"/>
  <c r="J173" i="11" s="1"/>
  <c r="E172" i="11"/>
  <c r="J172" i="11" s="1"/>
  <c r="E171" i="11"/>
  <c r="J171" i="11" s="1"/>
  <c r="E170" i="11"/>
  <c r="J170" i="11" s="1"/>
  <c r="E169" i="11"/>
  <c r="J169" i="11" s="1"/>
  <c r="E168" i="11"/>
  <c r="J168" i="11" s="1"/>
  <c r="E167" i="11"/>
  <c r="J167" i="11" s="1"/>
  <c r="E166" i="11"/>
  <c r="J166" i="11" s="1"/>
  <c r="E165" i="11"/>
  <c r="J165" i="11" s="1"/>
  <c r="E164" i="11"/>
  <c r="J164" i="11" s="1"/>
  <c r="E163" i="11"/>
  <c r="J163" i="11" s="1"/>
  <c r="E162" i="11"/>
  <c r="J162" i="11" s="1"/>
  <c r="E161" i="11"/>
  <c r="J161" i="11" s="1"/>
  <c r="E160" i="11"/>
  <c r="J160" i="11" s="1"/>
  <c r="E159" i="11"/>
  <c r="J159" i="11" s="1"/>
  <c r="E158" i="11"/>
  <c r="J158" i="11" s="1"/>
  <c r="E157" i="11"/>
  <c r="J157" i="11" s="1"/>
  <c r="E156" i="11"/>
  <c r="J156" i="11" s="1"/>
  <c r="D191" i="11"/>
  <c r="I191" i="11" s="1"/>
  <c r="D187" i="11"/>
  <c r="I187" i="11" s="1"/>
  <c r="D186" i="11"/>
  <c r="I186" i="11" s="1"/>
  <c r="D185" i="11"/>
  <c r="I185" i="11" s="1"/>
  <c r="D184" i="11"/>
  <c r="I184" i="11" s="1"/>
  <c r="D183" i="11"/>
  <c r="I183" i="11" s="1"/>
  <c r="D182" i="11"/>
  <c r="I182" i="11" s="1"/>
  <c r="D181" i="11"/>
  <c r="I181" i="11" s="1"/>
  <c r="D180" i="11"/>
  <c r="I180" i="11" s="1"/>
  <c r="D179" i="11"/>
  <c r="I179" i="11" s="1"/>
  <c r="D178" i="11"/>
  <c r="I178" i="11" s="1"/>
  <c r="D177" i="11"/>
  <c r="I177" i="11" s="1"/>
  <c r="D176" i="11"/>
  <c r="I176" i="11" s="1"/>
  <c r="D175" i="11"/>
  <c r="I175" i="11" s="1"/>
  <c r="D174" i="11"/>
  <c r="I174" i="11" s="1"/>
  <c r="D173" i="11"/>
  <c r="I173" i="11" s="1"/>
  <c r="D172" i="11"/>
  <c r="I172" i="11" s="1"/>
  <c r="D171" i="11"/>
  <c r="I171" i="11" s="1"/>
  <c r="D170" i="11"/>
  <c r="I170" i="11" s="1"/>
  <c r="D169" i="11"/>
  <c r="I169" i="11" s="1"/>
  <c r="D168" i="11"/>
  <c r="I168" i="11" s="1"/>
  <c r="D167" i="11"/>
  <c r="I167" i="11" s="1"/>
  <c r="D166" i="11"/>
  <c r="I166" i="11" s="1"/>
  <c r="D165" i="11"/>
  <c r="I165" i="11" s="1"/>
  <c r="D164" i="11"/>
  <c r="I164" i="11" s="1"/>
  <c r="D163" i="11"/>
  <c r="I163" i="11" s="1"/>
  <c r="D162" i="11"/>
  <c r="I162" i="11" s="1"/>
  <c r="D161" i="11"/>
  <c r="I161" i="11" s="1"/>
  <c r="D160" i="11"/>
  <c r="I160" i="11" s="1"/>
  <c r="D159" i="11"/>
  <c r="I159" i="11" s="1"/>
  <c r="D158" i="11"/>
  <c r="I158" i="11" s="1"/>
  <c r="D157" i="11"/>
  <c r="I157" i="11" s="1"/>
  <c r="D156" i="11"/>
  <c r="I156" i="11" s="1"/>
  <c r="C191" i="11"/>
  <c r="H191" i="11" s="1"/>
  <c r="C187" i="11"/>
  <c r="H187" i="11" s="1"/>
  <c r="C186" i="11"/>
  <c r="H186" i="11" s="1"/>
  <c r="C185" i="11"/>
  <c r="H185" i="11" s="1"/>
  <c r="C184" i="11"/>
  <c r="H184" i="11" s="1"/>
  <c r="C183" i="11"/>
  <c r="H183" i="11" s="1"/>
  <c r="C182" i="11"/>
  <c r="H182" i="11" s="1"/>
  <c r="C181" i="11"/>
  <c r="H181" i="11" s="1"/>
  <c r="C180" i="11"/>
  <c r="H180" i="11" s="1"/>
  <c r="C179" i="11"/>
  <c r="H179" i="11" s="1"/>
  <c r="C178" i="11"/>
  <c r="H178" i="11" s="1"/>
  <c r="C177" i="11"/>
  <c r="H177" i="11" s="1"/>
  <c r="C176" i="11"/>
  <c r="H176" i="11" s="1"/>
  <c r="C175" i="11"/>
  <c r="H175" i="11" s="1"/>
  <c r="C174" i="11"/>
  <c r="H174" i="11" s="1"/>
  <c r="C173" i="11"/>
  <c r="H173" i="11" s="1"/>
  <c r="C172" i="11"/>
  <c r="H172" i="11" s="1"/>
  <c r="C171" i="11"/>
  <c r="H171" i="11" s="1"/>
  <c r="C170" i="11"/>
  <c r="H170" i="11" s="1"/>
  <c r="C169" i="11"/>
  <c r="H169" i="11" s="1"/>
  <c r="C168" i="11"/>
  <c r="H168" i="11" s="1"/>
  <c r="C167" i="11"/>
  <c r="H167" i="11" s="1"/>
  <c r="C166" i="11"/>
  <c r="H166" i="11" s="1"/>
  <c r="C165" i="11"/>
  <c r="H165" i="11" s="1"/>
  <c r="C164" i="11"/>
  <c r="H164" i="11" s="1"/>
  <c r="C163" i="11"/>
  <c r="H163" i="11" s="1"/>
  <c r="C162" i="11"/>
  <c r="H162" i="11" s="1"/>
  <c r="C161" i="11"/>
  <c r="H161" i="11" s="1"/>
  <c r="C160" i="11"/>
  <c r="H160" i="11" s="1"/>
  <c r="C159" i="11"/>
  <c r="H159" i="11" s="1"/>
  <c r="C158" i="11"/>
  <c r="H158" i="11" s="1"/>
  <c r="C157" i="11"/>
  <c r="H157" i="11" s="1"/>
  <c r="C156" i="11"/>
  <c r="H156" i="11" s="1"/>
  <c r="AD150" i="11"/>
  <c r="AD146" i="11"/>
  <c r="AD145" i="11"/>
  <c r="AD144" i="11"/>
  <c r="AD143" i="11"/>
  <c r="AD142" i="11"/>
  <c r="AD141" i="11"/>
  <c r="AD140" i="11"/>
  <c r="AD139" i="11"/>
  <c r="AD138" i="11"/>
  <c r="AD137" i="11"/>
  <c r="AD136" i="11"/>
  <c r="AD135" i="11"/>
  <c r="AD134" i="11"/>
  <c r="AD133" i="11"/>
  <c r="AD132" i="11"/>
  <c r="AD131" i="11"/>
  <c r="AD130" i="11"/>
  <c r="AD129" i="11"/>
  <c r="AD128" i="11"/>
  <c r="AD127" i="11"/>
  <c r="AD126" i="11"/>
  <c r="AD125" i="11"/>
  <c r="AD124" i="11"/>
  <c r="AD123" i="11"/>
  <c r="AD122" i="11"/>
  <c r="AD121" i="11"/>
  <c r="AD120" i="11"/>
  <c r="AD119" i="11"/>
  <c r="AD118" i="11"/>
  <c r="AD117" i="11"/>
  <c r="AD116" i="11"/>
  <c r="AD115" i="11"/>
  <c r="AC150" i="11"/>
  <c r="AC146" i="11"/>
  <c r="AC145" i="11"/>
  <c r="AC144" i="11"/>
  <c r="AC143" i="11"/>
  <c r="AC142" i="11"/>
  <c r="AC141" i="11"/>
  <c r="AC140" i="11"/>
  <c r="AC139" i="11"/>
  <c r="AC138" i="11"/>
  <c r="AC137" i="11"/>
  <c r="AC136" i="11"/>
  <c r="AC135" i="11"/>
  <c r="AC134" i="11"/>
  <c r="AC133" i="11"/>
  <c r="AC132" i="11"/>
  <c r="AC131" i="11"/>
  <c r="AC130" i="11"/>
  <c r="AC129" i="11"/>
  <c r="AC128" i="11"/>
  <c r="AC127" i="11"/>
  <c r="AC126" i="11"/>
  <c r="AC125" i="11"/>
  <c r="AC124" i="11"/>
  <c r="AC123" i="11"/>
  <c r="AC122" i="11"/>
  <c r="AC121" i="11"/>
  <c r="AC120" i="11"/>
  <c r="AC119" i="11"/>
  <c r="AC118" i="11"/>
  <c r="AC117" i="11"/>
  <c r="AC116" i="11"/>
  <c r="AC115" i="11"/>
  <c r="V150" i="11"/>
  <c r="AA150" i="11" s="1"/>
  <c r="V146" i="11"/>
  <c r="AA146" i="11" s="1"/>
  <c r="V145" i="11"/>
  <c r="AA145" i="11" s="1"/>
  <c r="V144" i="11"/>
  <c r="AA144" i="11" s="1"/>
  <c r="V143" i="11"/>
  <c r="AA143" i="11" s="1"/>
  <c r="V142" i="11"/>
  <c r="AA142" i="11" s="1"/>
  <c r="V141" i="11"/>
  <c r="AA141" i="11" s="1"/>
  <c r="V140" i="11"/>
  <c r="AA140" i="11" s="1"/>
  <c r="V139" i="11"/>
  <c r="AA139" i="11" s="1"/>
  <c r="V138" i="11"/>
  <c r="AA138" i="11" s="1"/>
  <c r="V137" i="11"/>
  <c r="AA137" i="11" s="1"/>
  <c r="V136" i="11"/>
  <c r="AA136" i="11" s="1"/>
  <c r="V135" i="11"/>
  <c r="AA135" i="11" s="1"/>
  <c r="V134" i="11"/>
  <c r="AA134" i="11" s="1"/>
  <c r="V133" i="11"/>
  <c r="AA133" i="11" s="1"/>
  <c r="V132" i="11"/>
  <c r="AA132" i="11" s="1"/>
  <c r="V131" i="11"/>
  <c r="AA131" i="11" s="1"/>
  <c r="V130" i="11"/>
  <c r="AA130" i="11" s="1"/>
  <c r="V129" i="11"/>
  <c r="AA129" i="11" s="1"/>
  <c r="V128" i="11"/>
  <c r="AA128" i="11" s="1"/>
  <c r="V127" i="11"/>
  <c r="AA127" i="11" s="1"/>
  <c r="V126" i="11"/>
  <c r="AA126" i="11" s="1"/>
  <c r="V125" i="11"/>
  <c r="AA125" i="11" s="1"/>
  <c r="V124" i="11"/>
  <c r="AA124" i="11" s="1"/>
  <c r="V123" i="11"/>
  <c r="AA123" i="11" s="1"/>
  <c r="V122" i="11"/>
  <c r="AA122" i="11" s="1"/>
  <c r="V121" i="11"/>
  <c r="AA121" i="11" s="1"/>
  <c r="V120" i="11"/>
  <c r="AA120" i="11" s="1"/>
  <c r="V119" i="11"/>
  <c r="AA119" i="11" s="1"/>
  <c r="V118" i="11"/>
  <c r="AA118" i="11" s="1"/>
  <c r="V117" i="11"/>
  <c r="AA117" i="11" s="1"/>
  <c r="V116" i="11"/>
  <c r="AA116" i="11" s="1"/>
  <c r="V115" i="11"/>
  <c r="AA115" i="11" s="1"/>
  <c r="U150" i="11"/>
  <c r="Z150" i="11" s="1"/>
  <c r="U146" i="11"/>
  <c r="Z146" i="11" s="1"/>
  <c r="U145" i="11"/>
  <c r="Z145" i="11" s="1"/>
  <c r="U144" i="11"/>
  <c r="Z144" i="11" s="1"/>
  <c r="U143" i="11"/>
  <c r="Z143" i="11" s="1"/>
  <c r="U142" i="11"/>
  <c r="Z142" i="11" s="1"/>
  <c r="U141" i="11"/>
  <c r="Z141" i="11" s="1"/>
  <c r="U140" i="11"/>
  <c r="Z140" i="11" s="1"/>
  <c r="U139" i="11"/>
  <c r="Z139" i="11" s="1"/>
  <c r="U138" i="11"/>
  <c r="Z138" i="11" s="1"/>
  <c r="U137" i="11"/>
  <c r="Z137" i="11" s="1"/>
  <c r="U136" i="11"/>
  <c r="Z136" i="11" s="1"/>
  <c r="U135" i="11"/>
  <c r="Z135" i="11" s="1"/>
  <c r="U134" i="11"/>
  <c r="Z134" i="11" s="1"/>
  <c r="U133" i="11"/>
  <c r="Z133" i="11" s="1"/>
  <c r="U132" i="11"/>
  <c r="Z132" i="11" s="1"/>
  <c r="U131" i="11"/>
  <c r="Z131" i="11" s="1"/>
  <c r="U130" i="11"/>
  <c r="Z130" i="11" s="1"/>
  <c r="U129" i="11"/>
  <c r="Z129" i="11" s="1"/>
  <c r="U128" i="11"/>
  <c r="Z128" i="11" s="1"/>
  <c r="U127" i="11"/>
  <c r="Z127" i="11" s="1"/>
  <c r="U126" i="11"/>
  <c r="Z126" i="11" s="1"/>
  <c r="U125" i="11"/>
  <c r="Z125" i="11" s="1"/>
  <c r="U124" i="11"/>
  <c r="Z124" i="11" s="1"/>
  <c r="U123" i="11"/>
  <c r="Z123" i="11" s="1"/>
  <c r="U122" i="11"/>
  <c r="Z122" i="11" s="1"/>
  <c r="U121" i="11"/>
  <c r="Z121" i="11" s="1"/>
  <c r="U120" i="11"/>
  <c r="Z120" i="11" s="1"/>
  <c r="U119" i="11"/>
  <c r="Z119" i="11" s="1"/>
  <c r="U118" i="11"/>
  <c r="Z118" i="11" s="1"/>
  <c r="U117" i="11"/>
  <c r="Z117" i="11" s="1"/>
  <c r="U116" i="11"/>
  <c r="Z116" i="11" s="1"/>
  <c r="U115" i="11"/>
  <c r="Z115" i="11" s="1"/>
  <c r="E150" i="11"/>
  <c r="J150" i="11" s="1"/>
  <c r="E146" i="11"/>
  <c r="J146" i="11" s="1"/>
  <c r="E145" i="11"/>
  <c r="J145" i="11" s="1"/>
  <c r="E144" i="11"/>
  <c r="J144" i="11" s="1"/>
  <c r="E143" i="11"/>
  <c r="J143" i="11" s="1"/>
  <c r="E142" i="11"/>
  <c r="J142" i="11" s="1"/>
  <c r="E141" i="11"/>
  <c r="J141" i="11" s="1"/>
  <c r="E140" i="11"/>
  <c r="J140" i="11" s="1"/>
  <c r="E139" i="11"/>
  <c r="J139" i="11" s="1"/>
  <c r="E138" i="11"/>
  <c r="J138" i="11" s="1"/>
  <c r="E137" i="11"/>
  <c r="J137" i="11" s="1"/>
  <c r="E136" i="11"/>
  <c r="J136" i="11" s="1"/>
  <c r="E135" i="11"/>
  <c r="J135" i="11" s="1"/>
  <c r="E134" i="11"/>
  <c r="J134" i="11" s="1"/>
  <c r="E133" i="11"/>
  <c r="J133" i="11" s="1"/>
  <c r="E132" i="11"/>
  <c r="J132" i="11" s="1"/>
  <c r="E131" i="11"/>
  <c r="J131" i="11" s="1"/>
  <c r="E130" i="11"/>
  <c r="J130" i="11" s="1"/>
  <c r="E129" i="11"/>
  <c r="J129" i="11" s="1"/>
  <c r="E128" i="11"/>
  <c r="J128" i="11" s="1"/>
  <c r="E127" i="11"/>
  <c r="J127" i="11" s="1"/>
  <c r="E126" i="11"/>
  <c r="J126" i="11" s="1"/>
  <c r="E125" i="11"/>
  <c r="J125" i="11" s="1"/>
  <c r="E124" i="11"/>
  <c r="J124" i="11" s="1"/>
  <c r="E123" i="11"/>
  <c r="J123" i="11" s="1"/>
  <c r="E122" i="11"/>
  <c r="J122" i="11" s="1"/>
  <c r="E121" i="11"/>
  <c r="J121" i="11" s="1"/>
  <c r="E120" i="11"/>
  <c r="J120" i="11" s="1"/>
  <c r="E119" i="11"/>
  <c r="J119" i="11" s="1"/>
  <c r="E118" i="11"/>
  <c r="J118" i="11" s="1"/>
  <c r="E117" i="11"/>
  <c r="J117" i="11" s="1"/>
  <c r="E116" i="11"/>
  <c r="J116" i="11" s="1"/>
  <c r="E115" i="11"/>
  <c r="J115" i="11" s="1"/>
  <c r="T150" i="11"/>
  <c r="Y150" i="11" s="1"/>
  <c r="T146" i="11"/>
  <c r="Y146" i="11" s="1"/>
  <c r="T145" i="11"/>
  <c r="Y145" i="11" s="1"/>
  <c r="T144" i="11"/>
  <c r="Y144" i="11" s="1"/>
  <c r="T143" i="11"/>
  <c r="Y143" i="11" s="1"/>
  <c r="T142" i="11"/>
  <c r="Y142" i="11" s="1"/>
  <c r="T141" i="11"/>
  <c r="Y141" i="11" s="1"/>
  <c r="T140" i="11"/>
  <c r="Y140" i="11" s="1"/>
  <c r="T139" i="11"/>
  <c r="Y139" i="11" s="1"/>
  <c r="T138" i="11"/>
  <c r="Y138" i="11" s="1"/>
  <c r="T137" i="11"/>
  <c r="Y137" i="11" s="1"/>
  <c r="T136" i="11"/>
  <c r="Y136" i="11" s="1"/>
  <c r="T135" i="11"/>
  <c r="Y135" i="11" s="1"/>
  <c r="T134" i="11"/>
  <c r="Y134" i="11" s="1"/>
  <c r="T133" i="11"/>
  <c r="Y133" i="11" s="1"/>
  <c r="T132" i="11"/>
  <c r="Y132" i="11" s="1"/>
  <c r="T131" i="11"/>
  <c r="Y131" i="11" s="1"/>
  <c r="T130" i="11"/>
  <c r="Y130" i="11" s="1"/>
  <c r="T129" i="11"/>
  <c r="Y129" i="11" s="1"/>
  <c r="T128" i="11"/>
  <c r="Y128" i="11" s="1"/>
  <c r="T127" i="11"/>
  <c r="Y127" i="11" s="1"/>
  <c r="T126" i="11"/>
  <c r="Y126" i="11" s="1"/>
  <c r="T125" i="11"/>
  <c r="Y125" i="11" s="1"/>
  <c r="T124" i="11"/>
  <c r="Y124" i="11" s="1"/>
  <c r="T123" i="11"/>
  <c r="Y123" i="11" s="1"/>
  <c r="T122" i="11"/>
  <c r="Y122" i="11" s="1"/>
  <c r="T121" i="11"/>
  <c r="Y121" i="11" s="1"/>
  <c r="T120" i="11"/>
  <c r="Y120" i="11" s="1"/>
  <c r="T119" i="11"/>
  <c r="Y119" i="11" s="1"/>
  <c r="T118" i="11"/>
  <c r="Y118" i="11" s="1"/>
  <c r="T117" i="11"/>
  <c r="Y117" i="11" s="1"/>
  <c r="T116" i="11"/>
  <c r="Y116" i="11" s="1"/>
  <c r="T115" i="11"/>
  <c r="Y115" i="11" s="1"/>
  <c r="S150" i="11"/>
  <c r="X150" i="11" s="1"/>
  <c r="S146" i="11"/>
  <c r="X146" i="11" s="1"/>
  <c r="S145" i="11"/>
  <c r="X145" i="11" s="1"/>
  <c r="S144" i="11"/>
  <c r="X144" i="11" s="1"/>
  <c r="S143" i="11"/>
  <c r="X143" i="11" s="1"/>
  <c r="S142" i="11"/>
  <c r="X142" i="11" s="1"/>
  <c r="S141" i="11"/>
  <c r="X141" i="11" s="1"/>
  <c r="S140" i="11"/>
  <c r="X140" i="11" s="1"/>
  <c r="S139" i="11"/>
  <c r="X139" i="11" s="1"/>
  <c r="S138" i="11"/>
  <c r="X138" i="11" s="1"/>
  <c r="S137" i="11"/>
  <c r="X137" i="11" s="1"/>
  <c r="S136" i="11"/>
  <c r="X136" i="11" s="1"/>
  <c r="S135" i="11"/>
  <c r="X135" i="11" s="1"/>
  <c r="S134" i="11"/>
  <c r="X134" i="11" s="1"/>
  <c r="S133" i="11"/>
  <c r="X133" i="11" s="1"/>
  <c r="S132" i="11"/>
  <c r="X132" i="11" s="1"/>
  <c r="S131" i="11"/>
  <c r="X131" i="11" s="1"/>
  <c r="S130" i="11"/>
  <c r="X130" i="11" s="1"/>
  <c r="S129" i="11"/>
  <c r="X129" i="11" s="1"/>
  <c r="S128" i="11"/>
  <c r="X128" i="11" s="1"/>
  <c r="S127" i="11"/>
  <c r="X127" i="11" s="1"/>
  <c r="S126" i="11"/>
  <c r="X126" i="11" s="1"/>
  <c r="S125" i="11"/>
  <c r="X125" i="11" s="1"/>
  <c r="S124" i="11"/>
  <c r="X124" i="11" s="1"/>
  <c r="S123" i="11"/>
  <c r="X123" i="11" s="1"/>
  <c r="S122" i="11"/>
  <c r="X122" i="11" s="1"/>
  <c r="S121" i="11"/>
  <c r="X121" i="11" s="1"/>
  <c r="S120" i="11"/>
  <c r="X120" i="11" s="1"/>
  <c r="S119" i="11"/>
  <c r="X119" i="11" s="1"/>
  <c r="S118" i="11"/>
  <c r="X118" i="11" s="1"/>
  <c r="S117" i="11"/>
  <c r="X117" i="11" s="1"/>
  <c r="S116" i="11"/>
  <c r="X116" i="11" s="1"/>
  <c r="S115" i="11"/>
  <c r="X115" i="11" s="1"/>
  <c r="R150" i="11"/>
  <c r="W150" i="11" s="1"/>
  <c r="R146" i="11"/>
  <c r="W146" i="11" s="1"/>
  <c r="R145" i="11"/>
  <c r="W145" i="11" s="1"/>
  <c r="R144" i="11"/>
  <c r="W144" i="11" s="1"/>
  <c r="R143" i="11"/>
  <c r="W143" i="11" s="1"/>
  <c r="R142" i="11"/>
  <c r="W142" i="11" s="1"/>
  <c r="R141" i="11"/>
  <c r="W141" i="11" s="1"/>
  <c r="R140" i="11"/>
  <c r="W140" i="11" s="1"/>
  <c r="R139" i="11"/>
  <c r="W139" i="11" s="1"/>
  <c r="R138" i="11"/>
  <c r="W138" i="11" s="1"/>
  <c r="R137" i="11"/>
  <c r="W137" i="11" s="1"/>
  <c r="R136" i="11"/>
  <c r="W136" i="11" s="1"/>
  <c r="R135" i="11"/>
  <c r="W135" i="11" s="1"/>
  <c r="R134" i="11"/>
  <c r="W134" i="11" s="1"/>
  <c r="R133" i="11"/>
  <c r="W133" i="11" s="1"/>
  <c r="R132" i="11"/>
  <c r="W132" i="11" s="1"/>
  <c r="R131" i="11"/>
  <c r="W131" i="11" s="1"/>
  <c r="R130" i="11"/>
  <c r="W130" i="11" s="1"/>
  <c r="R129" i="11"/>
  <c r="W129" i="11" s="1"/>
  <c r="R128" i="11"/>
  <c r="W128" i="11" s="1"/>
  <c r="R127" i="11"/>
  <c r="W127" i="11" s="1"/>
  <c r="R126" i="11"/>
  <c r="W126" i="11" s="1"/>
  <c r="R125" i="11"/>
  <c r="W125" i="11" s="1"/>
  <c r="R124" i="11"/>
  <c r="W124" i="11" s="1"/>
  <c r="R123" i="11"/>
  <c r="W123" i="11" s="1"/>
  <c r="R122" i="11"/>
  <c r="W122" i="11" s="1"/>
  <c r="R121" i="11"/>
  <c r="W121" i="11" s="1"/>
  <c r="R120" i="11"/>
  <c r="W120" i="11" s="1"/>
  <c r="R119" i="11"/>
  <c r="W119" i="11" s="1"/>
  <c r="R118" i="11"/>
  <c r="W118" i="11" s="1"/>
  <c r="R117" i="11"/>
  <c r="W117" i="11" s="1"/>
  <c r="R116" i="11"/>
  <c r="W116" i="11" s="1"/>
  <c r="R115" i="11"/>
  <c r="W115" i="11" s="1"/>
  <c r="O150"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N150" i="11"/>
  <c r="N146" i="11"/>
  <c r="N145" i="11"/>
  <c r="N144" i="11"/>
  <c r="N143" i="11"/>
  <c r="N142" i="11"/>
  <c r="N141" i="11"/>
  <c r="N140" i="11"/>
  <c r="N139" i="11"/>
  <c r="N138" i="11"/>
  <c r="N137" i="11"/>
  <c r="N136" i="11"/>
  <c r="N135" i="11"/>
  <c r="N134" i="11"/>
  <c r="N133" i="11"/>
  <c r="N132" i="11"/>
  <c r="N131" i="11"/>
  <c r="N130" i="11"/>
  <c r="N129" i="11"/>
  <c r="N128" i="11"/>
  <c r="N127" i="11"/>
  <c r="N126" i="11"/>
  <c r="N125" i="11"/>
  <c r="N124" i="11"/>
  <c r="N123" i="11"/>
  <c r="N122" i="11"/>
  <c r="N121" i="11"/>
  <c r="N120" i="11"/>
  <c r="N119" i="11"/>
  <c r="N118" i="11"/>
  <c r="N117" i="11"/>
  <c r="N116" i="11"/>
  <c r="N115" i="11"/>
  <c r="G150" i="11"/>
  <c r="L150" i="11" s="1"/>
  <c r="G146" i="11"/>
  <c r="L146" i="11" s="1"/>
  <c r="G145" i="11"/>
  <c r="L145" i="11" s="1"/>
  <c r="G144" i="11"/>
  <c r="L144" i="11" s="1"/>
  <c r="G143" i="11"/>
  <c r="L143" i="11" s="1"/>
  <c r="G142" i="11"/>
  <c r="L142" i="11" s="1"/>
  <c r="G141" i="11"/>
  <c r="L141" i="11" s="1"/>
  <c r="G140" i="11"/>
  <c r="L140" i="11" s="1"/>
  <c r="G139" i="11"/>
  <c r="L139" i="11" s="1"/>
  <c r="G138" i="11"/>
  <c r="L138" i="11" s="1"/>
  <c r="G137" i="11"/>
  <c r="L137" i="11" s="1"/>
  <c r="G136" i="11"/>
  <c r="L136" i="11" s="1"/>
  <c r="G135" i="11"/>
  <c r="L135" i="11" s="1"/>
  <c r="G134" i="11"/>
  <c r="L134" i="11" s="1"/>
  <c r="G133" i="11"/>
  <c r="L133" i="11" s="1"/>
  <c r="G132" i="11"/>
  <c r="L132" i="11" s="1"/>
  <c r="G131" i="11"/>
  <c r="L131" i="11" s="1"/>
  <c r="G130" i="11"/>
  <c r="L130" i="11" s="1"/>
  <c r="G129" i="11"/>
  <c r="L129" i="11" s="1"/>
  <c r="G128" i="11"/>
  <c r="L128" i="11" s="1"/>
  <c r="G127" i="11"/>
  <c r="L127" i="11" s="1"/>
  <c r="G126" i="11"/>
  <c r="L126" i="11" s="1"/>
  <c r="G125" i="11"/>
  <c r="L125" i="11" s="1"/>
  <c r="G124" i="11"/>
  <c r="L124" i="11" s="1"/>
  <c r="G123" i="11"/>
  <c r="L123" i="11" s="1"/>
  <c r="G122" i="11"/>
  <c r="L122" i="11" s="1"/>
  <c r="G121" i="11"/>
  <c r="L121" i="11" s="1"/>
  <c r="G120" i="11"/>
  <c r="L120" i="11" s="1"/>
  <c r="G119" i="11"/>
  <c r="L119" i="11" s="1"/>
  <c r="G118" i="11"/>
  <c r="L118" i="11" s="1"/>
  <c r="G117" i="11"/>
  <c r="L117" i="11" s="1"/>
  <c r="G116" i="11"/>
  <c r="L116" i="11" s="1"/>
  <c r="G115" i="11"/>
  <c r="L115" i="11" s="1"/>
  <c r="F150" i="11"/>
  <c r="K150" i="11" s="1"/>
  <c r="F146" i="11"/>
  <c r="K146" i="11" s="1"/>
  <c r="F145" i="11"/>
  <c r="K145" i="11" s="1"/>
  <c r="F144" i="11"/>
  <c r="K144" i="11" s="1"/>
  <c r="F143" i="11"/>
  <c r="K143" i="11" s="1"/>
  <c r="F142" i="11"/>
  <c r="K142" i="11" s="1"/>
  <c r="F141" i="11"/>
  <c r="K141" i="11" s="1"/>
  <c r="F140" i="11"/>
  <c r="K140" i="11" s="1"/>
  <c r="F139" i="11"/>
  <c r="K139" i="11" s="1"/>
  <c r="F138" i="11"/>
  <c r="K138" i="11" s="1"/>
  <c r="F137" i="11"/>
  <c r="K137" i="11" s="1"/>
  <c r="F136" i="11"/>
  <c r="K136" i="11" s="1"/>
  <c r="F135" i="11"/>
  <c r="K135" i="11" s="1"/>
  <c r="F134" i="11"/>
  <c r="K134" i="11" s="1"/>
  <c r="F133" i="11"/>
  <c r="K133" i="11" s="1"/>
  <c r="F132" i="11"/>
  <c r="K132" i="11" s="1"/>
  <c r="F131" i="11"/>
  <c r="K131" i="11" s="1"/>
  <c r="F130" i="11"/>
  <c r="K130" i="11" s="1"/>
  <c r="F129" i="11"/>
  <c r="K129" i="11" s="1"/>
  <c r="F128" i="11"/>
  <c r="K128" i="11" s="1"/>
  <c r="F127" i="11"/>
  <c r="K127" i="11" s="1"/>
  <c r="F126" i="11"/>
  <c r="K126" i="11" s="1"/>
  <c r="F125" i="11"/>
  <c r="K125" i="11" s="1"/>
  <c r="F124" i="11"/>
  <c r="K124" i="11" s="1"/>
  <c r="F123" i="11"/>
  <c r="K123" i="11" s="1"/>
  <c r="F122" i="11"/>
  <c r="K122" i="11" s="1"/>
  <c r="F121" i="11"/>
  <c r="K121" i="11" s="1"/>
  <c r="F120" i="11"/>
  <c r="K120" i="11" s="1"/>
  <c r="F119" i="11"/>
  <c r="K119" i="11" s="1"/>
  <c r="F118" i="11"/>
  <c r="K118" i="11" s="1"/>
  <c r="F117" i="11"/>
  <c r="K117" i="11" s="1"/>
  <c r="F116" i="11"/>
  <c r="K116" i="11" s="1"/>
  <c r="F115" i="11"/>
  <c r="K115" i="11" s="1"/>
  <c r="D150" i="11"/>
  <c r="I150" i="11" s="1"/>
  <c r="D146" i="11"/>
  <c r="I146" i="11" s="1"/>
  <c r="D145" i="11"/>
  <c r="I145" i="11" s="1"/>
  <c r="D144" i="11"/>
  <c r="I144" i="11" s="1"/>
  <c r="D143" i="11"/>
  <c r="I143" i="11" s="1"/>
  <c r="D142" i="11"/>
  <c r="I142" i="11" s="1"/>
  <c r="D141" i="11"/>
  <c r="I141" i="11" s="1"/>
  <c r="D140" i="11"/>
  <c r="I140" i="11" s="1"/>
  <c r="D139" i="11"/>
  <c r="I139" i="11" s="1"/>
  <c r="D138" i="11"/>
  <c r="I138" i="11" s="1"/>
  <c r="D137" i="11"/>
  <c r="I137" i="11" s="1"/>
  <c r="D136" i="11"/>
  <c r="I136" i="11" s="1"/>
  <c r="D135" i="11"/>
  <c r="I135" i="11" s="1"/>
  <c r="D134" i="11"/>
  <c r="I134" i="11" s="1"/>
  <c r="D133" i="11"/>
  <c r="I133" i="11" s="1"/>
  <c r="D132" i="11"/>
  <c r="I132" i="11" s="1"/>
  <c r="D131" i="11"/>
  <c r="I131" i="11" s="1"/>
  <c r="D130" i="11"/>
  <c r="I130" i="11" s="1"/>
  <c r="D129" i="11"/>
  <c r="I129" i="11" s="1"/>
  <c r="D128" i="11"/>
  <c r="I128" i="11" s="1"/>
  <c r="D127" i="11"/>
  <c r="I127" i="11" s="1"/>
  <c r="D126" i="11"/>
  <c r="I126" i="11" s="1"/>
  <c r="D125" i="11"/>
  <c r="I125" i="11" s="1"/>
  <c r="D124" i="11"/>
  <c r="I124" i="11" s="1"/>
  <c r="D123" i="11"/>
  <c r="I123" i="11" s="1"/>
  <c r="D122" i="11"/>
  <c r="I122" i="11" s="1"/>
  <c r="D121" i="11"/>
  <c r="I121" i="11" s="1"/>
  <c r="D120" i="11"/>
  <c r="I120" i="11" s="1"/>
  <c r="D119" i="11"/>
  <c r="I119" i="11" s="1"/>
  <c r="D118" i="11"/>
  <c r="I118" i="11" s="1"/>
  <c r="D117" i="11"/>
  <c r="I117" i="11" s="1"/>
  <c r="D116" i="11"/>
  <c r="I116" i="11" s="1"/>
  <c r="D115" i="11"/>
  <c r="I115" i="11" s="1"/>
  <c r="C150" i="11"/>
  <c r="H150" i="11" s="1"/>
  <c r="C146" i="11"/>
  <c r="H146" i="11" s="1"/>
  <c r="C145" i="11"/>
  <c r="H145" i="11" s="1"/>
  <c r="C144" i="11"/>
  <c r="H144" i="11" s="1"/>
  <c r="C143" i="11"/>
  <c r="H143" i="11" s="1"/>
  <c r="C142" i="11"/>
  <c r="H142" i="11" s="1"/>
  <c r="C141" i="11"/>
  <c r="H141" i="11" s="1"/>
  <c r="C140" i="11"/>
  <c r="H140" i="11" s="1"/>
  <c r="C139" i="11"/>
  <c r="H139" i="11" s="1"/>
  <c r="C138" i="11"/>
  <c r="H138" i="11" s="1"/>
  <c r="C137" i="11"/>
  <c r="H137" i="11" s="1"/>
  <c r="C136" i="11"/>
  <c r="H136" i="11" s="1"/>
  <c r="C135" i="11"/>
  <c r="H135" i="11" s="1"/>
  <c r="C134" i="11"/>
  <c r="H134" i="11" s="1"/>
  <c r="C133" i="11"/>
  <c r="H133" i="11" s="1"/>
  <c r="C132" i="11"/>
  <c r="H132" i="11" s="1"/>
  <c r="C131" i="11"/>
  <c r="H131" i="11" s="1"/>
  <c r="C130" i="11"/>
  <c r="H130" i="11" s="1"/>
  <c r="C129" i="11"/>
  <c r="H129" i="11" s="1"/>
  <c r="C128" i="11"/>
  <c r="H128" i="11" s="1"/>
  <c r="C127" i="11"/>
  <c r="H127" i="11" s="1"/>
  <c r="C126" i="11"/>
  <c r="H126" i="11" s="1"/>
  <c r="C125" i="11"/>
  <c r="H125" i="11" s="1"/>
  <c r="C124" i="11"/>
  <c r="H124" i="11" s="1"/>
  <c r="C123" i="11"/>
  <c r="H123" i="11" s="1"/>
  <c r="C122" i="11"/>
  <c r="H122" i="11" s="1"/>
  <c r="C121" i="11"/>
  <c r="H121" i="11" s="1"/>
  <c r="C120" i="11"/>
  <c r="H120" i="11" s="1"/>
  <c r="C119" i="11"/>
  <c r="H119" i="11" s="1"/>
  <c r="C118" i="11"/>
  <c r="H118" i="11" s="1"/>
  <c r="C117" i="11"/>
  <c r="H117" i="11" s="1"/>
  <c r="C116" i="11"/>
  <c r="H116" i="11" s="1"/>
  <c r="C115" i="11"/>
  <c r="H115" i="11" s="1"/>
  <c r="E370" i="11" l="1"/>
  <c r="X383" i="11"/>
  <c r="E374" i="11"/>
  <c r="E376" i="11"/>
  <c r="E399" i="11"/>
  <c r="H370" i="11"/>
  <c r="H390" i="11"/>
  <c r="M364" i="11"/>
  <c r="M384" i="11"/>
  <c r="P378" i="11"/>
  <c r="U372" i="11"/>
  <c r="U392" i="11"/>
  <c r="X366" i="11"/>
  <c r="X386" i="11"/>
  <c r="E367" i="11"/>
  <c r="E387" i="11"/>
  <c r="H381" i="11"/>
  <c r="M375" i="11"/>
  <c r="M395" i="11"/>
  <c r="P369" i="11"/>
  <c r="P389" i="11"/>
  <c r="U383" i="11"/>
  <c r="X377" i="11"/>
  <c r="E368" i="11"/>
  <c r="E388" i="11"/>
  <c r="H382" i="11"/>
  <c r="M376" i="11"/>
  <c r="M399" i="11"/>
  <c r="P370" i="11"/>
  <c r="P390" i="11"/>
  <c r="U364" i="11"/>
  <c r="U384" i="11"/>
  <c r="X378" i="11"/>
  <c r="E369" i="11"/>
  <c r="E389" i="11"/>
  <c r="H383" i="11"/>
  <c r="M377" i="11"/>
  <c r="P371" i="11"/>
  <c r="P391" i="11"/>
  <c r="U365" i="11"/>
  <c r="U385" i="11"/>
  <c r="X379" i="11"/>
  <c r="E390" i="11"/>
  <c r="H364" i="11"/>
  <c r="H384" i="11"/>
  <c r="M378" i="11"/>
  <c r="P372" i="11"/>
  <c r="P392" i="11"/>
  <c r="U366" i="11"/>
  <c r="U386" i="11"/>
  <c r="X380" i="11"/>
  <c r="E371" i="11"/>
  <c r="E391" i="11"/>
  <c r="H365" i="11"/>
  <c r="H385" i="11"/>
  <c r="M379" i="11"/>
  <c r="P373" i="11"/>
  <c r="P393" i="11"/>
  <c r="U367" i="11"/>
  <c r="U387" i="11"/>
  <c r="X381" i="11"/>
  <c r="E372" i="11"/>
  <c r="E392" i="11"/>
  <c r="H366" i="11"/>
  <c r="H386" i="11"/>
  <c r="M380" i="11"/>
  <c r="P374" i="11"/>
  <c r="P394" i="11"/>
  <c r="U368" i="11"/>
  <c r="U388" i="11"/>
  <c r="X382" i="11"/>
  <c r="E373" i="11"/>
  <c r="E393" i="11"/>
  <c r="H367" i="11"/>
  <c r="H387" i="11"/>
  <c r="M381" i="11"/>
  <c r="P375" i="11"/>
  <c r="P395" i="11"/>
  <c r="U369" i="11"/>
  <c r="U389" i="11"/>
  <c r="E394" i="11"/>
  <c r="H368" i="11"/>
  <c r="H388" i="11"/>
  <c r="M382" i="11"/>
  <c r="P376" i="11"/>
  <c r="P399" i="11"/>
  <c r="U370" i="11"/>
  <c r="U390" i="11"/>
  <c r="X364" i="11"/>
  <c r="X384" i="11"/>
  <c r="E375" i="11"/>
  <c r="E395" i="11"/>
  <c r="H369" i="11"/>
  <c r="H389" i="11"/>
  <c r="M383" i="11"/>
  <c r="P377" i="11"/>
  <c r="U371" i="11"/>
  <c r="U391" i="11"/>
  <c r="X365" i="11"/>
  <c r="X385" i="11"/>
  <c r="E377" i="11"/>
  <c r="H371" i="11"/>
  <c r="H391" i="11"/>
  <c r="M365" i="11"/>
  <c r="M385" i="11"/>
  <c r="P379" i="11"/>
  <c r="U373" i="11"/>
  <c r="U393" i="11"/>
  <c r="X367" i="11"/>
  <c r="X387" i="11"/>
  <c r="E378" i="11"/>
  <c r="H372" i="11"/>
  <c r="H392" i="11"/>
  <c r="M366" i="11"/>
  <c r="M386" i="11"/>
  <c r="P380" i="11"/>
  <c r="U374" i="11"/>
  <c r="U394" i="11"/>
  <c r="X368" i="11"/>
  <c r="X388" i="11"/>
  <c r="E379" i="11"/>
  <c r="H373" i="11"/>
  <c r="H393" i="11"/>
  <c r="M367" i="11"/>
  <c r="M387" i="11"/>
  <c r="P381" i="11"/>
  <c r="U375" i="11"/>
  <c r="U395" i="11"/>
  <c r="X369" i="11"/>
  <c r="X389"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50"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91"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50"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91" i="11"/>
  <c r="J1003" i="28"/>
  <c r="J1002" i="28"/>
  <c r="J1001" i="28"/>
  <c r="J1000" i="28"/>
  <c r="J999" i="28"/>
  <c r="J998" i="28"/>
  <c r="J997" i="28"/>
  <c r="J996" i="28"/>
  <c r="J995" i="28"/>
  <c r="J994" i="28"/>
  <c r="J993" i="28"/>
  <c r="J992" i="28"/>
  <c r="J991" i="28"/>
  <c r="J990" i="28"/>
  <c r="J989" i="28"/>
  <c r="J988" i="28"/>
  <c r="J987" i="28"/>
  <c r="J986" i="28"/>
  <c r="J985" i="28"/>
  <c r="J984" i="28"/>
  <c r="J983" i="28"/>
  <c r="J982" i="28"/>
  <c r="J981" i="28"/>
  <c r="J980" i="28"/>
  <c r="J979" i="28"/>
  <c r="J978" i="28"/>
  <c r="J977" i="28"/>
  <c r="J976" i="28"/>
  <c r="J975" i="28"/>
  <c r="J974" i="28"/>
  <c r="J973" i="28"/>
  <c r="J972" i="28"/>
  <c r="J971" i="28"/>
  <c r="J970" i="28"/>
  <c r="J969" i="28"/>
  <c r="J968" i="28"/>
  <c r="J967" i="28"/>
  <c r="J966" i="28"/>
  <c r="J965" i="28"/>
  <c r="J964" i="28"/>
  <c r="J963" i="28"/>
  <c r="J962" i="28"/>
  <c r="J961" i="28"/>
  <c r="J960" i="28"/>
  <c r="J959" i="28"/>
  <c r="J958" i="28"/>
  <c r="J957" i="28"/>
  <c r="J956" i="28"/>
  <c r="J955" i="28"/>
  <c r="J954" i="28"/>
  <c r="J953" i="28"/>
  <c r="J952" i="28"/>
  <c r="J951" i="28"/>
  <c r="J950" i="28"/>
  <c r="J949" i="28"/>
  <c r="J948" i="28"/>
  <c r="J947" i="28"/>
  <c r="J946" i="28"/>
  <c r="J945" i="28"/>
  <c r="J944" i="28"/>
  <c r="J943" i="28"/>
  <c r="J942" i="28"/>
  <c r="J941" i="28"/>
  <c r="J940" i="28"/>
  <c r="J939" i="28"/>
  <c r="J938" i="28"/>
  <c r="J937" i="28"/>
  <c r="J936" i="28"/>
  <c r="J935" i="28"/>
  <c r="J934" i="28"/>
  <c r="J933" i="28"/>
  <c r="J932" i="28"/>
  <c r="J931" i="28"/>
  <c r="J930" i="28"/>
  <c r="J929" i="28"/>
  <c r="J928" i="28"/>
  <c r="J927" i="28"/>
  <c r="J926" i="28"/>
  <c r="J925" i="28"/>
  <c r="J924" i="28"/>
  <c r="J923" i="28"/>
  <c r="J922" i="28"/>
  <c r="J921" i="28"/>
  <c r="J920" i="28"/>
  <c r="J919" i="28"/>
  <c r="J918" i="28"/>
  <c r="J917" i="28"/>
  <c r="J916" i="28"/>
  <c r="J915" i="28"/>
  <c r="J914" i="28"/>
  <c r="J913" i="28"/>
  <c r="J912" i="28"/>
  <c r="J911" i="28"/>
  <c r="J910" i="28"/>
  <c r="J909" i="28"/>
  <c r="J908" i="28"/>
  <c r="J907" i="28"/>
  <c r="J906" i="28"/>
  <c r="J905" i="28"/>
  <c r="J904" i="28"/>
  <c r="J903" i="28"/>
  <c r="J902" i="28"/>
  <c r="J901" i="28"/>
  <c r="J900" i="28"/>
  <c r="J899" i="28"/>
  <c r="J898" i="28"/>
  <c r="J897" i="28"/>
  <c r="J896" i="28"/>
  <c r="J895" i="28"/>
  <c r="J894" i="28"/>
  <c r="J893" i="28"/>
  <c r="J892" i="28"/>
  <c r="J891" i="28"/>
  <c r="J890" i="28"/>
  <c r="J889" i="28"/>
  <c r="J888" i="28"/>
  <c r="J887" i="28"/>
  <c r="J886" i="28"/>
  <c r="J885" i="28"/>
  <c r="J884" i="28"/>
  <c r="J883" i="28"/>
  <c r="J882" i="28"/>
  <c r="J881" i="28"/>
  <c r="J880" i="28"/>
  <c r="J879" i="28"/>
  <c r="J878" i="28"/>
  <c r="J877" i="28"/>
  <c r="J876" i="28"/>
  <c r="J875" i="28"/>
  <c r="J874" i="28"/>
  <c r="J873" i="28"/>
  <c r="J872" i="28"/>
  <c r="J871" i="28"/>
  <c r="J870" i="28"/>
  <c r="J869" i="28"/>
  <c r="J868" i="28"/>
  <c r="J867" i="28"/>
  <c r="J866" i="28"/>
  <c r="J865" i="28"/>
  <c r="J864" i="28"/>
  <c r="J863" i="28"/>
  <c r="J862" i="28"/>
  <c r="J861" i="28"/>
  <c r="J860" i="28"/>
  <c r="J859" i="28"/>
  <c r="J858" i="28"/>
  <c r="J857" i="28"/>
  <c r="J856" i="28"/>
  <c r="J855" i="28"/>
  <c r="J854" i="28"/>
  <c r="J853" i="28"/>
  <c r="J852" i="28"/>
  <c r="J851" i="28"/>
  <c r="J850" i="28"/>
  <c r="J849" i="28"/>
  <c r="J848" i="28"/>
  <c r="J847" i="28"/>
  <c r="J846" i="28"/>
  <c r="J845" i="28"/>
  <c r="J844" i="28"/>
  <c r="J843" i="28"/>
  <c r="J842" i="28"/>
  <c r="J841" i="28"/>
  <c r="J840" i="28"/>
  <c r="J839" i="28"/>
  <c r="J838" i="28"/>
  <c r="J837" i="28"/>
  <c r="J836" i="28"/>
  <c r="J835" i="28"/>
  <c r="J834" i="28"/>
  <c r="J833" i="28"/>
  <c r="J832" i="28"/>
  <c r="J831" i="28"/>
  <c r="J830" i="28"/>
  <c r="J829" i="28"/>
  <c r="J828" i="28"/>
  <c r="J827" i="28"/>
  <c r="J826" i="28"/>
  <c r="J825" i="28"/>
  <c r="J824" i="28"/>
  <c r="J823" i="28"/>
  <c r="J822" i="28"/>
  <c r="J821" i="28"/>
  <c r="J820" i="28"/>
  <c r="J819" i="28"/>
  <c r="J818" i="28"/>
  <c r="J817" i="28"/>
  <c r="J816" i="28"/>
  <c r="J815" i="28"/>
  <c r="J814" i="28"/>
  <c r="J813" i="28"/>
  <c r="J812" i="28"/>
  <c r="J811" i="28"/>
  <c r="J810" i="28"/>
  <c r="J809" i="28"/>
  <c r="J808" i="28"/>
  <c r="J807" i="28"/>
  <c r="J806" i="28"/>
  <c r="J805" i="28"/>
  <c r="J804" i="28"/>
  <c r="J803" i="28"/>
  <c r="J802" i="28"/>
  <c r="J801" i="28"/>
  <c r="J800" i="28"/>
  <c r="J799" i="28"/>
  <c r="J798" i="28"/>
  <c r="J797" i="28"/>
  <c r="J796" i="28"/>
  <c r="J795" i="28"/>
  <c r="J794" i="28"/>
  <c r="J793" i="28"/>
  <c r="J792" i="28"/>
  <c r="J791" i="28"/>
  <c r="J790" i="28"/>
  <c r="J789" i="28"/>
  <c r="J788" i="28"/>
  <c r="J787" i="28"/>
  <c r="J786" i="28"/>
  <c r="J785" i="28"/>
  <c r="J784" i="28"/>
  <c r="J783" i="28"/>
  <c r="J782" i="28"/>
  <c r="J781" i="28"/>
  <c r="J780" i="28"/>
  <c r="J779" i="28"/>
  <c r="J778" i="28"/>
  <c r="J777" i="28"/>
  <c r="J776" i="28"/>
  <c r="J775" i="28"/>
  <c r="J774" i="28"/>
  <c r="J773" i="28"/>
  <c r="J772" i="28"/>
  <c r="J771" i="28"/>
  <c r="J770" i="28"/>
  <c r="J769" i="28"/>
  <c r="J768" i="28"/>
  <c r="J767" i="28"/>
  <c r="J766" i="28"/>
  <c r="J765" i="28"/>
  <c r="J764" i="28"/>
  <c r="J763" i="28"/>
  <c r="J762" i="28"/>
  <c r="J761" i="28"/>
  <c r="J760" i="28"/>
  <c r="J759" i="28"/>
  <c r="J758" i="28"/>
  <c r="J757" i="28"/>
  <c r="J756" i="28"/>
  <c r="J755" i="28"/>
  <c r="J754" i="28"/>
  <c r="J753" i="28"/>
  <c r="J752" i="28"/>
  <c r="J751" i="28"/>
  <c r="J750" i="28"/>
  <c r="J749" i="28"/>
  <c r="J748" i="28"/>
  <c r="J747" i="28"/>
  <c r="J746" i="28"/>
  <c r="J745" i="28"/>
  <c r="J744" i="28"/>
  <c r="J743" i="28"/>
  <c r="J742" i="28"/>
  <c r="J741" i="28"/>
  <c r="J740" i="28"/>
  <c r="J739" i="28"/>
  <c r="J738" i="28"/>
  <c r="J737" i="28"/>
  <c r="J736" i="28"/>
  <c r="J735" i="28"/>
  <c r="J734" i="28"/>
  <c r="J733" i="28"/>
  <c r="J732" i="28"/>
  <c r="J731" i="28"/>
  <c r="J730" i="28"/>
  <c r="J729" i="28"/>
  <c r="J728" i="28"/>
  <c r="J727" i="28"/>
  <c r="J726" i="28"/>
  <c r="J725" i="28"/>
  <c r="J724" i="28"/>
  <c r="J723" i="28"/>
  <c r="J722" i="28"/>
  <c r="J721" i="28"/>
  <c r="J720" i="28"/>
  <c r="J719" i="28"/>
  <c r="J718" i="28"/>
  <c r="J717" i="28"/>
  <c r="J716" i="28"/>
  <c r="J715" i="28"/>
  <c r="J714" i="28"/>
  <c r="J713" i="28"/>
  <c r="J712" i="28"/>
  <c r="J711" i="28"/>
  <c r="J710" i="28"/>
  <c r="J709" i="28"/>
  <c r="J708" i="28"/>
  <c r="J707" i="28"/>
  <c r="J706" i="28"/>
  <c r="J705" i="28"/>
  <c r="J704" i="28"/>
  <c r="J703" i="28"/>
  <c r="J702" i="28"/>
  <c r="J701" i="28"/>
  <c r="J700" i="28"/>
  <c r="J699" i="28"/>
  <c r="J698" i="28"/>
  <c r="J697" i="28"/>
  <c r="J696" i="28"/>
  <c r="J695" i="28"/>
  <c r="J694" i="28"/>
  <c r="J693" i="28"/>
  <c r="J692" i="28"/>
  <c r="J691" i="28"/>
  <c r="J690" i="28"/>
  <c r="J689" i="28"/>
  <c r="J688" i="28"/>
  <c r="J687" i="28"/>
  <c r="J686" i="28"/>
  <c r="J685" i="28"/>
  <c r="J684" i="28"/>
  <c r="J683" i="28"/>
  <c r="J682" i="28"/>
  <c r="J681" i="28"/>
  <c r="J680" i="28"/>
  <c r="J679" i="28"/>
  <c r="J678" i="28"/>
  <c r="J677" i="28"/>
  <c r="J676" i="28"/>
  <c r="J675" i="28"/>
  <c r="J674" i="28"/>
  <c r="J673" i="28"/>
  <c r="J672" i="28"/>
  <c r="J671" i="28"/>
  <c r="J670" i="28"/>
  <c r="J669" i="28"/>
  <c r="J668" i="28"/>
  <c r="J667" i="28"/>
  <c r="J666" i="28"/>
  <c r="J665" i="28"/>
  <c r="J664" i="28"/>
  <c r="J663" i="28"/>
  <c r="J662" i="28"/>
  <c r="J661" i="28"/>
  <c r="J660" i="28"/>
  <c r="J659" i="28"/>
  <c r="J658" i="28"/>
  <c r="J657" i="28"/>
  <c r="J656" i="28"/>
  <c r="J655" i="28"/>
  <c r="J654" i="28"/>
  <c r="J653" i="28"/>
  <c r="J652" i="28"/>
  <c r="J651" i="28"/>
  <c r="J650" i="28"/>
  <c r="J649" i="28"/>
  <c r="J648" i="28"/>
  <c r="J647" i="28"/>
  <c r="J646" i="28"/>
  <c r="J645" i="28"/>
  <c r="J644" i="28"/>
  <c r="J643" i="28"/>
  <c r="J642" i="28"/>
  <c r="J641" i="28"/>
  <c r="J640" i="28"/>
  <c r="J639" i="28"/>
  <c r="J638" i="28"/>
  <c r="J637" i="28"/>
  <c r="J636" i="28"/>
  <c r="J635" i="28"/>
  <c r="J634" i="28"/>
  <c r="J633" i="28"/>
  <c r="J632" i="28"/>
  <c r="J631" i="28"/>
  <c r="J630" i="28"/>
  <c r="J629" i="28"/>
  <c r="J628" i="28"/>
  <c r="J627" i="28"/>
  <c r="J626" i="28"/>
  <c r="J625" i="28"/>
  <c r="J624" i="28"/>
  <c r="J623" i="28"/>
  <c r="J622" i="28"/>
  <c r="J621" i="28"/>
  <c r="J620" i="28"/>
  <c r="J619" i="28"/>
  <c r="J618" i="28"/>
  <c r="J617" i="28"/>
  <c r="J616" i="28"/>
  <c r="J615" i="28"/>
  <c r="J614" i="28"/>
  <c r="J613" i="28"/>
  <c r="J612" i="28"/>
  <c r="J611" i="28"/>
  <c r="J610" i="28"/>
  <c r="J609" i="28"/>
  <c r="J608" i="28"/>
  <c r="J607" i="28"/>
  <c r="J606" i="28"/>
  <c r="J605" i="28"/>
  <c r="J604" i="28"/>
  <c r="J603" i="28"/>
  <c r="J602" i="28"/>
  <c r="J601" i="28"/>
  <c r="J600" i="28"/>
  <c r="J599" i="28"/>
  <c r="J598" i="28"/>
  <c r="J597" i="28"/>
  <c r="J596" i="28"/>
  <c r="J595" i="28"/>
  <c r="J594" i="28"/>
  <c r="J593" i="28"/>
  <c r="J592" i="28"/>
  <c r="J591" i="28"/>
  <c r="J590" i="28"/>
  <c r="J589" i="28"/>
  <c r="J588" i="28"/>
  <c r="J587" i="28"/>
  <c r="J586" i="28"/>
  <c r="J585" i="28"/>
  <c r="J584" i="28"/>
  <c r="J583" i="28"/>
  <c r="J582" i="28"/>
  <c r="J581" i="28"/>
  <c r="J580" i="28"/>
  <c r="J579" i="28"/>
  <c r="J578" i="28"/>
  <c r="J577" i="28"/>
  <c r="J576" i="28"/>
  <c r="J575" i="28"/>
  <c r="J574" i="28"/>
  <c r="J573" i="28"/>
  <c r="J572" i="28"/>
  <c r="J571" i="28"/>
  <c r="J570" i="28"/>
  <c r="J569" i="28"/>
  <c r="J568" i="28"/>
  <c r="J567" i="28"/>
  <c r="J566" i="28"/>
  <c r="J565" i="28"/>
  <c r="J564" i="28"/>
  <c r="J563" i="28"/>
  <c r="J562" i="28"/>
  <c r="J561" i="28"/>
  <c r="J560" i="28"/>
  <c r="J559" i="28"/>
  <c r="J558" i="28"/>
  <c r="J557" i="28"/>
  <c r="J556" i="28"/>
  <c r="J555" i="28"/>
  <c r="J554" i="28"/>
  <c r="J553" i="28"/>
  <c r="J552" i="28"/>
  <c r="J551" i="28"/>
  <c r="J550" i="28"/>
  <c r="J549" i="28"/>
  <c r="J548" i="28"/>
  <c r="J547" i="28"/>
  <c r="J546" i="28"/>
  <c r="J545" i="28"/>
  <c r="J544" i="28"/>
  <c r="J543" i="28"/>
  <c r="J542" i="28"/>
  <c r="J541" i="28"/>
  <c r="J540" i="28"/>
  <c r="J539" i="28"/>
  <c r="J538" i="28"/>
  <c r="J537" i="28"/>
  <c r="J536" i="28"/>
  <c r="J535" i="28"/>
  <c r="J534" i="28"/>
  <c r="J533" i="28"/>
  <c r="J532" i="28"/>
  <c r="J531" i="28"/>
  <c r="J530" i="28"/>
  <c r="J529" i="28"/>
  <c r="J528" i="28"/>
  <c r="J527" i="28"/>
  <c r="J526" i="28"/>
  <c r="J525" i="28"/>
  <c r="J524" i="28"/>
  <c r="J523" i="28"/>
  <c r="J522" i="28"/>
  <c r="J521" i="28"/>
  <c r="J520" i="28"/>
  <c r="J519" i="28"/>
  <c r="J518" i="28"/>
  <c r="J517" i="28"/>
  <c r="J516" i="28"/>
  <c r="J515" i="28"/>
  <c r="J514" i="28"/>
  <c r="J513" i="28"/>
  <c r="J512" i="28"/>
  <c r="J511" i="28"/>
  <c r="J510" i="28"/>
  <c r="J509" i="28"/>
  <c r="J508" i="28"/>
  <c r="J507" i="28"/>
  <c r="J506" i="28"/>
  <c r="J505" i="28"/>
  <c r="J504" i="28"/>
  <c r="J503" i="28"/>
  <c r="J502" i="28"/>
  <c r="J501" i="28"/>
  <c r="J500" i="28"/>
  <c r="J499" i="28"/>
  <c r="J498" i="28"/>
  <c r="J497" i="28"/>
  <c r="J496" i="28"/>
  <c r="J495" i="28"/>
  <c r="J494" i="28"/>
  <c r="J493" i="28"/>
  <c r="J492" i="28"/>
  <c r="J491" i="28"/>
  <c r="J490" i="28"/>
  <c r="J489" i="28"/>
  <c r="J488" i="28"/>
  <c r="J487" i="28"/>
  <c r="J486" i="28"/>
  <c r="J485" i="28"/>
  <c r="J484" i="28"/>
  <c r="J483" i="28"/>
  <c r="J482" i="28"/>
  <c r="J481" i="28"/>
  <c r="J480" i="28"/>
  <c r="J479" i="28"/>
  <c r="J478" i="28"/>
  <c r="J477" i="28"/>
  <c r="J476" i="28"/>
  <c r="J475" i="28"/>
  <c r="J474" i="28"/>
  <c r="J473" i="28"/>
  <c r="J472" i="28"/>
  <c r="J471" i="28"/>
  <c r="J470" i="28"/>
  <c r="J469" i="28"/>
  <c r="J468" i="28"/>
  <c r="J467" i="28"/>
  <c r="J466" i="28"/>
  <c r="J465" i="28"/>
  <c r="J464" i="28"/>
  <c r="J463" i="28"/>
  <c r="J462" i="28"/>
  <c r="J461" i="28"/>
  <c r="J460" i="28"/>
  <c r="J459" i="28"/>
  <c r="J458" i="28"/>
  <c r="J457" i="28"/>
  <c r="J456" i="28"/>
  <c r="J455" i="28"/>
  <c r="J454" i="28"/>
  <c r="J453" i="28"/>
  <c r="J452" i="28"/>
  <c r="J451" i="28"/>
  <c r="J450" i="28"/>
  <c r="J449" i="28"/>
  <c r="J448" i="28"/>
  <c r="J447" i="28"/>
  <c r="J446" i="28"/>
  <c r="J445" i="28"/>
  <c r="J444" i="28"/>
  <c r="J443" i="28"/>
  <c r="J442" i="28"/>
  <c r="J441" i="28"/>
  <c r="J440" i="28"/>
  <c r="J439" i="28"/>
  <c r="J438" i="28"/>
  <c r="J437" i="28"/>
  <c r="J436" i="28"/>
  <c r="J435" i="28"/>
  <c r="J434" i="28"/>
  <c r="J433" i="28"/>
  <c r="J432" i="28"/>
  <c r="J431" i="28"/>
  <c r="J430" i="28"/>
  <c r="J429" i="28"/>
  <c r="J428" i="28"/>
  <c r="J427" i="28"/>
  <c r="J426" i="28"/>
  <c r="J425" i="28"/>
  <c r="J424" i="28"/>
  <c r="J423" i="28"/>
  <c r="J422" i="28"/>
  <c r="J421" i="28"/>
  <c r="J420" i="28"/>
  <c r="J419" i="28"/>
  <c r="J418" i="28"/>
  <c r="J417" i="28"/>
  <c r="J416" i="28"/>
  <c r="J415" i="28"/>
  <c r="J414" i="28"/>
  <c r="J413" i="28"/>
  <c r="J412" i="28"/>
  <c r="J411" i="28"/>
  <c r="J410" i="28"/>
  <c r="J409" i="28"/>
  <c r="J408" i="28"/>
  <c r="J407" i="28"/>
  <c r="J406" i="28"/>
  <c r="J405" i="28"/>
  <c r="J404" i="28"/>
  <c r="J403" i="28"/>
  <c r="J402" i="28"/>
  <c r="J401" i="28"/>
  <c r="J400" i="28"/>
  <c r="J399" i="28"/>
  <c r="J398" i="28"/>
  <c r="J397" i="28"/>
  <c r="J396" i="28"/>
  <c r="J395" i="28"/>
  <c r="J394" i="28"/>
  <c r="J393" i="28"/>
  <c r="J392" i="28"/>
  <c r="J391" i="28"/>
  <c r="J390" i="28"/>
  <c r="J389" i="28"/>
  <c r="J388" i="28"/>
  <c r="J387" i="28"/>
  <c r="J386" i="28"/>
  <c r="J385" i="28"/>
  <c r="J384" i="28"/>
  <c r="J383" i="28"/>
  <c r="J382" i="28"/>
  <c r="J381" i="28"/>
  <c r="J380" i="28"/>
  <c r="J379" i="28"/>
  <c r="J378" i="28"/>
  <c r="J377" i="28"/>
  <c r="J376" i="28"/>
  <c r="J375" i="28"/>
  <c r="J374" i="28"/>
  <c r="J373" i="28"/>
  <c r="J372" i="28"/>
  <c r="J371" i="28"/>
  <c r="J370" i="28"/>
  <c r="J369" i="28"/>
  <c r="J368" i="28"/>
  <c r="J367" i="28"/>
  <c r="J366" i="28"/>
  <c r="J365" i="28"/>
  <c r="J364" i="28"/>
  <c r="J363" i="28"/>
  <c r="J362" i="28"/>
  <c r="J361" i="28"/>
  <c r="J360" i="28"/>
  <c r="J359" i="28"/>
  <c r="J358" i="28"/>
  <c r="J357" i="28"/>
  <c r="J356" i="28"/>
  <c r="J355" i="28"/>
  <c r="J354" i="28"/>
  <c r="J353" i="28"/>
  <c r="J352" i="28"/>
  <c r="J351" i="28"/>
  <c r="J350" i="28"/>
  <c r="J349" i="28"/>
  <c r="J348" i="28"/>
  <c r="J347" i="28"/>
  <c r="J346" i="28"/>
  <c r="J345" i="28"/>
  <c r="J344" i="28"/>
  <c r="J343" i="28"/>
  <c r="J342" i="28"/>
  <c r="J341" i="28"/>
  <c r="J340" i="28"/>
  <c r="J339" i="28"/>
  <c r="J338" i="28"/>
  <c r="J337" i="28"/>
  <c r="J336" i="28"/>
  <c r="J335" i="28"/>
  <c r="J334" i="28"/>
  <c r="J333" i="28"/>
  <c r="J332" i="28"/>
  <c r="J331" i="28"/>
  <c r="J330" i="28"/>
  <c r="J329" i="28"/>
  <c r="J328" i="28"/>
  <c r="J327" i="28"/>
  <c r="J326" i="28"/>
  <c r="J325" i="28"/>
  <c r="J324" i="28"/>
  <c r="J323" i="28"/>
  <c r="J322" i="28"/>
  <c r="J321" i="28"/>
  <c r="J320" i="28"/>
  <c r="J319" i="28"/>
  <c r="J318" i="28"/>
  <c r="J317" i="28"/>
  <c r="J316" i="28"/>
  <c r="J315" i="28"/>
  <c r="J314" i="28"/>
  <c r="J313" i="28"/>
  <c r="J312" i="28"/>
  <c r="J311" i="28"/>
  <c r="J310" i="28"/>
  <c r="J309" i="28"/>
  <c r="J308" i="28"/>
  <c r="J307" i="28"/>
  <c r="J306" i="28"/>
  <c r="J305" i="28"/>
  <c r="J304" i="28"/>
  <c r="J303" i="28"/>
  <c r="J302" i="28"/>
  <c r="J301" i="28"/>
  <c r="J300" i="28"/>
  <c r="J299" i="28"/>
  <c r="J298" i="28"/>
  <c r="J297" i="28"/>
  <c r="J296" i="28"/>
  <c r="J295" i="28"/>
  <c r="J294" i="28"/>
  <c r="J293" i="28"/>
  <c r="J292" i="28"/>
  <c r="J291" i="28"/>
  <c r="J290" i="28"/>
  <c r="J289" i="28"/>
  <c r="J288" i="28"/>
  <c r="J287" i="28"/>
  <c r="J286" i="28"/>
  <c r="J285" i="28"/>
  <c r="J284" i="28"/>
  <c r="J283" i="28"/>
  <c r="J282" i="28"/>
  <c r="J281" i="28"/>
  <c r="J280" i="28"/>
  <c r="J279" i="28"/>
  <c r="J278" i="28"/>
  <c r="J277" i="28"/>
  <c r="J276" i="28"/>
  <c r="J275" i="28"/>
  <c r="J274" i="28"/>
  <c r="J273" i="28"/>
  <c r="J272" i="28"/>
  <c r="J271" i="28"/>
  <c r="J270" i="28"/>
  <c r="J269" i="28"/>
  <c r="J268" i="28"/>
  <c r="J267" i="28"/>
  <c r="J266" i="28"/>
  <c r="J265" i="28"/>
  <c r="J264" i="28"/>
  <c r="J263" i="28"/>
  <c r="J262" i="28"/>
  <c r="J261" i="28"/>
  <c r="J260" i="28"/>
  <c r="J259" i="28"/>
  <c r="J258" i="28"/>
  <c r="J257" i="28"/>
  <c r="J256" i="28"/>
  <c r="J255" i="28"/>
  <c r="J254" i="28"/>
  <c r="J253" i="28"/>
  <c r="J252" i="28"/>
  <c r="J251" i="28"/>
  <c r="J250" i="28"/>
  <c r="J249" i="28"/>
  <c r="J248" i="28"/>
  <c r="J247" i="28"/>
  <c r="J246" i="28"/>
  <c r="J245" i="28"/>
  <c r="J244" i="28"/>
  <c r="J243" i="28"/>
  <c r="J242" i="28"/>
  <c r="J241" i="28"/>
  <c r="J240" i="28"/>
  <c r="J239" i="28"/>
  <c r="J238" i="28"/>
  <c r="J237" i="28"/>
  <c r="J236" i="28"/>
  <c r="J235" i="28"/>
  <c r="J234" i="28"/>
  <c r="J233" i="28"/>
  <c r="J232" i="28"/>
  <c r="J231" i="28"/>
  <c r="J230" i="28"/>
  <c r="J229" i="28"/>
  <c r="J228" i="28"/>
  <c r="J227" i="28"/>
  <c r="J226" i="28"/>
  <c r="J225" i="28"/>
  <c r="J224" i="28"/>
  <c r="J223" i="28"/>
  <c r="J222" i="28"/>
  <c r="J221" i="28"/>
  <c r="J220" i="28"/>
  <c r="J219" i="28"/>
  <c r="J218" i="28"/>
  <c r="J217" i="28"/>
  <c r="J216" i="28"/>
  <c r="J215" i="28"/>
  <c r="J214" i="28"/>
  <c r="J213" i="28"/>
  <c r="J212" i="28"/>
  <c r="J211" i="28"/>
  <c r="J210" i="28"/>
  <c r="J209" i="28"/>
  <c r="J208" i="28"/>
  <c r="J207" i="28"/>
  <c r="J206" i="28"/>
  <c r="J205" i="28"/>
  <c r="J204" i="28"/>
  <c r="J203" i="28"/>
  <c r="J202" i="28"/>
  <c r="J201" i="28"/>
  <c r="J200" i="28"/>
  <c r="J199" i="28"/>
  <c r="J198" i="28"/>
  <c r="J197" i="28"/>
  <c r="J196" i="28"/>
  <c r="J195" i="28"/>
  <c r="J194" i="28"/>
  <c r="J193" i="28"/>
  <c r="J192" i="28"/>
  <c r="J191" i="28"/>
  <c r="J190" i="28"/>
  <c r="J189" i="28"/>
  <c r="J188" i="28"/>
  <c r="J187" i="28"/>
  <c r="J186" i="28"/>
  <c r="J185" i="28"/>
  <c r="J184" i="28"/>
  <c r="J183" i="28"/>
  <c r="J182" i="28"/>
  <c r="J181" i="28"/>
  <c r="J180" i="28"/>
  <c r="J179" i="28"/>
  <c r="J178" i="28"/>
  <c r="J177" i="28"/>
  <c r="J176" i="28"/>
  <c r="J175" i="28"/>
  <c r="J174" i="28"/>
  <c r="J173" i="28"/>
  <c r="J172" i="28"/>
  <c r="J171" i="28"/>
  <c r="J170" i="28"/>
  <c r="J169" i="28"/>
  <c r="J168" i="28"/>
  <c r="J167" i="28"/>
  <c r="J166" i="28"/>
  <c r="J165" i="28"/>
  <c r="J164" i="28"/>
  <c r="J163" i="28"/>
  <c r="J162" i="28"/>
  <c r="J161" i="28"/>
  <c r="J160" i="28"/>
  <c r="J159" i="28"/>
  <c r="J158" i="28"/>
  <c r="J157" i="28"/>
  <c r="J156" i="28"/>
  <c r="J155" i="28"/>
  <c r="J154" i="28"/>
  <c r="J153" i="28"/>
  <c r="J152" i="28"/>
  <c r="J151" i="28"/>
  <c r="J150" i="28"/>
  <c r="J149" i="28"/>
  <c r="J148" i="28"/>
  <c r="J147" i="28"/>
  <c r="J146" i="28"/>
  <c r="J145" i="28"/>
  <c r="J144" i="28"/>
  <c r="J143" i="28"/>
  <c r="J142" i="28"/>
  <c r="J141" i="28"/>
  <c r="J140" i="28"/>
  <c r="J139" i="28"/>
  <c r="J138" i="28"/>
  <c r="J137" i="28"/>
  <c r="J136" i="28"/>
  <c r="J135" i="28"/>
  <c r="J134" i="28"/>
  <c r="J133" i="28"/>
  <c r="J132" i="28"/>
  <c r="J131" i="28"/>
  <c r="J130" i="28"/>
  <c r="J129" i="28"/>
  <c r="J128" i="28"/>
  <c r="J127" i="28"/>
  <c r="J126" i="28"/>
  <c r="J125" i="28"/>
  <c r="J124" i="28"/>
  <c r="J123" i="28"/>
  <c r="J122" i="28"/>
  <c r="J121" i="28"/>
  <c r="J120" i="28"/>
  <c r="J119" i="28"/>
  <c r="J118" i="28"/>
  <c r="J117" i="28"/>
  <c r="J116" i="28"/>
  <c r="J115" i="28"/>
  <c r="J114" i="28"/>
  <c r="J113" i="28"/>
  <c r="J112" i="28"/>
  <c r="J111" i="28"/>
  <c r="J110" i="28"/>
  <c r="J109" i="28"/>
  <c r="J108" i="28"/>
  <c r="J107" i="28"/>
  <c r="J106" i="28"/>
  <c r="J105" i="28"/>
  <c r="J104" i="28"/>
  <c r="J103" i="28"/>
  <c r="J102" i="28"/>
  <c r="J101" i="28"/>
  <c r="J100" i="28"/>
  <c r="J99" i="28"/>
  <c r="J98" i="28"/>
  <c r="J97" i="28"/>
  <c r="J96" i="28"/>
  <c r="J95" i="28"/>
  <c r="J94" i="28"/>
  <c r="J93" i="28"/>
  <c r="J92" i="28"/>
  <c r="J91" i="28"/>
  <c r="J90" i="28"/>
  <c r="J89" i="28"/>
  <c r="J88" i="28"/>
  <c r="J87" i="28"/>
  <c r="J86" i="28"/>
  <c r="J85" i="28"/>
  <c r="J84" i="28"/>
  <c r="J83" i="28"/>
  <c r="J82" i="28"/>
  <c r="J81" i="28"/>
  <c r="J80" i="28"/>
  <c r="J79" i="28"/>
  <c r="J78" i="28"/>
  <c r="J77" i="28"/>
  <c r="J76" i="28"/>
  <c r="J75" i="28"/>
  <c r="J74" i="28"/>
  <c r="J73" i="28"/>
  <c r="J72" i="28"/>
  <c r="J71" i="28"/>
  <c r="J70" i="28"/>
  <c r="J69" i="28"/>
  <c r="J68" i="28"/>
  <c r="J67" i="28"/>
  <c r="J66" i="28"/>
  <c r="J65" i="28"/>
  <c r="J64" i="28"/>
  <c r="J63" i="28"/>
  <c r="J62" i="28"/>
  <c r="J61" i="28"/>
  <c r="J60" i="28"/>
  <c r="J59" i="28"/>
  <c r="J58" i="28"/>
  <c r="J57" i="28"/>
  <c r="J56" i="28"/>
  <c r="J55" i="28"/>
  <c r="J54" i="28"/>
  <c r="J53" i="28"/>
  <c r="J52" i="28"/>
  <c r="J51" i="28"/>
  <c r="J50" i="28"/>
  <c r="J49" i="28"/>
  <c r="J48" i="28"/>
  <c r="J47"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J18" i="28"/>
  <c r="J17" i="28"/>
  <c r="J16" i="28"/>
  <c r="J15" i="28"/>
  <c r="J14" i="28"/>
  <c r="J13" i="28"/>
  <c r="J12" i="28"/>
  <c r="J11" i="28"/>
  <c r="O424" i="11"/>
  <c r="N424" i="11"/>
  <c r="O423" i="11"/>
  <c r="N423" i="11"/>
  <c r="O422" i="11"/>
  <c r="N422" i="11"/>
  <c r="O421" i="11"/>
  <c r="N421" i="11"/>
  <c r="O420" i="11"/>
  <c r="N420" i="11"/>
  <c r="O419" i="11"/>
  <c r="N419" i="11"/>
  <c r="O411" i="11"/>
  <c r="O410" i="11"/>
  <c r="O409" i="11"/>
  <c r="O408" i="11"/>
  <c r="O407" i="11"/>
  <c r="O406" i="11"/>
  <c r="N411" i="11"/>
  <c r="N410" i="11"/>
  <c r="N409" i="11"/>
  <c r="N408" i="11"/>
  <c r="N407" i="11"/>
  <c r="N406" i="11"/>
  <c r="P420" i="11" l="1"/>
  <c r="P409" i="11"/>
  <c r="P421" i="11"/>
  <c r="P408" i="11"/>
  <c r="P406" i="11"/>
  <c r="P424" i="11"/>
  <c r="P422" i="11"/>
  <c r="P410" i="11"/>
  <c r="P411" i="11"/>
  <c r="P419" i="11"/>
  <c r="P423" i="11"/>
  <c r="P407" i="11"/>
  <c r="E14" i="11" l="1"/>
  <c r="F14" i="11"/>
  <c r="M14" i="11"/>
  <c r="G14" i="11"/>
  <c r="K14" i="11" l="1"/>
  <c r="C14" i="11"/>
  <c r="J14" i="11"/>
  <c r="N14" i="11"/>
  <c r="H14" i="11"/>
  <c r="D14" i="11"/>
  <c r="I14" i="11"/>
  <c r="L14" i="11"/>
  <c r="AF182" i="11"/>
  <c r="AF286" i="11"/>
  <c r="AF159" i="11"/>
  <c r="AF167" i="11"/>
  <c r="AF175" i="11"/>
  <c r="AF183" i="11"/>
  <c r="AF199" i="11"/>
  <c r="AF207" i="11"/>
  <c r="AF215" i="11"/>
  <c r="AF223" i="11"/>
  <c r="AF239" i="11"/>
  <c r="AF247" i="11"/>
  <c r="AF255" i="11"/>
  <c r="AF263" i="11"/>
  <c r="AF279" i="11"/>
  <c r="AF287" i="11"/>
  <c r="AF295" i="11"/>
  <c r="AF303" i="11"/>
  <c r="AF314" i="11"/>
  <c r="AF327" i="11"/>
  <c r="AF335" i="11"/>
  <c r="AF343" i="11"/>
  <c r="AF351" i="11"/>
  <c r="AF206" i="11"/>
  <c r="AF254" i="11"/>
  <c r="AF302" i="11"/>
  <c r="AF342" i="11"/>
  <c r="AF160" i="11"/>
  <c r="AF168" i="11"/>
  <c r="AF176" i="11"/>
  <c r="AF184" i="11"/>
  <c r="AF200" i="11"/>
  <c r="AF208" i="11"/>
  <c r="AF216" i="11"/>
  <c r="AF224" i="11"/>
  <c r="AF240" i="11"/>
  <c r="AF248" i="11"/>
  <c r="AF256" i="11"/>
  <c r="AF264" i="11"/>
  <c r="AF280" i="11"/>
  <c r="AF288" i="11"/>
  <c r="AF296" i="11"/>
  <c r="AF304" i="11"/>
  <c r="AF320" i="11"/>
  <c r="AF328" i="11"/>
  <c r="AF336" i="11"/>
  <c r="AF344" i="11"/>
  <c r="AF355" i="11"/>
  <c r="AF166" i="11"/>
  <c r="AF273" i="11"/>
  <c r="AF326" i="11"/>
  <c r="AF350" i="11"/>
  <c r="AF161" i="11"/>
  <c r="AF169" i="11"/>
  <c r="AF177" i="11"/>
  <c r="AF185" i="11"/>
  <c r="AF201" i="11"/>
  <c r="AF209" i="11"/>
  <c r="AF217" i="11"/>
  <c r="AF225" i="11"/>
  <c r="AF241" i="11"/>
  <c r="AF249" i="11"/>
  <c r="AF257" i="11"/>
  <c r="AF265" i="11"/>
  <c r="AF281" i="11"/>
  <c r="AF289" i="11"/>
  <c r="AF297" i="11"/>
  <c r="AF305" i="11"/>
  <c r="AF321" i="11"/>
  <c r="AF329" i="11"/>
  <c r="AF337" i="11"/>
  <c r="AF345" i="11"/>
  <c r="AF198" i="11"/>
  <c r="AF246" i="11"/>
  <c r="AF294" i="11"/>
  <c r="AF334" i="11"/>
  <c r="AF162" i="11"/>
  <c r="AF170" i="11"/>
  <c r="AF178" i="11"/>
  <c r="AF186" i="11"/>
  <c r="AF202" i="11"/>
  <c r="AF210" i="11"/>
  <c r="AF218" i="11"/>
  <c r="AF226" i="11"/>
  <c r="AF242" i="11"/>
  <c r="AF250" i="11"/>
  <c r="AF258" i="11"/>
  <c r="AF266" i="11"/>
  <c r="AF282" i="11"/>
  <c r="AF290" i="11"/>
  <c r="AF298" i="11"/>
  <c r="AF306" i="11"/>
  <c r="AF322" i="11"/>
  <c r="AF330" i="11"/>
  <c r="AF338" i="11"/>
  <c r="AF346" i="11"/>
  <c r="AF174" i="11"/>
  <c r="AF222" i="11"/>
  <c r="AF163" i="11"/>
  <c r="AF171" i="11"/>
  <c r="AF179" i="11"/>
  <c r="AF187" i="11"/>
  <c r="AF203" i="11"/>
  <c r="AF211" i="11"/>
  <c r="AF219" i="11"/>
  <c r="AF227" i="11"/>
  <c r="AF243" i="11"/>
  <c r="AF251" i="11"/>
  <c r="AF259" i="11"/>
  <c r="AF267" i="11"/>
  <c r="AF283" i="11"/>
  <c r="AF291" i="11"/>
  <c r="AF299" i="11"/>
  <c r="AF307" i="11"/>
  <c r="AF323" i="11"/>
  <c r="AF331" i="11"/>
  <c r="AF339" i="11"/>
  <c r="AF347" i="11"/>
  <c r="AF158" i="11"/>
  <c r="AF214" i="11"/>
  <c r="AF262" i="11"/>
  <c r="AF310" i="11"/>
  <c r="AF164" i="11"/>
  <c r="AF172" i="11"/>
  <c r="AF180" i="11"/>
  <c r="AF191" i="11"/>
  <c r="AF204" i="11"/>
  <c r="AF212" i="11"/>
  <c r="AF220" i="11"/>
  <c r="AF228" i="11"/>
  <c r="AF244" i="11"/>
  <c r="AF252" i="11"/>
  <c r="AF260" i="11"/>
  <c r="AF268" i="11"/>
  <c r="AF284" i="11"/>
  <c r="AF292" i="11"/>
  <c r="AF300" i="11"/>
  <c r="AF308" i="11"/>
  <c r="AF324" i="11"/>
  <c r="AF332" i="11"/>
  <c r="AF340" i="11"/>
  <c r="AF348" i="11"/>
  <c r="AF238" i="11"/>
  <c r="AF157" i="11"/>
  <c r="AF165" i="11"/>
  <c r="AF173" i="11"/>
  <c r="AF181" i="11"/>
  <c r="AF197" i="11"/>
  <c r="AF205" i="11"/>
  <c r="AF213" i="11"/>
  <c r="AF221" i="11"/>
  <c r="AF232" i="11"/>
  <c r="AF245" i="11"/>
  <c r="AF253" i="11"/>
  <c r="AF261" i="11"/>
  <c r="AF269" i="11"/>
  <c r="AF285" i="11"/>
  <c r="AF293" i="11"/>
  <c r="AF301" i="11"/>
  <c r="AF309" i="11"/>
  <c r="AF325" i="11"/>
  <c r="AF333" i="11"/>
  <c r="AF341" i="11"/>
  <c r="AF349" i="11"/>
  <c r="AF116" i="11"/>
  <c r="AF119" i="11"/>
  <c r="AF127" i="11"/>
  <c r="AF135" i="11"/>
  <c r="AF143" i="11"/>
  <c r="AF120" i="11"/>
  <c r="AF128" i="11"/>
  <c r="AF136" i="11"/>
  <c r="AF144" i="11"/>
  <c r="AF130" i="11"/>
  <c r="AF146" i="11"/>
  <c r="AF121" i="11"/>
  <c r="AF129" i="11"/>
  <c r="AF137" i="11"/>
  <c r="AF145" i="11"/>
  <c r="AF122" i="11"/>
  <c r="AF138" i="11"/>
  <c r="AF150" i="11"/>
  <c r="AF131" i="11"/>
  <c r="AF123" i="11"/>
  <c r="AF132" i="11"/>
  <c r="AF140" i="11"/>
  <c r="AF117" i="11"/>
  <c r="AF125" i="11"/>
  <c r="AF133" i="11"/>
  <c r="AF141" i="11"/>
  <c r="AF156" i="11"/>
  <c r="AF115" i="11"/>
  <c r="AF139" i="11"/>
  <c r="AF124" i="11"/>
  <c r="AF118" i="11"/>
  <c r="AF126" i="11"/>
  <c r="AF134" i="11"/>
  <c r="AF142" i="11"/>
  <c r="AB342" i="11"/>
  <c r="AB262" i="11"/>
  <c r="AB198" i="11"/>
  <c r="AB273" i="11"/>
  <c r="AB350" i="11"/>
  <c r="AB206" i="11"/>
  <c r="AB286" i="11"/>
  <c r="AB214" i="11"/>
  <c r="AB294" i="11"/>
  <c r="AB222" i="11"/>
  <c r="AB302" i="11"/>
  <c r="AB238" i="11"/>
  <c r="AB310" i="11"/>
  <c r="AB246" i="11"/>
  <c r="AB326" i="11"/>
  <c r="AB254" i="11"/>
  <c r="AB334" i="11"/>
  <c r="AB201" i="11"/>
  <c r="AB209" i="11"/>
  <c r="AB217" i="11"/>
  <c r="AB225" i="11"/>
  <c r="AB241" i="11"/>
  <c r="AB249" i="11"/>
  <c r="AB257" i="11"/>
  <c r="AB265" i="11"/>
  <c r="AB281" i="11"/>
  <c r="AB289" i="11"/>
  <c r="AB297" i="11"/>
  <c r="AB305" i="11"/>
  <c r="AB321" i="11"/>
  <c r="AB329" i="11"/>
  <c r="AB337" i="11"/>
  <c r="AB345" i="11"/>
  <c r="AB204" i="11"/>
  <c r="AB212" i="11"/>
  <c r="AB220" i="11"/>
  <c r="AB228" i="11"/>
  <c r="AB244" i="11"/>
  <c r="AB252" i="11"/>
  <c r="AB260" i="11"/>
  <c r="AB268" i="11"/>
  <c r="AB284" i="11"/>
  <c r="AB292" i="11"/>
  <c r="AB300" i="11"/>
  <c r="AB308" i="11"/>
  <c r="AB324" i="11"/>
  <c r="AB332" i="11"/>
  <c r="AB340" i="11"/>
  <c r="AB348" i="11"/>
  <c r="AB199" i="11"/>
  <c r="AB207" i="11"/>
  <c r="AB215" i="11"/>
  <c r="AB223" i="11"/>
  <c r="AB239" i="11"/>
  <c r="AB247" i="11"/>
  <c r="AB255" i="11"/>
  <c r="AB263" i="11"/>
  <c r="AB279" i="11"/>
  <c r="AB287" i="11"/>
  <c r="AB295" i="11"/>
  <c r="AB303" i="11"/>
  <c r="AB314" i="11"/>
  <c r="AB327" i="11"/>
  <c r="AB335" i="11"/>
  <c r="AB343" i="11"/>
  <c r="AB351" i="11"/>
  <c r="AB202" i="11"/>
  <c r="AB210" i="11"/>
  <c r="AB218" i="11"/>
  <c r="AB226" i="11"/>
  <c r="AB242" i="11"/>
  <c r="AB250" i="11"/>
  <c r="AB258" i="11"/>
  <c r="AB266" i="11"/>
  <c r="AB282" i="11"/>
  <c r="AB290" i="11"/>
  <c r="AB298" i="11"/>
  <c r="AB306" i="11"/>
  <c r="AB322" i="11"/>
  <c r="AB330" i="11"/>
  <c r="AB338" i="11"/>
  <c r="AB346" i="11"/>
  <c r="AB197" i="11"/>
  <c r="AB205" i="11"/>
  <c r="AB213" i="11"/>
  <c r="AB221" i="11"/>
  <c r="AB232" i="11"/>
  <c r="AB245" i="11"/>
  <c r="AB253" i="11"/>
  <c r="AB261" i="11"/>
  <c r="AB269" i="11"/>
  <c r="AB285" i="11"/>
  <c r="AB293" i="11"/>
  <c r="AB301" i="11"/>
  <c r="AB309" i="11"/>
  <c r="AB325" i="11"/>
  <c r="AB333" i="11"/>
  <c r="AB341" i="11"/>
  <c r="AB349" i="11"/>
  <c r="AB200" i="11"/>
  <c r="AB208" i="11"/>
  <c r="AB216" i="11"/>
  <c r="AB224" i="11"/>
  <c r="AB240" i="11"/>
  <c r="AB248" i="11"/>
  <c r="AB256" i="11"/>
  <c r="AB264" i="11"/>
  <c r="AB280" i="11"/>
  <c r="AB288" i="11"/>
  <c r="AB296" i="11"/>
  <c r="AB304" i="11"/>
  <c r="AB320" i="11"/>
  <c r="AB328" i="11"/>
  <c r="AB336" i="11"/>
  <c r="AB344" i="11"/>
  <c r="AB355" i="11"/>
  <c r="AB203" i="11"/>
  <c r="AB211" i="11"/>
  <c r="AB219" i="11"/>
  <c r="AB227" i="11"/>
  <c r="AB243" i="11"/>
  <c r="AB251" i="11"/>
  <c r="AB259" i="11"/>
  <c r="AB267" i="11"/>
  <c r="AB283" i="11"/>
  <c r="AB291" i="11"/>
  <c r="AB299" i="11"/>
  <c r="AB307" i="11"/>
  <c r="AB323" i="11"/>
  <c r="AB331" i="11"/>
  <c r="AB339" i="11"/>
  <c r="AB347" i="11"/>
  <c r="M203" i="11"/>
  <c r="M249" i="11"/>
  <c r="M289" i="11"/>
  <c r="M329" i="11"/>
  <c r="M209" i="11"/>
  <c r="M251" i="11"/>
  <c r="M291" i="11"/>
  <c r="M331" i="11"/>
  <c r="M211" i="11"/>
  <c r="M257" i="11"/>
  <c r="M297" i="11"/>
  <c r="M337" i="11"/>
  <c r="M217" i="11"/>
  <c r="M259" i="11"/>
  <c r="M299" i="11"/>
  <c r="M339" i="11"/>
  <c r="M219" i="11"/>
  <c r="M265" i="11"/>
  <c r="M305" i="11"/>
  <c r="M345" i="11"/>
  <c r="M225" i="11"/>
  <c r="M267" i="11"/>
  <c r="M307" i="11"/>
  <c r="M347" i="11"/>
  <c r="M227" i="11"/>
  <c r="M281" i="11"/>
  <c r="M321" i="11"/>
  <c r="M201" i="11"/>
  <c r="M241" i="11"/>
  <c r="M283" i="11"/>
  <c r="M323" i="11"/>
  <c r="M202" i="11"/>
  <c r="M210" i="11"/>
  <c r="M218" i="11"/>
  <c r="M226" i="11"/>
  <c r="M242" i="11"/>
  <c r="M250" i="11"/>
  <c r="M258" i="11"/>
  <c r="M266" i="11"/>
  <c r="M282" i="11"/>
  <c r="M290" i="11"/>
  <c r="M298" i="11"/>
  <c r="M306" i="11"/>
  <c r="M322" i="11"/>
  <c r="M330" i="11"/>
  <c r="M338" i="11"/>
  <c r="M346" i="11"/>
  <c r="M204" i="11"/>
  <c r="M212" i="11"/>
  <c r="M220" i="11"/>
  <c r="M228" i="11"/>
  <c r="M244" i="11"/>
  <c r="M252" i="11"/>
  <c r="M260" i="11"/>
  <c r="M268" i="11"/>
  <c r="M284" i="11"/>
  <c r="M292" i="11"/>
  <c r="M300" i="11"/>
  <c r="M308" i="11"/>
  <c r="M324" i="11"/>
  <c r="M332" i="11"/>
  <c r="M340" i="11"/>
  <c r="M348" i="11"/>
  <c r="M197" i="11"/>
  <c r="M205" i="11"/>
  <c r="M213" i="11"/>
  <c r="M221" i="11"/>
  <c r="M232" i="11"/>
  <c r="M245" i="11"/>
  <c r="M253" i="11"/>
  <c r="M261" i="11"/>
  <c r="M269" i="11"/>
  <c r="M285" i="11"/>
  <c r="M293" i="11"/>
  <c r="M301" i="11"/>
  <c r="M309" i="11"/>
  <c r="M325" i="11"/>
  <c r="M333" i="11"/>
  <c r="M341" i="11"/>
  <c r="M349" i="11"/>
  <c r="M243" i="11"/>
  <c r="M198" i="11"/>
  <c r="M206" i="11"/>
  <c r="M214" i="11"/>
  <c r="M222" i="11"/>
  <c r="M238" i="11"/>
  <c r="M246" i="11"/>
  <c r="M254" i="11"/>
  <c r="M262" i="11"/>
  <c r="M273" i="11"/>
  <c r="M286" i="11"/>
  <c r="M294" i="11"/>
  <c r="M302" i="11"/>
  <c r="M310" i="11"/>
  <c r="M326" i="11"/>
  <c r="M334" i="11"/>
  <c r="M342" i="11"/>
  <c r="M350" i="11"/>
  <c r="M199" i="11"/>
  <c r="M207" i="11"/>
  <c r="M215" i="11"/>
  <c r="M223" i="11"/>
  <c r="M239" i="11"/>
  <c r="M247" i="11"/>
  <c r="M255" i="11"/>
  <c r="M263" i="11"/>
  <c r="M279" i="11"/>
  <c r="M287" i="11"/>
  <c r="M295" i="11"/>
  <c r="M303" i="11"/>
  <c r="M314" i="11"/>
  <c r="M327" i="11"/>
  <c r="M335" i="11"/>
  <c r="M343" i="11"/>
  <c r="M351" i="11"/>
  <c r="M200" i="11"/>
  <c r="M208" i="11"/>
  <c r="M216" i="11"/>
  <c r="M224" i="11"/>
  <c r="M240" i="11"/>
  <c r="M248" i="11"/>
  <c r="M256" i="11"/>
  <c r="M264" i="11"/>
  <c r="M280" i="11"/>
  <c r="M288" i="11"/>
  <c r="M296" i="11"/>
  <c r="M304" i="11"/>
  <c r="M320" i="11"/>
  <c r="M328" i="11"/>
  <c r="M336" i="11"/>
  <c r="M344" i="11"/>
  <c r="M355" i="11"/>
  <c r="C17" i="11" l="1"/>
  <c r="E17" i="11"/>
  <c r="H17" i="11"/>
  <c r="D17" i="11"/>
  <c r="F17" i="11"/>
  <c r="G17" i="11"/>
  <c r="D21" i="11"/>
  <c r="G21" i="11"/>
  <c r="D12" i="11"/>
  <c r="H12" i="11"/>
  <c r="N12" i="11"/>
  <c r="J12" i="11"/>
  <c r="H69" i="11"/>
  <c r="G69" i="11"/>
  <c r="J69" i="11" s="1"/>
  <c r="H68" i="11"/>
  <c r="G68" i="11"/>
  <c r="J68" i="11" s="1"/>
  <c r="H67" i="11"/>
  <c r="G67" i="11"/>
  <c r="H66" i="11"/>
  <c r="G66" i="11"/>
  <c r="H65" i="11"/>
  <c r="G65" i="11"/>
  <c r="J65" i="11" s="1"/>
  <c r="H64" i="11"/>
  <c r="G64" i="11"/>
  <c r="D59" i="11"/>
  <c r="D58" i="11"/>
  <c r="D57" i="11"/>
  <c r="D56" i="11"/>
  <c r="F38" i="11"/>
  <c r="F37" i="11"/>
  <c r="F36" i="11"/>
  <c r="F35" i="11"/>
  <c r="F34" i="11"/>
  <c r="F33" i="11"/>
  <c r="D33" i="11"/>
  <c r="D38" i="11"/>
  <c r="D37" i="11"/>
  <c r="D36" i="11"/>
  <c r="D35" i="11"/>
  <c r="D34" i="11"/>
  <c r="G33" i="11" l="1"/>
  <c r="H432" i="11"/>
  <c r="J64" i="11"/>
  <c r="J67" i="11"/>
  <c r="J66" i="11"/>
  <c r="K421" i="11"/>
  <c r="G421" i="11"/>
  <c r="L421" i="11"/>
  <c r="H421" i="11"/>
  <c r="D421" i="11"/>
  <c r="I421" i="11"/>
  <c r="E421" i="11"/>
  <c r="J421" i="11"/>
  <c r="F421" i="11"/>
  <c r="K422" i="11"/>
  <c r="G422" i="11"/>
  <c r="L422" i="11"/>
  <c r="H422" i="11"/>
  <c r="D422" i="11"/>
  <c r="I422" i="11"/>
  <c r="E422" i="11"/>
  <c r="J422" i="11"/>
  <c r="F422" i="11"/>
  <c r="J419" i="11"/>
  <c r="F419" i="11"/>
  <c r="K419" i="11"/>
  <c r="G419" i="11"/>
  <c r="L419" i="11"/>
  <c r="H419" i="11"/>
  <c r="D419" i="11"/>
  <c r="I419" i="11"/>
  <c r="E419" i="11"/>
  <c r="L423" i="11"/>
  <c r="H423" i="11"/>
  <c r="D423" i="11"/>
  <c r="I423" i="11"/>
  <c r="E423" i="11"/>
  <c r="J423" i="11"/>
  <c r="F423" i="11"/>
  <c r="K423" i="11"/>
  <c r="G423" i="11"/>
  <c r="J420" i="11"/>
  <c r="F420" i="11"/>
  <c r="K420" i="11"/>
  <c r="G420" i="11"/>
  <c r="C420" i="11"/>
  <c r="L420" i="11"/>
  <c r="H420" i="11"/>
  <c r="D420" i="11"/>
  <c r="M420" i="11"/>
  <c r="I420" i="11"/>
  <c r="E420" i="11"/>
  <c r="L424" i="11"/>
  <c r="H424" i="11"/>
  <c r="D424" i="11"/>
  <c r="M424" i="11"/>
  <c r="I424" i="11"/>
  <c r="E424" i="11"/>
  <c r="J424" i="11"/>
  <c r="F424" i="11"/>
  <c r="K424" i="11"/>
  <c r="G424" i="11"/>
  <c r="C424" i="11"/>
  <c r="I69" i="11"/>
  <c r="I68" i="11"/>
  <c r="I67" i="11"/>
  <c r="I66" i="11"/>
  <c r="I65" i="11"/>
  <c r="I64" i="11"/>
  <c r="D6" i="11" l="1"/>
  <c r="F425" i="11"/>
  <c r="J425" i="11"/>
  <c r="H425" i="11"/>
  <c r="G425" i="11"/>
  <c r="E425" i="11"/>
  <c r="K425" i="11"/>
  <c r="L425" i="11"/>
  <c r="D425" i="11"/>
  <c r="I425" i="11"/>
  <c r="H59" i="11"/>
  <c r="H57" i="11"/>
  <c r="H56" i="11"/>
  <c r="I56" i="11" s="1"/>
  <c r="H49" i="11"/>
  <c r="H47" i="11"/>
  <c r="H46" i="11"/>
  <c r="H55" i="11" l="1"/>
  <c r="H45" i="11"/>
  <c r="D64" i="11" l="1"/>
  <c r="D69" i="11"/>
  <c r="D68" i="11"/>
  <c r="D67" i="11"/>
  <c r="D66" i="11"/>
  <c r="D65" i="11"/>
  <c r="C69" i="11"/>
  <c r="F69" i="11" s="1"/>
  <c r="C68" i="11"/>
  <c r="F68" i="11" s="1"/>
  <c r="C67" i="11"/>
  <c r="F67" i="11" s="1"/>
  <c r="C66" i="11"/>
  <c r="F66" i="11" s="1"/>
  <c r="C65" i="11"/>
  <c r="F65" i="11" s="1"/>
  <c r="C64" i="11"/>
  <c r="F64" i="11" l="1"/>
  <c r="C46" i="11"/>
  <c r="D432" i="11"/>
  <c r="J407" i="11"/>
  <c r="F407" i="11"/>
  <c r="K407" i="11"/>
  <c r="G407" i="11"/>
  <c r="L407" i="11"/>
  <c r="H407" i="11"/>
  <c r="M407" i="11"/>
  <c r="I407" i="11"/>
  <c r="K408" i="11"/>
  <c r="G408" i="11"/>
  <c r="L408" i="11"/>
  <c r="H408" i="11"/>
  <c r="I408" i="11"/>
  <c r="J408" i="11"/>
  <c r="F408" i="11"/>
  <c r="K409" i="11"/>
  <c r="G409" i="11"/>
  <c r="L409" i="11"/>
  <c r="H409" i="11"/>
  <c r="I409" i="11"/>
  <c r="J409" i="11"/>
  <c r="F409" i="11"/>
  <c r="J406" i="11"/>
  <c r="F406" i="11"/>
  <c r="E406" i="11"/>
  <c r="K406" i="11"/>
  <c r="G406" i="11"/>
  <c r="H406" i="11"/>
  <c r="L406" i="11"/>
  <c r="I406" i="11"/>
  <c r="L410" i="11"/>
  <c r="H410" i="11"/>
  <c r="I410" i="11"/>
  <c r="J410" i="11"/>
  <c r="F410" i="11"/>
  <c r="K410" i="11"/>
  <c r="G410" i="11"/>
  <c r="L411" i="11"/>
  <c r="H411" i="11"/>
  <c r="M411" i="11"/>
  <c r="I411" i="11"/>
  <c r="J411" i="11"/>
  <c r="F411" i="11"/>
  <c r="K411" i="11"/>
  <c r="G411" i="11"/>
  <c r="D406" i="11"/>
  <c r="C407" i="11"/>
  <c r="D407" i="11"/>
  <c r="E407" i="11"/>
  <c r="D408" i="11"/>
  <c r="E408" i="11"/>
  <c r="D409" i="11"/>
  <c r="E409" i="11"/>
  <c r="E410" i="11"/>
  <c r="D410" i="11"/>
  <c r="E411" i="11"/>
  <c r="C411" i="11"/>
  <c r="D411" i="11"/>
  <c r="I46" i="11"/>
  <c r="E65" i="11"/>
  <c r="E66" i="11"/>
  <c r="E67" i="11"/>
  <c r="E64" i="11"/>
  <c r="E68" i="11"/>
  <c r="E69" i="11"/>
  <c r="D55" i="11"/>
  <c r="D27" i="11"/>
  <c r="C34" i="11"/>
  <c r="C35" i="11"/>
  <c r="C36" i="11"/>
  <c r="C37" i="11"/>
  <c r="C38" i="11"/>
  <c r="C6" i="11" l="1"/>
  <c r="H412" i="11"/>
  <c r="L412" i="11"/>
  <c r="F412" i="11"/>
  <c r="I412" i="11"/>
  <c r="E412" i="11"/>
  <c r="D412" i="11"/>
  <c r="K412" i="11"/>
  <c r="G412" i="11"/>
  <c r="J412" i="11"/>
  <c r="D35" i="14"/>
  <c r="C35" i="14"/>
  <c r="D24" i="14"/>
  <c r="C24" i="14"/>
  <c r="E24" i="14" l="1"/>
  <c r="E35" i="14"/>
  <c r="I41" i="14"/>
  <c r="H41" i="14"/>
  <c r="D13" i="14"/>
  <c r="D12" i="14"/>
  <c r="D11" i="14"/>
  <c r="D9" i="14"/>
  <c r="D8" i="14"/>
  <c r="C13" i="14"/>
  <c r="H24" i="14" s="1"/>
  <c r="C12" i="14"/>
  <c r="C11" i="14"/>
  <c r="C9" i="14"/>
  <c r="C8" i="14"/>
  <c r="H19" i="14" s="1"/>
  <c r="I62" i="14" l="1"/>
  <c r="I43" i="14"/>
  <c r="I56" i="14"/>
  <c r="I52" i="14"/>
  <c r="I61" i="14"/>
  <c r="I42" i="14"/>
  <c r="I60" i="14"/>
  <c r="I47" i="14"/>
  <c r="I65" i="14"/>
  <c r="I46" i="14"/>
  <c r="I63" i="14"/>
  <c r="I50" i="14"/>
  <c r="I54" i="14"/>
  <c r="I49" i="14"/>
  <c r="I59" i="14"/>
  <c r="I53" i="14"/>
  <c r="I45" i="14"/>
  <c r="I51" i="14"/>
  <c r="I58" i="14"/>
  <c r="I57" i="14"/>
  <c r="I64" i="14"/>
  <c r="I55" i="14"/>
  <c r="I48" i="14"/>
  <c r="I44" i="14"/>
  <c r="H61" i="14"/>
  <c r="H60" i="14"/>
  <c r="H50" i="14"/>
  <c r="H65" i="14"/>
  <c r="H62" i="14"/>
  <c r="H49" i="14"/>
  <c r="H64" i="14"/>
  <c r="H63" i="14"/>
  <c r="E99" i="14"/>
  <c r="E12" i="14"/>
  <c r="E11" i="14"/>
  <c r="E13" i="14"/>
  <c r="J41" i="14"/>
  <c r="E9" i="14"/>
  <c r="H59" i="14"/>
  <c r="H56" i="14"/>
  <c r="H53" i="14"/>
  <c r="H57" i="14"/>
  <c r="H54" i="14"/>
  <c r="H52" i="14"/>
  <c r="H45" i="14"/>
  <c r="H58" i="14"/>
  <c r="H55" i="14"/>
  <c r="H42" i="14"/>
  <c r="H46" i="14"/>
  <c r="H51" i="14"/>
  <c r="H48" i="14"/>
  <c r="H47" i="14"/>
  <c r="H44" i="14"/>
  <c r="H43" i="14"/>
  <c r="H35" i="14"/>
  <c r="I24" i="14"/>
  <c r="J24" i="14" s="1"/>
  <c r="I35" i="14"/>
  <c r="O41" i="14"/>
  <c r="E8" i="14"/>
  <c r="C10" i="14"/>
  <c r="D7" i="14"/>
  <c r="C7" i="14"/>
  <c r="D10" i="14"/>
  <c r="E117" i="14"/>
  <c r="E103" i="14"/>
  <c r="O57" i="14"/>
  <c r="O51" i="14"/>
  <c r="O44" i="14"/>
  <c r="O52" i="14"/>
  <c r="O58" i="14"/>
  <c r="J35" i="14" l="1"/>
  <c r="E10" i="14"/>
  <c r="D123" i="14"/>
  <c r="E123" i="14" s="1"/>
  <c r="D122" i="14"/>
  <c r="E122" i="14" s="1"/>
  <c r="D121" i="14"/>
  <c r="E121" i="14" s="1"/>
  <c r="D108" i="14"/>
  <c r="E108" i="14" s="1"/>
  <c r="D107" i="14"/>
  <c r="E107" i="14" s="1"/>
  <c r="D120" i="14"/>
  <c r="E120" i="14" s="1"/>
  <c r="E114" i="14"/>
  <c r="E105" i="14"/>
  <c r="E106" i="14"/>
  <c r="E118" i="14"/>
  <c r="E111" i="14"/>
  <c r="O50" i="14"/>
  <c r="O42" i="14"/>
  <c r="O56" i="14"/>
  <c r="O43" i="14"/>
  <c r="E113" i="14"/>
  <c r="O45" i="14"/>
  <c r="O59" i="14"/>
  <c r="E115" i="14"/>
  <c r="J45" i="14"/>
  <c r="E110" i="14"/>
  <c r="E109" i="14"/>
  <c r="E7" i="14"/>
  <c r="J46" i="14"/>
  <c r="J51" i="14"/>
  <c r="J49" i="14"/>
  <c r="J42" i="14"/>
  <c r="J52" i="14"/>
  <c r="E119" i="14"/>
  <c r="J60" i="14"/>
  <c r="E116" i="14"/>
  <c r="E102" i="14"/>
  <c r="J56" i="14"/>
  <c r="J43" i="14"/>
  <c r="J57" i="14"/>
  <c r="O55" i="14"/>
  <c r="O48" i="14"/>
  <c r="O47" i="14"/>
  <c r="E104" i="14"/>
  <c r="J59" i="14"/>
  <c r="O46" i="14"/>
  <c r="E101" i="14"/>
  <c r="J47" i="14"/>
  <c r="J44" i="14"/>
  <c r="O60" i="14"/>
  <c r="J55" i="14"/>
  <c r="J48" i="14"/>
  <c r="J58" i="14"/>
  <c r="J50" i="14"/>
  <c r="E112" i="14"/>
  <c r="E100" i="14"/>
  <c r="O49" i="14"/>
  <c r="C14" i="14"/>
  <c r="D14" i="14"/>
  <c r="E14" i="14" l="1"/>
  <c r="F57" i="11"/>
  <c r="F56" i="11"/>
  <c r="F46" i="11" l="1"/>
  <c r="F47" i="11"/>
  <c r="F59" i="11"/>
  <c r="F58" i="11"/>
  <c r="F48" i="11"/>
  <c r="F45" i="11"/>
  <c r="F55" i="11"/>
  <c r="F49" i="11"/>
  <c r="E465" i="11" l="1"/>
  <c r="F465" i="11" s="1"/>
  <c r="E462" i="11"/>
  <c r="F462" i="11" s="1"/>
  <c r="E461" i="11"/>
  <c r="F461" i="11" s="1"/>
  <c r="E460" i="11"/>
  <c r="F460" i="11" s="1"/>
  <c r="E459" i="11"/>
  <c r="F459" i="11" s="1"/>
  <c r="E458" i="11"/>
  <c r="F458" i="11" s="1"/>
  <c r="E457" i="11"/>
  <c r="F457" i="11" s="1"/>
  <c r="E456" i="11"/>
  <c r="F456" i="11" s="1"/>
  <c r="E455" i="11"/>
  <c r="F455" i="11" s="1"/>
  <c r="E454" i="11"/>
  <c r="F454" i="11" s="1"/>
  <c r="E453" i="11"/>
  <c r="F453" i="11" s="1"/>
  <c r="E452" i="11"/>
  <c r="F452" i="11" s="1"/>
  <c r="E451" i="11"/>
  <c r="F451" i="11" s="1"/>
  <c r="E450" i="11"/>
  <c r="F450" i="11" s="1"/>
  <c r="E449" i="11"/>
  <c r="F449" i="11" s="1"/>
  <c r="E448" i="11"/>
  <c r="F448" i="11" s="1"/>
  <c r="E447" i="11"/>
  <c r="F447" i="11" s="1"/>
  <c r="E446" i="11"/>
  <c r="F446" i="11" s="1"/>
  <c r="E445" i="11"/>
  <c r="F445" i="11" s="1"/>
  <c r="E443" i="11"/>
  <c r="F443" i="11" s="1"/>
  <c r="E442" i="11"/>
  <c r="F442" i="11" s="1"/>
  <c r="E441" i="11"/>
  <c r="F441" i="11" s="1"/>
  <c r="E440" i="11"/>
  <c r="F440" i="11" s="1"/>
  <c r="E439" i="11"/>
  <c r="F439" i="11" s="1"/>
  <c r="C465" i="11"/>
  <c r="D465" i="11" s="1"/>
  <c r="C462" i="11"/>
  <c r="D462" i="11" s="1"/>
  <c r="C461" i="11"/>
  <c r="D461" i="11" s="1"/>
  <c r="C460" i="11"/>
  <c r="D460" i="11" s="1"/>
  <c r="C459" i="11"/>
  <c r="D459" i="11" s="1"/>
  <c r="C458" i="11"/>
  <c r="D458" i="11" s="1"/>
  <c r="C457" i="11"/>
  <c r="D457" i="11" s="1"/>
  <c r="C456" i="11"/>
  <c r="D456" i="11" s="1"/>
  <c r="C455" i="11"/>
  <c r="D455" i="11" s="1"/>
  <c r="C454" i="11"/>
  <c r="D454" i="11" s="1"/>
  <c r="C453" i="11"/>
  <c r="D453" i="11" s="1"/>
  <c r="C452" i="11"/>
  <c r="D452" i="11" s="1"/>
  <c r="C451" i="11"/>
  <c r="D451" i="11" s="1"/>
  <c r="C450" i="11"/>
  <c r="D450" i="11" s="1"/>
  <c r="C449" i="11"/>
  <c r="D449" i="11" s="1"/>
  <c r="C448" i="11"/>
  <c r="D448" i="11" s="1"/>
  <c r="C447" i="11"/>
  <c r="D447" i="11" s="1"/>
  <c r="C446" i="11"/>
  <c r="D446" i="11" s="1"/>
  <c r="C445" i="11"/>
  <c r="D445" i="11" s="1"/>
  <c r="C443" i="11"/>
  <c r="D443" i="11" s="1"/>
  <c r="C442" i="11"/>
  <c r="D442" i="11" s="1"/>
  <c r="C441" i="11"/>
  <c r="D441" i="11" s="1"/>
  <c r="C440" i="11"/>
  <c r="D440" i="11" s="1"/>
  <c r="C439" i="11"/>
  <c r="D439" i="11" s="1"/>
  <c r="G38" i="11"/>
  <c r="G37" i="11"/>
  <c r="G36" i="11"/>
  <c r="G35" i="11"/>
  <c r="G34" i="11"/>
  <c r="E38" i="11"/>
  <c r="E37" i="11"/>
  <c r="E36" i="11"/>
  <c r="E35" i="11"/>
  <c r="E34" i="11"/>
  <c r="E33" i="11"/>
  <c r="E46" i="11" l="1"/>
  <c r="C57" i="11"/>
  <c r="C47" i="11"/>
  <c r="C59" i="11"/>
  <c r="I59" i="11" s="1"/>
  <c r="C49" i="11"/>
  <c r="C58" i="11"/>
  <c r="C48" i="11"/>
  <c r="C55" i="11"/>
  <c r="C56" i="11"/>
  <c r="C45" i="11"/>
  <c r="G45" i="11" s="1"/>
  <c r="E48" i="11" l="1"/>
  <c r="E49" i="11"/>
  <c r="I49" i="11"/>
  <c r="E47" i="11"/>
  <c r="I47" i="11"/>
  <c r="E45" i="11"/>
  <c r="I45" i="11"/>
  <c r="E55" i="11"/>
  <c r="I55" i="11"/>
  <c r="E58" i="11"/>
  <c r="E57" i="11"/>
  <c r="I57" i="11"/>
  <c r="E59" i="11"/>
  <c r="E56" i="11"/>
  <c r="G47" i="11"/>
  <c r="G56" i="11"/>
  <c r="G55" i="11"/>
  <c r="G48" i="11"/>
  <c r="G58" i="11"/>
  <c r="G49" i="11"/>
  <c r="G59" i="11"/>
  <c r="G57" i="11"/>
  <c r="G46" i="11"/>
  <c r="C5" i="11" l="1"/>
  <c r="J3" i="23" s="1"/>
  <c r="D5" i="11"/>
  <c r="J3" i="24" s="1"/>
  <c r="S288" i="15"/>
  <c r="AA288" i="15" s="1"/>
  <c r="D288" i="15"/>
  <c r="S284" i="15"/>
  <c r="D284" i="15"/>
  <c r="AI284" i="15" s="1"/>
  <c r="S283" i="15"/>
  <c r="V283" i="15" s="1"/>
  <c r="D283" i="15"/>
  <c r="AL283" i="15" s="1"/>
  <c r="S282" i="15"/>
  <c r="D282" i="15"/>
  <c r="AO282" i="15" s="1"/>
  <c r="S281" i="15"/>
  <c r="AG281" i="15" s="1"/>
  <c r="D281" i="15"/>
  <c r="AK281" i="15" s="1"/>
  <c r="S280" i="15"/>
  <c r="AA280" i="15" s="1"/>
  <c r="D280" i="15"/>
  <c r="AN280" i="15" s="1"/>
  <c r="S279" i="15"/>
  <c r="AF279" i="15" s="1"/>
  <c r="D279" i="15"/>
  <c r="R279" i="15" s="1"/>
  <c r="S278" i="15"/>
  <c r="AC278" i="15" s="1"/>
  <c r="D278" i="15"/>
  <c r="AO278" i="15" s="1"/>
  <c r="S277" i="15"/>
  <c r="AE277" i="15" s="1"/>
  <c r="D277" i="15"/>
  <c r="AI277" i="15" s="1"/>
  <c r="S276" i="15"/>
  <c r="AG276" i="15" s="1"/>
  <c r="D276" i="15"/>
  <c r="AU276" i="15" s="1"/>
  <c r="S275" i="15"/>
  <c r="AE275" i="15" s="1"/>
  <c r="D275" i="15"/>
  <c r="AS275" i="15" s="1"/>
  <c r="S274" i="15"/>
  <c r="D274" i="15"/>
  <c r="AR274" i="15" s="1"/>
  <c r="S273" i="15"/>
  <c r="X273" i="15" s="1"/>
  <c r="D273" i="15"/>
  <c r="AI273" i="15" s="1"/>
  <c r="S272" i="15"/>
  <c r="AA272" i="15" s="1"/>
  <c r="D272" i="15"/>
  <c r="E272" i="15" s="1"/>
  <c r="S271" i="15"/>
  <c r="D271" i="15"/>
  <c r="AK271" i="15" s="1"/>
  <c r="S270" i="15"/>
  <c r="AD270" i="15" s="1"/>
  <c r="D270" i="15"/>
  <c r="AR270" i="15" s="1"/>
  <c r="S269" i="15"/>
  <c r="AA269" i="15" s="1"/>
  <c r="D269" i="15"/>
  <c r="AK269" i="15" s="1"/>
  <c r="S268" i="15"/>
  <c r="AD268" i="15" s="1"/>
  <c r="D268" i="15"/>
  <c r="S267" i="15"/>
  <c r="AC267" i="15" s="1"/>
  <c r="D267" i="15"/>
  <c r="N267" i="15" s="1"/>
  <c r="S266" i="15"/>
  <c r="Z266" i="15" s="1"/>
  <c r="D266" i="15"/>
  <c r="AS266" i="15" s="1"/>
  <c r="S265" i="15"/>
  <c r="AA265" i="15" s="1"/>
  <c r="D265" i="15"/>
  <c r="M265" i="15" s="1"/>
  <c r="S264" i="15"/>
  <c r="AA264" i="15" s="1"/>
  <c r="D264" i="15"/>
  <c r="G264" i="15" s="1"/>
  <c r="S263" i="15"/>
  <c r="AD263" i="15" s="1"/>
  <c r="D263" i="15"/>
  <c r="S262" i="15"/>
  <c r="AA262" i="15" s="1"/>
  <c r="D262" i="15"/>
  <c r="Q262" i="15" s="1"/>
  <c r="S261" i="15"/>
  <c r="AB261" i="15" s="1"/>
  <c r="D261" i="15"/>
  <c r="N261" i="15" s="1"/>
  <c r="S260" i="15"/>
  <c r="AA260" i="15" s="1"/>
  <c r="D260" i="15"/>
  <c r="L260" i="15" s="1"/>
  <c r="S259" i="15"/>
  <c r="Z259" i="15" s="1"/>
  <c r="D259" i="15"/>
  <c r="L259" i="15" s="1"/>
  <c r="S258" i="15"/>
  <c r="AA258" i="15" s="1"/>
  <c r="D258" i="15"/>
  <c r="R258" i="15" s="1"/>
  <c r="S257" i="15"/>
  <c r="AA257" i="15" s="1"/>
  <c r="D257" i="15"/>
  <c r="L257" i="15" s="1"/>
  <c r="S256" i="15"/>
  <c r="Z256" i="15" s="1"/>
  <c r="D256" i="15"/>
  <c r="L256" i="15" s="1"/>
  <c r="S255" i="15"/>
  <c r="AD255" i="15" s="1"/>
  <c r="D255" i="15"/>
  <c r="L255" i="15" s="1"/>
  <c r="S254" i="15"/>
  <c r="AA254" i="15" s="1"/>
  <c r="D254" i="15"/>
  <c r="L254" i="15" s="1"/>
  <c r="S247" i="15"/>
  <c r="AA247" i="15" s="1"/>
  <c r="D247" i="15"/>
  <c r="L247" i="15" s="1"/>
  <c r="S243" i="15"/>
  <c r="AE243" i="15" s="1"/>
  <c r="D243" i="15"/>
  <c r="S242" i="15"/>
  <c r="AB242" i="15" s="1"/>
  <c r="D242" i="15"/>
  <c r="S241" i="15"/>
  <c r="AA241" i="15" s="1"/>
  <c r="D241" i="15"/>
  <c r="S240" i="15"/>
  <c r="AD240" i="15" s="1"/>
  <c r="D240" i="15"/>
  <c r="S239" i="15"/>
  <c r="AA239" i="15" s="1"/>
  <c r="D239" i="15"/>
  <c r="S238" i="15"/>
  <c r="AF238" i="15" s="1"/>
  <c r="D238" i="15"/>
  <c r="S237" i="15"/>
  <c r="AC237" i="15" s="1"/>
  <c r="D237" i="15"/>
  <c r="S236" i="15"/>
  <c r="AA236" i="15" s="1"/>
  <c r="D236" i="15"/>
  <c r="S235" i="15"/>
  <c r="AE235" i="15" s="1"/>
  <c r="D235" i="15"/>
  <c r="S234" i="15"/>
  <c r="AB234" i="15" s="1"/>
  <c r="D234" i="15"/>
  <c r="S233" i="15"/>
  <c r="D233" i="15"/>
  <c r="S232" i="15"/>
  <c r="AD232" i="15" s="1"/>
  <c r="D232" i="15"/>
  <c r="S231" i="15"/>
  <c r="AA231" i="15" s="1"/>
  <c r="D231" i="15"/>
  <c r="S230" i="15"/>
  <c r="Y230" i="15" s="1"/>
  <c r="D230" i="15"/>
  <c r="S229" i="15"/>
  <c r="W229" i="15" s="1"/>
  <c r="D229" i="15"/>
  <c r="S228" i="15"/>
  <c r="AA228" i="15" s="1"/>
  <c r="D228" i="15"/>
  <c r="S227" i="15"/>
  <c r="AG227" i="15" s="1"/>
  <c r="D227" i="15"/>
  <c r="S226" i="15"/>
  <c r="AA226" i="15" s="1"/>
  <c r="D226" i="15"/>
  <c r="S225" i="15"/>
  <c r="AE225" i="15" s="1"/>
  <c r="D225" i="15"/>
  <c r="S224" i="15"/>
  <c r="AD224" i="15" s="1"/>
  <c r="D224" i="15"/>
  <c r="S223" i="15"/>
  <c r="AA223" i="15" s="1"/>
  <c r="D223" i="15"/>
  <c r="F223" i="15" s="1"/>
  <c r="S222" i="15"/>
  <c r="AD222" i="15" s="1"/>
  <c r="D222" i="15"/>
  <c r="Q222" i="15" s="1"/>
  <c r="S221" i="15"/>
  <c r="AD221" i="15" s="1"/>
  <c r="D221" i="15"/>
  <c r="L221" i="15" s="1"/>
  <c r="S220" i="15"/>
  <c r="AF220" i="15" s="1"/>
  <c r="D220" i="15"/>
  <c r="N220" i="15" s="1"/>
  <c r="S219" i="15"/>
  <c r="U219" i="15" s="1"/>
  <c r="D219" i="15"/>
  <c r="O219" i="15" s="1"/>
  <c r="S218" i="15"/>
  <c r="AA218" i="15" s="1"/>
  <c r="D218" i="15"/>
  <c r="L218" i="15" s="1"/>
  <c r="S217" i="15"/>
  <c r="Y217" i="15" s="1"/>
  <c r="D217" i="15"/>
  <c r="L217" i="15" s="1"/>
  <c r="S216" i="15"/>
  <c r="AF216" i="15" s="1"/>
  <c r="D216" i="15"/>
  <c r="K216" i="15" s="1"/>
  <c r="S215" i="15"/>
  <c r="Z215" i="15" s="1"/>
  <c r="D215" i="15"/>
  <c r="L215" i="15" s="1"/>
  <c r="S214" i="15"/>
  <c r="D214" i="15"/>
  <c r="S213" i="15"/>
  <c r="AB213" i="15" s="1"/>
  <c r="D213" i="15"/>
  <c r="L213" i="15" s="1"/>
  <c r="S206" i="15"/>
  <c r="D206" i="15"/>
  <c r="S202" i="15"/>
  <c r="AA202" i="15" s="1"/>
  <c r="D202" i="15"/>
  <c r="R202" i="15" s="1"/>
  <c r="S201" i="15"/>
  <c r="D201" i="15"/>
  <c r="N201" i="15" s="1"/>
  <c r="S200" i="15"/>
  <c r="D200" i="15"/>
  <c r="S199" i="15"/>
  <c r="AF199" i="15" s="1"/>
  <c r="D199" i="15"/>
  <c r="O199" i="15" s="1"/>
  <c r="S198" i="15"/>
  <c r="AC198" i="15" s="1"/>
  <c r="D198" i="15"/>
  <c r="S197" i="15"/>
  <c r="AF197" i="15" s="1"/>
  <c r="D197" i="15"/>
  <c r="S196" i="15"/>
  <c r="AE196" i="15" s="1"/>
  <c r="D196" i="15"/>
  <c r="S195" i="15"/>
  <c r="AA195" i="15" s="1"/>
  <c r="D195" i="15"/>
  <c r="S194" i="15"/>
  <c r="AA194" i="15" s="1"/>
  <c r="D194" i="15"/>
  <c r="S193" i="15"/>
  <c r="AB193" i="15" s="1"/>
  <c r="D193" i="15"/>
  <c r="S192" i="15"/>
  <c r="U192" i="15" s="1"/>
  <c r="D192" i="15"/>
  <c r="S191" i="15"/>
  <c r="D191" i="15"/>
  <c r="P191" i="15" s="1"/>
  <c r="S190" i="15"/>
  <c r="AA190" i="15" s="1"/>
  <c r="D190" i="15"/>
  <c r="AO190" i="15" s="1"/>
  <c r="S189" i="15"/>
  <c r="AD189" i="15" s="1"/>
  <c r="D189" i="15"/>
  <c r="S188" i="15"/>
  <c r="AA188" i="15" s="1"/>
  <c r="D188" i="15"/>
  <c r="S187" i="15"/>
  <c r="AA187" i="15" s="1"/>
  <c r="D187" i="15"/>
  <c r="S186" i="15"/>
  <c r="AC186" i="15" s="1"/>
  <c r="D186" i="15"/>
  <c r="S185" i="15"/>
  <c r="AC185" i="15" s="1"/>
  <c r="D185" i="15"/>
  <c r="S184" i="15"/>
  <c r="Z184" i="15" s="1"/>
  <c r="D184" i="15"/>
  <c r="Q184" i="15" s="1"/>
  <c r="S183" i="15"/>
  <c r="AD183" i="15" s="1"/>
  <c r="D183" i="15"/>
  <c r="N183" i="15" s="1"/>
  <c r="S182" i="15"/>
  <c r="D182" i="15"/>
  <c r="R182" i="15" s="1"/>
  <c r="S181" i="15"/>
  <c r="AC181" i="15" s="1"/>
  <c r="D181" i="15"/>
  <c r="N181" i="15" s="1"/>
  <c r="S180" i="15"/>
  <c r="Z180" i="15" s="1"/>
  <c r="D180" i="15"/>
  <c r="N180" i="15" s="1"/>
  <c r="S179" i="15"/>
  <c r="AE179" i="15" s="1"/>
  <c r="D179" i="15"/>
  <c r="Q179" i="15" s="1"/>
  <c r="S178" i="15"/>
  <c r="Y178" i="15" s="1"/>
  <c r="D178" i="15"/>
  <c r="S177" i="15"/>
  <c r="AB177" i="15" s="1"/>
  <c r="D177" i="15"/>
  <c r="M177" i="15" s="1"/>
  <c r="S176" i="15"/>
  <c r="Y176" i="15" s="1"/>
  <c r="D176" i="15"/>
  <c r="S175" i="15"/>
  <c r="W175" i="15" s="1"/>
  <c r="D175" i="15"/>
  <c r="N175" i="15" s="1"/>
  <c r="S174" i="15"/>
  <c r="D174" i="15"/>
  <c r="S173" i="15"/>
  <c r="AB173" i="15" s="1"/>
  <c r="D173" i="15"/>
  <c r="L173" i="15" s="1"/>
  <c r="S172" i="15"/>
  <c r="AA172" i="15" s="1"/>
  <c r="D172" i="15"/>
  <c r="K172" i="15" s="1"/>
  <c r="S124" i="15"/>
  <c r="AA124" i="15" s="1"/>
  <c r="D124" i="15"/>
  <c r="M124" i="15" s="1"/>
  <c r="S120" i="15"/>
  <c r="AE120" i="15" s="1"/>
  <c r="D120" i="15"/>
  <c r="S119" i="15"/>
  <c r="AB119" i="15" s="1"/>
  <c r="D119" i="15"/>
  <c r="L119" i="15" s="1"/>
  <c r="S118" i="15"/>
  <c r="AB118" i="15" s="1"/>
  <c r="D118" i="15"/>
  <c r="S117" i="15"/>
  <c r="AF117" i="15" s="1"/>
  <c r="D117" i="15"/>
  <c r="P117" i="15" s="1"/>
  <c r="S116" i="15"/>
  <c r="AA116" i="15" s="1"/>
  <c r="D116" i="15"/>
  <c r="N116" i="15" s="1"/>
  <c r="S115" i="15"/>
  <c r="AA115" i="15" s="1"/>
  <c r="D115" i="15"/>
  <c r="S114" i="15"/>
  <c r="AC114" i="15" s="1"/>
  <c r="D114" i="15"/>
  <c r="O114" i="15" s="1"/>
  <c r="S113" i="15"/>
  <c r="AA113" i="15" s="1"/>
  <c r="D113" i="15"/>
  <c r="AU113" i="15" s="1"/>
  <c r="S112" i="15"/>
  <c r="AE112" i="15" s="1"/>
  <c r="D112" i="15"/>
  <c r="R112" i="15" s="1"/>
  <c r="S111" i="15"/>
  <c r="AB111" i="15" s="1"/>
  <c r="D111" i="15"/>
  <c r="J111" i="15" s="1"/>
  <c r="S110" i="15"/>
  <c r="AB110" i="15" s="1"/>
  <c r="D110" i="15"/>
  <c r="S109" i="15"/>
  <c r="AD109" i="15" s="1"/>
  <c r="D109" i="15"/>
  <c r="P109" i="15" s="1"/>
  <c r="S108" i="15"/>
  <c r="AA108" i="15" s="1"/>
  <c r="D108" i="15"/>
  <c r="S107" i="15"/>
  <c r="Z107" i="15" s="1"/>
  <c r="D107" i="15"/>
  <c r="R107" i="15" s="1"/>
  <c r="S106" i="15"/>
  <c r="AE106" i="15" s="1"/>
  <c r="D106" i="15"/>
  <c r="Q106" i="15" s="1"/>
  <c r="S105" i="15"/>
  <c r="AA105" i="15" s="1"/>
  <c r="D105" i="15"/>
  <c r="S104" i="15"/>
  <c r="AF104" i="15" s="1"/>
  <c r="D104" i="15"/>
  <c r="S103" i="15"/>
  <c r="AC103" i="15" s="1"/>
  <c r="D103" i="15"/>
  <c r="Q103" i="15" s="1"/>
  <c r="S102" i="15"/>
  <c r="AA102" i="15" s="1"/>
  <c r="D102" i="15"/>
  <c r="S101" i="15"/>
  <c r="AE101" i="15" s="1"/>
  <c r="D101" i="15"/>
  <c r="S100" i="15"/>
  <c r="AB100" i="15" s="1"/>
  <c r="D100" i="15"/>
  <c r="L100" i="15" s="1"/>
  <c r="S99" i="15"/>
  <c r="D99" i="15"/>
  <c r="Q99" i="15" s="1"/>
  <c r="S98" i="15"/>
  <c r="AC98" i="15" s="1"/>
  <c r="D98" i="15"/>
  <c r="Q98" i="15" s="1"/>
  <c r="S97" i="15"/>
  <c r="AA97" i="15" s="1"/>
  <c r="D97" i="15"/>
  <c r="Q97" i="15" s="1"/>
  <c r="S96" i="15"/>
  <c r="D96" i="15"/>
  <c r="S95" i="15"/>
  <c r="AF95" i="15" s="1"/>
  <c r="D95" i="15"/>
  <c r="M95" i="15" s="1"/>
  <c r="S94" i="15"/>
  <c r="D94" i="15"/>
  <c r="S93" i="15"/>
  <c r="AC93" i="15" s="1"/>
  <c r="D93" i="15"/>
  <c r="N93" i="15" s="1"/>
  <c r="S92" i="15"/>
  <c r="AA92" i="15" s="1"/>
  <c r="D92" i="15"/>
  <c r="S91" i="15"/>
  <c r="AA91" i="15" s="1"/>
  <c r="D91" i="15"/>
  <c r="L91" i="15" s="1"/>
  <c r="S90" i="15"/>
  <c r="AA90" i="15" s="1"/>
  <c r="D90" i="15"/>
  <c r="L90" i="15" s="1"/>
  <c r="S83" i="15"/>
  <c r="S79" i="15"/>
  <c r="AF79" i="15" s="1"/>
  <c r="S78" i="15"/>
  <c r="AE78" i="15" s="1"/>
  <c r="S77" i="15"/>
  <c r="AD77" i="15" s="1"/>
  <c r="S76" i="15"/>
  <c r="AC76" i="15" s="1"/>
  <c r="S75" i="15"/>
  <c r="AB75" i="15" s="1"/>
  <c r="S74" i="15"/>
  <c r="AF74" i="15" s="1"/>
  <c r="S73" i="15"/>
  <c r="Z73" i="15" s="1"/>
  <c r="S72" i="15"/>
  <c r="AG72" i="15" s="1"/>
  <c r="S71" i="15"/>
  <c r="AF71" i="15" s="1"/>
  <c r="S70" i="15"/>
  <c r="AE70" i="15" s="1"/>
  <c r="S69" i="15"/>
  <c r="AD69" i="15" s="1"/>
  <c r="S68" i="15"/>
  <c r="AC68" i="15" s="1"/>
  <c r="S67" i="15"/>
  <c r="AB67" i="15" s="1"/>
  <c r="S66" i="15"/>
  <c r="AA66" i="15" s="1"/>
  <c r="S65" i="15"/>
  <c r="Z65" i="15" s="1"/>
  <c r="S64" i="15"/>
  <c r="AG64" i="15" s="1"/>
  <c r="S63" i="15"/>
  <c r="AF63" i="15" s="1"/>
  <c r="S62" i="15"/>
  <c r="AE62" i="15" s="1"/>
  <c r="S61" i="15"/>
  <c r="AD61" i="15" s="1"/>
  <c r="S60" i="15"/>
  <c r="S59" i="15"/>
  <c r="S58" i="15"/>
  <c r="AA58" i="15" s="1"/>
  <c r="S57" i="15"/>
  <c r="Z57" i="15" s="1"/>
  <c r="S56" i="15"/>
  <c r="AG56" i="15" s="1"/>
  <c r="S55" i="15"/>
  <c r="S54" i="15"/>
  <c r="AC54" i="15" s="1"/>
  <c r="S53" i="15"/>
  <c r="S52" i="15"/>
  <c r="AC52" i="15" s="1"/>
  <c r="S51" i="15"/>
  <c r="AB51" i="15" s="1"/>
  <c r="S50" i="15"/>
  <c r="AB50" i="15" s="1"/>
  <c r="S49" i="15"/>
  <c r="AG49" i="15" s="1"/>
  <c r="D83" i="15"/>
  <c r="D79" i="15"/>
  <c r="D78" i="15"/>
  <c r="D77" i="15"/>
  <c r="D76" i="15"/>
  <c r="D75" i="15"/>
  <c r="D74" i="15"/>
  <c r="D73" i="15"/>
  <c r="D72" i="15"/>
  <c r="D71" i="15"/>
  <c r="D70" i="15"/>
  <c r="D69" i="15"/>
  <c r="D68" i="15"/>
  <c r="D67" i="15"/>
  <c r="D66" i="15"/>
  <c r="D65" i="15"/>
  <c r="D64" i="15"/>
  <c r="D63" i="15"/>
  <c r="Q63" i="15" s="1"/>
  <c r="D62" i="15"/>
  <c r="P62" i="15" s="1"/>
  <c r="D61" i="15"/>
  <c r="O61" i="15" s="1"/>
  <c r="D60" i="15"/>
  <c r="N60" i="15" s="1"/>
  <c r="D59" i="15"/>
  <c r="M59" i="15" s="1"/>
  <c r="D58" i="15"/>
  <c r="L58" i="15" s="1"/>
  <c r="D57" i="15"/>
  <c r="K57" i="15" s="1"/>
  <c r="D56" i="15"/>
  <c r="R56" i="15" s="1"/>
  <c r="D55" i="15"/>
  <c r="D54" i="15"/>
  <c r="P54" i="15" s="1"/>
  <c r="D53" i="15"/>
  <c r="D52" i="15"/>
  <c r="N52" i="15" s="1"/>
  <c r="D51" i="15"/>
  <c r="M51" i="15" s="1"/>
  <c r="D50" i="15"/>
  <c r="L50" i="15" s="1"/>
  <c r="D49" i="15"/>
  <c r="K49" i="15" s="1"/>
  <c r="D162" i="15" l="1"/>
  <c r="AV162" i="15" s="1"/>
  <c r="AM162" i="15"/>
  <c r="J162" i="15"/>
  <c r="AL162" i="15"/>
  <c r="I162" i="15"/>
  <c r="AQ162" i="15"/>
  <c r="AJ162" i="15"/>
  <c r="Q162" i="15"/>
  <c r="AR162" i="15"/>
  <c r="N162" i="15"/>
  <c r="L162" i="15"/>
  <c r="AH162" i="15"/>
  <c r="R162" i="15"/>
  <c r="O162" i="15"/>
  <c r="AT162" i="15"/>
  <c r="AU162" i="15"/>
  <c r="AS162" i="15"/>
  <c r="E162" i="15"/>
  <c r="F162" i="15"/>
  <c r="V206" i="15"/>
  <c r="S162" i="15"/>
  <c r="S39" i="15"/>
  <c r="Y39" i="15" s="1"/>
  <c r="D39" i="15"/>
  <c r="D148" i="15"/>
  <c r="L148" i="15" s="1"/>
  <c r="G175" i="15"/>
  <c r="R224" i="15"/>
  <c r="AH224" i="15"/>
  <c r="N232" i="15"/>
  <c r="AH232" i="15"/>
  <c r="O240" i="15"/>
  <c r="AS240" i="15"/>
  <c r="AH240" i="15"/>
  <c r="O227" i="15"/>
  <c r="AH227" i="15"/>
  <c r="O235" i="15"/>
  <c r="AH235" i="15"/>
  <c r="O243" i="15"/>
  <c r="AH243" i="15"/>
  <c r="M230" i="15"/>
  <c r="AH230" i="15"/>
  <c r="P238" i="15"/>
  <c r="AH238" i="15"/>
  <c r="O225" i="15"/>
  <c r="AH225" i="15"/>
  <c r="Q233" i="15"/>
  <c r="AH233" i="15"/>
  <c r="Q241" i="15"/>
  <c r="AH241" i="15"/>
  <c r="F228" i="15"/>
  <c r="AH228" i="15"/>
  <c r="L236" i="15"/>
  <c r="AP236" i="15"/>
  <c r="AH236" i="15"/>
  <c r="M231" i="15"/>
  <c r="AR231" i="15"/>
  <c r="AJ231" i="15"/>
  <c r="AQ231" i="15"/>
  <c r="AP231" i="15"/>
  <c r="AH231" i="15"/>
  <c r="AO231" i="15"/>
  <c r="AV231" i="15"/>
  <c r="AN231" i="15"/>
  <c r="AU231" i="15"/>
  <c r="AM231" i="15"/>
  <c r="AT231" i="15"/>
  <c r="AL231" i="15"/>
  <c r="AI231" i="15"/>
  <c r="AS231" i="15"/>
  <c r="AK231" i="15"/>
  <c r="L239" i="15"/>
  <c r="AP239" i="15"/>
  <c r="AH239" i="15"/>
  <c r="L226" i="15"/>
  <c r="AP226" i="15"/>
  <c r="AH226" i="15"/>
  <c r="L234" i="15"/>
  <c r="AH234" i="15"/>
  <c r="L242" i="15"/>
  <c r="AH242" i="15"/>
  <c r="M229" i="15"/>
  <c r="AH229" i="15"/>
  <c r="M237" i="15"/>
  <c r="AH237" i="15"/>
  <c r="D156" i="15"/>
  <c r="Q156" i="15" s="1"/>
  <c r="D151" i="15"/>
  <c r="Q151" i="15" s="1"/>
  <c r="S156" i="15"/>
  <c r="X156" i="15" s="1"/>
  <c r="D152" i="15"/>
  <c r="F201" i="15"/>
  <c r="S159" i="15"/>
  <c r="W159" i="15" s="1"/>
  <c r="Y190" i="15"/>
  <c r="P52" i="15"/>
  <c r="K243" i="15"/>
  <c r="D32" i="15"/>
  <c r="R32" i="15" s="1"/>
  <c r="S140" i="15"/>
  <c r="V220" i="15"/>
  <c r="S146" i="15"/>
  <c r="V173" i="15"/>
  <c r="M116" i="15"/>
  <c r="E192" i="15"/>
  <c r="J265" i="15"/>
  <c r="M91" i="15"/>
  <c r="Q93" i="15"/>
  <c r="H175" i="15"/>
  <c r="K219" i="15"/>
  <c r="G256" i="15"/>
  <c r="D25" i="15"/>
  <c r="I119" i="15"/>
  <c r="D161" i="15"/>
  <c r="J161" i="15" s="1"/>
  <c r="O256" i="15"/>
  <c r="H93" i="15"/>
  <c r="D165" i="15"/>
  <c r="E201" i="15"/>
  <c r="Q256" i="15"/>
  <c r="D149" i="15"/>
  <c r="AU149" i="15" s="1"/>
  <c r="Q201" i="15"/>
  <c r="E280" i="15"/>
  <c r="Z179" i="15"/>
  <c r="T189" i="15"/>
  <c r="S150" i="15"/>
  <c r="AD150" i="15" s="1"/>
  <c r="AA219" i="15"/>
  <c r="T178" i="15"/>
  <c r="AD185" i="15"/>
  <c r="S148" i="15"/>
  <c r="V106" i="15"/>
  <c r="AF178" i="15"/>
  <c r="W190" i="15"/>
  <c r="AC219" i="15"/>
  <c r="Z199" i="15"/>
  <c r="AD62" i="15"/>
  <c r="S137" i="15"/>
  <c r="AB220" i="15"/>
  <c r="J63" i="15"/>
  <c r="I96" i="15"/>
  <c r="G191" i="15"/>
  <c r="F193" i="15"/>
  <c r="R213" i="15"/>
  <c r="R256" i="15"/>
  <c r="K261" i="15"/>
  <c r="H52" i="15"/>
  <c r="K63" i="15"/>
  <c r="E91" i="15"/>
  <c r="G93" i="15"/>
  <c r="AM113" i="15"/>
  <c r="G193" i="15"/>
  <c r="E190" i="15"/>
  <c r="R193" i="15"/>
  <c r="R52" i="15"/>
  <c r="I93" i="15"/>
  <c r="E173" i="15"/>
  <c r="R230" i="15"/>
  <c r="M254" i="15"/>
  <c r="E256" i="15"/>
  <c r="N274" i="15"/>
  <c r="P284" i="15"/>
  <c r="R254" i="15"/>
  <c r="R93" i="15"/>
  <c r="G217" i="15"/>
  <c r="H256" i="15"/>
  <c r="F267" i="15"/>
  <c r="F96" i="15"/>
  <c r="R221" i="15"/>
  <c r="D23" i="15"/>
  <c r="K78" i="15"/>
  <c r="H75" i="15"/>
  <c r="E100" i="15"/>
  <c r="E101" i="15"/>
  <c r="P119" i="15"/>
  <c r="F173" i="15"/>
  <c r="F186" i="15"/>
  <c r="I217" i="15"/>
  <c r="E226" i="15"/>
  <c r="Q235" i="15"/>
  <c r="F237" i="15"/>
  <c r="J241" i="15"/>
  <c r="F278" i="15"/>
  <c r="H280" i="15"/>
  <c r="AH60" i="15"/>
  <c r="M50" i="15"/>
  <c r="H58" i="15"/>
  <c r="F66" i="15"/>
  <c r="J70" i="15"/>
  <c r="O75" i="15"/>
  <c r="K79" i="15"/>
  <c r="E90" i="15"/>
  <c r="J93" i="15"/>
  <c r="F100" i="15"/>
  <c r="J101" i="15"/>
  <c r="F103" i="15"/>
  <c r="F104" i="15"/>
  <c r="F108" i="15"/>
  <c r="I115" i="15"/>
  <c r="AM115" i="15" s="1"/>
  <c r="R119" i="15"/>
  <c r="M173" i="15"/>
  <c r="P186" i="15"/>
  <c r="H193" i="15"/>
  <c r="F196" i="15"/>
  <c r="P199" i="15"/>
  <c r="I213" i="15"/>
  <c r="I226" i="15"/>
  <c r="P237" i="15"/>
  <c r="I256" i="15"/>
  <c r="M260" i="15"/>
  <c r="G273" i="15"/>
  <c r="F274" i="15"/>
  <c r="P280" i="15"/>
  <c r="G60" i="15"/>
  <c r="I66" i="15"/>
  <c r="K70" i="15"/>
  <c r="M90" i="15"/>
  <c r="M93" i="15"/>
  <c r="G100" i="15"/>
  <c r="Q101" i="15"/>
  <c r="AU101" i="15" s="1"/>
  <c r="G103" i="15"/>
  <c r="J108" i="15"/>
  <c r="J115" i="15"/>
  <c r="AN115" i="15" s="1"/>
  <c r="I193" i="15"/>
  <c r="H196" i="15"/>
  <c r="J226" i="15"/>
  <c r="I273" i="15"/>
  <c r="L274" i="15"/>
  <c r="D37" i="15"/>
  <c r="J51" i="15"/>
  <c r="J55" i="15"/>
  <c r="G59" i="15"/>
  <c r="K66" i="15"/>
  <c r="J76" i="15"/>
  <c r="N100" i="15"/>
  <c r="K103" i="15"/>
  <c r="R115" i="15"/>
  <c r="AQ119" i="15"/>
  <c r="Q177" i="15"/>
  <c r="H181" i="15"/>
  <c r="J193" i="15"/>
  <c r="I196" i="15"/>
  <c r="Q231" i="15"/>
  <c r="J273" i="15"/>
  <c r="H60" i="15"/>
  <c r="O60" i="15"/>
  <c r="K55" i="15"/>
  <c r="Q59" i="15"/>
  <c r="N66" i="15"/>
  <c r="AH72" i="15"/>
  <c r="O100" i="15"/>
  <c r="N103" i="15"/>
  <c r="K117" i="15"/>
  <c r="AO117" i="15" s="1"/>
  <c r="E119" i="15"/>
  <c r="J181" i="15"/>
  <c r="N193" i="15"/>
  <c r="K196" i="15"/>
  <c r="G198" i="15"/>
  <c r="AT190" i="15"/>
  <c r="E218" i="15"/>
  <c r="G225" i="15"/>
  <c r="K273" i="15"/>
  <c r="AJ274" i="15"/>
  <c r="Q77" i="15"/>
  <c r="O103" i="15"/>
  <c r="L105" i="15"/>
  <c r="I107" i="15"/>
  <c r="G114" i="15"/>
  <c r="O117" i="15"/>
  <c r="AS117" i="15" s="1"/>
  <c r="G119" i="15"/>
  <c r="Q120" i="15"/>
  <c r="AU120" i="15" s="1"/>
  <c r="M181" i="15"/>
  <c r="P193" i="15"/>
  <c r="R196" i="15"/>
  <c r="O198" i="15"/>
  <c r="J218" i="15"/>
  <c r="I221" i="15"/>
  <c r="J238" i="15"/>
  <c r="J261" i="15"/>
  <c r="R273" i="15"/>
  <c r="O281" i="15"/>
  <c r="AR278" i="15"/>
  <c r="H119" i="15"/>
  <c r="D159" i="15"/>
  <c r="O181" i="15"/>
  <c r="H191" i="15"/>
  <c r="E193" i="15"/>
  <c r="Q193" i="15"/>
  <c r="K200" i="15"/>
  <c r="Q218" i="15"/>
  <c r="Q221" i="15"/>
  <c r="Q238" i="15"/>
  <c r="AU238" i="15" s="1"/>
  <c r="AM282" i="15"/>
  <c r="S154" i="15"/>
  <c r="AA154" i="15" s="1"/>
  <c r="Y108" i="15"/>
  <c r="S145" i="15"/>
  <c r="Z145" i="15" s="1"/>
  <c r="AF196" i="15"/>
  <c r="AA220" i="15"/>
  <c r="V221" i="15"/>
  <c r="T254" i="15"/>
  <c r="AD261" i="15"/>
  <c r="Z108" i="15"/>
  <c r="W119" i="15"/>
  <c r="AE221" i="15"/>
  <c r="Z119" i="15"/>
  <c r="S141" i="15"/>
  <c r="T272" i="15"/>
  <c r="AF70" i="15"/>
  <c r="AB90" i="15"/>
  <c r="AG119" i="15"/>
  <c r="W179" i="15"/>
  <c r="AF190" i="15"/>
  <c r="T228" i="15"/>
  <c r="Z232" i="15"/>
  <c r="X240" i="15"/>
  <c r="V270" i="15"/>
  <c r="W272" i="15"/>
  <c r="AB228" i="15"/>
  <c r="Y238" i="15"/>
  <c r="Z240" i="15"/>
  <c r="Z272" i="15"/>
  <c r="Y106" i="15"/>
  <c r="V178" i="15"/>
  <c r="T187" i="15"/>
  <c r="T215" i="15"/>
  <c r="AB262" i="15"/>
  <c r="AF272" i="15"/>
  <c r="AA106" i="15"/>
  <c r="S138" i="15"/>
  <c r="AE178" i="15"/>
  <c r="V213" i="15"/>
  <c r="T220" i="15"/>
  <c r="Z219" i="15"/>
  <c r="X220" i="15"/>
  <c r="X262" i="15"/>
  <c r="AB279" i="15"/>
  <c r="AD108" i="15"/>
  <c r="AG117" i="15"/>
  <c r="AA177" i="15"/>
  <c r="S151" i="15"/>
  <c r="AF151" i="15" s="1"/>
  <c r="Y262" i="15"/>
  <c r="AG71" i="15"/>
  <c r="Z77" i="15"/>
  <c r="W103" i="15"/>
  <c r="AE108" i="15"/>
  <c r="AD177" i="15"/>
  <c r="X184" i="15"/>
  <c r="U283" i="15"/>
  <c r="T61" i="15"/>
  <c r="X77" i="15"/>
  <c r="W61" i="15"/>
  <c r="AE103" i="15"/>
  <c r="T108" i="15"/>
  <c r="AG108" i="15"/>
  <c r="AF177" i="15"/>
  <c r="T180" i="15"/>
  <c r="AB187" i="15"/>
  <c r="V189" i="15"/>
  <c r="W193" i="15"/>
  <c r="S160" i="15"/>
  <c r="T217" i="15"/>
  <c r="AG218" i="15"/>
  <c r="AC220" i="15"/>
  <c r="Y221" i="15"/>
  <c r="W223" i="15"/>
  <c r="V228" i="15"/>
  <c r="W242" i="15"/>
  <c r="AG262" i="15"/>
  <c r="AF268" i="15"/>
  <c r="Y278" i="15"/>
  <c r="Y281" i="15"/>
  <c r="X283" i="15"/>
  <c r="AF69" i="15"/>
  <c r="S23" i="15"/>
  <c r="AD52" i="15"/>
  <c r="Y58" i="15"/>
  <c r="AE61" i="15"/>
  <c r="W186" i="15"/>
  <c r="Y189" i="15"/>
  <c r="AG223" i="15"/>
  <c r="Z283" i="15"/>
  <c r="AG112" i="15"/>
  <c r="W117" i="15"/>
  <c r="W64" i="15"/>
  <c r="AG69" i="15"/>
  <c r="T90" i="15"/>
  <c r="AB180" i="15"/>
  <c r="Z242" i="15"/>
  <c r="S31" i="15"/>
  <c r="AD58" i="15"/>
  <c r="U67" i="15"/>
  <c r="U70" i="15"/>
  <c r="AB74" i="15"/>
  <c r="U90" i="15"/>
  <c r="T91" i="15"/>
  <c r="X95" i="15"/>
  <c r="AC101" i="15"/>
  <c r="W108" i="15"/>
  <c r="X120" i="15"/>
  <c r="AD180" i="15"/>
  <c r="U181" i="15"/>
  <c r="Y186" i="15"/>
  <c r="Z227" i="15"/>
  <c r="AD228" i="15"/>
  <c r="Z230" i="15"/>
  <c r="W234" i="15"/>
  <c r="AC242" i="15"/>
  <c r="AE283" i="15"/>
  <c r="U51" i="15"/>
  <c r="Y69" i="15"/>
  <c r="U58" i="15"/>
  <c r="X61" i="15"/>
  <c r="X78" i="15"/>
  <c r="U108" i="15"/>
  <c r="Z193" i="15"/>
  <c r="AA217" i="15"/>
  <c r="AC67" i="15"/>
  <c r="V70" i="15"/>
  <c r="Z90" i="15"/>
  <c r="U91" i="15"/>
  <c r="AG101" i="15"/>
  <c r="X108" i="15"/>
  <c r="Y120" i="15"/>
  <c r="S139" i="15"/>
  <c r="W181" i="15"/>
  <c r="AB186" i="15"/>
  <c r="AA227" i="15"/>
  <c r="AA230" i="15"/>
  <c r="Z234" i="15"/>
  <c r="AE181" i="15"/>
  <c r="AC234" i="15"/>
  <c r="W262" i="15"/>
  <c r="AG275" i="15"/>
  <c r="U279" i="15"/>
  <c r="AE183" i="15"/>
  <c r="AF270" i="15"/>
  <c r="Z280" i="15"/>
  <c r="AD280" i="15"/>
  <c r="S30" i="15"/>
  <c r="U61" i="15"/>
  <c r="U62" i="15"/>
  <c r="X64" i="15"/>
  <c r="Z67" i="15"/>
  <c r="Z69" i="15"/>
  <c r="Y71" i="15"/>
  <c r="W77" i="15"/>
  <c r="AD78" i="15"/>
  <c r="AC90" i="15"/>
  <c r="AB91" i="15"/>
  <c r="AD95" i="15"/>
  <c r="AD103" i="15"/>
  <c r="AA107" i="15"/>
  <c r="V108" i="15"/>
  <c r="AF108" i="15"/>
  <c r="Z112" i="15"/>
  <c r="AC119" i="15"/>
  <c r="S155" i="15"/>
  <c r="AG155" i="15" s="1"/>
  <c r="S161" i="15"/>
  <c r="AD178" i="15"/>
  <c r="AC180" i="15"/>
  <c r="AF183" i="15"/>
  <c r="V185" i="15"/>
  <c r="X186" i="15"/>
  <c r="U189" i="15"/>
  <c r="V190" i="15"/>
  <c r="AG193" i="15"/>
  <c r="Z217" i="15"/>
  <c r="X218" i="15"/>
  <c r="Y227" i="15"/>
  <c r="U228" i="15"/>
  <c r="AJ228" i="15" s="1"/>
  <c r="X234" i="15"/>
  <c r="W240" i="15"/>
  <c r="X242" i="15"/>
  <c r="T247" i="15"/>
  <c r="Z261" i="15"/>
  <c r="X263" i="15"/>
  <c r="T270" i="15"/>
  <c r="AG270" i="15"/>
  <c r="V272" i="15"/>
  <c r="AG272" i="15"/>
  <c r="W278" i="15"/>
  <c r="Z279" i="15"/>
  <c r="AC280" i="15"/>
  <c r="X281" i="15"/>
  <c r="AD283" i="15"/>
  <c r="Z75" i="15"/>
  <c r="W259" i="15"/>
  <c r="W260" i="15"/>
  <c r="U265" i="15"/>
  <c r="W270" i="15"/>
  <c r="X272" i="15"/>
  <c r="Z278" i="15"/>
  <c r="AC279" i="15"/>
  <c r="T280" i="15"/>
  <c r="AF280" i="15"/>
  <c r="Z281" i="15"/>
  <c r="AG283" i="15"/>
  <c r="T288" i="15"/>
  <c r="V100" i="15"/>
  <c r="Z114" i="15"/>
  <c r="S149" i="15"/>
  <c r="W149" i="15" s="1"/>
  <c r="AE224" i="15"/>
  <c r="AB231" i="15"/>
  <c r="X243" i="15"/>
  <c r="X255" i="15"/>
  <c r="S42" i="15"/>
  <c r="Y61" i="15"/>
  <c r="W63" i="15"/>
  <c r="V66" i="15"/>
  <c r="V68" i="15"/>
  <c r="X72" i="15"/>
  <c r="AC75" i="15"/>
  <c r="AB77" i="15"/>
  <c r="AD79" i="15"/>
  <c r="T105" i="15"/>
  <c r="V111" i="15"/>
  <c r="AE114" i="15"/>
  <c r="T124" i="15"/>
  <c r="S142" i="15"/>
  <c r="S158" i="15"/>
  <c r="U158" i="15" s="1"/>
  <c r="U183" i="15"/>
  <c r="AG188" i="15"/>
  <c r="AG189" i="15"/>
  <c r="AE190" i="15"/>
  <c r="V201" i="15"/>
  <c r="AA221" i="15"/>
  <c r="AC227" i="15"/>
  <c r="AC228" i="15"/>
  <c r="AE234" i="15"/>
  <c r="V237" i="15"/>
  <c r="AE240" i="15"/>
  <c r="AE242" i="15"/>
  <c r="AF243" i="15"/>
  <c r="AC255" i="15"/>
  <c r="AE257" i="15"/>
  <c r="AA259" i="15"/>
  <c r="AD265" i="15"/>
  <c r="X267" i="15"/>
  <c r="X270" i="15"/>
  <c r="Y272" i="15"/>
  <c r="U275" i="15"/>
  <c r="AE278" i="15"/>
  <c r="AG279" i="15"/>
  <c r="U280" i="15"/>
  <c r="AG280" i="15"/>
  <c r="AE281" i="15"/>
  <c r="AB288" i="15"/>
  <c r="V79" i="15"/>
  <c r="AE63" i="15"/>
  <c r="Z72" i="15"/>
  <c r="AF234" i="15"/>
  <c r="AF240" i="15"/>
  <c r="AF242" i="15"/>
  <c r="AG243" i="15"/>
  <c r="AE255" i="15"/>
  <c r="AC259" i="15"/>
  <c r="Y270" i="15"/>
  <c r="W280" i="15"/>
  <c r="AF281" i="15"/>
  <c r="Z66" i="15"/>
  <c r="AG77" i="15"/>
  <c r="Y105" i="15"/>
  <c r="W183" i="15"/>
  <c r="AD201" i="15"/>
  <c r="W50" i="15"/>
  <c r="W56" i="15"/>
  <c r="AF61" i="15"/>
  <c r="AG63" i="15"/>
  <c r="AE66" i="15"/>
  <c r="U69" i="15"/>
  <c r="V76" i="15"/>
  <c r="W83" i="15"/>
  <c r="AD105" i="15"/>
  <c r="AC108" i="15"/>
  <c r="AB113" i="15"/>
  <c r="AE117" i="15"/>
  <c r="X119" i="15"/>
  <c r="W173" i="15"/>
  <c r="V180" i="15"/>
  <c r="X183" i="15"/>
  <c r="X193" i="15"/>
  <c r="AG197" i="15"/>
  <c r="AF201" i="15"/>
  <c r="AD213" i="15"/>
  <c r="Y215" i="15"/>
  <c r="U220" i="15"/>
  <c r="AG221" i="15"/>
  <c r="X223" i="15"/>
  <c r="U234" i="15"/>
  <c r="AG234" i="15"/>
  <c r="U242" i="15"/>
  <c r="AG242" i="15"/>
  <c r="AF255" i="15"/>
  <c r="AD259" i="15"/>
  <c r="U264" i="15"/>
  <c r="AA270" i="15"/>
  <c r="AC272" i="15"/>
  <c r="X280" i="15"/>
  <c r="S38" i="15"/>
  <c r="AG38" i="15" s="1"/>
  <c r="V55" i="15"/>
  <c r="AG111" i="15"/>
  <c r="S22" i="15"/>
  <c r="Y22" i="15" s="1"/>
  <c r="X53" i="15"/>
  <c r="AF56" i="15"/>
  <c r="AG61" i="15"/>
  <c r="W69" i="15"/>
  <c r="AD76" i="15"/>
  <c r="V78" i="15"/>
  <c r="AB102" i="15"/>
  <c r="Y104" i="15"/>
  <c r="Y119" i="15"/>
  <c r="S136" i="15"/>
  <c r="S147" i="15"/>
  <c r="S152" i="15"/>
  <c r="Y180" i="15"/>
  <c r="AC183" i="15"/>
  <c r="Y193" i="15"/>
  <c r="V234" i="15"/>
  <c r="V242" i="15"/>
  <c r="AE270" i="15"/>
  <c r="AE272" i="15"/>
  <c r="Y280" i="15"/>
  <c r="F51" i="15"/>
  <c r="K56" i="15"/>
  <c r="J67" i="15"/>
  <c r="K74" i="15"/>
  <c r="K214" i="15"/>
  <c r="Q283" i="15"/>
  <c r="D21" i="15"/>
  <c r="J59" i="15"/>
  <c r="P66" i="15"/>
  <c r="P67" i="15"/>
  <c r="Q74" i="15"/>
  <c r="G91" i="15"/>
  <c r="K96" i="15"/>
  <c r="R99" i="15"/>
  <c r="H101" i="15"/>
  <c r="P112" i="15"/>
  <c r="N119" i="15"/>
  <c r="D140" i="15"/>
  <c r="L140" i="15" s="1"/>
  <c r="D153" i="15"/>
  <c r="I173" i="15"/>
  <c r="I186" i="15"/>
  <c r="J191" i="15"/>
  <c r="H201" i="15"/>
  <c r="P216" i="15"/>
  <c r="G218" i="15"/>
  <c r="K227" i="15"/>
  <c r="AO227" i="15" s="1"/>
  <c r="H232" i="15"/>
  <c r="I237" i="15"/>
  <c r="K256" i="15"/>
  <c r="N259" i="15"/>
  <c r="R261" i="15"/>
  <c r="O265" i="15"/>
  <c r="P266" i="15"/>
  <c r="I269" i="15"/>
  <c r="F272" i="15"/>
  <c r="Q275" i="15"/>
  <c r="P278" i="15"/>
  <c r="AN276" i="15"/>
  <c r="J216" i="15"/>
  <c r="E50" i="15"/>
  <c r="H51" i="15"/>
  <c r="D35" i="15"/>
  <c r="F50" i="15"/>
  <c r="I51" i="15"/>
  <c r="G52" i="15"/>
  <c r="G58" i="15"/>
  <c r="K59" i="15"/>
  <c r="R61" i="15"/>
  <c r="E66" i="15"/>
  <c r="R66" i="15"/>
  <c r="R67" i="15"/>
  <c r="K77" i="15"/>
  <c r="H91" i="15"/>
  <c r="I101" i="15"/>
  <c r="AM101" i="15" s="1"/>
  <c r="O119" i="15"/>
  <c r="AI119" i="15"/>
  <c r="J173" i="15"/>
  <c r="F177" i="15"/>
  <c r="E181" i="15"/>
  <c r="N186" i="15"/>
  <c r="R191" i="15"/>
  <c r="O193" i="15"/>
  <c r="N196" i="15"/>
  <c r="R200" i="15"/>
  <c r="P201" i="15"/>
  <c r="Q216" i="15"/>
  <c r="I218" i="15"/>
  <c r="H221" i="15"/>
  <c r="J232" i="15"/>
  <c r="J237" i="15"/>
  <c r="N256" i="15"/>
  <c r="R265" i="15"/>
  <c r="K269" i="15"/>
  <c r="N272" i="15"/>
  <c r="F277" i="15"/>
  <c r="R278" i="15"/>
  <c r="K284" i="15"/>
  <c r="N269" i="15"/>
  <c r="O272" i="15"/>
  <c r="AS269" i="15"/>
  <c r="K51" i="15"/>
  <c r="I52" i="15"/>
  <c r="P58" i="15"/>
  <c r="G66" i="15"/>
  <c r="AK66" i="15" s="1"/>
  <c r="F67" i="15"/>
  <c r="F74" i="15"/>
  <c r="K75" i="15"/>
  <c r="AO75" i="15" s="1"/>
  <c r="AH67" i="15"/>
  <c r="E94" i="15"/>
  <c r="P98" i="15"/>
  <c r="K101" i="15"/>
  <c r="I103" i="15"/>
  <c r="G106" i="15"/>
  <c r="M108" i="15"/>
  <c r="H109" i="15"/>
  <c r="R114" i="15"/>
  <c r="Q115" i="15"/>
  <c r="F119" i="15"/>
  <c r="Q119" i="15"/>
  <c r="D132" i="15"/>
  <c r="D150" i="15"/>
  <c r="D155" i="15"/>
  <c r="J174" i="15"/>
  <c r="I181" i="15"/>
  <c r="M184" i="15"/>
  <c r="Q186" i="15"/>
  <c r="E214" i="15"/>
  <c r="G216" i="15"/>
  <c r="M218" i="15"/>
  <c r="F220" i="15"/>
  <c r="K221" i="15"/>
  <c r="O226" i="15"/>
  <c r="R232" i="15"/>
  <c r="E234" i="15"/>
  <c r="H235" i="15"/>
  <c r="Q237" i="15"/>
  <c r="F256" i="15"/>
  <c r="P256" i="15"/>
  <c r="E265" i="15"/>
  <c r="Q269" i="15"/>
  <c r="P272" i="15"/>
  <c r="H273" i="15"/>
  <c r="E275" i="15"/>
  <c r="E283" i="15"/>
  <c r="Q284" i="15"/>
  <c r="AO270" i="15"/>
  <c r="AI280" i="15"/>
  <c r="P232" i="15"/>
  <c r="D30" i="15"/>
  <c r="K52" i="15"/>
  <c r="Q58" i="15"/>
  <c r="H67" i="15"/>
  <c r="G74" i="15"/>
  <c r="M101" i="15"/>
  <c r="AQ101" i="15" s="1"/>
  <c r="H106" i="15"/>
  <c r="AL106" i="15" s="1"/>
  <c r="D146" i="15"/>
  <c r="M174" i="15"/>
  <c r="N184" i="15"/>
  <c r="H214" i="15"/>
  <c r="H216" i="15"/>
  <c r="O218" i="15"/>
  <c r="H220" i="15"/>
  <c r="H234" i="15"/>
  <c r="AL234" i="15" s="1"/>
  <c r="I235" i="15"/>
  <c r="H265" i="15"/>
  <c r="Q272" i="15"/>
  <c r="H275" i="15"/>
  <c r="M280" i="15"/>
  <c r="H281" i="15"/>
  <c r="M283" i="15"/>
  <c r="AV280" i="15"/>
  <c r="D33" i="15"/>
  <c r="I67" i="15"/>
  <c r="I74" i="15"/>
  <c r="P101" i="15"/>
  <c r="I214" i="15"/>
  <c r="I216" i="15"/>
  <c r="P218" i="15"/>
  <c r="L220" i="15"/>
  <c r="M234" i="15"/>
  <c r="AQ234" i="15" s="1"/>
  <c r="K235" i="15"/>
  <c r="I265" i="15"/>
  <c r="J275" i="15"/>
  <c r="O280" i="15"/>
  <c r="I281" i="15"/>
  <c r="N283" i="15"/>
  <c r="AO273" i="15"/>
  <c r="AQ281" i="15"/>
  <c r="M220" i="15"/>
  <c r="R234" i="15"/>
  <c r="AV234" i="15" s="1"/>
  <c r="K275" i="15"/>
  <c r="D38" i="15"/>
  <c r="Q38" i="15" s="1"/>
  <c r="G51" i="15"/>
  <c r="I59" i="15"/>
  <c r="R60" i="15"/>
  <c r="O66" i="15"/>
  <c r="N67" i="15"/>
  <c r="AR67" i="15" s="1"/>
  <c r="P74" i="15"/>
  <c r="K76" i="15"/>
  <c r="F91" i="15"/>
  <c r="O95" i="15"/>
  <c r="J96" i="15"/>
  <c r="K99" i="15"/>
  <c r="J100" i="15"/>
  <c r="G101" i="15"/>
  <c r="R101" i="15"/>
  <c r="R104" i="15"/>
  <c r="J112" i="15"/>
  <c r="J119" i="15"/>
  <c r="D157" i="15"/>
  <c r="J157" i="15" s="1"/>
  <c r="G173" i="15"/>
  <c r="Q181" i="15"/>
  <c r="H186" i="15"/>
  <c r="I191" i="15"/>
  <c r="J196" i="15"/>
  <c r="G201" i="15"/>
  <c r="AL186" i="15"/>
  <c r="M214" i="15"/>
  <c r="L216" i="15"/>
  <c r="K217" i="15"/>
  <c r="F218" i="15"/>
  <c r="J224" i="15"/>
  <c r="J227" i="15"/>
  <c r="AN227" i="15" s="1"/>
  <c r="G232" i="15"/>
  <c r="G237" i="15"/>
  <c r="AK237" i="15" s="1"/>
  <c r="J256" i="15"/>
  <c r="L261" i="15"/>
  <c r="I262" i="15"/>
  <c r="H266" i="15"/>
  <c r="F269" i="15"/>
  <c r="O270" i="15"/>
  <c r="P273" i="15"/>
  <c r="N275" i="15"/>
  <c r="H278" i="15"/>
  <c r="L268" i="15"/>
  <c r="AT268" i="15"/>
  <c r="AL268" i="15"/>
  <c r="AR268" i="15"/>
  <c r="AJ268" i="15"/>
  <c r="AP268" i="15"/>
  <c r="AH268" i="15"/>
  <c r="AV268" i="15"/>
  <c r="AI268" i="15"/>
  <c r="AU268" i="15"/>
  <c r="K268" i="15"/>
  <c r="AS268" i="15"/>
  <c r="AQ268" i="15"/>
  <c r="R268" i="15"/>
  <c r="I268" i="15"/>
  <c r="AO268" i="15"/>
  <c r="AN268" i="15"/>
  <c r="AM268" i="15"/>
  <c r="U254" i="15"/>
  <c r="E255" i="15"/>
  <c r="P255" i="15"/>
  <c r="E257" i="15"/>
  <c r="W258" i="15"/>
  <c r="AE259" i="15"/>
  <c r="E260" i="15"/>
  <c r="N260" i="15"/>
  <c r="X260" i="15"/>
  <c r="AC262" i="15"/>
  <c r="Y263" i="15"/>
  <c r="W264" i="15"/>
  <c r="L265" i="15"/>
  <c r="AV265" i="15"/>
  <c r="AN265" i="15"/>
  <c r="AT265" i="15"/>
  <c r="AL265" i="15"/>
  <c r="AR265" i="15"/>
  <c r="AJ265" i="15"/>
  <c r="AI265" i="15"/>
  <c r="AU265" i="15"/>
  <c r="AH265" i="15"/>
  <c r="AS265" i="15"/>
  <c r="AQ265" i="15"/>
  <c r="AP265" i="15"/>
  <c r="AO265" i="15"/>
  <c r="AM265" i="15"/>
  <c r="N265" i="15"/>
  <c r="V265" i="15"/>
  <c r="AE265" i="15"/>
  <c r="I266" i="15"/>
  <c r="U266" i="15"/>
  <c r="H267" i="15"/>
  <c r="E268" i="15"/>
  <c r="P268" i="15"/>
  <c r="K272" i="15"/>
  <c r="AT272" i="15"/>
  <c r="AL272" i="15"/>
  <c r="AR272" i="15"/>
  <c r="AJ272" i="15"/>
  <c r="AP272" i="15"/>
  <c r="AH272" i="15"/>
  <c r="AQ272" i="15"/>
  <c r="AO272" i="15"/>
  <c r="J272" i="15"/>
  <c r="AN272" i="15"/>
  <c r="AM272" i="15"/>
  <c r="H272" i="15"/>
  <c r="AK272" i="15"/>
  <c r="R272" i="15"/>
  <c r="G272" i="15"/>
  <c r="AV272" i="15"/>
  <c r="AI272" i="15"/>
  <c r="AU272" i="15"/>
  <c r="W275" i="15"/>
  <c r="AV277" i="15"/>
  <c r="AN277" i="15"/>
  <c r="AT277" i="15"/>
  <c r="AL277" i="15"/>
  <c r="AR277" i="15"/>
  <c r="AJ277" i="15"/>
  <c r="AU277" i="15"/>
  <c r="AH277" i="15"/>
  <c r="AS277" i="15"/>
  <c r="AQ277" i="15"/>
  <c r="AP277" i="15"/>
  <c r="AO277" i="15"/>
  <c r="AM277" i="15"/>
  <c r="AK277" i="15"/>
  <c r="O277" i="15"/>
  <c r="Q279" i="15"/>
  <c r="AR279" i="15"/>
  <c r="AJ279" i="15"/>
  <c r="AP279" i="15"/>
  <c r="AH279" i="15"/>
  <c r="AV279" i="15"/>
  <c r="AN279" i="15"/>
  <c r="AL279" i="15"/>
  <c r="AK279" i="15"/>
  <c r="AU279" i="15"/>
  <c r="AI279" i="15"/>
  <c r="AT279" i="15"/>
  <c r="AS279" i="15"/>
  <c r="AQ279" i="15"/>
  <c r="AO279" i="15"/>
  <c r="J279" i="15"/>
  <c r="AK268" i="15"/>
  <c r="Z254" i="15"/>
  <c r="F255" i="15"/>
  <c r="F257" i="15"/>
  <c r="AF258" i="15"/>
  <c r="T259" i="15"/>
  <c r="AF259" i="15"/>
  <c r="F260" i="15"/>
  <c r="O260" i="15"/>
  <c r="Y260" i="15"/>
  <c r="T261" i="15"/>
  <c r="T262" i="15"/>
  <c r="AD262" i="15"/>
  <c r="Z263" i="15"/>
  <c r="Z264" i="15"/>
  <c r="W265" i="15"/>
  <c r="AF265" i="15"/>
  <c r="J266" i="15"/>
  <c r="X266" i="15"/>
  <c r="K267" i="15"/>
  <c r="F268" i="15"/>
  <c r="Q268" i="15"/>
  <c r="L271" i="15"/>
  <c r="AR271" i="15"/>
  <c r="AJ271" i="15"/>
  <c r="AP271" i="15"/>
  <c r="AH271" i="15"/>
  <c r="AV271" i="15"/>
  <c r="AN271" i="15"/>
  <c r="AU271" i="15"/>
  <c r="AI271" i="15"/>
  <c r="AT271" i="15"/>
  <c r="AS271" i="15"/>
  <c r="AQ271" i="15"/>
  <c r="AO271" i="15"/>
  <c r="AM271" i="15"/>
  <c r="AL271" i="15"/>
  <c r="Z275" i="15"/>
  <c r="AK265" i="15"/>
  <c r="E254" i="15"/>
  <c r="AB254" i="15"/>
  <c r="G255" i="15"/>
  <c r="U255" i="15"/>
  <c r="K257" i="15"/>
  <c r="U259" i="15"/>
  <c r="G260" i="15"/>
  <c r="P260" i="15"/>
  <c r="AD260" i="15"/>
  <c r="E261" i="15"/>
  <c r="V261" i="15"/>
  <c r="U262" i="15"/>
  <c r="AE262" i="15"/>
  <c r="AB263" i="15"/>
  <c r="AB264" i="15"/>
  <c r="F265" i="15"/>
  <c r="P265" i="15"/>
  <c r="X265" i="15"/>
  <c r="AG265" i="15"/>
  <c r="K266" i="15"/>
  <c r="G268" i="15"/>
  <c r="AE268" i="15"/>
  <c r="V268" i="15"/>
  <c r="F271" i="15"/>
  <c r="AE273" i="15"/>
  <c r="AF273" i="15"/>
  <c r="Z273" i="15"/>
  <c r="AC274" i="15"/>
  <c r="Z274" i="15"/>
  <c r="T274" i="15"/>
  <c r="AD275" i="15"/>
  <c r="AA277" i="15"/>
  <c r="AB277" i="15"/>
  <c r="W277" i="15"/>
  <c r="V277" i="15"/>
  <c r="T277" i="15"/>
  <c r="AS272" i="15"/>
  <c r="AM279" i="15"/>
  <c r="AG266" i="15"/>
  <c r="AF266" i="15"/>
  <c r="O268" i="15"/>
  <c r="J254" i="15"/>
  <c r="AC254" i="15"/>
  <c r="H255" i="15"/>
  <c r="W255" i="15"/>
  <c r="M256" i="15"/>
  <c r="M257" i="15"/>
  <c r="V259" i="15"/>
  <c r="H260" i="15"/>
  <c r="Q260" i="15"/>
  <c r="AF260" i="15"/>
  <c r="I261" i="15"/>
  <c r="Y261" i="15"/>
  <c r="V262" i="15"/>
  <c r="AF262" i="15"/>
  <c r="AE263" i="15"/>
  <c r="AC264" i="15"/>
  <c r="G265" i="15"/>
  <c r="Q265" i="15"/>
  <c r="Y265" i="15"/>
  <c r="M266" i="15"/>
  <c r="AC266" i="15"/>
  <c r="H268" i="15"/>
  <c r="X268" i="15"/>
  <c r="O271" i="15"/>
  <c r="I272" i="15"/>
  <c r="W273" i="15"/>
  <c r="AB274" i="15"/>
  <c r="AD277" i="15"/>
  <c r="O255" i="15"/>
  <c r="K255" i="15"/>
  <c r="N257" i="15"/>
  <c r="I260" i="15"/>
  <c r="R260" i="15"/>
  <c r="AG260" i="15"/>
  <c r="AF263" i="15"/>
  <c r="AE264" i="15"/>
  <c r="Z265" i="15"/>
  <c r="J268" i="15"/>
  <c r="AA271" i="15"/>
  <c r="Y271" i="15"/>
  <c r="V271" i="15"/>
  <c r="M255" i="15"/>
  <c r="J260" i="15"/>
  <c r="T263" i="15"/>
  <c r="AG263" i="15"/>
  <c r="AB265" i="15"/>
  <c r="O266" i="15"/>
  <c r="AP266" i="15"/>
  <c r="AH266" i="15"/>
  <c r="AV266" i="15"/>
  <c r="AN266" i="15"/>
  <c r="AT266" i="15"/>
  <c r="AL266" i="15"/>
  <c r="AR266" i="15"/>
  <c r="AQ266" i="15"/>
  <c r="AO266" i="15"/>
  <c r="AM266" i="15"/>
  <c r="AK266" i="15"/>
  <c r="AJ266" i="15"/>
  <c r="AU266" i="15"/>
  <c r="AI266" i="15"/>
  <c r="Q266" i="15"/>
  <c r="L267" i="15"/>
  <c r="AR267" i="15"/>
  <c r="AJ267" i="15"/>
  <c r="AP267" i="15"/>
  <c r="AH267" i="15"/>
  <c r="AV267" i="15"/>
  <c r="AN267" i="15"/>
  <c r="AM267" i="15"/>
  <c r="AL267" i="15"/>
  <c r="P267" i="15"/>
  <c r="AK267" i="15"/>
  <c r="AU267" i="15"/>
  <c r="AI267" i="15"/>
  <c r="M267" i="15"/>
  <c r="AT267" i="15"/>
  <c r="AS267" i="15"/>
  <c r="AQ267" i="15"/>
  <c r="M268" i="15"/>
  <c r="AE271" i="15"/>
  <c r="Y276" i="15"/>
  <c r="N255" i="15"/>
  <c r="V257" i="15"/>
  <c r="E259" i="15"/>
  <c r="K260" i="15"/>
  <c r="V260" i="15"/>
  <c r="W263" i="15"/>
  <c r="T264" i="15"/>
  <c r="T265" i="15"/>
  <c r="AC265" i="15"/>
  <c r="E266" i="15"/>
  <c r="R266" i="15"/>
  <c r="E267" i="15"/>
  <c r="N268" i="15"/>
  <c r="AB275" i="15"/>
  <c r="AC275" i="15"/>
  <c r="Y275" i="15"/>
  <c r="X275" i="15"/>
  <c r="AF275" i="15"/>
  <c r="V275" i="15"/>
  <c r="AO267" i="15"/>
  <c r="L275" i="15"/>
  <c r="AR275" i="15"/>
  <c r="AJ275" i="15"/>
  <c r="AP275" i="15"/>
  <c r="AH275" i="15"/>
  <c r="AV275" i="15"/>
  <c r="AN275" i="15"/>
  <c r="M275" i="15"/>
  <c r="G278" i="15"/>
  <c r="Q278" i="15"/>
  <c r="AD278" i="15"/>
  <c r="J281" i="15"/>
  <c r="L283" i="15"/>
  <c r="AS283" i="15"/>
  <c r="AK283" i="15"/>
  <c r="AR283" i="15"/>
  <c r="AJ283" i="15"/>
  <c r="AQ283" i="15"/>
  <c r="AP283" i="15"/>
  <c r="AH283" i="15"/>
  <c r="R283" i="15"/>
  <c r="I283" i="15"/>
  <c r="AV283" i="15"/>
  <c r="AN283" i="15"/>
  <c r="P283" i="15"/>
  <c r="G283" i="15"/>
  <c r="O283" i="15"/>
  <c r="AH269" i="15"/>
  <c r="AU269" i="15"/>
  <c r="AQ270" i="15"/>
  <c r="AP273" i="15"/>
  <c r="AK274" i="15"/>
  <c r="AT275" i="15"/>
  <c r="AO276" i="15"/>
  <c r="AS278" i="15"/>
  <c r="AK280" i="15"/>
  <c r="AS281" i="15"/>
  <c r="AM283" i="15"/>
  <c r="Q282" i="15"/>
  <c r="AP282" i="15"/>
  <c r="AH282" i="15"/>
  <c r="AV282" i="15"/>
  <c r="AN282" i="15"/>
  <c r="AT282" i="15"/>
  <c r="AL282" i="15"/>
  <c r="R282" i="15"/>
  <c r="AE284" i="15"/>
  <c r="X284" i="15"/>
  <c r="AI269" i="15"/>
  <c r="AQ273" i="15"/>
  <c r="AM274" i="15"/>
  <c r="AI275" i="15"/>
  <c r="AU275" i="15"/>
  <c r="AQ276" i="15"/>
  <c r="AI278" i="15"/>
  <c r="AU278" i="15"/>
  <c r="AM280" i="15"/>
  <c r="AH281" i="15"/>
  <c r="AU281" i="15"/>
  <c r="AQ282" i="15"/>
  <c r="AO283" i="15"/>
  <c r="M270" i="15"/>
  <c r="AP270" i="15"/>
  <c r="AH270" i="15"/>
  <c r="AV270" i="15"/>
  <c r="AN270" i="15"/>
  <c r="AT270" i="15"/>
  <c r="AL270" i="15"/>
  <c r="F275" i="15"/>
  <c r="O275" i="15"/>
  <c r="I278" i="15"/>
  <c r="AF278" i="15"/>
  <c r="AB280" i="15"/>
  <c r="P281" i="15"/>
  <c r="J282" i="15"/>
  <c r="F283" i="15"/>
  <c r="AB283" i="15"/>
  <c r="AC283" i="15"/>
  <c r="Y283" i="15"/>
  <c r="AF283" i="15"/>
  <c r="Y284" i="15"/>
  <c r="AS270" i="15"/>
  <c r="AS273" i="15"/>
  <c r="AO274" i="15"/>
  <c r="AK275" i="15"/>
  <c r="AS276" i="15"/>
  <c r="AJ278" i="15"/>
  <c r="AI281" i="15"/>
  <c r="AR282" i="15"/>
  <c r="AT283" i="15"/>
  <c r="R269" i="15"/>
  <c r="AV269" i="15"/>
  <c r="AN269" i="15"/>
  <c r="AT269" i="15"/>
  <c r="AL269" i="15"/>
  <c r="AR269" i="15"/>
  <c r="AJ269" i="15"/>
  <c r="F270" i="15"/>
  <c r="Z270" i="15"/>
  <c r="AB272" i="15"/>
  <c r="O273" i="15"/>
  <c r="G275" i="15"/>
  <c r="P275" i="15"/>
  <c r="J278" i="15"/>
  <c r="V278" i="15"/>
  <c r="AG278" i="15"/>
  <c r="T279" i="15"/>
  <c r="L280" i="15"/>
  <c r="AT280" i="15"/>
  <c r="AL280" i="15"/>
  <c r="AR280" i="15"/>
  <c r="AJ280" i="15"/>
  <c r="AP280" i="15"/>
  <c r="AH280" i="15"/>
  <c r="Q281" i="15"/>
  <c r="K282" i="15"/>
  <c r="H283" i="15"/>
  <c r="O284" i="15"/>
  <c r="AU284" i="15"/>
  <c r="AM284" i="15"/>
  <c r="AT284" i="15"/>
  <c r="AL284" i="15"/>
  <c r="AS284" i="15"/>
  <c r="AK284" i="15"/>
  <c r="AR284" i="15"/>
  <c r="AJ284" i="15"/>
  <c r="H284" i="15"/>
  <c r="AP284" i="15"/>
  <c r="AH284" i="15"/>
  <c r="R284" i="15"/>
  <c r="Z284" i="15"/>
  <c r="AM269" i="15"/>
  <c r="AI270" i="15"/>
  <c r="AU270" i="15"/>
  <c r="AH273" i="15"/>
  <c r="AU273" i="15"/>
  <c r="AQ274" i="15"/>
  <c r="AL275" i="15"/>
  <c r="AK278" i="15"/>
  <c r="AO280" i="15"/>
  <c r="AS282" i="15"/>
  <c r="AU283" i="15"/>
  <c r="AN284" i="15"/>
  <c r="AT276" i="15"/>
  <c r="AL276" i="15"/>
  <c r="AR276" i="15"/>
  <c r="AJ276" i="15"/>
  <c r="AP276" i="15"/>
  <c r="AH276" i="15"/>
  <c r="K278" i="15"/>
  <c r="N281" i="15"/>
  <c r="AV281" i="15"/>
  <c r="AN281" i="15"/>
  <c r="AT281" i="15"/>
  <c r="AL281" i="15"/>
  <c r="AR281" i="15"/>
  <c r="AJ281" i="15"/>
  <c r="R281" i="15"/>
  <c r="J283" i="15"/>
  <c r="I284" i="15"/>
  <c r="AF284" i="15"/>
  <c r="AO269" i="15"/>
  <c r="AJ270" i="15"/>
  <c r="AM275" i="15"/>
  <c r="AI276" i="15"/>
  <c r="AV276" i="15"/>
  <c r="AM278" i="15"/>
  <c r="AQ280" i="15"/>
  <c r="AM281" i="15"/>
  <c r="AI282" i="15"/>
  <c r="AU282" i="15"/>
  <c r="AO284" i="15"/>
  <c r="U272" i="15"/>
  <c r="AD272" i="15"/>
  <c r="N273" i="15"/>
  <c r="AV273" i="15"/>
  <c r="AN273" i="15"/>
  <c r="AT273" i="15"/>
  <c r="AL273" i="15"/>
  <c r="AR273" i="15"/>
  <c r="AJ273" i="15"/>
  <c r="Q273" i="15"/>
  <c r="AP274" i="15"/>
  <c r="AH274" i="15"/>
  <c r="AV274" i="15"/>
  <c r="AN274" i="15"/>
  <c r="AT274" i="15"/>
  <c r="AL274" i="15"/>
  <c r="I275" i="15"/>
  <c r="R275" i="15"/>
  <c r="K276" i="15"/>
  <c r="N278" i="15"/>
  <c r="X278" i="15"/>
  <c r="Y279" i="15"/>
  <c r="G280" i="15"/>
  <c r="V280" i="15"/>
  <c r="AE280" i="15"/>
  <c r="G281" i="15"/>
  <c r="AD281" i="15"/>
  <c r="W281" i="15"/>
  <c r="K283" i="15"/>
  <c r="W283" i="15"/>
  <c r="J284" i="15"/>
  <c r="AG284" i="15"/>
  <c r="AP269" i="15"/>
  <c r="AK270" i="15"/>
  <c r="AK273" i="15"/>
  <c r="AS274" i="15"/>
  <c r="AO275" i="15"/>
  <c r="AK276" i="15"/>
  <c r="AS280" i="15"/>
  <c r="AO281" i="15"/>
  <c r="AJ282" i="15"/>
  <c r="AQ284" i="15"/>
  <c r="M278" i="15"/>
  <c r="AP278" i="15"/>
  <c r="AH278" i="15"/>
  <c r="AV278" i="15"/>
  <c r="AN278" i="15"/>
  <c r="AT278" i="15"/>
  <c r="AL278" i="15"/>
  <c r="O278" i="15"/>
  <c r="AQ269" i="15"/>
  <c r="AM270" i="15"/>
  <c r="AM273" i="15"/>
  <c r="AI274" i="15"/>
  <c r="AU274" i="15"/>
  <c r="AQ275" i="15"/>
  <c r="AM276" i="15"/>
  <c r="AQ278" i="15"/>
  <c r="AU280" i="15"/>
  <c r="AP281" i="15"/>
  <c r="AK282" i="15"/>
  <c r="AI283" i="15"/>
  <c r="AV284" i="15"/>
  <c r="D160" i="15"/>
  <c r="J213" i="15"/>
  <c r="AE213" i="15"/>
  <c r="G215" i="15"/>
  <c r="Y218" i="15"/>
  <c r="M219" i="15"/>
  <c r="AF224" i="15"/>
  <c r="W225" i="15"/>
  <c r="T226" i="15"/>
  <c r="AC226" i="15"/>
  <c r="E229" i="15"/>
  <c r="O229" i="15"/>
  <c r="AC231" i="15"/>
  <c r="I234" i="15"/>
  <c r="AM234" i="15" s="1"/>
  <c r="AD234" i="15"/>
  <c r="X235" i="15"/>
  <c r="K237" i="15"/>
  <c r="W237" i="15"/>
  <c r="Z238" i="15"/>
  <c r="T239" i="15"/>
  <c r="AD239" i="15"/>
  <c r="H240" i="15"/>
  <c r="AL240" i="15" s="1"/>
  <c r="K241" i="15"/>
  <c r="E242" i="15"/>
  <c r="N242" i="15"/>
  <c r="AR242" i="15" s="1"/>
  <c r="P243" i="15"/>
  <c r="AT243" i="15" s="1"/>
  <c r="AB247" i="15"/>
  <c r="AB226" i="15"/>
  <c r="N229" i="15"/>
  <c r="K213" i="15"/>
  <c r="U213" i="15"/>
  <c r="AF213" i="15"/>
  <c r="H215" i="15"/>
  <c r="AA215" i="15"/>
  <c r="R216" i="15"/>
  <c r="J217" i="15"/>
  <c r="H218" i="15"/>
  <c r="R218" i="15"/>
  <c r="Z218" i="15"/>
  <c r="P219" i="15"/>
  <c r="AF219" i="15"/>
  <c r="K220" i="15"/>
  <c r="J221" i="15"/>
  <c r="Y223" i="15"/>
  <c r="T224" i="15"/>
  <c r="AG224" i="15"/>
  <c r="AV224" i="15" s="1"/>
  <c r="M226" i="15"/>
  <c r="AQ226" i="15" s="1"/>
  <c r="U226" i="15"/>
  <c r="AD226" i="15"/>
  <c r="M227" i="15"/>
  <c r="AF228" i="15"/>
  <c r="F229" i="15"/>
  <c r="P229" i="15"/>
  <c r="F230" i="15"/>
  <c r="AB230" i="15"/>
  <c r="AQ230" i="15" s="1"/>
  <c r="T231" i="15"/>
  <c r="AD231" i="15"/>
  <c r="W232" i="15"/>
  <c r="J234" i="15"/>
  <c r="Y235" i="15"/>
  <c r="N237" i="15"/>
  <c r="AR237" i="15" s="1"/>
  <c r="AD237" i="15"/>
  <c r="AG238" i="15"/>
  <c r="U239" i="15"/>
  <c r="AE239" i="15"/>
  <c r="P240" i="15"/>
  <c r="AT240" i="15" s="1"/>
  <c r="R241" i="15"/>
  <c r="F242" i="15"/>
  <c r="AJ242" i="15" s="1"/>
  <c r="O242" i="15"/>
  <c r="Q243" i="15"/>
  <c r="AU243" i="15" s="1"/>
  <c r="D158" i="15"/>
  <c r="M213" i="15"/>
  <c r="I215" i="15"/>
  <c r="AB218" i="15"/>
  <c r="Q219" i="15"/>
  <c r="AB223" i="15"/>
  <c r="W224" i="15"/>
  <c r="N226" i="15"/>
  <c r="AR226" i="15" s="1"/>
  <c r="V226" i="15"/>
  <c r="AE226" i="15"/>
  <c r="P227" i="15"/>
  <c r="G229" i="15"/>
  <c r="Q229" i="15"/>
  <c r="J230" i="15"/>
  <c r="AN230" i="15" s="1"/>
  <c r="AD230" i="15"/>
  <c r="U231" i="15"/>
  <c r="AE231" i="15"/>
  <c r="X232" i="15"/>
  <c r="AF235" i="15"/>
  <c r="O237" i="15"/>
  <c r="AS237" i="15" s="1"/>
  <c r="AE237" i="15"/>
  <c r="I238" i="15"/>
  <c r="V239" i="15"/>
  <c r="AG239" i="15"/>
  <c r="G242" i="15"/>
  <c r="AK242" i="15" s="1"/>
  <c r="P242" i="15"/>
  <c r="AT242" i="15" s="1"/>
  <c r="Y242" i="15"/>
  <c r="R243" i="15"/>
  <c r="AV243" i="15" s="1"/>
  <c r="AC239" i="15"/>
  <c r="M242" i="15"/>
  <c r="AQ242" i="15" s="1"/>
  <c r="E213" i="15"/>
  <c r="N213" i="15"/>
  <c r="W213" i="15"/>
  <c r="K215" i="15"/>
  <c r="T218" i="15"/>
  <c r="AC218" i="15"/>
  <c r="E219" i="15"/>
  <c r="R219" i="15"/>
  <c r="M221" i="15"/>
  <c r="J222" i="15"/>
  <c r="AC223" i="15"/>
  <c r="X224" i="15"/>
  <c r="W226" i="15"/>
  <c r="AF226" i="15"/>
  <c r="Q227" i="15"/>
  <c r="H229" i="15"/>
  <c r="AL229" i="15" s="1"/>
  <c r="R229" i="15"/>
  <c r="V231" i="15"/>
  <c r="AF231" i="15"/>
  <c r="N234" i="15"/>
  <c r="AR234" i="15" s="1"/>
  <c r="AG235" i="15"/>
  <c r="T236" i="15"/>
  <c r="W239" i="15"/>
  <c r="H242" i="15"/>
  <c r="AL242" i="15" s="1"/>
  <c r="Q242" i="15"/>
  <c r="AU242" i="15" s="1"/>
  <c r="S143" i="15"/>
  <c r="F213" i="15"/>
  <c r="O213" i="15"/>
  <c r="X213" i="15"/>
  <c r="U218" i="15"/>
  <c r="AD218" i="15"/>
  <c r="H219" i="15"/>
  <c r="E221" i="15"/>
  <c r="N221" i="15"/>
  <c r="T223" i="15"/>
  <c r="AD223" i="15"/>
  <c r="Y224" i="15"/>
  <c r="F226" i="15"/>
  <c r="AJ226" i="15" s="1"/>
  <c r="P226" i="15"/>
  <c r="AT226" i="15" s="1"/>
  <c r="X226" i="15"/>
  <c r="AG226" i="15"/>
  <c r="E227" i="15"/>
  <c r="R227" i="15"/>
  <c r="AV227" i="15" s="1"/>
  <c r="I229" i="15"/>
  <c r="E231" i="15"/>
  <c r="W231" i="15"/>
  <c r="AG231" i="15"/>
  <c r="AE232" i="15"/>
  <c r="J233" i="15"/>
  <c r="O234" i="15"/>
  <c r="AS234" i="15" s="1"/>
  <c r="AB236" i="15"/>
  <c r="X239" i="15"/>
  <c r="I242" i="15"/>
  <c r="AM242" i="15" s="1"/>
  <c r="R242" i="15"/>
  <c r="AV242" i="15" s="1"/>
  <c r="H243" i="15"/>
  <c r="D147" i="15"/>
  <c r="G213" i="15"/>
  <c r="P213" i="15"/>
  <c r="Z213" i="15"/>
  <c r="J214" i="15"/>
  <c r="N218" i="15"/>
  <c r="V218" i="15"/>
  <c r="AE218" i="15"/>
  <c r="I219" i="15"/>
  <c r="F221" i="15"/>
  <c r="O221" i="15"/>
  <c r="V222" i="15"/>
  <c r="U223" i="15"/>
  <c r="AE223" i="15"/>
  <c r="Z224" i="15"/>
  <c r="G226" i="15"/>
  <c r="AK226" i="15" s="1"/>
  <c r="Q226" i="15"/>
  <c r="AU226" i="15" s="1"/>
  <c r="Y226" i="15"/>
  <c r="H227" i="15"/>
  <c r="X228" i="15"/>
  <c r="J229" i="15"/>
  <c r="T230" i="15"/>
  <c r="G231" i="15"/>
  <c r="X231" i="15"/>
  <c r="O232" i="15"/>
  <c r="AS232" i="15" s="1"/>
  <c r="AF232" i="15"/>
  <c r="K233" i="15"/>
  <c r="F234" i="15"/>
  <c r="AJ234" i="15" s="1"/>
  <c r="P234" i="15"/>
  <c r="AT234" i="15" s="1"/>
  <c r="Y234" i="15"/>
  <c r="P235" i="15"/>
  <c r="AT235" i="15" s="1"/>
  <c r="H237" i="15"/>
  <c r="AL237" i="15" s="1"/>
  <c r="R237" i="15"/>
  <c r="R238" i="15"/>
  <c r="AV238" i="15" s="1"/>
  <c r="E239" i="15"/>
  <c r="AI239" i="15" s="1"/>
  <c r="Y239" i="15"/>
  <c r="Y240" i="15"/>
  <c r="J242" i="15"/>
  <c r="AN242" i="15" s="1"/>
  <c r="AD242" i="15"/>
  <c r="I243" i="15"/>
  <c r="AM243" i="15" s="1"/>
  <c r="Y243" i="15"/>
  <c r="S144" i="15"/>
  <c r="S153" i="15"/>
  <c r="H213" i="15"/>
  <c r="Q213" i="15"/>
  <c r="AC213" i="15"/>
  <c r="W218" i="15"/>
  <c r="AF218" i="15"/>
  <c r="J219" i="15"/>
  <c r="G221" i="15"/>
  <c r="P221" i="15"/>
  <c r="V223" i="15"/>
  <c r="AF223" i="15"/>
  <c r="AB224" i="15"/>
  <c r="H226" i="15"/>
  <c r="AL226" i="15" s="1"/>
  <c r="R226" i="15"/>
  <c r="AV226" i="15" s="1"/>
  <c r="Z226" i="15"/>
  <c r="I227" i="15"/>
  <c r="K229" i="15"/>
  <c r="O231" i="15"/>
  <c r="Y231" i="15"/>
  <c r="R233" i="15"/>
  <c r="G234" i="15"/>
  <c r="AK234" i="15" s="1"/>
  <c r="Q234" i="15"/>
  <c r="AU234" i="15" s="1"/>
  <c r="M239" i="15"/>
  <c r="AB239" i="15"/>
  <c r="K242" i="15"/>
  <c r="AO242" i="15" s="1"/>
  <c r="J243" i="15"/>
  <c r="AN243" i="15" s="1"/>
  <c r="P178" i="15"/>
  <c r="L178" i="15"/>
  <c r="R195" i="15"/>
  <c r="AH195" i="15"/>
  <c r="N195" i="15"/>
  <c r="K195" i="15"/>
  <c r="T172" i="15"/>
  <c r="F178" i="15"/>
  <c r="F195" i="15"/>
  <c r="T198" i="15"/>
  <c r="D143" i="15"/>
  <c r="V172" i="15"/>
  <c r="Y173" i="15"/>
  <c r="K175" i="15"/>
  <c r="E176" i="15"/>
  <c r="Y177" i="15"/>
  <c r="T177" i="15"/>
  <c r="G178" i="15"/>
  <c r="W178" i="15"/>
  <c r="L179" i="15"/>
  <c r="X181" i="15"/>
  <c r="T182" i="15"/>
  <c r="G183" i="15"/>
  <c r="P184" i="15"/>
  <c r="AB198" i="15"/>
  <c r="AF175" i="15"/>
  <c r="U175" i="15"/>
  <c r="K176" i="15"/>
  <c r="J179" i="15"/>
  <c r="AA206" i="15"/>
  <c r="D154" i="15"/>
  <c r="W172" i="15"/>
  <c r="Z173" i="15"/>
  <c r="M175" i="15"/>
  <c r="X175" i="15"/>
  <c r="F176" i="15"/>
  <c r="U177" i="15"/>
  <c r="H178" i="15"/>
  <c r="AA179" i="15"/>
  <c r="AB179" i="15"/>
  <c r="Y179" i="15"/>
  <c r="Z181" i="15"/>
  <c r="U182" i="15"/>
  <c r="J183" i="15"/>
  <c r="AG192" i="15"/>
  <c r="AC192" i="15"/>
  <c r="Z192" i="15"/>
  <c r="L185" i="15"/>
  <c r="AH185" i="15"/>
  <c r="N185" i="15"/>
  <c r="AR185" i="15" s="1"/>
  <c r="M185" i="15"/>
  <c r="K185" i="15"/>
  <c r="F185" i="15"/>
  <c r="V175" i="15"/>
  <c r="AH197" i="15"/>
  <c r="L197" i="15"/>
  <c r="S165" i="15"/>
  <c r="Z172" i="15"/>
  <c r="Z175" i="15"/>
  <c r="H176" i="15"/>
  <c r="K178" i="15"/>
  <c r="AC182" i="15"/>
  <c r="K183" i="15"/>
  <c r="AC196" i="15"/>
  <c r="AD196" i="15"/>
  <c r="Z196" i="15"/>
  <c r="Y196" i="15"/>
  <c r="X196" i="15"/>
  <c r="W196" i="15"/>
  <c r="AG196" i="15"/>
  <c r="V196" i="15"/>
  <c r="AA198" i="15"/>
  <c r="Z198" i="15"/>
  <c r="Y198" i="15"/>
  <c r="AG198" i="15"/>
  <c r="X198" i="15"/>
  <c r="AF198" i="15"/>
  <c r="W198" i="15"/>
  <c r="AE198" i="15"/>
  <c r="V198" i="15"/>
  <c r="AD198" i="15"/>
  <c r="U198" i="15"/>
  <c r="S131" i="15"/>
  <c r="D138" i="15"/>
  <c r="D144" i="15"/>
  <c r="AB172" i="15"/>
  <c r="L175" i="15"/>
  <c r="J175" i="15"/>
  <c r="O175" i="15"/>
  <c r="AA175" i="15"/>
  <c r="I176" i="15"/>
  <c r="N178" i="15"/>
  <c r="M182" i="15"/>
  <c r="K182" i="15"/>
  <c r="M183" i="15"/>
  <c r="O184" i="15"/>
  <c r="K184" i="15"/>
  <c r="AO184" i="15" s="1"/>
  <c r="J184" i="15"/>
  <c r="I184" i="15"/>
  <c r="AM184" i="15" s="1"/>
  <c r="R184" i="15"/>
  <c r="H184" i="15"/>
  <c r="M188" i="15"/>
  <c r="AH188" i="15"/>
  <c r="P188" i="15"/>
  <c r="AD191" i="15"/>
  <c r="AF191" i="15"/>
  <c r="AE191" i="15"/>
  <c r="Z191" i="15"/>
  <c r="X191" i="15"/>
  <c r="W191" i="15"/>
  <c r="AA182" i="15"/>
  <c r="AB182" i="15"/>
  <c r="Z182" i="15"/>
  <c r="E185" i="15"/>
  <c r="S157" i="15"/>
  <c r="AE157" i="15" s="1"/>
  <c r="AD172" i="15"/>
  <c r="E174" i="15"/>
  <c r="E175" i="15"/>
  <c r="P175" i="15"/>
  <c r="AC175" i="15"/>
  <c r="J176" i="15"/>
  <c r="Q178" i="15"/>
  <c r="F180" i="15"/>
  <c r="AD181" i="15"/>
  <c r="AB181" i="15"/>
  <c r="Y181" i="15"/>
  <c r="AF181" i="15"/>
  <c r="J182" i="15"/>
  <c r="E184" i="15"/>
  <c r="G188" i="15"/>
  <c r="L183" i="15"/>
  <c r="AR183" i="15"/>
  <c r="H183" i="15"/>
  <c r="AL183" i="15" s="1"/>
  <c r="P183" i="15"/>
  <c r="AT183" i="15" s="1"/>
  <c r="F183" i="15"/>
  <c r="AJ183" i="15" s="1"/>
  <c r="O183" i="15"/>
  <c r="AS183" i="15" s="1"/>
  <c r="E183" i="15"/>
  <c r="AH183" i="15"/>
  <c r="D142" i="15"/>
  <c r="M142" i="15" s="1"/>
  <c r="AE172" i="15"/>
  <c r="U173" i="15"/>
  <c r="H174" i="15"/>
  <c r="F175" i="15"/>
  <c r="R175" i="15"/>
  <c r="AE175" i="15"/>
  <c r="M176" i="15"/>
  <c r="AC178" i="15"/>
  <c r="AB178" i="15"/>
  <c r="X178" i="15"/>
  <c r="AG178" i="15"/>
  <c r="AA180" i="15"/>
  <c r="W180" i="15"/>
  <c r="AE180" i="15"/>
  <c r="U180" i="15"/>
  <c r="AG180" i="15"/>
  <c r="T181" i="15"/>
  <c r="AG181" i="15"/>
  <c r="L182" i="15"/>
  <c r="R183" i="15"/>
  <c r="F184" i="15"/>
  <c r="AG200" i="15"/>
  <c r="AC200" i="15"/>
  <c r="Z200" i="15"/>
  <c r="U200" i="15"/>
  <c r="AH184" i="15"/>
  <c r="L189" i="15"/>
  <c r="AH189" i="15"/>
  <c r="M190" i="15"/>
  <c r="AV190" i="15"/>
  <c r="AN190" i="15"/>
  <c r="AS190" i="15"/>
  <c r="AK190" i="15"/>
  <c r="AR190" i="15"/>
  <c r="AJ190" i="15"/>
  <c r="AQ190" i="15"/>
  <c r="AI190" i="15"/>
  <c r="AP190" i="15"/>
  <c r="AH190" i="15"/>
  <c r="X190" i="15"/>
  <c r="AG190" i="15"/>
  <c r="Q192" i="15"/>
  <c r="AH192" i="15"/>
  <c r="N199" i="15"/>
  <c r="AH199" i="15"/>
  <c r="Q199" i="15"/>
  <c r="AU199" i="15" s="1"/>
  <c r="AB201" i="15"/>
  <c r="AE201" i="15"/>
  <c r="U201" i="15"/>
  <c r="AC201" i="15"/>
  <c r="AG201" i="15"/>
  <c r="AM186" i="15"/>
  <c r="AU190" i="15"/>
  <c r="F189" i="15"/>
  <c r="AJ189" i="15" s="1"/>
  <c r="O194" i="15"/>
  <c r="AH194" i="15"/>
  <c r="G199" i="15"/>
  <c r="R199" i="15"/>
  <c r="O202" i="15"/>
  <c r="J202" i="15"/>
  <c r="H202" i="15"/>
  <c r="AH202" i="15"/>
  <c r="P181" i="15"/>
  <c r="AD186" i="15"/>
  <c r="V188" i="15"/>
  <c r="G189" i="15"/>
  <c r="AK189" i="15" s="1"/>
  <c r="Z189" i="15"/>
  <c r="O190" i="15"/>
  <c r="Z190" i="15"/>
  <c r="K191" i="15"/>
  <c r="AO191" i="15" s="1"/>
  <c r="J192" i="15"/>
  <c r="AC193" i="15"/>
  <c r="H194" i="15"/>
  <c r="T197" i="15"/>
  <c r="H199" i="15"/>
  <c r="AD199" i="15"/>
  <c r="AS199" i="15" s="1"/>
  <c r="AE199" i="15"/>
  <c r="AT199" i="15" s="1"/>
  <c r="Q200" i="15"/>
  <c r="AH200" i="15"/>
  <c r="AO200" i="15"/>
  <c r="M200" i="15"/>
  <c r="AV200" i="15"/>
  <c r="J201" i="15"/>
  <c r="W201" i="15"/>
  <c r="I202" i="15"/>
  <c r="AU201" i="15"/>
  <c r="AE186" i="15"/>
  <c r="AT186" i="15" s="1"/>
  <c r="AH187" i="15"/>
  <c r="X188" i="15"/>
  <c r="Q189" i="15"/>
  <c r="AA189" i="15"/>
  <c r="AP189" i="15" s="1"/>
  <c r="AB190" i="15"/>
  <c r="O191" i="15"/>
  <c r="K192" i="15"/>
  <c r="AO192" i="15" s="1"/>
  <c r="AD193" i="15"/>
  <c r="I194" i="15"/>
  <c r="V195" i="15"/>
  <c r="M196" i="15"/>
  <c r="AR196" i="15"/>
  <c r="AH196" i="15"/>
  <c r="AO196" i="15"/>
  <c r="AV196" i="15"/>
  <c r="AN196" i="15"/>
  <c r="AM196" i="15"/>
  <c r="AL196" i="15"/>
  <c r="O196" i="15"/>
  <c r="AS196" i="15" s="1"/>
  <c r="Y197" i="15"/>
  <c r="L198" i="15"/>
  <c r="AS198" i="15"/>
  <c r="AK198" i="15"/>
  <c r="AP198" i="15"/>
  <c r="AH198" i="15"/>
  <c r="I199" i="15"/>
  <c r="W199" i="15"/>
  <c r="E200" i="15"/>
  <c r="M201" i="15"/>
  <c r="X201" i="15"/>
  <c r="K202" i="15"/>
  <c r="AM193" i="15"/>
  <c r="G181" i="15"/>
  <c r="R181" i="15"/>
  <c r="O186" i="15"/>
  <c r="AS186" i="15"/>
  <c r="AR186" i="15"/>
  <c r="AH186" i="15"/>
  <c r="T186" i="15"/>
  <c r="AF186" i="15"/>
  <c r="L187" i="15"/>
  <c r="AP187" i="15" s="1"/>
  <c r="Y188" i="15"/>
  <c r="R189" i="15"/>
  <c r="AV189" i="15" s="1"/>
  <c r="AB189" i="15"/>
  <c r="T190" i="15"/>
  <c r="AC190" i="15"/>
  <c r="M192" i="15"/>
  <c r="K193" i="15"/>
  <c r="U193" i="15"/>
  <c r="AE193" i="15"/>
  <c r="K194" i="15"/>
  <c r="AD195" i="15"/>
  <c r="P196" i="15"/>
  <c r="AT196" i="15" s="1"/>
  <c r="Z197" i="15"/>
  <c r="J199" i="15"/>
  <c r="X199" i="15"/>
  <c r="J200" i="15"/>
  <c r="Y201" i="15"/>
  <c r="P202" i="15"/>
  <c r="AL190" i="15"/>
  <c r="V186" i="15"/>
  <c r="AG186" i="15"/>
  <c r="AE188" i="15"/>
  <c r="U190" i="15"/>
  <c r="AD190" i="15"/>
  <c r="N191" i="15"/>
  <c r="AH191" i="15"/>
  <c r="AM191" i="15"/>
  <c r="AT191" i="15"/>
  <c r="AL191" i="15"/>
  <c r="AS191" i="15"/>
  <c r="Q191" i="15"/>
  <c r="AU191" i="15" s="1"/>
  <c r="R192" i="15"/>
  <c r="AV192" i="15" s="1"/>
  <c r="L193" i="15"/>
  <c r="AT193" i="15"/>
  <c r="AL193" i="15"/>
  <c r="AS193" i="15"/>
  <c r="AR193" i="15"/>
  <c r="AJ193" i="15"/>
  <c r="AH193" i="15"/>
  <c r="AO193" i="15"/>
  <c r="AV193" i="15"/>
  <c r="AN193" i="15"/>
  <c r="M193" i="15"/>
  <c r="AQ193" i="15" s="1"/>
  <c r="V193" i="15"/>
  <c r="AK193" i="15" s="1"/>
  <c r="AF193" i="15"/>
  <c r="P194" i="15"/>
  <c r="G196" i="15"/>
  <c r="AK196" i="15" s="1"/>
  <c r="Q196" i="15"/>
  <c r="AU196" i="15" s="1"/>
  <c r="AB197" i="15"/>
  <c r="K199" i="15"/>
  <c r="AO199" i="15" s="1"/>
  <c r="Y199" i="15"/>
  <c r="L201" i="15"/>
  <c r="AT201" i="15"/>
  <c r="AL201" i="15"/>
  <c r="AK201" i="15"/>
  <c r="AR201" i="15"/>
  <c r="AJ201" i="15"/>
  <c r="AQ201" i="15"/>
  <c r="K201" i="15"/>
  <c r="AH201" i="15"/>
  <c r="R201" i="15"/>
  <c r="I201" i="15"/>
  <c r="AM201" i="15" s="1"/>
  <c r="AV201" i="15"/>
  <c r="AN201" i="15"/>
  <c r="O201" i="15"/>
  <c r="AS201" i="15" s="1"/>
  <c r="Z201" i="15"/>
  <c r="AO201" i="15" s="1"/>
  <c r="Q202" i="15"/>
  <c r="AM190" i="15"/>
  <c r="F206" i="15"/>
  <c r="K206" i="15"/>
  <c r="AG97" i="15"/>
  <c r="H92" i="15"/>
  <c r="U93" i="15"/>
  <c r="AG93" i="15"/>
  <c r="P95" i="15"/>
  <c r="T97" i="15"/>
  <c r="T98" i="15"/>
  <c r="AE98" i="15"/>
  <c r="W100" i="15"/>
  <c r="I104" i="15"/>
  <c r="Z104" i="15"/>
  <c r="U105" i="15"/>
  <c r="J107" i="15"/>
  <c r="I109" i="15"/>
  <c r="W109" i="15"/>
  <c r="E111" i="15"/>
  <c r="AI111" i="15" s="1"/>
  <c r="N111" i="15"/>
  <c r="W111" i="15"/>
  <c r="Q112" i="15"/>
  <c r="H114" i="15"/>
  <c r="AF114" i="15"/>
  <c r="T116" i="15"/>
  <c r="AC116" i="15"/>
  <c r="N117" i="15"/>
  <c r="AR117" i="15" s="1"/>
  <c r="AT117" i="15"/>
  <c r="AH117" i="15"/>
  <c r="Q117" i="15"/>
  <c r="AU117" i="15" s="1"/>
  <c r="R120" i="15"/>
  <c r="AV120" i="15" s="1"/>
  <c r="AI107" i="15"/>
  <c r="AM109" i="15"/>
  <c r="AB116" i="15"/>
  <c r="D29" i="15"/>
  <c r="I91" i="15"/>
  <c r="V91" i="15"/>
  <c r="I92" i="15"/>
  <c r="K93" i="15"/>
  <c r="W93" i="15"/>
  <c r="F95" i="15"/>
  <c r="Q95" i="15"/>
  <c r="U97" i="15"/>
  <c r="V98" i="15"/>
  <c r="AF98" i="15"/>
  <c r="M100" i="15"/>
  <c r="X100" i="15"/>
  <c r="U101" i="15"/>
  <c r="M103" i="15"/>
  <c r="AP103" i="15"/>
  <c r="AH103" i="15"/>
  <c r="AO103" i="15"/>
  <c r="AV103" i="15"/>
  <c r="AN103" i="15"/>
  <c r="AU103" i="15"/>
  <c r="AM103" i="15"/>
  <c r="AT103" i="15"/>
  <c r="AL103" i="15"/>
  <c r="AS103" i="15"/>
  <c r="AK103" i="15"/>
  <c r="AR103" i="15"/>
  <c r="AJ103" i="15"/>
  <c r="P103" i="15"/>
  <c r="J104" i="15"/>
  <c r="AN104" i="15" s="1"/>
  <c r="AG104" i="15"/>
  <c r="V105" i="15"/>
  <c r="M106" i="15"/>
  <c r="AU106" i="15"/>
  <c r="AK106" i="15"/>
  <c r="AQ106" i="15"/>
  <c r="AH106" i="15"/>
  <c r="Z106" i="15"/>
  <c r="Q107" i="15"/>
  <c r="L108" i="15"/>
  <c r="J109" i="15"/>
  <c r="X109" i="15"/>
  <c r="R110" i="15"/>
  <c r="AV110" i="15"/>
  <c r="AH110" i="15"/>
  <c r="F111" i="15"/>
  <c r="AJ111" i="15" s="1"/>
  <c r="O111" i="15"/>
  <c r="X111" i="15"/>
  <c r="M113" i="15"/>
  <c r="AT113" i="15"/>
  <c r="AL113" i="15"/>
  <c r="AS113" i="15"/>
  <c r="AK113" i="15"/>
  <c r="AR113" i="15"/>
  <c r="AJ113" i="15"/>
  <c r="AQ113" i="15"/>
  <c r="AI113" i="15"/>
  <c r="AP113" i="15"/>
  <c r="AH113" i="15"/>
  <c r="AO113" i="15"/>
  <c r="AV113" i="15"/>
  <c r="AN113" i="15"/>
  <c r="I114" i="15"/>
  <c r="V114" i="15"/>
  <c r="AG114" i="15"/>
  <c r="P115" i="15"/>
  <c r="AH115" i="15"/>
  <c r="AV115" i="15"/>
  <c r="AU115" i="15"/>
  <c r="AT115" i="15"/>
  <c r="U116" i="15"/>
  <c r="AD116" i="15"/>
  <c r="G117" i="15"/>
  <c r="AK117" i="15" s="1"/>
  <c r="R117" i="15"/>
  <c r="AV117" i="15" s="1"/>
  <c r="AI103" i="15"/>
  <c r="AQ107" i="15"/>
  <c r="AU109" i="15"/>
  <c r="W91" i="15"/>
  <c r="J92" i="15"/>
  <c r="X93" i="15"/>
  <c r="G95" i="15"/>
  <c r="V97" i="15"/>
  <c r="W98" i="15"/>
  <c r="AG98" i="15"/>
  <c r="Z100" i="15"/>
  <c r="X101" i="15"/>
  <c r="K104" i="15"/>
  <c r="K109" i="15"/>
  <c r="Y109" i="15"/>
  <c r="G111" i="15"/>
  <c r="P111" i="15"/>
  <c r="AT111" i="15" s="1"/>
  <c r="Y111" i="15"/>
  <c r="O112" i="15"/>
  <c r="AR112" i="15"/>
  <c r="AJ112" i="15"/>
  <c r="AQ112" i="15"/>
  <c r="AI112" i="15"/>
  <c r="AP112" i="15"/>
  <c r="AH112" i="15"/>
  <c r="AO112" i="15"/>
  <c r="AV112" i="15"/>
  <c r="AN112" i="15"/>
  <c r="AU112" i="15"/>
  <c r="AM112" i="15"/>
  <c r="AT112" i="15"/>
  <c r="AL112" i="15"/>
  <c r="J114" i="15"/>
  <c r="W114" i="15"/>
  <c r="L116" i="15"/>
  <c r="AR116" i="15"/>
  <c r="AJ116" i="15"/>
  <c r="AQ116" i="15"/>
  <c r="AI116" i="15"/>
  <c r="AP116" i="15"/>
  <c r="AH116" i="15"/>
  <c r="AO116" i="15"/>
  <c r="AV116" i="15"/>
  <c r="AN116" i="15"/>
  <c r="AU116" i="15"/>
  <c r="AM116" i="15"/>
  <c r="AT116" i="15"/>
  <c r="AL116" i="15"/>
  <c r="V116" i="15"/>
  <c r="AE116" i="15"/>
  <c r="H117" i="15"/>
  <c r="AL117" i="15" s="1"/>
  <c r="AD117" i="15"/>
  <c r="Y117" i="15"/>
  <c r="AQ103" i="15"/>
  <c r="AK116" i="15"/>
  <c r="X91" i="15"/>
  <c r="K92" i="15"/>
  <c r="O93" i="15"/>
  <c r="Y93" i="15"/>
  <c r="H95" i="15"/>
  <c r="V95" i="15"/>
  <c r="Y97" i="15"/>
  <c r="L98" i="15"/>
  <c r="X98" i="15"/>
  <c r="AC100" i="15"/>
  <c r="Y101" i="15"/>
  <c r="N104" i="15"/>
  <c r="AP105" i="15"/>
  <c r="AH105" i="15"/>
  <c r="AB105" i="15"/>
  <c r="P108" i="15"/>
  <c r="AT108" i="15" s="1"/>
  <c r="O109" i="15"/>
  <c r="Z109" i="15"/>
  <c r="H111" i="15"/>
  <c r="AL111" i="15" s="1"/>
  <c r="Q111" i="15"/>
  <c r="AC111" i="15"/>
  <c r="H112" i="15"/>
  <c r="X112" i="15"/>
  <c r="T113" i="15"/>
  <c r="N114" i="15"/>
  <c r="X114" i="15"/>
  <c r="E116" i="15"/>
  <c r="W116" i="15"/>
  <c r="AF116" i="15"/>
  <c r="I117" i="15"/>
  <c r="AM117" i="15" s="1"/>
  <c r="AK112" i="15"/>
  <c r="AO114" i="15"/>
  <c r="AS116" i="15"/>
  <c r="Y91" i="15"/>
  <c r="E93" i="15"/>
  <c r="P93" i="15"/>
  <c r="Z93" i="15"/>
  <c r="I95" i="15"/>
  <c r="W95" i="15"/>
  <c r="AB97" i="15"/>
  <c r="O98" i="15"/>
  <c r="Y98" i="15"/>
  <c r="J99" i="15"/>
  <c r="R100" i="15"/>
  <c r="AD100" i="15"/>
  <c r="N101" i="15"/>
  <c r="AR101" i="15" s="1"/>
  <c r="AT101" i="15"/>
  <c r="AL101" i="15"/>
  <c r="AK101" i="15"/>
  <c r="AI101" i="15"/>
  <c r="AH101" i="15"/>
  <c r="AO101" i="15"/>
  <c r="AV101" i="15"/>
  <c r="AN101" i="15"/>
  <c r="O101" i="15"/>
  <c r="AS101" i="15" s="1"/>
  <c r="Z101" i="15"/>
  <c r="L102" i="15"/>
  <c r="AV102" i="15"/>
  <c r="AN102" i="15"/>
  <c r="AU102" i="15"/>
  <c r="AM102" i="15"/>
  <c r="AT102" i="15"/>
  <c r="AL102" i="15"/>
  <c r="AS102" i="15"/>
  <c r="AK102" i="15"/>
  <c r="AR102" i="15"/>
  <c r="AJ102" i="15"/>
  <c r="AQ102" i="15"/>
  <c r="AI102" i="15"/>
  <c r="AP102" i="15"/>
  <c r="AH102" i="15"/>
  <c r="H103" i="15"/>
  <c r="V103" i="15"/>
  <c r="Q104" i="15"/>
  <c r="E105" i="15"/>
  <c r="AI105" i="15" s="1"/>
  <c r="AC105" i="15"/>
  <c r="P106" i="15"/>
  <c r="AT106" i="15" s="1"/>
  <c r="AB108" i="15"/>
  <c r="AE109" i="15"/>
  <c r="I111" i="15"/>
  <c r="R111" i="15"/>
  <c r="AD111" i="15"/>
  <c r="I112" i="15"/>
  <c r="Y112" i="15"/>
  <c r="U113" i="15"/>
  <c r="Y114" i="15"/>
  <c r="K115" i="15"/>
  <c r="AO115" i="15" s="1"/>
  <c r="F116" i="15"/>
  <c r="X116" i="15"/>
  <c r="AG116" i="15"/>
  <c r="J117" i="15"/>
  <c r="AN117" i="15" s="1"/>
  <c r="X117" i="15"/>
  <c r="AS112" i="15"/>
  <c r="AD98" i="15"/>
  <c r="AA93" i="15"/>
  <c r="K95" i="15"/>
  <c r="AC97" i="15"/>
  <c r="Z98" i="15"/>
  <c r="AE100" i="15"/>
  <c r="L107" i="15"/>
  <c r="AP107" i="15"/>
  <c r="AH107" i="15"/>
  <c r="AO107" i="15"/>
  <c r="AV107" i="15"/>
  <c r="AN107" i="15"/>
  <c r="AU107" i="15"/>
  <c r="AM107" i="15"/>
  <c r="AT107" i="15"/>
  <c r="AL107" i="15"/>
  <c r="AS107" i="15"/>
  <c r="AK107" i="15"/>
  <c r="AR107" i="15"/>
  <c r="AJ107" i="15"/>
  <c r="N109" i="15"/>
  <c r="AT109" i="15"/>
  <c r="AL109" i="15"/>
  <c r="AS109" i="15"/>
  <c r="AK109" i="15"/>
  <c r="AR109" i="15"/>
  <c r="AJ109" i="15"/>
  <c r="AQ109" i="15"/>
  <c r="AI109" i="15"/>
  <c r="AP109" i="15"/>
  <c r="AH109" i="15"/>
  <c r="AO109" i="15"/>
  <c r="AV109" i="15"/>
  <c r="AN109" i="15"/>
  <c r="Q109" i="15"/>
  <c r="AF109" i="15"/>
  <c r="AE111" i="15"/>
  <c r="M114" i="15"/>
  <c r="AV114" i="15"/>
  <c r="AN114" i="15"/>
  <c r="AU114" i="15"/>
  <c r="AM114" i="15"/>
  <c r="AT114" i="15"/>
  <c r="AL114" i="15"/>
  <c r="AS114" i="15"/>
  <c r="AK114" i="15"/>
  <c r="AR114" i="15"/>
  <c r="AJ114" i="15"/>
  <c r="AQ114" i="15"/>
  <c r="AI114" i="15"/>
  <c r="AP114" i="15"/>
  <c r="AH114" i="15"/>
  <c r="P114" i="15"/>
  <c r="Y116" i="15"/>
  <c r="AH118" i="15"/>
  <c r="O120" i="15"/>
  <c r="AS120" i="15" s="1"/>
  <c r="AH120" i="15"/>
  <c r="P120" i="15"/>
  <c r="AT120" i="15" s="1"/>
  <c r="J120" i="15"/>
  <c r="AN120" i="15" s="1"/>
  <c r="I120" i="15"/>
  <c r="AM120" i="15" s="1"/>
  <c r="AF93" i="15"/>
  <c r="L111" i="15"/>
  <c r="AP111" i="15" s="1"/>
  <c r="AH111" i="15"/>
  <c r="AV111" i="15"/>
  <c r="AN111" i="15"/>
  <c r="AU111" i="15"/>
  <c r="AM111" i="15"/>
  <c r="AS111" i="15"/>
  <c r="AK111" i="15"/>
  <c r="AR111" i="15"/>
  <c r="M111" i="15"/>
  <c r="AQ111" i="15" s="1"/>
  <c r="S15" i="15"/>
  <c r="W15" i="15" s="1"/>
  <c r="N95" i="15"/>
  <c r="AA95" i="15"/>
  <c r="AD97" i="15"/>
  <c r="AB98" i="15"/>
  <c r="U100" i="15"/>
  <c r="AF100" i="15"/>
  <c r="AF101" i="15"/>
  <c r="P104" i="15"/>
  <c r="AT104" i="15" s="1"/>
  <c r="AR104" i="15"/>
  <c r="AJ104" i="15"/>
  <c r="AH104" i="15"/>
  <c r="AO104" i="15"/>
  <c r="AV104" i="15"/>
  <c r="AU104" i="15"/>
  <c r="AM104" i="15"/>
  <c r="AG105" i="15"/>
  <c r="G107" i="15"/>
  <c r="AJ108" i="15"/>
  <c r="AQ108" i="15"/>
  <c r="AP108" i="15"/>
  <c r="AH108" i="15"/>
  <c r="AN108" i="15"/>
  <c r="G109" i="15"/>
  <c r="R109" i="15"/>
  <c r="AG109" i="15"/>
  <c r="K111" i="15"/>
  <c r="AO111" i="15" s="1"/>
  <c r="U111" i="15"/>
  <c r="AF111" i="15"/>
  <c r="K112" i="15"/>
  <c r="AF112" i="15"/>
  <c r="AC113" i="15"/>
  <c r="F114" i="15"/>
  <c r="Q114" i="15"/>
  <c r="AD114" i="15"/>
  <c r="Z116" i="15"/>
  <c r="H120" i="15"/>
  <c r="AL120" i="15" s="1"/>
  <c r="AO102" i="15"/>
  <c r="AD119" i="15"/>
  <c r="Z120" i="15"/>
  <c r="U124" i="15"/>
  <c r="AJ119" i="15"/>
  <c r="AR119" i="15"/>
  <c r="K119" i="15"/>
  <c r="U119" i="15"/>
  <c r="AE119" i="15"/>
  <c r="AF120" i="15"/>
  <c r="AB124" i="15"/>
  <c r="AK119" i="15"/>
  <c r="AS119" i="15"/>
  <c r="M119" i="15"/>
  <c r="V119" i="15"/>
  <c r="AF119" i="15"/>
  <c r="AG120" i="15"/>
  <c r="AL119" i="15"/>
  <c r="AT119" i="15"/>
  <c r="AM119" i="15"/>
  <c r="AU119" i="15"/>
  <c r="AN119" i="15"/>
  <c r="AV119" i="15"/>
  <c r="AO119" i="15"/>
  <c r="AH119" i="15"/>
  <c r="AP119" i="15"/>
  <c r="H53" i="15"/>
  <c r="G68" i="15"/>
  <c r="R54" i="15"/>
  <c r="K65" i="15"/>
  <c r="AO65" i="15"/>
  <c r="K68" i="15"/>
  <c r="Q69" i="15"/>
  <c r="Q52" i="15"/>
  <c r="E58" i="15"/>
  <c r="N58" i="15"/>
  <c r="H59" i="15"/>
  <c r="R59" i="15"/>
  <c r="P60" i="15"/>
  <c r="P61" i="15"/>
  <c r="R62" i="15"/>
  <c r="L66" i="15"/>
  <c r="AP66" i="15"/>
  <c r="AH66" i="15"/>
  <c r="M66" i="15"/>
  <c r="G67" i="15"/>
  <c r="Q67" i="15"/>
  <c r="P68" i="15"/>
  <c r="R69" i="15"/>
  <c r="K73" i="15"/>
  <c r="AO73" i="15"/>
  <c r="N74" i="15"/>
  <c r="I75" i="15"/>
  <c r="H76" i="15"/>
  <c r="I77" i="15"/>
  <c r="AM77" i="15" s="1"/>
  <c r="R78" i="15"/>
  <c r="AH62" i="15"/>
  <c r="AK68" i="15"/>
  <c r="AH71" i="15"/>
  <c r="AH75" i="15"/>
  <c r="AA74" i="15"/>
  <c r="Y74" i="15"/>
  <c r="AG74" i="15"/>
  <c r="X74" i="15"/>
  <c r="AE74" i="15"/>
  <c r="V74" i="15"/>
  <c r="AD74" i="15"/>
  <c r="U74" i="15"/>
  <c r="AC74" i="15"/>
  <c r="T74" i="15"/>
  <c r="Z74" i="15"/>
  <c r="AO74" i="15" s="1"/>
  <c r="R68" i="15"/>
  <c r="I54" i="15"/>
  <c r="D24" i="15"/>
  <c r="F58" i="15"/>
  <c r="O58" i="15"/>
  <c r="Q60" i="15"/>
  <c r="Q61" i="15"/>
  <c r="Q68" i="15"/>
  <c r="P70" i="15"/>
  <c r="AT70" i="15"/>
  <c r="L74" i="15"/>
  <c r="AU74" i="15"/>
  <c r="AM74" i="15"/>
  <c r="AT74" i="15"/>
  <c r="AP74" i="15"/>
  <c r="AH74" i="15"/>
  <c r="O74" i="15"/>
  <c r="J75" i="15"/>
  <c r="I76" i="15"/>
  <c r="J77" i="15"/>
  <c r="Q79" i="15"/>
  <c r="AU79" i="15"/>
  <c r="AH61" i="15"/>
  <c r="AT66" i="15"/>
  <c r="AK74" i="15"/>
  <c r="AH76" i="15"/>
  <c r="AE54" i="15"/>
  <c r="V54" i="15"/>
  <c r="U54" i="15"/>
  <c r="AF54" i="15"/>
  <c r="AD54" i="15"/>
  <c r="X54" i="15"/>
  <c r="W74" i="15"/>
  <c r="D31" i="15"/>
  <c r="D19" i="15"/>
  <c r="G19" i="15" s="1"/>
  <c r="G50" i="15"/>
  <c r="J52" i="15"/>
  <c r="I53" i="15"/>
  <c r="J54" i="15"/>
  <c r="I58" i="15"/>
  <c r="R58" i="15"/>
  <c r="N59" i="15"/>
  <c r="I60" i="15"/>
  <c r="H61" i="15"/>
  <c r="I62" i="15"/>
  <c r="R63" i="15"/>
  <c r="AV63" i="15" s="1"/>
  <c r="H66" i="15"/>
  <c r="Q66" i="15"/>
  <c r="K67" i="15"/>
  <c r="AO67" i="15" s="1"/>
  <c r="H68" i="15"/>
  <c r="I69" i="15"/>
  <c r="R70" i="15"/>
  <c r="H74" i="15"/>
  <c r="AL74" i="15" s="1"/>
  <c r="R74" i="15"/>
  <c r="AV74" i="15" s="1"/>
  <c r="P75" i="15"/>
  <c r="P76" i="15"/>
  <c r="R77" i="15"/>
  <c r="AS61" i="15"/>
  <c r="AT62" i="15"/>
  <c r="AU63" i="15"/>
  <c r="AH65" i="15"/>
  <c r="AJ67" i="15"/>
  <c r="AV69" i="15"/>
  <c r="AV77" i="15"/>
  <c r="N68" i="15"/>
  <c r="AR68" i="15"/>
  <c r="AU69" i="15"/>
  <c r="H50" i="15"/>
  <c r="J53" i="15"/>
  <c r="K54" i="15"/>
  <c r="J58" i="15"/>
  <c r="O59" i="15"/>
  <c r="J60" i="15"/>
  <c r="I61" i="15"/>
  <c r="J62" i="15"/>
  <c r="R64" i="15"/>
  <c r="AV64" i="15" s="1"/>
  <c r="I68" i="15"/>
  <c r="J69" i="15"/>
  <c r="AN69" i="15" s="1"/>
  <c r="Q71" i="15"/>
  <c r="AU71" i="15"/>
  <c r="M75" i="15"/>
  <c r="AQ75" i="15"/>
  <c r="Q75" i="15"/>
  <c r="Q76" i="15"/>
  <c r="P78" i="15"/>
  <c r="AH78" i="15"/>
  <c r="AT78" i="15"/>
  <c r="AL61" i="15"/>
  <c r="AT61" i="15"/>
  <c r="AO66" i="15"/>
  <c r="AH70" i="15"/>
  <c r="AH73" i="15"/>
  <c r="AR74" i="15"/>
  <c r="AA50" i="15"/>
  <c r="U50" i="15"/>
  <c r="T50" i="15"/>
  <c r="Z50" i="15"/>
  <c r="Y50" i="15"/>
  <c r="X50" i="15"/>
  <c r="V50" i="15"/>
  <c r="I50" i="15"/>
  <c r="O52" i="15"/>
  <c r="K53" i="15"/>
  <c r="Q54" i="15"/>
  <c r="K58" i="15"/>
  <c r="F59" i="15"/>
  <c r="P59" i="15"/>
  <c r="K60" i="15"/>
  <c r="J61" i="15"/>
  <c r="K62" i="15"/>
  <c r="K64" i="15"/>
  <c r="J66" i="15"/>
  <c r="M67" i="15"/>
  <c r="AQ67" i="15" s="1"/>
  <c r="O67" i="15"/>
  <c r="J68" i="15"/>
  <c r="K69" i="15"/>
  <c r="AO69" i="15" s="1"/>
  <c r="K71" i="15"/>
  <c r="J74" i="15"/>
  <c r="AN74" i="15" s="1"/>
  <c r="G75" i="15"/>
  <c r="R75" i="15"/>
  <c r="R76" i="15"/>
  <c r="J78" i="15"/>
  <c r="AM61" i="15"/>
  <c r="AU61" i="15"/>
  <c r="AH64" i="15"/>
  <c r="AH68" i="15"/>
  <c r="AS74" i="15"/>
  <c r="AH79" i="15"/>
  <c r="Z53" i="15"/>
  <c r="Y53" i="15"/>
  <c r="W53" i="15"/>
  <c r="U53" i="15"/>
  <c r="T53" i="15"/>
  <c r="AB53" i="15"/>
  <c r="AB59" i="15"/>
  <c r="AC59" i="15"/>
  <c r="Z59" i="15"/>
  <c r="U59" i="15"/>
  <c r="O69" i="15"/>
  <c r="AS69" i="15" s="1"/>
  <c r="AH69" i="15"/>
  <c r="D27" i="15"/>
  <c r="G27" i="15" s="1"/>
  <c r="M58" i="15"/>
  <c r="K61" i="15"/>
  <c r="Q62" i="15"/>
  <c r="R72" i="15"/>
  <c r="AV72" i="15"/>
  <c r="N76" i="15"/>
  <c r="AR76" i="15" s="1"/>
  <c r="O77" i="15"/>
  <c r="AS77" i="15" s="1"/>
  <c r="AH77" i="15"/>
  <c r="AO77" i="15"/>
  <c r="AN61" i="15"/>
  <c r="AV61" i="15"/>
  <c r="AH63" i="15"/>
  <c r="AC60" i="15"/>
  <c r="AR60" i="15" s="1"/>
  <c r="AD60" i="15"/>
  <c r="AS60" i="15" s="1"/>
  <c r="V60" i="15"/>
  <c r="AK60" i="15" s="1"/>
  <c r="Z55" i="15"/>
  <c r="AE56" i="15"/>
  <c r="X58" i="15"/>
  <c r="AG58" i="15"/>
  <c r="AC61" i="15"/>
  <c r="AC62" i="15"/>
  <c r="AD63" i="15"/>
  <c r="AF64" i="15"/>
  <c r="Y66" i="15"/>
  <c r="T69" i="15"/>
  <c r="AE69" i="15"/>
  <c r="AD70" i="15"/>
  <c r="AE71" i="15"/>
  <c r="U75" i="15"/>
  <c r="U77" i="15"/>
  <c r="AF77" i="15"/>
  <c r="AC78" i="15"/>
  <c r="Z79" i="15"/>
  <c r="Z58" i="15"/>
  <c r="AF62" i="15"/>
  <c r="AB66" i="15"/>
  <c r="AQ66" i="15" s="1"/>
  <c r="AF78" i="15"/>
  <c r="AE79" i="15"/>
  <c r="AB58" i="15"/>
  <c r="T66" i="15"/>
  <c r="AI66" i="15" s="1"/>
  <c r="AC66" i="15"/>
  <c r="AR66" i="15" s="1"/>
  <c r="X69" i="15"/>
  <c r="AM69" i="15" s="1"/>
  <c r="V71" i="15"/>
  <c r="W72" i="15"/>
  <c r="Y77" i="15"/>
  <c r="AN77" i="15" s="1"/>
  <c r="U78" i="15"/>
  <c r="AG78" i="15"/>
  <c r="AV78" i="15" s="1"/>
  <c r="AG79" i="15"/>
  <c r="Z49" i="15"/>
  <c r="T58" i="15"/>
  <c r="AC58" i="15"/>
  <c r="V63" i="15"/>
  <c r="U66" i="15"/>
  <c r="AJ66" i="15" s="1"/>
  <c r="AD66" i="15"/>
  <c r="AS66" i="15" s="1"/>
  <c r="W71" i="15"/>
  <c r="W55" i="15"/>
  <c r="X56" i="15"/>
  <c r="V58" i="15"/>
  <c r="AE58" i="15"/>
  <c r="Z61" i="15"/>
  <c r="V62" i="15"/>
  <c r="Y63" i="15"/>
  <c r="AN63" i="15" s="1"/>
  <c r="Z64" i="15"/>
  <c r="W66" i="15"/>
  <c r="AF66" i="15"/>
  <c r="AD68" i="15"/>
  <c r="AB69" i="15"/>
  <c r="X70" i="15"/>
  <c r="Z71" i="15"/>
  <c r="AE72" i="15"/>
  <c r="AC77" i="15"/>
  <c r="Y78" i="15"/>
  <c r="W79" i="15"/>
  <c r="X83" i="15"/>
  <c r="V52" i="15"/>
  <c r="Y55" i="15"/>
  <c r="Z56" i="15"/>
  <c r="W58" i="15"/>
  <c r="AF58" i="15"/>
  <c r="AB61" i="15"/>
  <c r="X62" i="15"/>
  <c r="AM62" i="15" s="1"/>
  <c r="Z63" i="15"/>
  <c r="AO63" i="15" s="1"/>
  <c r="AE64" i="15"/>
  <c r="X66" i="15"/>
  <c r="AM66" i="15" s="1"/>
  <c r="AG66" i="15"/>
  <c r="AC69" i="15"/>
  <c r="AC70" i="15"/>
  <c r="AD71" i="15"/>
  <c r="AF72" i="15"/>
  <c r="T77" i="15"/>
  <c r="AE77" i="15"/>
  <c r="Z78" i="15"/>
  <c r="AO78" i="15" s="1"/>
  <c r="Y79" i="15"/>
  <c r="Z83" i="15"/>
  <c r="P263" i="15"/>
  <c r="H263" i="15"/>
  <c r="N263" i="15"/>
  <c r="F263" i="15"/>
  <c r="M263" i="15"/>
  <c r="E263" i="15"/>
  <c r="K263" i="15"/>
  <c r="F254" i="15"/>
  <c r="N254" i="15"/>
  <c r="V254" i="15"/>
  <c r="AD254" i="15"/>
  <c r="I255" i="15"/>
  <c r="Q255" i="15"/>
  <c r="Y255" i="15"/>
  <c r="AG255" i="15"/>
  <c r="T256" i="15"/>
  <c r="AB256" i="15"/>
  <c r="G257" i="15"/>
  <c r="O257" i="15"/>
  <c r="W257" i="15"/>
  <c r="AF257" i="15"/>
  <c r="E258" i="15"/>
  <c r="O258" i="15"/>
  <c r="X258" i="15"/>
  <c r="AG258" i="15"/>
  <c r="F259" i="15"/>
  <c r="O259" i="15"/>
  <c r="X259" i="15"/>
  <c r="Z260" i="15"/>
  <c r="AA261" i="15"/>
  <c r="L262" i="15"/>
  <c r="G263" i="15"/>
  <c r="Y269" i="15"/>
  <c r="K264" i="15"/>
  <c r="Q264" i="15"/>
  <c r="I264" i="15"/>
  <c r="P264" i="15"/>
  <c r="H264" i="15"/>
  <c r="N264" i="15"/>
  <c r="F264" i="15"/>
  <c r="M264" i="15"/>
  <c r="E264" i="15"/>
  <c r="G254" i="15"/>
  <c r="O254" i="15"/>
  <c r="W254" i="15"/>
  <c r="AE254" i="15"/>
  <c r="J255" i="15"/>
  <c r="R255" i="15"/>
  <c r="Z255" i="15"/>
  <c r="U256" i="15"/>
  <c r="AC256" i="15"/>
  <c r="H257" i="15"/>
  <c r="P257" i="15"/>
  <c r="X257" i="15"/>
  <c r="AG257" i="15"/>
  <c r="G258" i="15"/>
  <c r="P258" i="15"/>
  <c r="Y258" i="15"/>
  <c r="G259" i="15"/>
  <c r="P259" i="15"/>
  <c r="P261" i="15"/>
  <c r="H261" i="15"/>
  <c r="O261" i="15"/>
  <c r="G261" i="15"/>
  <c r="M261" i="15"/>
  <c r="Q261" i="15"/>
  <c r="N262" i="15"/>
  <c r="I263" i="15"/>
  <c r="J264" i="15"/>
  <c r="Z269" i="15"/>
  <c r="AF269" i="15"/>
  <c r="X269" i="15"/>
  <c r="AE269" i="15"/>
  <c r="W269" i="15"/>
  <c r="AD269" i="15"/>
  <c r="V269" i="15"/>
  <c r="AC269" i="15"/>
  <c r="U269" i="15"/>
  <c r="AB269" i="15"/>
  <c r="T269" i="15"/>
  <c r="H254" i="15"/>
  <c r="P254" i="15"/>
  <c r="X254" i="15"/>
  <c r="AF254" i="15"/>
  <c r="AA255" i="15"/>
  <c r="V256" i="15"/>
  <c r="AD256" i="15"/>
  <c r="I257" i="15"/>
  <c r="Q257" i="15"/>
  <c r="Y257" i="15"/>
  <c r="H258" i="15"/>
  <c r="Q258" i="15"/>
  <c r="Z258" i="15"/>
  <c r="H259" i="15"/>
  <c r="R259" i="15"/>
  <c r="O262" i="15"/>
  <c r="J263" i="15"/>
  <c r="L264" i="15"/>
  <c r="AB267" i="15"/>
  <c r="T267" i="15"/>
  <c r="Z267" i="15"/>
  <c r="AG267" i="15"/>
  <c r="Y267" i="15"/>
  <c r="AF267" i="15"/>
  <c r="AE267" i="15"/>
  <c r="W267" i="15"/>
  <c r="AD267" i="15"/>
  <c r="V267" i="15"/>
  <c r="AG269" i="15"/>
  <c r="M258" i="15"/>
  <c r="I254" i="15"/>
  <c r="Q254" i="15"/>
  <c r="Y254" i="15"/>
  <c r="AG254" i="15"/>
  <c r="T255" i="15"/>
  <c r="AB255" i="15"/>
  <c r="W256" i="15"/>
  <c r="AE256" i="15"/>
  <c r="J257" i="15"/>
  <c r="R257" i="15"/>
  <c r="Z257" i="15"/>
  <c r="I258" i="15"/>
  <c r="J259" i="15"/>
  <c r="AG259" i="15"/>
  <c r="Y259" i="15"/>
  <c r="AB259" i="15"/>
  <c r="AC260" i="15"/>
  <c r="U260" i="15"/>
  <c r="AB260" i="15"/>
  <c r="T260" i="15"/>
  <c r="AE260" i="15"/>
  <c r="F261" i="15"/>
  <c r="AF261" i="15"/>
  <c r="X261" i="15"/>
  <c r="AE261" i="15"/>
  <c r="W261" i="15"/>
  <c r="AC261" i="15"/>
  <c r="U261" i="15"/>
  <c r="AG261" i="15"/>
  <c r="L263" i="15"/>
  <c r="O264" i="15"/>
  <c r="U267" i="15"/>
  <c r="N258" i="15"/>
  <c r="F258" i="15"/>
  <c r="X256" i="15"/>
  <c r="AF256" i="15"/>
  <c r="AB257" i="15"/>
  <c r="J258" i="15"/>
  <c r="AD258" i="15"/>
  <c r="V258" i="15"/>
  <c r="AB258" i="15"/>
  <c r="K259" i="15"/>
  <c r="M262" i="15"/>
  <c r="E262" i="15"/>
  <c r="K262" i="15"/>
  <c r="R262" i="15"/>
  <c r="J262" i="15"/>
  <c r="P262" i="15"/>
  <c r="H262" i="15"/>
  <c r="O263" i="15"/>
  <c r="R264" i="15"/>
  <c r="AA256" i="15"/>
  <c r="K254" i="15"/>
  <c r="V255" i="15"/>
  <c r="Y256" i="15"/>
  <c r="AG256" i="15"/>
  <c r="T257" i="15"/>
  <c r="AC257" i="15"/>
  <c r="K258" i="15"/>
  <c r="T258" i="15"/>
  <c r="AC258" i="15"/>
  <c r="F262" i="15"/>
  <c r="Q263" i="15"/>
  <c r="AA267" i="15"/>
  <c r="D289" i="15"/>
  <c r="R289" i="15" s="1"/>
  <c r="U257" i="15"/>
  <c r="AD257" i="15"/>
  <c r="L258" i="15"/>
  <c r="U258" i="15"/>
  <c r="AE258" i="15"/>
  <c r="Q259" i="15"/>
  <c r="I259" i="15"/>
  <c r="M259" i="15"/>
  <c r="G262" i="15"/>
  <c r="R263" i="15"/>
  <c r="AA266" i="15"/>
  <c r="Y268" i="15"/>
  <c r="AG268" i="15"/>
  <c r="L269" i="15"/>
  <c r="G270" i="15"/>
  <c r="P270" i="15"/>
  <c r="G271" i="15"/>
  <c r="Q271" i="15"/>
  <c r="Z271" i="15"/>
  <c r="Q274" i="15"/>
  <c r="I274" i="15"/>
  <c r="P274" i="15"/>
  <c r="H274" i="15"/>
  <c r="O274" i="15"/>
  <c r="G274" i="15"/>
  <c r="R274" i="15"/>
  <c r="P276" i="15"/>
  <c r="H276" i="15"/>
  <c r="O276" i="15"/>
  <c r="G276" i="15"/>
  <c r="N276" i="15"/>
  <c r="F276" i="15"/>
  <c r="M276" i="15"/>
  <c r="E276" i="15"/>
  <c r="R276" i="15"/>
  <c r="J276" i="15"/>
  <c r="AA276" i="15"/>
  <c r="K288" i="15"/>
  <c r="R288" i="15"/>
  <c r="J288" i="15"/>
  <c r="Q288" i="15"/>
  <c r="I288" i="15"/>
  <c r="P288" i="15"/>
  <c r="H288" i="15"/>
  <c r="O288" i="15"/>
  <c r="G288" i="15"/>
  <c r="N288" i="15"/>
  <c r="F288" i="15"/>
  <c r="M288" i="15"/>
  <c r="E288" i="15"/>
  <c r="AA263" i="15"/>
  <c r="V264" i="15"/>
  <c r="AD264" i="15"/>
  <c r="L266" i="15"/>
  <c r="T266" i="15"/>
  <c r="AB266" i="15"/>
  <c r="G267" i="15"/>
  <c r="O267" i="15"/>
  <c r="Z268" i="15"/>
  <c r="E269" i="15"/>
  <c r="M269" i="15"/>
  <c r="H270" i="15"/>
  <c r="Q270" i="15"/>
  <c r="I271" i="15"/>
  <c r="R271" i="15"/>
  <c r="Y273" i="15"/>
  <c r="E274" i="15"/>
  <c r="AG274" i="15"/>
  <c r="Y274" i="15"/>
  <c r="AF274" i="15"/>
  <c r="X274" i="15"/>
  <c r="AE274" i="15"/>
  <c r="W274" i="15"/>
  <c r="AD274" i="15"/>
  <c r="I276" i="15"/>
  <c r="AB276" i="15"/>
  <c r="K277" i="15"/>
  <c r="R277" i="15"/>
  <c r="J277" i="15"/>
  <c r="Q277" i="15"/>
  <c r="I277" i="15"/>
  <c r="P277" i="15"/>
  <c r="H277" i="15"/>
  <c r="N277" i="15"/>
  <c r="M277" i="15"/>
  <c r="E277" i="15"/>
  <c r="L288" i="15"/>
  <c r="AA268" i="15"/>
  <c r="I270" i="15"/>
  <c r="R270" i="15"/>
  <c r="J271" i="15"/>
  <c r="AF271" i="15"/>
  <c r="X271" i="15"/>
  <c r="AB271" i="15"/>
  <c r="Z262" i="15"/>
  <c r="U263" i="15"/>
  <c r="AC263" i="15"/>
  <c r="X264" i="15"/>
  <c r="AF264" i="15"/>
  <c r="K265" i="15"/>
  <c r="F266" i="15"/>
  <c r="N266" i="15"/>
  <c r="V266" i="15"/>
  <c r="AD266" i="15"/>
  <c r="I267" i="15"/>
  <c r="Q267" i="15"/>
  <c r="T268" i="15"/>
  <c r="AB268" i="15"/>
  <c r="G269" i="15"/>
  <c r="O269" i="15"/>
  <c r="J270" i="15"/>
  <c r="AC270" i="15"/>
  <c r="U270" i="15"/>
  <c r="AB270" i="15"/>
  <c r="K271" i="15"/>
  <c r="T271" i="15"/>
  <c r="AC271" i="15"/>
  <c r="L272" i="15"/>
  <c r="AA273" i="15"/>
  <c r="J274" i="15"/>
  <c r="U274" i="15"/>
  <c r="L276" i="15"/>
  <c r="G277" i="15"/>
  <c r="V263" i="15"/>
  <c r="Y264" i="15"/>
  <c r="AG264" i="15"/>
  <c r="G266" i="15"/>
  <c r="W266" i="15"/>
  <c r="AE266" i="15"/>
  <c r="J267" i="15"/>
  <c r="R267" i="15"/>
  <c r="U268" i="15"/>
  <c r="AC268" i="15"/>
  <c r="H269" i="15"/>
  <c r="P269" i="15"/>
  <c r="K270" i="15"/>
  <c r="U271" i="15"/>
  <c r="AD271" i="15"/>
  <c r="M272" i="15"/>
  <c r="K274" i="15"/>
  <c r="V274" i="15"/>
  <c r="Q276" i="15"/>
  <c r="L277" i="15"/>
  <c r="L270" i="15"/>
  <c r="P271" i="15"/>
  <c r="H271" i="15"/>
  <c r="M271" i="15"/>
  <c r="AF276" i="15"/>
  <c r="X276" i="15"/>
  <c r="AE276" i="15"/>
  <c r="W276" i="15"/>
  <c r="AD276" i="15"/>
  <c r="V276" i="15"/>
  <c r="AC276" i="15"/>
  <c r="U276" i="15"/>
  <c r="Z276" i="15"/>
  <c r="Z282" i="15"/>
  <c r="AG282" i="15"/>
  <c r="Y282" i="15"/>
  <c r="AF282" i="15"/>
  <c r="X282" i="15"/>
  <c r="AE282" i="15"/>
  <c r="W282" i="15"/>
  <c r="AD282" i="15"/>
  <c r="V282" i="15"/>
  <c r="AC282" i="15"/>
  <c r="U282" i="15"/>
  <c r="AB282" i="15"/>
  <c r="T282" i="15"/>
  <c r="Y266" i="15"/>
  <c r="W268" i="15"/>
  <c r="J269" i="15"/>
  <c r="E270" i="15"/>
  <c r="N270" i="15"/>
  <c r="E271" i="15"/>
  <c r="N271" i="15"/>
  <c r="W271" i="15"/>
  <c r="AG271" i="15"/>
  <c r="AD273" i="15"/>
  <c r="V273" i="15"/>
  <c r="AC273" i="15"/>
  <c r="U273" i="15"/>
  <c r="AB273" i="15"/>
  <c r="T273" i="15"/>
  <c r="AG273" i="15"/>
  <c r="M274" i="15"/>
  <c r="AA274" i="15"/>
  <c r="T276" i="15"/>
  <c r="AA282" i="15"/>
  <c r="U277" i="15"/>
  <c r="AC277" i="15"/>
  <c r="K279" i="15"/>
  <c r="AA279" i="15"/>
  <c r="F280" i="15"/>
  <c r="N280" i="15"/>
  <c r="L282" i="15"/>
  <c r="U288" i="15"/>
  <c r="AC288" i="15"/>
  <c r="L279" i="15"/>
  <c r="E282" i="15"/>
  <c r="M282" i="15"/>
  <c r="AA284" i="15"/>
  <c r="V288" i="15"/>
  <c r="AD288" i="15"/>
  <c r="E279" i="15"/>
  <c r="M279" i="15"/>
  <c r="K281" i="15"/>
  <c r="AA281" i="15"/>
  <c r="F282" i="15"/>
  <c r="N282" i="15"/>
  <c r="L284" i="15"/>
  <c r="T284" i="15"/>
  <c r="AB284" i="15"/>
  <c r="W288" i="15"/>
  <c r="AE288" i="15"/>
  <c r="L273" i="15"/>
  <c r="X277" i="15"/>
  <c r="AF277" i="15"/>
  <c r="AA278" i="15"/>
  <c r="F279" i="15"/>
  <c r="N279" i="15"/>
  <c r="V279" i="15"/>
  <c r="AD279" i="15"/>
  <c r="I280" i="15"/>
  <c r="Q280" i="15"/>
  <c r="L281" i="15"/>
  <c r="T281" i="15"/>
  <c r="AB281" i="15"/>
  <c r="G282" i="15"/>
  <c r="O282" i="15"/>
  <c r="E284" i="15"/>
  <c r="M284" i="15"/>
  <c r="U284" i="15"/>
  <c r="AC284" i="15"/>
  <c r="X288" i="15"/>
  <c r="AF288" i="15"/>
  <c r="E273" i="15"/>
  <c r="M273" i="15"/>
  <c r="AA275" i="15"/>
  <c r="Y277" i="15"/>
  <c r="AG277" i="15"/>
  <c r="L278" i="15"/>
  <c r="T278" i="15"/>
  <c r="AB278" i="15"/>
  <c r="G279" i="15"/>
  <c r="O279" i="15"/>
  <c r="W279" i="15"/>
  <c r="AE279" i="15"/>
  <c r="J280" i="15"/>
  <c r="R280" i="15"/>
  <c r="E281" i="15"/>
  <c r="M281" i="15"/>
  <c r="U281" i="15"/>
  <c r="AC281" i="15"/>
  <c r="H282" i="15"/>
  <c r="P282" i="15"/>
  <c r="AA283" i="15"/>
  <c r="F284" i="15"/>
  <c r="N284" i="15"/>
  <c r="V284" i="15"/>
  <c r="AD284" i="15"/>
  <c r="Y288" i="15"/>
  <c r="AG288" i="15"/>
  <c r="F273" i="15"/>
  <c r="T275" i="15"/>
  <c r="Z277" i="15"/>
  <c r="E278" i="15"/>
  <c r="U278" i="15"/>
  <c r="H279" i="15"/>
  <c r="P279" i="15"/>
  <c r="X279" i="15"/>
  <c r="K280" i="15"/>
  <c r="F281" i="15"/>
  <c r="V281" i="15"/>
  <c r="I282" i="15"/>
  <c r="T283" i="15"/>
  <c r="G284" i="15"/>
  <c r="W284" i="15"/>
  <c r="Z288" i="15"/>
  <c r="I279" i="15"/>
  <c r="S289" i="15"/>
  <c r="AB216" i="15"/>
  <c r="Y213" i="15"/>
  <c r="AG213" i="15"/>
  <c r="L214" i="15"/>
  <c r="T214" i="15"/>
  <c r="U215" i="15"/>
  <c r="T216" i="15"/>
  <c r="AD216" i="15"/>
  <c r="U217" i="15"/>
  <c r="AE219" i="15"/>
  <c r="W219" i="15"/>
  <c r="AD219" i="15"/>
  <c r="V219" i="15"/>
  <c r="AB219" i="15"/>
  <c r="T219" i="15"/>
  <c r="AG219" i="15"/>
  <c r="AC221" i="15"/>
  <c r="U221" i="15"/>
  <c r="AB221" i="15"/>
  <c r="T221" i="15"/>
  <c r="Z221" i="15"/>
  <c r="AF221" i="15"/>
  <c r="K222" i="15"/>
  <c r="Y222" i="15"/>
  <c r="E223" i="15"/>
  <c r="Q223" i="15"/>
  <c r="L224" i="15"/>
  <c r="K225" i="15"/>
  <c r="AA225" i="15"/>
  <c r="AC229" i="15"/>
  <c r="U229" i="15"/>
  <c r="AB229" i="15"/>
  <c r="AQ229" i="15" s="1"/>
  <c r="T229" i="15"/>
  <c r="AD229" i="15"/>
  <c r="AA229" i="15"/>
  <c r="Z229" i="15"/>
  <c r="Y229" i="15"/>
  <c r="X229" i="15"/>
  <c r="AF229" i="15"/>
  <c r="V229" i="15"/>
  <c r="AB214" i="15"/>
  <c r="M228" i="15"/>
  <c r="AQ228" i="15" s="1"/>
  <c r="E228" i="15"/>
  <c r="AI228" i="15" s="1"/>
  <c r="K228" i="15"/>
  <c r="R228" i="15"/>
  <c r="J228" i="15"/>
  <c r="Q228" i="15"/>
  <c r="AU228" i="15" s="1"/>
  <c r="I228" i="15"/>
  <c r="AM228" i="15" s="1"/>
  <c r="O228" i="15"/>
  <c r="AS228" i="15" s="1"/>
  <c r="G228" i="15"/>
  <c r="AK228" i="15" s="1"/>
  <c r="S134" i="15"/>
  <c r="U214" i="15"/>
  <c r="J215" i="15"/>
  <c r="M215" i="15"/>
  <c r="V215" i="15"/>
  <c r="V216" i="15"/>
  <c r="AE216" i="15"/>
  <c r="H217" i="15"/>
  <c r="M217" i="15"/>
  <c r="V217" i="15"/>
  <c r="L222" i="15"/>
  <c r="Z222" i="15"/>
  <c r="P224" i="15"/>
  <c r="AT224" i="15" s="1"/>
  <c r="L225" i="15"/>
  <c r="AP225" i="15" s="1"/>
  <c r="AB225" i="15"/>
  <c r="H228" i="15"/>
  <c r="W214" i="15"/>
  <c r="K223" i="15"/>
  <c r="R223" i="15"/>
  <c r="J223" i="15"/>
  <c r="P223" i="15"/>
  <c r="H223" i="15"/>
  <c r="AA213" i="15"/>
  <c r="F214" i="15"/>
  <c r="V214" i="15"/>
  <c r="E215" i="15"/>
  <c r="W215" i="15"/>
  <c r="M216" i="15"/>
  <c r="E216" i="15"/>
  <c r="N216" i="15"/>
  <c r="W216" i="15"/>
  <c r="E217" i="15"/>
  <c r="W217" i="15"/>
  <c r="X219" i="15"/>
  <c r="R220" i="15"/>
  <c r="J220" i="15"/>
  <c r="Q220" i="15"/>
  <c r="I220" i="15"/>
  <c r="O220" i="15"/>
  <c r="G220" i="15"/>
  <c r="P220" i="15"/>
  <c r="W221" i="15"/>
  <c r="N222" i="15"/>
  <c r="AA222" i="15"/>
  <c r="G223" i="15"/>
  <c r="Q224" i="15"/>
  <c r="AU224" i="15" s="1"/>
  <c r="M225" i="15"/>
  <c r="AQ225" i="15" s="1"/>
  <c r="AC225" i="15"/>
  <c r="AF227" i="15"/>
  <c r="X227" i="15"/>
  <c r="AE227" i="15"/>
  <c r="W227" i="15"/>
  <c r="AD227" i="15"/>
  <c r="AS227" i="15" s="1"/>
  <c r="V227" i="15"/>
  <c r="AB227" i="15"/>
  <c r="T227" i="15"/>
  <c r="L228" i="15"/>
  <c r="AP228" i="15" s="1"/>
  <c r="AE229" i="15"/>
  <c r="AC216" i="15"/>
  <c r="U216" i="15"/>
  <c r="O223" i="15"/>
  <c r="D248" i="15"/>
  <c r="T213" i="15"/>
  <c r="G214" i="15"/>
  <c r="X214" i="15"/>
  <c r="F215" i="15"/>
  <c r="X215" i="15"/>
  <c r="F216" i="15"/>
  <c r="O216" i="15"/>
  <c r="X216" i="15"/>
  <c r="AG216" i="15"/>
  <c r="F217" i="15"/>
  <c r="Y219" i="15"/>
  <c r="E220" i="15"/>
  <c r="Z220" i="15"/>
  <c r="AG220" i="15"/>
  <c r="Y220" i="15"/>
  <c r="AE220" i="15"/>
  <c r="W220" i="15"/>
  <c r="AD220" i="15"/>
  <c r="X221" i="15"/>
  <c r="AB222" i="15"/>
  <c r="I223" i="15"/>
  <c r="U227" i="15"/>
  <c r="N228" i="15"/>
  <c r="AR228" i="15" s="1"/>
  <c r="AG229" i="15"/>
  <c r="Y214" i="15"/>
  <c r="Y216" i="15"/>
  <c r="P222" i="15"/>
  <c r="H222" i="15"/>
  <c r="O222" i="15"/>
  <c r="G222" i="15"/>
  <c r="M222" i="15"/>
  <c r="E222" i="15"/>
  <c r="R222" i="15"/>
  <c r="L223" i="15"/>
  <c r="O224" i="15"/>
  <c r="AS224" i="15" s="1"/>
  <c r="G224" i="15"/>
  <c r="N224" i="15"/>
  <c r="F224" i="15"/>
  <c r="M224" i="15"/>
  <c r="AQ224" i="15" s="1"/>
  <c r="E224" i="15"/>
  <c r="AI224" i="15" s="1"/>
  <c r="K224" i="15"/>
  <c r="AO224" i="15" s="1"/>
  <c r="Z225" i="15"/>
  <c r="AG225" i="15"/>
  <c r="Y225" i="15"/>
  <c r="AF225" i="15"/>
  <c r="X225" i="15"/>
  <c r="AD225" i="15"/>
  <c r="AS225" i="15" s="1"/>
  <c r="V225" i="15"/>
  <c r="P228" i="15"/>
  <c r="Z214" i="15"/>
  <c r="Z216" i="15"/>
  <c r="F222" i="15"/>
  <c r="AF222" i="15"/>
  <c r="X222" i="15"/>
  <c r="AE222" i="15"/>
  <c r="W222" i="15"/>
  <c r="AC222" i="15"/>
  <c r="U222" i="15"/>
  <c r="AG222" i="15"/>
  <c r="M223" i="15"/>
  <c r="H224" i="15"/>
  <c r="AL224" i="15" s="1"/>
  <c r="R225" i="15"/>
  <c r="AV225" i="15" s="1"/>
  <c r="J225" i="15"/>
  <c r="AN225" i="15" s="1"/>
  <c r="Q225" i="15"/>
  <c r="AU225" i="15" s="1"/>
  <c r="I225" i="15"/>
  <c r="AM225" i="15" s="1"/>
  <c r="P225" i="15"/>
  <c r="AT225" i="15" s="1"/>
  <c r="H225" i="15"/>
  <c r="AL225" i="15" s="1"/>
  <c r="N225" i="15"/>
  <c r="AR225" i="15" s="1"/>
  <c r="F225" i="15"/>
  <c r="T225" i="15"/>
  <c r="AA214" i="15"/>
  <c r="AB215" i="15"/>
  <c r="AA216" i="15"/>
  <c r="X217" i="15"/>
  <c r="AB217" i="15"/>
  <c r="I222" i="15"/>
  <c r="T222" i="15"/>
  <c r="N223" i="15"/>
  <c r="I224" i="15"/>
  <c r="AM224" i="15" s="1"/>
  <c r="E225" i="15"/>
  <c r="AI225" i="15" s="1"/>
  <c r="U225" i="15"/>
  <c r="L219" i="15"/>
  <c r="AA224" i="15"/>
  <c r="L227" i="15"/>
  <c r="AP227" i="15" s="1"/>
  <c r="W228" i="15"/>
  <c r="AE228" i="15"/>
  <c r="I230" i="15"/>
  <c r="AF230" i="15"/>
  <c r="X230" i="15"/>
  <c r="AE230" i="15"/>
  <c r="W230" i="15"/>
  <c r="AC230" i="15"/>
  <c r="F231" i="15"/>
  <c r="P231" i="15"/>
  <c r="K247" i="15"/>
  <c r="J247" i="15"/>
  <c r="I247" i="15"/>
  <c r="H247" i="15"/>
  <c r="G247" i="15"/>
  <c r="F247" i="15"/>
  <c r="M247" i="15"/>
  <c r="E247" i="15"/>
  <c r="AG233" i="15"/>
  <c r="Y233" i="15"/>
  <c r="AF233" i="15"/>
  <c r="AU233" i="15" s="1"/>
  <c r="X233" i="15"/>
  <c r="AE233" i="15"/>
  <c r="W233" i="15"/>
  <c r="AD233" i="15"/>
  <c r="V233" i="15"/>
  <c r="AC233" i="15"/>
  <c r="U233" i="15"/>
  <c r="AB233" i="15"/>
  <c r="T233" i="15"/>
  <c r="K218" i="15"/>
  <c r="F219" i="15"/>
  <c r="N219" i="15"/>
  <c r="Z223" i="15"/>
  <c r="U224" i="15"/>
  <c r="AC224" i="15"/>
  <c r="K226" i="15"/>
  <c r="AO226" i="15" s="1"/>
  <c r="F227" i="15"/>
  <c r="AJ227" i="15" s="1"/>
  <c r="N227" i="15"/>
  <c r="AR227" i="15" s="1"/>
  <c r="Y228" i="15"/>
  <c r="AG228" i="15"/>
  <c r="K230" i="15"/>
  <c r="AO230" i="15" s="1"/>
  <c r="U230" i="15"/>
  <c r="AG230" i="15"/>
  <c r="H231" i="15"/>
  <c r="Z233" i="15"/>
  <c r="G219" i="15"/>
  <c r="V224" i="15"/>
  <c r="G227" i="15"/>
  <c r="AK227" i="15" s="1"/>
  <c r="Z228" i="15"/>
  <c r="L230" i="15"/>
  <c r="AP230" i="15" s="1"/>
  <c r="V230" i="15"/>
  <c r="I231" i="15"/>
  <c r="AA233" i="15"/>
  <c r="L231" i="15"/>
  <c r="K236" i="15"/>
  <c r="R236" i="15"/>
  <c r="J236" i="15"/>
  <c r="Q236" i="15"/>
  <c r="I236" i="15"/>
  <c r="P236" i="15"/>
  <c r="H236" i="15"/>
  <c r="O236" i="15"/>
  <c r="G236" i="15"/>
  <c r="N236" i="15"/>
  <c r="F236" i="15"/>
  <c r="M236" i="15"/>
  <c r="AQ236" i="15" s="1"/>
  <c r="E236" i="15"/>
  <c r="AI236" i="15" s="1"/>
  <c r="P230" i="15"/>
  <c r="AT230" i="15" s="1"/>
  <c r="H230" i="15"/>
  <c r="AL230" i="15" s="1"/>
  <c r="O230" i="15"/>
  <c r="AS230" i="15" s="1"/>
  <c r="G230" i="15"/>
  <c r="AK230" i="15" s="1"/>
  <c r="N230" i="15"/>
  <c r="AR230" i="15" s="1"/>
  <c r="E230" i="15"/>
  <c r="AI230" i="15" s="1"/>
  <c r="Q230" i="15"/>
  <c r="AU230" i="15" s="1"/>
  <c r="K231" i="15"/>
  <c r="R231" i="15"/>
  <c r="J231" i="15"/>
  <c r="N231" i="15"/>
  <c r="Z241" i="15"/>
  <c r="AG241" i="15"/>
  <c r="Y241" i="15"/>
  <c r="AF241" i="15"/>
  <c r="AU241" i="15" s="1"/>
  <c r="X241" i="15"/>
  <c r="AE241" i="15"/>
  <c r="W241" i="15"/>
  <c r="AD241" i="15"/>
  <c r="V241" i="15"/>
  <c r="AC241" i="15"/>
  <c r="U241" i="15"/>
  <c r="AB241" i="15"/>
  <c r="T241" i="15"/>
  <c r="I232" i="15"/>
  <c r="AM232" i="15" s="1"/>
  <c r="Q232" i="15"/>
  <c r="AU232" i="15" s="1"/>
  <c r="Y232" i="15"/>
  <c r="AG232" i="15"/>
  <c r="L233" i="15"/>
  <c r="AP233" i="15" s="1"/>
  <c r="J235" i="15"/>
  <c r="AN235" i="15" s="1"/>
  <c r="R235" i="15"/>
  <c r="AV235" i="15" s="1"/>
  <c r="Z235" i="15"/>
  <c r="U236" i="15"/>
  <c r="AC236" i="15"/>
  <c r="X237" i="15"/>
  <c r="AF237" i="15"/>
  <c r="K238" i="15"/>
  <c r="AO238" i="15" s="1"/>
  <c r="AA238" i="15"/>
  <c r="F239" i="15"/>
  <c r="AJ239" i="15" s="1"/>
  <c r="N239" i="15"/>
  <c r="AR239" i="15" s="1"/>
  <c r="I240" i="15"/>
  <c r="AM240" i="15" s="1"/>
  <c r="Q240" i="15"/>
  <c r="AU240" i="15" s="1"/>
  <c r="AG240" i="15"/>
  <c r="L241" i="15"/>
  <c r="AP241" i="15" s="1"/>
  <c r="Z243" i="15"/>
  <c r="U247" i="15"/>
  <c r="E233" i="15"/>
  <c r="AI233" i="15" s="1"/>
  <c r="M233" i="15"/>
  <c r="AQ233" i="15" s="1"/>
  <c r="AA235" i="15"/>
  <c r="V236" i="15"/>
  <c r="AD236" i="15"/>
  <c r="Y237" i="15"/>
  <c r="AG237" i="15"/>
  <c r="L238" i="15"/>
  <c r="AP238" i="15" s="1"/>
  <c r="T238" i="15"/>
  <c r="AB238" i="15"/>
  <c r="G239" i="15"/>
  <c r="AK239" i="15" s="1"/>
  <c r="O239" i="15"/>
  <c r="AS239" i="15" s="1"/>
  <c r="J240" i="15"/>
  <c r="AN240" i="15" s="1"/>
  <c r="R240" i="15"/>
  <c r="AV240" i="15" s="1"/>
  <c r="E241" i="15"/>
  <c r="AI241" i="15" s="1"/>
  <c r="M241" i="15"/>
  <c r="AQ241" i="15" s="1"/>
  <c r="AA243" i="15"/>
  <c r="V247" i="15"/>
  <c r="K232" i="15"/>
  <c r="AO232" i="15" s="1"/>
  <c r="AA232" i="15"/>
  <c r="F233" i="15"/>
  <c r="AJ233" i="15" s="1"/>
  <c r="N233" i="15"/>
  <c r="AR233" i="15" s="1"/>
  <c r="L235" i="15"/>
  <c r="AP235" i="15" s="1"/>
  <c r="T235" i="15"/>
  <c r="AB235" i="15"/>
  <c r="W236" i="15"/>
  <c r="AE236" i="15"/>
  <c r="Z237" i="15"/>
  <c r="E238" i="15"/>
  <c r="AI238" i="15" s="1"/>
  <c r="M238" i="15"/>
  <c r="AQ238" i="15" s="1"/>
  <c r="U238" i="15"/>
  <c r="AC238" i="15"/>
  <c r="H239" i="15"/>
  <c r="AL239" i="15" s="1"/>
  <c r="P239" i="15"/>
  <c r="AT239" i="15" s="1"/>
  <c r="AF239" i="15"/>
  <c r="K240" i="15"/>
  <c r="AO240" i="15" s="1"/>
  <c r="AA240" i="15"/>
  <c r="F241" i="15"/>
  <c r="AJ241" i="15" s="1"/>
  <c r="N241" i="15"/>
  <c r="AR241" i="15" s="1"/>
  <c r="L243" i="15"/>
  <c r="AP243" i="15" s="1"/>
  <c r="T243" i="15"/>
  <c r="AB243" i="15"/>
  <c r="W247" i="15"/>
  <c r="L232" i="15"/>
  <c r="AP232" i="15" s="1"/>
  <c r="T232" i="15"/>
  <c r="AB232" i="15"/>
  <c r="G233" i="15"/>
  <c r="AK233" i="15" s="1"/>
  <c r="O233" i="15"/>
  <c r="AS233" i="15" s="1"/>
  <c r="E235" i="15"/>
  <c r="AI235" i="15" s="1"/>
  <c r="M235" i="15"/>
  <c r="AQ235" i="15" s="1"/>
  <c r="U235" i="15"/>
  <c r="AC235" i="15"/>
  <c r="X236" i="15"/>
  <c r="AF236" i="15"/>
  <c r="AA237" i="15"/>
  <c r="F238" i="15"/>
  <c r="AJ238" i="15" s="1"/>
  <c r="N238" i="15"/>
  <c r="AR238" i="15" s="1"/>
  <c r="V238" i="15"/>
  <c r="AD238" i="15"/>
  <c r="I239" i="15"/>
  <c r="AM239" i="15" s="1"/>
  <c r="Q239" i="15"/>
  <c r="AU239" i="15" s="1"/>
  <c r="L240" i="15"/>
  <c r="AP240" i="15" s="1"/>
  <c r="T240" i="15"/>
  <c r="AB240" i="15"/>
  <c r="G241" i="15"/>
  <c r="AK241" i="15" s="1"/>
  <c r="O241" i="15"/>
  <c r="AS241" i="15" s="1"/>
  <c r="E243" i="15"/>
  <c r="AI243" i="15" s="1"/>
  <c r="M243" i="15"/>
  <c r="AQ243" i="15" s="1"/>
  <c r="U243" i="15"/>
  <c r="AC243" i="15"/>
  <c r="X247" i="15"/>
  <c r="L229" i="15"/>
  <c r="AP229" i="15" s="1"/>
  <c r="Z231" i="15"/>
  <c r="E232" i="15"/>
  <c r="AI232" i="15" s="1"/>
  <c r="M232" i="15"/>
  <c r="AQ232" i="15" s="1"/>
  <c r="U232" i="15"/>
  <c r="AC232" i="15"/>
  <c r="AR232" i="15" s="1"/>
  <c r="H233" i="15"/>
  <c r="AL233" i="15" s="1"/>
  <c r="P233" i="15"/>
  <c r="AT233" i="15" s="1"/>
  <c r="K234" i="15"/>
  <c r="AO234" i="15" s="1"/>
  <c r="AA234" i="15"/>
  <c r="AP234" i="15" s="1"/>
  <c r="F235" i="15"/>
  <c r="AJ235" i="15" s="1"/>
  <c r="N235" i="15"/>
  <c r="AR235" i="15" s="1"/>
  <c r="V235" i="15"/>
  <c r="AD235" i="15"/>
  <c r="AS235" i="15" s="1"/>
  <c r="Y236" i="15"/>
  <c r="AG236" i="15"/>
  <c r="L237" i="15"/>
  <c r="AP237" i="15" s="1"/>
  <c r="T237" i="15"/>
  <c r="AB237" i="15"/>
  <c r="AQ237" i="15" s="1"/>
  <c r="G238" i="15"/>
  <c r="AK238" i="15" s="1"/>
  <c r="O238" i="15"/>
  <c r="AS238" i="15" s="1"/>
  <c r="W238" i="15"/>
  <c r="AE238" i="15"/>
  <c r="AT238" i="15" s="1"/>
  <c r="J239" i="15"/>
  <c r="AN239" i="15" s="1"/>
  <c r="R239" i="15"/>
  <c r="AV239" i="15" s="1"/>
  <c r="Z239" i="15"/>
  <c r="E240" i="15"/>
  <c r="AI240" i="15" s="1"/>
  <c r="M240" i="15"/>
  <c r="AQ240" i="15" s="1"/>
  <c r="U240" i="15"/>
  <c r="AC240" i="15"/>
  <c r="H241" i="15"/>
  <c r="AL241" i="15" s="1"/>
  <c r="P241" i="15"/>
  <c r="AT241" i="15" s="1"/>
  <c r="AA242" i="15"/>
  <c r="AP242" i="15" s="1"/>
  <c r="F243" i="15"/>
  <c r="AJ243" i="15" s="1"/>
  <c r="N243" i="15"/>
  <c r="AR243" i="15" s="1"/>
  <c r="V243" i="15"/>
  <c r="AD243" i="15"/>
  <c r="AS243" i="15" s="1"/>
  <c r="Y247" i="15"/>
  <c r="F232" i="15"/>
  <c r="AJ232" i="15" s="1"/>
  <c r="V232" i="15"/>
  <c r="I233" i="15"/>
  <c r="AM233" i="15" s="1"/>
  <c r="T234" i="15"/>
  <c r="G235" i="15"/>
  <c r="AK235" i="15" s="1"/>
  <c r="W235" i="15"/>
  <c r="Z236" i="15"/>
  <c r="E237" i="15"/>
  <c r="AI237" i="15" s="1"/>
  <c r="U237" i="15"/>
  <c r="H238" i="15"/>
  <c r="AL238" i="15" s="1"/>
  <c r="X238" i="15"/>
  <c r="K239" i="15"/>
  <c r="AO239" i="15" s="1"/>
  <c r="F240" i="15"/>
  <c r="AJ240" i="15" s="1"/>
  <c r="N240" i="15"/>
  <c r="AR240" i="15" s="1"/>
  <c r="V240" i="15"/>
  <c r="I241" i="15"/>
  <c r="AM241" i="15" s="1"/>
  <c r="T242" i="15"/>
  <c r="G243" i="15"/>
  <c r="AK243" i="15" s="1"/>
  <c r="W243" i="15"/>
  <c r="Z247" i="15"/>
  <c r="G240" i="15"/>
  <c r="AK240" i="15" s="1"/>
  <c r="S248" i="15"/>
  <c r="S249" i="15" s="1"/>
  <c r="D137" i="15"/>
  <c r="D139" i="15"/>
  <c r="D141" i="15"/>
  <c r="D133" i="15"/>
  <c r="D136" i="15"/>
  <c r="S132" i="15"/>
  <c r="Y132" i="15" s="1"/>
  <c r="D135" i="15"/>
  <c r="S135" i="15"/>
  <c r="E172" i="15"/>
  <c r="M172" i="15"/>
  <c r="U172" i="15"/>
  <c r="AC172" i="15"/>
  <c r="H173" i="15"/>
  <c r="X173" i="15"/>
  <c r="K174" i="15"/>
  <c r="T174" i="15"/>
  <c r="U176" i="15"/>
  <c r="H177" i="15"/>
  <c r="Z177" i="15"/>
  <c r="AE177" i="15"/>
  <c r="W177" i="15"/>
  <c r="AC177" i="15"/>
  <c r="M178" i="15"/>
  <c r="E178" i="15"/>
  <c r="R178" i="15"/>
  <c r="J178" i="15"/>
  <c r="O178" i="15"/>
  <c r="O179" i="15"/>
  <c r="G180" i="15"/>
  <c r="AG184" i="15"/>
  <c r="Y184" i="15"/>
  <c r="AE184" i="15"/>
  <c r="AT184" i="15" s="1"/>
  <c r="W184" i="15"/>
  <c r="AD184" i="15"/>
  <c r="AS184" i="15" s="1"/>
  <c r="V184" i="15"/>
  <c r="AC184" i="15"/>
  <c r="AR184" i="15" s="1"/>
  <c r="U184" i="15"/>
  <c r="AB184" i="15"/>
  <c r="AQ184" i="15" s="1"/>
  <c r="T184" i="15"/>
  <c r="AB174" i="15"/>
  <c r="F172" i="15"/>
  <c r="N172" i="15"/>
  <c r="L174" i="15"/>
  <c r="U174" i="15"/>
  <c r="V176" i="15"/>
  <c r="I177" i="15"/>
  <c r="J180" i="15"/>
  <c r="L172" i="15"/>
  <c r="G172" i="15"/>
  <c r="O172" i="15"/>
  <c r="W174" i="15"/>
  <c r="X176" i="15"/>
  <c r="K177" i="15"/>
  <c r="P179" i="15"/>
  <c r="H179" i="15"/>
  <c r="N179" i="15"/>
  <c r="F179" i="15"/>
  <c r="M179" i="15"/>
  <c r="E179" i="15"/>
  <c r="R179" i="15"/>
  <c r="L180" i="15"/>
  <c r="V174" i="15"/>
  <c r="S133" i="15"/>
  <c r="H172" i="15"/>
  <c r="P172" i="15"/>
  <c r="X172" i="15"/>
  <c r="AF172" i="15"/>
  <c r="K173" i="15"/>
  <c r="AA173" i="15"/>
  <c r="F174" i="15"/>
  <c r="X174" i="15"/>
  <c r="L177" i="15"/>
  <c r="V177" i="15"/>
  <c r="AG177" i="15"/>
  <c r="G179" i="15"/>
  <c r="AF179" i="15"/>
  <c r="X179" i="15"/>
  <c r="AD179" i="15"/>
  <c r="V179" i="15"/>
  <c r="AC179" i="15"/>
  <c r="U179" i="15"/>
  <c r="AG179" i="15"/>
  <c r="M180" i="15"/>
  <c r="Q182" i="15"/>
  <c r="I182" i="15"/>
  <c r="P182" i="15"/>
  <c r="H182" i="15"/>
  <c r="O182" i="15"/>
  <c r="G182" i="15"/>
  <c r="N182" i="15"/>
  <c r="F182" i="15"/>
  <c r="AA184" i="15"/>
  <c r="W176" i="15"/>
  <c r="AB176" i="15"/>
  <c r="T176" i="15"/>
  <c r="I172" i="15"/>
  <c r="Q172" i="15"/>
  <c r="Y172" i="15"/>
  <c r="AG172" i="15"/>
  <c r="T173" i="15"/>
  <c r="G174" i="15"/>
  <c r="Y174" i="15"/>
  <c r="AB175" i="15"/>
  <c r="T175" i="15"/>
  <c r="AG175" i="15"/>
  <c r="Y175" i="15"/>
  <c r="AD175" i="15"/>
  <c r="Z176" i="15"/>
  <c r="X177" i="15"/>
  <c r="I178" i="15"/>
  <c r="I179" i="15"/>
  <c r="T179" i="15"/>
  <c r="E182" i="15"/>
  <c r="AF184" i="15"/>
  <c r="AU184" i="15" s="1"/>
  <c r="D131" i="15"/>
  <c r="J172" i="15"/>
  <c r="R172" i="15"/>
  <c r="Z174" i="15"/>
  <c r="AA176" i="15"/>
  <c r="R177" i="15"/>
  <c r="J177" i="15"/>
  <c r="O177" i="15"/>
  <c r="G177" i="15"/>
  <c r="N177" i="15"/>
  <c r="K180" i="15"/>
  <c r="Q180" i="15"/>
  <c r="I180" i="15"/>
  <c r="P180" i="15"/>
  <c r="H180" i="15"/>
  <c r="O180" i="15"/>
  <c r="I174" i="15"/>
  <c r="AA174" i="15"/>
  <c r="E177" i="15"/>
  <c r="P177" i="15"/>
  <c r="K179" i="15"/>
  <c r="E180" i="15"/>
  <c r="R180" i="15"/>
  <c r="K187" i="15"/>
  <c r="R187" i="15"/>
  <c r="J187" i="15"/>
  <c r="Q187" i="15"/>
  <c r="I187" i="15"/>
  <c r="P187" i="15"/>
  <c r="H187" i="15"/>
  <c r="O187" i="15"/>
  <c r="G187" i="15"/>
  <c r="N187" i="15"/>
  <c r="F187" i="15"/>
  <c r="M187" i="15"/>
  <c r="AQ187" i="15" s="1"/>
  <c r="E187" i="15"/>
  <c r="AI187" i="15" s="1"/>
  <c r="I175" i="15"/>
  <c r="Q175" i="15"/>
  <c r="L176" i="15"/>
  <c r="Z178" i="15"/>
  <c r="X180" i="15"/>
  <c r="AF180" i="15"/>
  <c r="K181" i="15"/>
  <c r="AA181" i="15"/>
  <c r="V182" i="15"/>
  <c r="AD182" i="15"/>
  <c r="I183" i="15"/>
  <c r="AM183" i="15" s="1"/>
  <c r="Q183" i="15"/>
  <c r="AU183" i="15" s="1"/>
  <c r="Y183" i="15"/>
  <c r="AN183" i="15" s="1"/>
  <c r="AG183" i="15"/>
  <c r="L184" i="15"/>
  <c r="AP184" i="15" s="1"/>
  <c r="G185" i="15"/>
  <c r="AK185" i="15" s="1"/>
  <c r="O185" i="15"/>
  <c r="AS185" i="15" s="1"/>
  <c r="W185" i="15"/>
  <c r="AE185" i="15"/>
  <c r="J186" i="15"/>
  <c r="AN186" i="15" s="1"/>
  <c r="R186" i="15"/>
  <c r="AV186" i="15" s="1"/>
  <c r="Z186" i="15"/>
  <c r="U187" i="15"/>
  <c r="AC187" i="15"/>
  <c r="H188" i="15"/>
  <c r="Q188" i="15"/>
  <c r="Z188" i="15"/>
  <c r="I189" i="15"/>
  <c r="AF189" i="15"/>
  <c r="AU189" i="15" s="1"/>
  <c r="X189" i="15"/>
  <c r="AE189" i="15"/>
  <c r="W189" i="15"/>
  <c r="AC189" i="15"/>
  <c r="F190" i="15"/>
  <c r="P190" i="15"/>
  <c r="AF194" i="15"/>
  <c r="X194" i="15"/>
  <c r="AE194" i="15"/>
  <c r="W194" i="15"/>
  <c r="AD194" i="15"/>
  <c r="AS194" i="15" s="1"/>
  <c r="V194" i="15"/>
  <c r="AC194" i="15"/>
  <c r="U194" i="15"/>
  <c r="AB194" i="15"/>
  <c r="T194" i="15"/>
  <c r="Z194" i="15"/>
  <c r="AG194" i="15"/>
  <c r="Y194" i="15"/>
  <c r="AA178" i="15"/>
  <c r="L181" i="15"/>
  <c r="W182" i="15"/>
  <c r="AE182" i="15"/>
  <c r="Z183" i="15"/>
  <c r="AO183" i="15" s="1"/>
  <c r="H185" i="15"/>
  <c r="AL185" i="15" s="1"/>
  <c r="P185" i="15"/>
  <c r="AT185" i="15" s="1"/>
  <c r="X185" i="15"/>
  <c r="AF185" i="15"/>
  <c r="K186" i="15"/>
  <c r="AO186" i="15" s="1"/>
  <c r="AA186" i="15"/>
  <c r="V187" i="15"/>
  <c r="AD187" i="15"/>
  <c r="I188" i="15"/>
  <c r="AM188" i="15" s="1"/>
  <c r="R188" i="15"/>
  <c r="AV188" i="15" s="1"/>
  <c r="J189" i="15"/>
  <c r="AN189" i="15" s="1"/>
  <c r="G190" i="15"/>
  <c r="Q190" i="15"/>
  <c r="Q197" i="15"/>
  <c r="AU197" i="15" s="1"/>
  <c r="I197" i="15"/>
  <c r="P197" i="15"/>
  <c r="H197" i="15"/>
  <c r="O197" i="15"/>
  <c r="G197" i="15"/>
  <c r="N197" i="15"/>
  <c r="F197" i="15"/>
  <c r="M197" i="15"/>
  <c r="AQ197" i="15" s="1"/>
  <c r="E197" i="15"/>
  <c r="AI197" i="15" s="1"/>
  <c r="K197" i="15"/>
  <c r="AO197" i="15" s="1"/>
  <c r="R197" i="15"/>
  <c r="J197" i="15"/>
  <c r="AN197" i="15" s="1"/>
  <c r="X182" i="15"/>
  <c r="AF182" i="15"/>
  <c r="AA183" i="15"/>
  <c r="AP183" i="15" s="1"/>
  <c r="I185" i="15"/>
  <c r="AM185" i="15" s="1"/>
  <c r="Q185" i="15"/>
  <c r="AU185" i="15" s="1"/>
  <c r="Y185" i="15"/>
  <c r="AG185" i="15"/>
  <c r="L186" i="15"/>
  <c r="AP186" i="15" s="1"/>
  <c r="W187" i="15"/>
  <c r="AE187" i="15"/>
  <c r="J188" i="15"/>
  <c r="AN188" i="15" s="1"/>
  <c r="AC188" i="15"/>
  <c r="U188" i="15"/>
  <c r="AB188" i="15"/>
  <c r="AQ188" i="15" s="1"/>
  <c r="K189" i="15"/>
  <c r="AO189" i="15" s="1"/>
  <c r="H190" i="15"/>
  <c r="G176" i="15"/>
  <c r="U178" i="15"/>
  <c r="F181" i="15"/>
  <c r="V181" i="15"/>
  <c r="Y182" i="15"/>
  <c r="AG182" i="15"/>
  <c r="T183" i="15"/>
  <c r="AB183" i="15"/>
  <c r="AQ183" i="15" s="1"/>
  <c r="G184" i="15"/>
  <c r="AK184" i="15" s="1"/>
  <c r="J185" i="15"/>
  <c r="AN185" i="15" s="1"/>
  <c r="R185" i="15"/>
  <c r="AV185" i="15" s="1"/>
  <c r="Z185" i="15"/>
  <c r="E186" i="15"/>
  <c r="AI186" i="15" s="1"/>
  <c r="M186" i="15"/>
  <c r="AQ186" i="15" s="1"/>
  <c r="U186" i="15"/>
  <c r="AJ186" i="15" s="1"/>
  <c r="X187" i="15"/>
  <c r="AF187" i="15"/>
  <c r="K188" i="15"/>
  <c r="AO188" i="15" s="1"/>
  <c r="T188" i="15"/>
  <c r="AD188" i="15"/>
  <c r="I190" i="15"/>
  <c r="AA185" i="15"/>
  <c r="AP185" i="15" s="1"/>
  <c r="Y187" i="15"/>
  <c r="AG187" i="15"/>
  <c r="L188" i="15"/>
  <c r="AP188" i="15" s="1"/>
  <c r="P189" i="15"/>
  <c r="AT189" i="15" s="1"/>
  <c r="H189" i="15"/>
  <c r="AL189" i="15" s="1"/>
  <c r="O189" i="15"/>
  <c r="AS189" i="15" s="1"/>
  <c r="M189" i="15"/>
  <c r="AQ189" i="15" s="1"/>
  <c r="L190" i="15"/>
  <c r="V183" i="15"/>
  <c r="AK183" i="15" s="1"/>
  <c r="T185" i="15"/>
  <c r="AB185" i="15"/>
  <c r="G186" i="15"/>
  <c r="AK186" i="15" s="1"/>
  <c r="Z187" i="15"/>
  <c r="E188" i="15"/>
  <c r="AI188" i="15" s="1"/>
  <c r="N188" i="15"/>
  <c r="AR188" i="15" s="1"/>
  <c r="W188" i="15"/>
  <c r="AF188" i="15"/>
  <c r="E189" i="15"/>
  <c r="AI189" i="15" s="1"/>
  <c r="N189" i="15"/>
  <c r="AR189" i="15" s="1"/>
  <c r="U185" i="15"/>
  <c r="F188" i="15"/>
  <c r="AJ188" i="15" s="1"/>
  <c r="O188" i="15"/>
  <c r="AS188" i="15" s="1"/>
  <c r="K190" i="15"/>
  <c r="R190" i="15"/>
  <c r="J190" i="15"/>
  <c r="N190" i="15"/>
  <c r="AF202" i="15"/>
  <c r="X202" i="15"/>
  <c r="AE202" i="15"/>
  <c r="W202" i="15"/>
  <c r="AD202" i="15"/>
  <c r="AS202" i="15" s="1"/>
  <c r="V202" i="15"/>
  <c r="AC202" i="15"/>
  <c r="U202" i="15"/>
  <c r="AB202" i="15"/>
  <c r="T202" i="15"/>
  <c r="Z202" i="15"/>
  <c r="AO202" i="15" s="1"/>
  <c r="AG202" i="15"/>
  <c r="AV202" i="15" s="1"/>
  <c r="Y202" i="15"/>
  <c r="AA192" i="15"/>
  <c r="Q194" i="15"/>
  <c r="AU194" i="15" s="1"/>
  <c r="L195" i="15"/>
  <c r="AP195" i="15" s="1"/>
  <c r="T195" i="15"/>
  <c r="AB195" i="15"/>
  <c r="E198" i="15"/>
  <c r="AI198" i="15" s="1"/>
  <c r="M198" i="15"/>
  <c r="AQ198" i="15" s="1"/>
  <c r="AA200" i="15"/>
  <c r="L206" i="15"/>
  <c r="T206" i="15"/>
  <c r="AB206" i="15"/>
  <c r="Y191" i="15"/>
  <c r="AN191" i="15" s="1"/>
  <c r="AG191" i="15"/>
  <c r="AV191" i="15" s="1"/>
  <c r="L192" i="15"/>
  <c r="AP192" i="15" s="1"/>
  <c r="T192" i="15"/>
  <c r="AI192" i="15" s="1"/>
  <c r="AB192" i="15"/>
  <c r="J194" i="15"/>
  <c r="AN194" i="15" s="1"/>
  <c r="R194" i="15"/>
  <c r="AV194" i="15" s="1"/>
  <c r="E195" i="15"/>
  <c r="AI195" i="15" s="1"/>
  <c r="M195" i="15"/>
  <c r="AQ195" i="15" s="1"/>
  <c r="U195" i="15"/>
  <c r="AC195" i="15"/>
  <c r="AA197" i="15"/>
  <c r="F198" i="15"/>
  <c r="AJ198" i="15" s="1"/>
  <c r="N198" i="15"/>
  <c r="AR198" i="15" s="1"/>
  <c r="AG199" i="15"/>
  <c r="L200" i="15"/>
  <c r="AP200" i="15" s="1"/>
  <c r="T200" i="15"/>
  <c r="AB200" i="15"/>
  <c r="E206" i="15"/>
  <c r="M206" i="15"/>
  <c r="U206" i="15"/>
  <c r="AA191" i="15"/>
  <c r="F192" i="15"/>
  <c r="N192" i="15"/>
  <c r="AR192" i="15" s="1"/>
  <c r="V192" i="15"/>
  <c r="AD192" i="15"/>
  <c r="L194" i="15"/>
  <c r="AP194" i="15" s="1"/>
  <c r="G195" i="15"/>
  <c r="AK195" i="15" s="1"/>
  <c r="O195" i="15"/>
  <c r="AS195" i="15" s="1"/>
  <c r="W195" i="15"/>
  <c r="AE195" i="15"/>
  <c r="U197" i="15"/>
  <c r="AC197" i="15"/>
  <c r="H198" i="15"/>
  <c r="AL198" i="15" s="1"/>
  <c r="P198" i="15"/>
  <c r="AT198" i="15" s="1"/>
  <c r="AA199" i="15"/>
  <c r="F200" i="15"/>
  <c r="AJ200" i="15" s="1"/>
  <c r="N200" i="15"/>
  <c r="AR200" i="15" s="1"/>
  <c r="V200" i="15"/>
  <c r="AD200" i="15"/>
  <c r="L202" i="15"/>
  <c r="AP202" i="15" s="1"/>
  <c r="G206" i="15"/>
  <c r="W206" i="15"/>
  <c r="L191" i="15"/>
  <c r="AP191" i="15" s="1"/>
  <c r="T191" i="15"/>
  <c r="AB191" i="15"/>
  <c r="G192" i="15"/>
  <c r="AK192" i="15" s="1"/>
  <c r="O192" i="15"/>
  <c r="AS192" i="15" s="1"/>
  <c r="W192" i="15"/>
  <c r="AE192" i="15"/>
  <c r="E194" i="15"/>
  <c r="AI194" i="15" s="1"/>
  <c r="M194" i="15"/>
  <c r="AQ194" i="15" s="1"/>
  <c r="H195" i="15"/>
  <c r="AL195" i="15" s="1"/>
  <c r="P195" i="15"/>
  <c r="AT195" i="15" s="1"/>
  <c r="X195" i="15"/>
  <c r="AF195" i="15"/>
  <c r="AA196" i="15"/>
  <c r="V197" i="15"/>
  <c r="AD197" i="15"/>
  <c r="I198" i="15"/>
  <c r="AM198" i="15" s="1"/>
  <c r="Q198" i="15"/>
  <c r="AU198" i="15" s="1"/>
  <c r="L199" i="15"/>
  <c r="AP199" i="15" s="1"/>
  <c r="T199" i="15"/>
  <c r="AB199" i="15"/>
  <c r="G200" i="15"/>
  <c r="AK200" i="15" s="1"/>
  <c r="O200" i="15"/>
  <c r="AS200" i="15" s="1"/>
  <c r="W200" i="15"/>
  <c r="AE200" i="15"/>
  <c r="E202" i="15"/>
  <c r="M202" i="15"/>
  <c r="AQ202" i="15" s="1"/>
  <c r="H206" i="15"/>
  <c r="X206" i="15"/>
  <c r="E191" i="15"/>
  <c r="AI191" i="15" s="1"/>
  <c r="M191" i="15"/>
  <c r="AQ191" i="15" s="1"/>
  <c r="U191" i="15"/>
  <c r="AC191" i="15"/>
  <c r="AR191" i="15" s="1"/>
  <c r="H192" i="15"/>
  <c r="AL192" i="15" s="1"/>
  <c r="P192" i="15"/>
  <c r="AT192" i="15" s="1"/>
  <c r="X192" i="15"/>
  <c r="AF192" i="15"/>
  <c r="AU192" i="15" s="1"/>
  <c r="AA193" i="15"/>
  <c r="AP193" i="15" s="1"/>
  <c r="F194" i="15"/>
  <c r="AJ194" i="15" s="1"/>
  <c r="N194" i="15"/>
  <c r="AR194" i="15" s="1"/>
  <c r="I195" i="15"/>
  <c r="AM195" i="15" s="1"/>
  <c r="Q195" i="15"/>
  <c r="AU195" i="15" s="1"/>
  <c r="Y195" i="15"/>
  <c r="AG195" i="15"/>
  <c r="AV195" i="15" s="1"/>
  <c r="L196" i="15"/>
  <c r="AP196" i="15" s="1"/>
  <c r="T196" i="15"/>
  <c r="AB196" i="15"/>
  <c r="AQ196" i="15" s="1"/>
  <c r="W197" i="15"/>
  <c r="AE197" i="15"/>
  <c r="J198" i="15"/>
  <c r="AN198" i="15" s="1"/>
  <c r="R198" i="15"/>
  <c r="AV198" i="15" s="1"/>
  <c r="E199" i="15"/>
  <c r="AI199" i="15" s="1"/>
  <c r="M199" i="15"/>
  <c r="AQ199" i="15" s="1"/>
  <c r="U199" i="15"/>
  <c r="AC199" i="15"/>
  <c r="AR199" i="15" s="1"/>
  <c r="H200" i="15"/>
  <c r="AL200" i="15" s="1"/>
  <c r="P200" i="15"/>
  <c r="AT200" i="15" s="1"/>
  <c r="X200" i="15"/>
  <c r="AF200" i="15"/>
  <c r="AU200" i="15" s="1"/>
  <c r="AA201" i="15"/>
  <c r="AP201" i="15" s="1"/>
  <c r="F202" i="15"/>
  <c r="AJ202" i="15" s="1"/>
  <c r="N202" i="15"/>
  <c r="AR202" i="15" s="1"/>
  <c r="I206" i="15"/>
  <c r="Y206" i="15"/>
  <c r="F191" i="15"/>
  <c r="AJ191" i="15" s="1"/>
  <c r="V191" i="15"/>
  <c r="AK191" i="15" s="1"/>
  <c r="I192" i="15"/>
  <c r="AM192" i="15" s="1"/>
  <c r="Y192" i="15"/>
  <c r="T193" i="15"/>
  <c r="AI193" i="15" s="1"/>
  <c r="G194" i="15"/>
  <c r="AK194" i="15" s="1"/>
  <c r="J195" i="15"/>
  <c r="AN195" i="15" s="1"/>
  <c r="Z195" i="15"/>
  <c r="E196" i="15"/>
  <c r="AI196" i="15" s="1"/>
  <c r="U196" i="15"/>
  <c r="AJ196" i="15" s="1"/>
  <c r="X197" i="15"/>
  <c r="K198" i="15"/>
  <c r="AO198" i="15" s="1"/>
  <c r="F199" i="15"/>
  <c r="AJ199" i="15" s="1"/>
  <c r="V199" i="15"/>
  <c r="I200" i="15"/>
  <c r="AM200" i="15" s="1"/>
  <c r="Y200" i="15"/>
  <c r="T201" i="15"/>
  <c r="AI201" i="15" s="1"/>
  <c r="G202" i="15"/>
  <c r="AK202" i="15" s="1"/>
  <c r="J206" i="15"/>
  <c r="Z206" i="15"/>
  <c r="D145" i="15"/>
  <c r="G145" i="15" s="1"/>
  <c r="D134" i="15"/>
  <c r="D207" i="15"/>
  <c r="S207" i="15"/>
  <c r="F90" i="15"/>
  <c r="N90" i="15"/>
  <c r="V90" i="15"/>
  <c r="AD90" i="15"/>
  <c r="L92" i="15"/>
  <c r="T92" i="15"/>
  <c r="AB92" i="15"/>
  <c r="H94" i="15"/>
  <c r="T94" i="15"/>
  <c r="V96" i="15"/>
  <c r="I97" i="15"/>
  <c r="N98" i="15"/>
  <c r="F98" i="15"/>
  <c r="M98" i="15"/>
  <c r="E98" i="15"/>
  <c r="K98" i="15"/>
  <c r="R98" i="15"/>
  <c r="J98" i="15"/>
  <c r="AG99" i="15"/>
  <c r="Y99" i="15"/>
  <c r="AF99" i="15"/>
  <c r="X99" i="15"/>
  <c r="AE99" i="15"/>
  <c r="W99" i="15"/>
  <c r="AD99" i="15"/>
  <c r="V99" i="15"/>
  <c r="AC99" i="15"/>
  <c r="U99" i="15"/>
  <c r="AB99" i="15"/>
  <c r="T99" i="15"/>
  <c r="K102" i="15"/>
  <c r="G90" i="15"/>
  <c r="O90" i="15"/>
  <c r="W90" i="15"/>
  <c r="AE90" i="15"/>
  <c r="J91" i="15"/>
  <c r="Z91" i="15"/>
  <c r="E92" i="15"/>
  <c r="M92" i="15"/>
  <c r="U92" i="15"/>
  <c r="AD93" i="15"/>
  <c r="V93" i="15"/>
  <c r="AB93" i="15"/>
  <c r="T93" i="15"/>
  <c r="AE93" i="15"/>
  <c r="J94" i="15"/>
  <c r="U94" i="15"/>
  <c r="AE95" i="15"/>
  <c r="Y96" i="15"/>
  <c r="L97" i="15"/>
  <c r="G98" i="15"/>
  <c r="Z99" i="15"/>
  <c r="H90" i="15"/>
  <c r="P90" i="15"/>
  <c r="X90" i="15"/>
  <c r="AF90" i="15"/>
  <c r="K91" i="15"/>
  <c r="F92" i="15"/>
  <c r="V92" i="15"/>
  <c r="K94" i="15"/>
  <c r="X94" i="15"/>
  <c r="Z96" i="15"/>
  <c r="M97" i="15"/>
  <c r="H98" i="15"/>
  <c r="AA99" i="15"/>
  <c r="Z102" i="15"/>
  <c r="AG102" i="15"/>
  <c r="Y102" i="15"/>
  <c r="AF102" i="15"/>
  <c r="X102" i="15"/>
  <c r="AE102" i="15"/>
  <c r="W102" i="15"/>
  <c r="AD102" i="15"/>
  <c r="V102" i="15"/>
  <c r="AC102" i="15"/>
  <c r="U102" i="15"/>
  <c r="I90" i="15"/>
  <c r="Q90" i="15"/>
  <c r="Y90" i="15"/>
  <c r="AG90" i="15"/>
  <c r="G92" i="15"/>
  <c r="W92" i="15"/>
  <c r="L94" i="15"/>
  <c r="Z94" i="15"/>
  <c r="AC95" i="15"/>
  <c r="U95" i="15"/>
  <c r="AB95" i="15"/>
  <c r="T95" i="15"/>
  <c r="Z95" i="15"/>
  <c r="AG95" i="15"/>
  <c r="Y95" i="15"/>
  <c r="AA96" i="15"/>
  <c r="N97" i="15"/>
  <c r="I98" i="15"/>
  <c r="T102" i="15"/>
  <c r="M105" i="15"/>
  <c r="AQ105" i="15" s="1"/>
  <c r="K105" i="15"/>
  <c r="AO105" i="15" s="1"/>
  <c r="R105" i="15"/>
  <c r="AV105" i="15" s="1"/>
  <c r="J105" i="15"/>
  <c r="AN105" i="15" s="1"/>
  <c r="Q105" i="15"/>
  <c r="AU105" i="15" s="1"/>
  <c r="I105" i="15"/>
  <c r="AM105" i="15" s="1"/>
  <c r="P105" i="15"/>
  <c r="AT105" i="15" s="1"/>
  <c r="H105" i="15"/>
  <c r="AL105" i="15" s="1"/>
  <c r="O105" i="15"/>
  <c r="AS105" i="15" s="1"/>
  <c r="G105" i="15"/>
  <c r="AK105" i="15" s="1"/>
  <c r="N105" i="15"/>
  <c r="AR105" i="15" s="1"/>
  <c r="F105" i="15"/>
  <c r="AJ105" i="15" s="1"/>
  <c r="J90" i="15"/>
  <c r="R90" i="15"/>
  <c r="X92" i="15"/>
  <c r="M94" i="15"/>
  <c r="AA94" i="15"/>
  <c r="K90" i="15"/>
  <c r="Y92" i="15"/>
  <c r="AB94" i="15"/>
  <c r="K97" i="15"/>
  <c r="R97" i="15"/>
  <c r="J97" i="15"/>
  <c r="P97" i="15"/>
  <c r="H97" i="15"/>
  <c r="O97" i="15"/>
  <c r="G97" i="15"/>
  <c r="Z92" i="15"/>
  <c r="I94" i="15"/>
  <c r="G94" i="15"/>
  <c r="F94" i="15"/>
  <c r="E97" i="15"/>
  <c r="Y94" i="15"/>
  <c r="W94" i="15"/>
  <c r="V94" i="15"/>
  <c r="X96" i="15"/>
  <c r="W96" i="15"/>
  <c r="U96" i="15"/>
  <c r="AB96" i="15"/>
  <c r="T96" i="15"/>
  <c r="F97" i="15"/>
  <c r="R102" i="15"/>
  <c r="J102" i="15"/>
  <c r="Q102" i="15"/>
  <c r="I102" i="15"/>
  <c r="P102" i="15"/>
  <c r="H102" i="15"/>
  <c r="O102" i="15"/>
  <c r="G102" i="15"/>
  <c r="N102" i="15"/>
  <c r="F102" i="15"/>
  <c r="M102" i="15"/>
  <c r="E102" i="15"/>
  <c r="L99" i="15"/>
  <c r="X103" i="15"/>
  <c r="AF103" i="15"/>
  <c r="AA104" i="15"/>
  <c r="I106" i="15"/>
  <c r="AM106" i="15" s="1"/>
  <c r="R106" i="15"/>
  <c r="AV106" i="15" s="1"/>
  <c r="AF107" i="15"/>
  <c r="X107" i="15"/>
  <c r="AB107" i="15"/>
  <c r="E110" i="15"/>
  <c r="AI110" i="15" s="1"/>
  <c r="U110" i="15"/>
  <c r="L113" i="15"/>
  <c r="Z115" i="15"/>
  <c r="AA118" i="15"/>
  <c r="L96" i="15"/>
  <c r="W97" i="15"/>
  <c r="AE97" i="15"/>
  <c r="E99" i="15"/>
  <c r="M99" i="15"/>
  <c r="H100" i="15"/>
  <c r="P100" i="15"/>
  <c r="AA101" i="15"/>
  <c r="Y103" i="15"/>
  <c r="AG103" i="15"/>
  <c r="L104" i="15"/>
  <c r="AP104" i="15" s="1"/>
  <c r="T104" i="15"/>
  <c r="AB104" i="15"/>
  <c r="W105" i="15"/>
  <c r="AE105" i="15"/>
  <c r="J106" i="15"/>
  <c r="AN106" i="15" s="1"/>
  <c r="AC106" i="15"/>
  <c r="U106" i="15"/>
  <c r="AB106" i="15"/>
  <c r="K107" i="15"/>
  <c r="T107" i="15"/>
  <c r="AC107" i="15"/>
  <c r="K108" i="15"/>
  <c r="AO108" i="15" s="1"/>
  <c r="Q108" i="15"/>
  <c r="AU108" i="15" s="1"/>
  <c r="I108" i="15"/>
  <c r="AM108" i="15" s="1"/>
  <c r="N108" i="15"/>
  <c r="AR108" i="15" s="1"/>
  <c r="J110" i="15"/>
  <c r="AN110" i="15" s="1"/>
  <c r="Z110" i="15"/>
  <c r="L93" i="15"/>
  <c r="J95" i="15"/>
  <c r="R95" i="15"/>
  <c r="E96" i="15"/>
  <c r="M96" i="15"/>
  <c r="X97" i="15"/>
  <c r="AF97" i="15"/>
  <c r="AA98" i="15"/>
  <c r="F99" i="15"/>
  <c r="N99" i="15"/>
  <c r="I100" i="15"/>
  <c r="Q100" i="15"/>
  <c r="Y100" i="15"/>
  <c r="AG100" i="15"/>
  <c r="L101" i="15"/>
  <c r="AP101" i="15" s="1"/>
  <c r="T101" i="15"/>
  <c r="AB101" i="15"/>
  <c r="J103" i="15"/>
  <c r="R103" i="15"/>
  <c r="Z103" i="15"/>
  <c r="E104" i="15"/>
  <c r="AI104" i="15" s="1"/>
  <c r="M104" i="15"/>
  <c r="AQ104" i="15" s="1"/>
  <c r="U104" i="15"/>
  <c r="AC104" i="15"/>
  <c r="X105" i="15"/>
  <c r="AF105" i="15"/>
  <c r="K106" i="15"/>
  <c r="AO106" i="15" s="1"/>
  <c r="T106" i="15"/>
  <c r="AD106" i="15"/>
  <c r="U107" i="15"/>
  <c r="AD107" i="15"/>
  <c r="E108" i="15"/>
  <c r="AI108" i="15" s="1"/>
  <c r="O108" i="15"/>
  <c r="AS108" i="15" s="1"/>
  <c r="K110" i="15"/>
  <c r="AO110" i="15" s="1"/>
  <c r="AA110" i="15"/>
  <c r="G99" i="15"/>
  <c r="O99" i="15"/>
  <c r="AA103" i="15"/>
  <c r="V104" i="15"/>
  <c r="AD104" i="15"/>
  <c r="L106" i="15"/>
  <c r="AP106" i="15" s="1"/>
  <c r="P107" i="15"/>
  <c r="H107" i="15"/>
  <c r="M107" i="15"/>
  <c r="V107" i="15"/>
  <c r="AE107" i="15"/>
  <c r="L110" i="15"/>
  <c r="AP110" i="15" s="1"/>
  <c r="R118" i="15"/>
  <c r="AV118" i="15" s="1"/>
  <c r="J118" i="15"/>
  <c r="AN118" i="15" s="1"/>
  <c r="Q118" i="15"/>
  <c r="AU118" i="15" s="1"/>
  <c r="I118" i="15"/>
  <c r="AM118" i="15" s="1"/>
  <c r="P118" i="15"/>
  <c r="AT118" i="15" s="1"/>
  <c r="H118" i="15"/>
  <c r="AL118" i="15" s="1"/>
  <c r="O118" i="15"/>
  <c r="AS118" i="15" s="1"/>
  <c r="G118" i="15"/>
  <c r="AK118" i="15" s="1"/>
  <c r="N118" i="15"/>
  <c r="AR118" i="15" s="1"/>
  <c r="F118" i="15"/>
  <c r="AJ118" i="15" s="1"/>
  <c r="M118" i="15"/>
  <c r="AQ118" i="15" s="1"/>
  <c r="E118" i="15"/>
  <c r="AI118" i="15" s="1"/>
  <c r="K124" i="15"/>
  <c r="J124" i="15"/>
  <c r="I124" i="15"/>
  <c r="H124" i="15"/>
  <c r="G124" i="15"/>
  <c r="F124" i="15"/>
  <c r="F93" i="15"/>
  <c r="L95" i="15"/>
  <c r="G96" i="15"/>
  <c r="Z97" i="15"/>
  <c r="U98" i="15"/>
  <c r="H99" i="15"/>
  <c r="P99" i="15"/>
  <c r="K100" i="15"/>
  <c r="AA100" i="15"/>
  <c r="F101" i="15"/>
  <c r="AJ101" i="15" s="1"/>
  <c r="V101" i="15"/>
  <c r="AD101" i="15"/>
  <c r="L103" i="15"/>
  <c r="T103" i="15"/>
  <c r="AB103" i="15"/>
  <c r="G104" i="15"/>
  <c r="AK104" i="15" s="1"/>
  <c r="O104" i="15"/>
  <c r="AS104" i="15" s="1"/>
  <c r="W104" i="15"/>
  <c r="AE104" i="15"/>
  <c r="Z105" i="15"/>
  <c r="E106" i="15"/>
  <c r="AI106" i="15" s="1"/>
  <c r="N106" i="15"/>
  <c r="AR106" i="15" s="1"/>
  <c r="W106" i="15"/>
  <c r="AF106" i="15"/>
  <c r="E107" i="15"/>
  <c r="N107" i="15"/>
  <c r="W107" i="15"/>
  <c r="AG107" i="15"/>
  <c r="G108" i="15"/>
  <c r="AK108" i="15" s="1"/>
  <c r="R108" i="15"/>
  <c r="AV108" i="15" s="1"/>
  <c r="M110" i="15"/>
  <c r="AQ110" i="15" s="1"/>
  <c r="K118" i="15"/>
  <c r="AO118" i="15" s="1"/>
  <c r="E124" i="15"/>
  <c r="E95" i="15"/>
  <c r="H96" i="15"/>
  <c r="I99" i="15"/>
  <c r="T100" i="15"/>
  <c r="W101" i="15"/>
  <c r="E103" i="15"/>
  <c r="U103" i="15"/>
  <c r="H104" i="15"/>
  <c r="AL104" i="15" s="1"/>
  <c r="X104" i="15"/>
  <c r="F106" i="15"/>
  <c r="AJ106" i="15" s="1"/>
  <c r="O106" i="15"/>
  <c r="AS106" i="15" s="1"/>
  <c r="X106" i="15"/>
  <c r="AG106" i="15"/>
  <c r="F107" i="15"/>
  <c r="O107" i="15"/>
  <c r="Y107" i="15"/>
  <c r="H108" i="15"/>
  <c r="AL108" i="15" s="1"/>
  <c r="L118" i="15"/>
  <c r="AP118" i="15" s="1"/>
  <c r="L124" i="15"/>
  <c r="AG110" i="15"/>
  <c r="Y110" i="15"/>
  <c r="AF110" i="15"/>
  <c r="X110" i="15"/>
  <c r="AE110" i="15"/>
  <c r="W110" i="15"/>
  <c r="AD110" i="15"/>
  <c r="V110" i="15"/>
  <c r="AC110" i="15"/>
  <c r="K113" i="15"/>
  <c r="R113" i="15"/>
  <c r="J113" i="15"/>
  <c r="Q113" i="15"/>
  <c r="I113" i="15"/>
  <c r="P113" i="15"/>
  <c r="H113" i="15"/>
  <c r="O113" i="15"/>
  <c r="G113" i="15"/>
  <c r="N113" i="15"/>
  <c r="F113" i="15"/>
  <c r="Z118" i="15"/>
  <c r="AG118" i="15"/>
  <c r="Y118" i="15"/>
  <c r="AF118" i="15"/>
  <c r="X118" i="15"/>
  <c r="AE118" i="15"/>
  <c r="W118" i="15"/>
  <c r="AD118" i="15"/>
  <c r="V118" i="15"/>
  <c r="AC118" i="15"/>
  <c r="U118" i="15"/>
  <c r="Q110" i="15"/>
  <c r="AU110" i="15" s="1"/>
  <c r="I110" i="15"/>
  <c r="AM110" i="15" s="1"/>
  <c r="P110" i="15"/>
  <c r="AT110" i="15" s="1"/>
  <c r="H110" i="15"/>
  <c r="AL110" i="15" s="1"/>
  <c r="O110" i="15"/>
  <c r="AS110" i="15" s="1"/>
  <c r="G110" i="15"/>
  <c r="AK110" i="15" s="1"/>
  <c r="N110" i="15"/>
  <c r="AR110" i="15" s="1"/>
  <c r="F110" i="15"/>
  <c r="AJ110" i="15" s="1"/>
  <c r="T110" i="15"/>
  <c r="E113" i="15"/>
  <c r="AG115" i="15"/>
  <c r="Y115" i="15"/>
  <c r="AF115" i="15"/>
  <c r="X115" i="15"/>
  <c r="AE115" i="15"/>
  <c r="W115" i="15"/>
  <c r="AD115" i="15"/>
  <c r="V115" i="15"/>
  <c r="AC115" i="15"/>
  <c r="U115" i="15"/>
  <c r="AB115" i="15"/>
  <c r="T115" i="15"/>
  <c r="T118" i="15"/>
  <c r="AA112" i="15"/>
  <c r="V113" i="15"/>
  <c r="AD113" i="15"/>
  <c r="L115" i="15"/>
  <c r="AP115" i="15" s="1"/>
  <c r="G116" i="15"/>
  <c r="O116" i="15"/>
  <c r="Z117" i="15"/>
  <c r="K120" i="15"/>
  <c r="AO120" i="15" s="1"/>
  <c r="AA120" i="15"/>
  <c r="V124" i="15"/>
  <c r="AA109" i="15"/>
  <c r="L112" i="15"/>
  <c r="T112" i="15"/>
  <c r="AB112" i="15"/>
  <c r="W113" i="15"/>
  <c r="AE113" i="15"/>
  <c r="E115" i="15"/>
  <c r="AI115" i="15" s="1"/>
  <c r="M115" i="15"/>
  <c r="AQ115" i="15" s="1"/>
  <c r="H116" i="15"/>
  <c r="P116" i="15"/>
  <c r="AA117" i="15"/>
  <c r="L120" i="15"/>
  <c r="AP120" i="15" s="1"/>
  <c r="T120" i="15"/>
  <c r="AB120" i="15"/>
  <c r="W124" i="15"/>
  <c r="L109" i="15"/>
  <c r="T109" i="15"/>
  <c r="AB109" i="15"/>
  <c r="Z111" i="15"/>
  <c r="E112" i="15"/>
  <c r="M112" i="15"/>
  <c r="U112" i="15"/>
  <c r="AC112" i="15"/>
  <c r="X113" i="15"/>
  <c r="AF113" i="15"/>
  <c r="K114" i="15"/>
  <c r="AA114" i="15"/>
  <c r="F115" i="15"/>
  <c r="AJ115" i="15" s="1"/>
  <c r="N115" i="15"/>
  <c r="AR115" i="15" s="1"/>
  <c r="I116" i="15"/>
  <c r="Q116" i="15"/>
  <c r="L117" i="15"/>
  <c r="AP117" i="15" s="1"/>
  <c r="T117" i="15"/>
  <c r="AB117" i="15"/>
  <c r="E120" i="15"/>
  <c r="AI120" i="15" s="1"/>
  <c r="M120" i="15"/>
  <c r="AQ120" i="15" s="1"/>
  <c r="U120" i="15"/>
  <c r="AC120" i="15"/>
  <c r="X124" i="15"/>
  <c r="E109" i="15"/>
  <c r="M109" i="15"/>
  <c r="U109" i="15"/>
  <c r="AC109" i="15"/>
  <c r="AA111" i="15"/>
  <c r="F112" i="15"/>
  <c r="N112" i="15"/>
  <c r="V112" i="15"/>
  <c r="AD112" i="15"/>
  <c r="Y113" i="15"/>
  <c r="AG113" i="15"/>
  <c r="L114" i="15"/>
  <c r="T114" i="15"/>
  <c r="AB114" i="15"/>
  <c r="G115" i="15"/>
  <c r="AK115" i="15" s="1"/>
  <c r="O115" i="15"/>
  <c r="AS115" i="15" s="1"/>
  <c r="J116" i="15"/>
  <c r="R116" i="15"/>
  <c r="E117" i="15"/>
  <c r="AI117" i="15" s="1"/>
  <c r="M117" i="15"/>
  <c r="AQ117" i="15" s="1"/>
  <c r="U117" i="15"/>
  <c r="AC117" i="15"/>
  <c r="AA119" i="15"/>
  <c r="F120" i="15"/>
  <c r="AJ120" i="15" s="1"/>
  <c r="N120" i="15"/>
  <c r="AR120" i="15" s="1"/>
  <c r="V120" i="15"/>
  <c r="AD120" i="15"/>
  <c r="Y124" i="15"/>
  <c r="F109" i="15"/>
  <c r="V109" i="15"/>
  <c r="T111" i="15"/>
  <c r="G112" i="15"/>
  <c r="W112" i="15"/>
  <c r="Z113" i="15"/>
  <c r="E114" i="15"/>
  <c r="U114" i="15"/>
  <c r="H115" i="15"/>
  <c r="AL115" i="15" s="1"/>
  <c r="K116" i="15"/>
  <c r="F117" i="15"/>
  <c r="AJ117" i="15" s="1"/>
  <c r="V117" i="15"/>
  <c r="T119" i="15"/>
  <c r="G120" i="15"/>
  <c r="AK120" i="15" s="1"/>
  <c r="W120" i="15"/>
  <c r="Z124" i="15"/>
  <c r="S125" i="15"/>
  <c r="D125" i="15"/>
  <c r="AA65" i="15"/>
  <c r="V51" i="15"/>
  <c r="W52" i="15"/>
  <c r="AE52" i="15"/>
  <c r="Y54" i="15"/>
  <c r="AG54" i="15"/>
  <c r="AA56" i="15"/>
  <c r="T57" i="15"/>
  <c r="AB57" i="15"/>
  <c r="V59" i="15"/>
  <c r="AD59" i="15"/>
  <c r="W60" i="15"/>
  <c r="AE60" i="15"/>
  <c r="Y62" i="15"/>
  <c r="AN62" i="15" s="1"/>
  <c r="AG62" i="15"/>
  <c r="AV62" i="15" s="1"/>
  <c r="AA64" i="15"/>
  <c r="T65" i="15"/>
  <c r="AB65" i="15"/>
  <c r="V67" i="15"/>
  <c r="AK67" i="15" s="1"/>
  <c r="AD67" i="15"/>
  <c r="W68" i="15"/>
  <c r="AE68" i="15"/>
  <c r="AT68" i="15" s="1"/>
  <c r="Y70" i="15"/>
  <c r="AN70" i="15" s="1"/>
  <c r="AG70" i="15"/>
  <c r="AV70" i="15" s="1"/>
  <c r="AA72" i="15"/>
  <c r="T73" i="15"/>
  <c r="AB73" i="15"/>
  <c r="V75" i="15"/>
  <c r="AD75" i="15"/>
  <c r="AS75" i="15" s="1"/>
  <c r="W76" i="15"/>
  <c r="AL76" i="15" s="1"/>
  <c r="AE76" i="15"/>
  <c r="AA83" i="15"/>
  <c r="W51" i="15"/>
  <c r="X52" i="15"/>
  <c r="AF52" i="15"/>
  <c r="Z54" i="15"/>
  <c r="AA55" i="15"/>
  <c r="T56" i="15"/>
  <c r="AB56" i="15"/>
  <c r="U57" i="15"/>
  <c r="AC57" i="15"/>
  <c r="W59" i="15"/>
  <c r="AE59" i="15"/>
  <c r="X60" i="15"/>
  <c r="AM60" i="15" s="1"/>
  <c r="AF60" i="15"/>
  <c r="Z62" i="15"/>
  <c r="AO62" i="15" s="1"/>
  <c r="AA63" i="15"/>
  <c r="T64" i="15"/>
  <c r="AB64" i="15"/>
  <c r="U65" i="15"/>
  <c r="AC65" i="15"/>
  <c r="W67" i="15"/>
  <c r="AL67" i="15" s="1"/>
  <c r="AE67" i="15"/>
  <c r="AT67" i="15" s="1"/>
  <c r="X68" i="15"/>
  <c r="AF68" i="15"/>
  <c r="Z70" i="15"/>
  <c r="AO70" i="15" s="1"/>
  <c r="AA71" i="15"/>
  <c r="T72" i="15"/>
  <c r="AB72" i="15"/>
  <c r="U73" i="15"/>
  <c r="AC73" i="15"/>
  <c r="W75" i="15"/>
  <c r="AL75" i="15" s="1"/>
  <c r="AE75" i="15"/>
  <c r="X76" i="15"/>
  <c r="AM76" i="15" s="1"/>
  <c r="AF76" i="15"/>
  <c r="AA79" i="15"/>
  <c r="T83" i="15"/>
  <c r="AB83" i="15"/>
  <c r="X51" i="15"/>
  <c r="Y52" i="15"/>
  <c r="AG52" i="15"/>
  <c r="AA54" i="15"/>
  <c r="T55" i="15"/>
  <c r="AB55" i="15"/>
  <c r="U56" i="15"/>
  <c r="AC56" i="15"/>
  <c r="V57" i="15"/>
  <c r="AD57" i="15"/>
  <c r="X59" i="15"/>
  <c r="AF59" i="15"/>
  <c r="Y60" i="15"/>
  <c r="AG60" i="15"/>
  <c r="AV60" i="15" s="1"/>
  <c r="AA62" i="15"/>
  <c r="T63" i="15"/>
  <c r="AB63" i="15"/>
  <c r="U64" i="15"/>
  <c r="AC64" i="15"/>
  <c r="V65" i="15"/>
  <c r="AD65" i="15"/>
  <c r="X67" i="15"/>
  <c r="AF67" i="15"/>
  <c r="Y68" i="15"/>
  <c r="AG68" i="15"/>
  <c r="AV68" i="15" s="1"/>
  <c r="AA70" i="15"/>
  <c r="T71" i="15"/>
  <c r="AB71" i="15"/>
  <c r="U72" i="15"/>
  <c r="AC72" i="15"/>
  <c r="V73" i="15"/>
  <c r="AD73" i="15"/>
  <c r="X75" i="15"/>
  <c r="AM75" i="15" s="1"/>
  <c r="AF75" i="15"/>
  <c r="Y76" i="15"/>
  <c r="AN76" i="15" s="1"/>
  <c r="AG76" i="15"/>
  <c r="AV76" i="15" s="1"/>
  <c r="AA78" i="15"/>
  <c r="T79" i="15"/>
  <c r="AB79" i="15"/>
  <c r="U83" i="15"/>
  <c r="AA57" i="15"/>
  <c r="AA73" i="15"/>
  <c r="Y51" i="15"/>
  <c r="Z52" i="15"/>
  <c r="AA53" i="15"/>
  <c r="T54" i="15"/>
  <c r="AB54" i="15"/>
  <c r="U55" i="15"/>
  <c r="V56" i="15"/>
  <c r="AD56" i="15"/>
  <c r="W57" i="15"/>
  <c r="AE57" i="15"/>
  <c r="Y59" i="15"/>
  <c r="AG59" i="15"/>
  <c r="Z60" i="15"/>
  <c r="AA61" i="15"/>
  <c r="T62" i="15"/>
  <c r="AB62" i="15"/>
  <c r="U63" i="15"/>
  <c r="AC63" i="15"/>
  <c r="V64" i="15"/>
  <c r="AD64" i="15"/>
  <c r="W65" i="15"/>
  <c r="AE65" i="15"/>
  <c r="Y67" i="15"/>
  <c r="AN67" i="15" s="1"/>
  <c r="AG67" i="15"/>
  <c r="AV67" i="15" s="1"/>
  <c r="Z68" i="15"/>
  <c r="AO68" i="15" s="1"/>
  <c r="AA69" i="15"/>
  <c r="T70" i="15"/>
  <c r="AB70" i="15"/>
  <c r="U71" i="15"/>
  <c r="AC71" i="15"/>
  <c r="V72" i="15"/>
  <c r="AD72" i="15"/>
  <c r="W73" i="15"/>
  <c r="AE73" i="15"/>
  <c r="Y75" i="15"/>
  <c r="AN75" i="15" s="1"/>
  <c r="AG75" i="15"/>
  <c r="Z76" i="15"/>
  <c r="AO76" i="15" s="1"/>
  <c r="AA77" i="15"/>
  <c r="T78" i="15"/>
  <c r="AB78" i="15"/>
  <c r="U79" i="15"/>
  <c r="AC79" i="15"/>
  <c r="V83" i="15"/>
  <c r="Z51" i="15"/>
  <c r="AA52" i="15"/>
  <c r="X57" i="15"/>
  <c r="AF57" i="15"/>
  <c r="AA60" i="15"/>
  <c r="X65" i="15"/>
  <c r="AF65" i="15"/>
  <c r="AA68" i="15"/>
  <c r="X73" i="15"/>
  <c r="AF73" i="15"/>
  <c r="AA76" i="15"/>
  <c r="AA51" i="15"/>
  <c r="T52" i="15"/>
  <c r="AB52" i="15"/>
  <c r="Y57" i="15"/>
  <c r="AG57" i="15"/>
  <c r="AA59" i="15"/>
  <c r="T60" i="15"/>
  <c r="AB60" i="15"/>
  <c r="Y65" i="15"/>
  <c r="AG65" i="15"/>
  <c r="AA67" i="15"/>
  <c r="T68" i="15"/>
  <c r="AB68" i="15"/>
  <c r="Y73" i="15"/>
  <c r="AG73" i="15"/>
  <c r="AA75" i="15"/>
  <c r="T76" i="15"/>
  <c r="AB76" i="15"/>
  <c r="T51" i="15"/>
  <c r="U52" i="15"/>
  <c r="V53" i="15"/>
  <c r="W54" i="15"/>
  <c r="X55" i="15"/>
  <c r="Y56" i="15"/>
  <c r="T59" i="15"/>
  <c r="U60" i="15"/>
  <c r="V61" i="15"/>
  <c r="W62" i="15"/>
  <c r="X63" i="15"/>
  <c r="Y64" i="15"/>
  <c r="T67" i="15"/>
  <c r="U68" i="15"/>
  <c r="V69" i="15"/>
  <c r="W70" i="15"/>
  <c r="X71" i="15"/>
  <c r="Y72" i="15"/>
  <c r="T75" i="15"/>
  <c r="U76" i="15"/>
  <c r="V77" i="15"/>
  <c r="W78" i="15"/>
  <c r="X79" i="15"/>
  <c r="Y83" i="15"/>
  <c r="AA49" i="15"/>
  <c r="T49" i="15"/>
  <c r="AB49" i="15"/>
  <c r="U49" i="15"/>
  <c r="AC49" i="15"/>
  <c r="V49" i="15"/>
  <c r="AD49" i="15"/>
  <c r="W49" i="15"/>
  <c r="AE49" i="15"/>
  <c r="X49" i="15"/>
  <c r="AF49" i="15"/>
  <c r="Y49" i="15"/>
  <c r="S14" i="15"/>
  <c r="S29" i="15"/>
  <c r="AE29" i="15" s="1"/>
  <c r="S13" i="15"/>
  <c r="W13" i="15" s="1"/>
  <c r="S21" i="15"/>
  <c r="W21" i="15" s="1"/>
  <c r="S37" i="15"/>
  <c r="L49" i="15"/>
  <c r="L57" i="15"/>
  <c r="L65" i="15"/>
  <c r="AP65" i="15" s="1"/>
  <c r="O68" i="15"/>
  <c r="AS68" i="15" s="1"/>
  <c r="H69" i="15"/>
  <c r="AL69" i="15" s="1"/>
  <c r="P69" i="15"/>
  <c r="AT69" i="15" s="1"/>
  <c r="I70" i="15"/>
  <c r="AM70" i="15" s="1"/>
  <c r="Q70" i="15"/>
  <c r="AU70" i="15" s="1"/>
  <c r="J71" i="15"/>
  <c r="AN71" i="15" s="1"/>
  <c r="R71" i="15"/>
  <c r="AV71" i="15" s="1"/>
  <c r="K72" i="15"/>
  <c r="AO72" i="15" s="1"/>
  <c r="L73" i="15"/>
  <c r="AP73" i="15" s="1"/>
  <c r="E74" i="15"/>
  <c r="AI74" i="15" s="1"/>
  <c r="M74" i="15"/>
  <c r="AQ74" i="15" s="1"/>
  <c r="F75" i="15"/>
  <c r="AJ75" i="15" s="1"/>
  <c r="N75" i="15"/>
  <c r="AR75" i="15" s="1"/>
  <c r="G76" i="15"/>
  <c r="AK76" i="15" s="1"/>
  <c r="O76" i="15"/>
  <c r="AS76" i="15" s="1"/>
  <c r="H77" i="15"/>
  <c r="AL77" i="15" s="1"/>
  <c r="P77" i="15"/>
  <c r="AT77" i="15" s="1"/>
  <c r="I78" i="15"/>
  <c r="AM78" i="15" s="1"/>
  <c r="Q78" i="15"/>
  <c r="AU78" i="15" s="1"/>
  <c r="J79" i="15"/>
  <c r="AN79" i="15" s="1"/>
  <c r="R79" i="15"/>
  <c r="AV79" i="15" s="1"/>
  <c r="K83" i="15"/>
  <c r="E49" i="15"/>
  <c r="M49" i="15"/>
  <c r="L56" i="15"/>
  <c r="E57" i="15"/>
  <c r="M57" i="15"/>
  <c r="L64" i="15"/>
  <c r="AP64" i="15" s="1"/>
  <c r="E65" i="15"/>
  <c r="AI65" i="15" s="1"/>
  <c r="M65" i="15"/>
  <c r="AQ65" i="15" s="1"/>
  <c r="L72" i="15"/>
  <c r="AP72" i="15" s="1"/>
  <c r="E73" i="15"/>
  <c r="AI73" i="15" s="1"/>
  <c r="M73" i="15"/>
  <c r="AQ73" i="15" s="1"/>
  <c r="L83" i="15"/>
  <c r="F49" i="15"/>
  <c r="N49" i="15"/>
  <c r="L55" i="15"/>
  <c r="E56" i="15"/>
  <c r="M56" i="15"/>
  <c r="F57" i="15"/>
  <c r="N57" i="15"/>
  <c r="L63" i="15"/>
  <c r="AP63" i="15" s="1"/>
  <c r="E64" i="15"/>
  <c r="AI64" i="15" s="1"/>
  <c r="M64" i="15"/>
  <c r="AQ64" i="15" s="1"/>
  <c r="F65" i="15"/>
  <c r="AJ65" i="15" s="1"/>
  <c r="N65" i="15"/>
  <c r="AR65" i="15" s="1"/>
  <c r="L71" i="15"/>
  <c r="AP71" i="15" s="1"/>
  <c r="E72" i="15"/>
  <c r="AI72" i="15" s="1"/>
  <c r="M72" i="15"/>
  <c r="AQ72" i="15" s="1"/>
  <c r="F73" i="15"/>
  <c r="AJ73" i="15" s="1"/>
  <c r="N73" i="15"/>
  <c r="AR73" i="15" s="1"/>
  <c r="L79" i="15"/>
  <c r="AP79" i="15" s="1"/>
  <c r="E83" i="15"/>
  <c r="M83" i="15"/>
  <c r="G49" i="15"/>
  <c r="O49" i="15"/>
  <c r="L54" i="15"/>
  <c r="E55" i="15"/>
  <c r="M55" i="15"/>
  <c r="F56" i="15"/>
  <c r="N56" i="15"/>
  <c r="G57" i="15"/>
  <c r="O57" i="15"/>
  <c r="L62" i="15"/>
  <c r="AP62" i="15" s="1"/>
  <c r="E63" i="15"/>
  <c r="AI63" i="15" s="1"/>
  <c r="M63" i="15"/>
  <c r="AQ63" i="15" s="1"/>
  <c r="F64" i="15"/>
  <c r="AJ64" i="15" s="1"/>
  <c r="N64" i="15"/>
  <c r="AR64" i="15" s="1"/>
  <c r="G65" i="15"/>
  <c r="AK65" i="15" s="1"/>
  <c r="O65" i="15"/>
  <c r="AS65" i="15" s="1"/>
  <c r="L70" i="15"/>
  <c r="AP70" i="15" s="1"/>
  <c r="E71" i="15"/>
  <c r="AI71" i="15" s="1"/>
  <c r="M71" i="15"/>
  <c r="AQ71" i="15" s="1"/>
  <c r="F72" i="15"/>
  <c r="AJ72" i="15" s="1"/>
  <c r="N72" i="15"/>
  <c r="AR72" i="15" s="1"/>
  <c r="G73" i="15"/>
  <c r="AK73" i="15" s="1"/>
  <c r="O73" i="15"/>
  <c r="AS73" i="15" s="1"/>
  <c r="L78" i="15"/>
  <c r="AP78" i="15" s="1"/>
  <c r="E79" i="15"/>
  <c r="AI79" i="15" s="1"/>
  <c r="M79" i="15"/>
  <c r="AQ79" i="15" s="1"/>
  <c r="F83" i="15"/>
  <c r="H49" i="15"/>
  <c r="P49" i="15"/>
  <c r="L53" i="15"/>
  <c r="E54" i="15"/>
  <c r="M54" i="15"/>
  <c r="F55" i="15"/>
  <c r="G56" i="15"/>
  <c r="O56" i="15"/>
  <c r="H57" i="15"/>
  <c r="P57" i="15"/>
  <c r="L61" i="15"/>
  <c r="AP61" i="15" s="1"/>
  <c r="E62" i="15"/>
  <c r="AI62" i="15" s="1"/>
  <c r="M62" i="15"/>
  <c r="AQ62" i="15" s="1"/>
  <c r="F63" i="15"/>
  <c r="AJ63" i="15" s="1"/>
  <c r="N63" i="15"/>
  <c r="AR63" i="15" s="1"/>
  <c r="G64" i="15"/>
  <c r="AK64" i="15" s="1"/>
  <c r="O64" i="15"/>
  <c r="AS64" i="15" s="1"/>
  <c r="H65" i="15"/>
  <c r="AL65" i="15" s="1"/>
  <c r="P65" i="15"/>
  <c r="AT65" i="15" s="1"/>
  <c r="L69" i="15"/>
  <c r="AP69" i="15" s="1"/>
  <c r="E70" i="15"/>
  <c r="AI70" i="15" s="1"/>
  <c r="M70" i="15"/>
  <c r="AQ70" i="15" s="1"/>
  <c r="F71" i="15"/>
  <c r="AJ71" i="15" s="1"/>
  <c r="N71" i="15"/>
  <c r="AR71" i="15" s="1"/>
  <c r="G72" i="15"/>
  <c r="AK72" i="15" s="1"/>
  <c r="O72" i="15"/>
  <c r="AS72" i="15" s="1"/>
  <c r="H73" i="15"/>
  <c r="AL73" i="15" s="1"/>
  <c r="P73" i="15"/>
  <c r="AT73" i="15" s="1"/>
  <c r="L77" i="15"/>
  <c r="AP77" i="15" s="1"/>
  <c r="E78" i="15"/>
  <c r="AI78" i="15" s="1"/>
  <c r="M78" i="15"/>
  <c r="AQ78" i="15" s="1"/>
  <c r="F79" i="15"/>
  <c r="AJ79" i="15" s="1"/>
  <c r="N79" i="15"/>
  <c r="AR79" i="15" s="1"/>
  <c r="G83" i="15"/>
  <c r="I49" i="15"/>
  <c r="Q49" i="15"/>
  <c r="J50" i="15"/>
  <c r="L52" i="15"/>
  <c r="E53" i="15"/>
  <c r="M53" i="15"/>
  <c r="F54" i="15"/>
  <c r="N54" i="15"/>
  <c r="G55" i="15"/>
  <c r="H56" i="15"/>
  <c r="P56" i="15"/>
  <c r="I57" i="15"/>
  <c r="Q57" i="15"/>
  <c r="L60" i="15"/>
  <c r="AP60" i="15" s="1"/>
  <c r="E61" i="15"/>
  <c r="AI61" i="15" s="1"/>
  <c r="M61" i="15"/>
  <c r="AQ61" i="15" s="1"/>
  <c r="F62" i="15"/>
  <c r="AJ62" i="15" s="1"/>
  <c r="N62" i="15"/>
  <c r="AR62" i="15" s="1"/>
  <c r="G63" i="15"/>
  <c r="AK63" i="15" s="1"/>
  <c r="O63" i="15"/>
  <c r="AS63" i="15" s="1"/>
  <c r="H64" i="15"/>
  <c r="AL64" i="15" s="1"/>
  <c r="P64" i="15"/>
  <c r="AT64" i="15" s="1"/>
  <c r="I65" i="15"/>
  <c r="AM65" i="15" s="1"/>
  <c r="Q65" i="15"/>
  <c r="AU65" i="15" s="1"/>
  <c r="L68" i="15"/>
  <c r="AP68" i="15" s="1"/>
  <c r="E69" i="15"/>
  <c r="AI69" i="15" s="1"/>
  <c r="M69" i="15"/>
  <c r="AQ69" i="15" s="1"/>
  <c r="F70" i="15"/>
  <c r="AJ70" i="15" s="1"/>
  <c r="N70" i="15"/>
  <c r="AR70" i="15" s="1"/>
  <c r="G71" i="15"/>
  <c r="AK71" i="15" s="1"/>
  <c r="O71" i="15"/>
  <c r="AS71" i="15" s="1"/>
  <c r="H72" i="15"/>
  <c r="AL72" i="15" s="1"/>
  <c r="P72" i="15"/>
  <c r="AT72" i="15" s="1"/>
  <c r="I73" i="15"/>
  <c r="AM73" i="15" s="1"/>
  <c r="Q73" i="15"/>
  <c r="AU73" i="15" s="1"/>
  <c r="L76" i="15"/>
  <c r="AP76" i="15" s="1"/>
  <c r="E77" i="15"/>
  <c r="AI77" i="15" s="1"/>
  <c r="M77" i="15"/>
  <c r="AQ77" i="15" s="1"/>
  <c r="F78" i="15"/>
  <c r="AJ78" i="15" s="1"/>
  <c r="N78" i="15"/>
  <c r="AR78" i="15" s="1"/>
  <c r="G79" i="15"/>
  <c r="AK79" i="15" s="1"/>
  <c r="O79" i="15"/>
  <c r="H83" i="15"/>
  <c r="J49" i="15"/>
  <c r="R49" i="15"/>
  <c r="K50" i="15"/>
  <c r="L51" i="15"/>
  <c r="E52" i="15"/>
  <c r="M52" i="15"/>
  <c r="F53" i="15"/>
  <c r="G54" i="15"/>
  <c r="O54" i="15"/>
  <c r="H55" i="15"/>
  <c r="I56" i="15"/>
  <c r="Q56" i="15"/>
  <c r="J57" i="15"/>
  <c r="R57" i="15"/>
  <c r="L59" i="15"/>
  <c r="E60" i="15"/>
  <c r="AI60" i="15" s="1"/>
  <c r="M60" i="15"/>
  <c r="AQ60" i="15" s="1"/>
  <c r="F61" i="15"/>
  <c r="AJ61" i="15" s="1"/>
  <c r="N61" i="15"/>
  <c r="AR61" i="15" s="1"/>
  <c r="G62" i="15"/>
  <c r="AK62" i="15" s="1"/>
  <c r="O62" i="15"/>
  <c r="AS62" i="15" s="1"/>
  <c r="H63" i="15"/>
  <c r="AL63" i="15" s="1"/>
  <c r="P63" i="15"/>
  <c r="AT63" i="15" s="1"/>
  <c r="I64" i="15"/>
  <c r="AM64" i="15" s="1"/>
  <c r="Q64" i="15"/>
  <c r="AU64" i="15" s="1"/>
  <c r="J65" i="15"/>
  <c r="AN65" i="15" s="1"/>
  <c r="R65" i="15"/>
  <c r="AV65" i="15" s="1"/>
  <c r="L67" i="15"/>
  <c r="AP67" i="15" s="1"/>
  <c r="E68" i="15"/>
  <c r="AI68" i="15" s="1"/>
  <c r="M68" i="15"/>
  <c r="AQ68" i="15" s="1"/>
  <c r="F69" i="15"/>
  <c r="AJ69" i="15" s="1"/>
  <c r="N69" i="15"/>
  <c r="AR69" i="15" s="1"/>
  <c r="G70" i="15"/>
  <c r="AK70" i="15" s="1"/>
  <c r="O70" i="15"/>
  <c r="AS70" i="15" s="1"/>
  <c r="H71" i="15"/>
  <c r="AL71" i="15" s="1"/>
  <c r="P71" i="15"/>
  <c r="AT71" i="15" s="1"/>
  <c r="I72" i="15"/>
  <c r="AM72" i="15" s="1"/>
  <c r="Q72" i="15"/>
  <c r="AU72" i="15" s="1"/>
  <c r="J73" i="15"/>
  <c r="AN73" i="15" s="1"/>
  <c r="R73" i="15"/>
  <c r="AV73" i="15" s="1"/>
  <c r="L75" i="15"/>
  <c r="AP75" i="15" s="1"/>
  <c r="E76" i="15"/>
  <c r="AI76" i="15" s="1"/>
  <c r="M76" i="15"/>
  <c r="AQ76" i="15" s="1"/>
  <c r="F77" i="15"/>
  <c r="AJ77" i="15" s="1"/>
  <c r="N77" i="15"/>
  <c r="AR77" i="15" s="1"/>
  <c r="G78" i="15"/>
  <c r="AK78" i="15" s="1"/>
  <c r="O78" i="15"/>
  <c r="AS78" i="15" s="1"/>
  <c r="H79" i="15"/>
  <c r="AL79" i="15" s="1"/>
  <c r="P79" i="15"/>
  <c r="AT79" i="15" s="1"/>
  <c r="I83" i="15"/>
  <c r="E51" i="15"/>
  <c r="F52" i="15"/>
  <c r="G53" i="15"/>
  <c r="H54" i="15"/>
  <c r="I55" i="15"/>
  <c r="J56" i="15"/>
  <c r="E59" i="15"/>
  <c r="F60" i="15"/>
  <c r="AJ60" i="15" s="1"/>
  <c r="G61" i="15"/>
  <c r="AK61" i="15" s="1"/>
  <c r="H62" i="15"/>
  <c r="AL62" i="15" s="1"/>
  <c r="I63" i="15"/>
  <c r="AM63" i="15" s="1"/>
  <c r="J64" i="15"/>
  <c r="AN64" i="15" s="1"/>
  <c r="E67" i="15"/>
  <c r="AI67" i="15" s="1"/>
  <c r="F68" i="15"/>
  <c r="AJ68" i="15" s="1"/>
  <c r="G69" i="15"/>
  <c r="AK69" i="15" s="1"/>
  <c r="H70" i="15"/>
  <c r="AL70" i="15" s="1"/>
  <c r="I71" i="15"/>
  <c r="AM71" i="15" s="1"/>
  <c r="J72" i="15"/>
  <c r="AN72" i="15" s="1"/>
  <c r="E75" i="15"/>
  <c r="AI75" i="15" s="1"/>
  <c r="F76" i="15"/>
  <c r="AJ76" i="15" s="1"/>
  <c r="G77" i="15"/>
  <c r="AK77" i="15" s="1"/>
  <c r="H78" i="15"/>
  <c r="AL78" i="15" s="1"/>
  <c r="I79" i="15"/>
  <c r="AM79" i="15" s="1"/>
  <c r="J83" i="15"/>
  <c r="D34" i="15"/>
  <c r="D26" i="15"/>
  <c r="D20" i="15"/>
  <c r="Q20" i="15" s="1"/>
  <c r="D36" i="15"/>
  <c r="D28" i="15"/>
  <c r="I28" i="15" s="1"/>
  <c r="D22" i="15"/>
  <c r="K22" i="15" s="1"/>
  <c r="D41" i="14"/>
  <c r="AK162" i="15" l="1"/>
  <c r="K162" i="15"/>
  <c r="AI162" i="15"/>
  <c r="M162" i="15"/>
  <c r="AP162" i="15"/>
  <c r="AO162" i="15"/>
  <c r="H162" i="15"/>
  <c r="P162" i="15"/>
  <c r="AN162" i="15"/>
  <c r="AB39" i="15"/>
  <c r="Z39" i="15"/>
  <c r="AD39" i="15"/>
  <c r="AC39" i="15"/>
  <c r="AG39" i="15"/>
  <c r="AC155" i="15"/>
  <c r="W39" i="15"/>
  <c r="AA39" i="15"/>
  <c r="AE39" i="15"/>
  <c r="AF39" i="15"/>
  <c r="AB162" i="15"/>
  <c r="AF162" i="15"/>
  <c r="AE162" i="15"/>
  <c r="AD162" i="15"/>
  <c r="AC162" i="15"/>
  <c r="AG162" i="15"/>
  <c r="AA162" i="15"/>
  <c r="Z162" i="15"/>
  <c r="U162" i="15"/>
  <c r="T162" i="15"/>
  <c r="X162" i="15"/>
  <c r="W162" i="15"/>
  <c r="Y162" i="15"/>
  <c r="V162" i="15"/>
  <c r="X39" i="15"/>
  <c r="D163" i="15"/>
  <c r="U39" i="15"/>
  <c r="T39" i="15"/>
  <c r="S163" i="15"/>
  <c r="V39" i="15"/>
  <c r="AC145" i="15"/>
  <c r="J148" i="15"/>
  <c r="F148" i="15"/>
  <c r="O148" i="15"/>
  <c r="M148" i="15"/>
  <c r="AH148" i="15"/>
  <c r="AV39" i="15"/>
  <c r="AH39" i="15"/>
  <c r="Q39" i="15"/>
  <c r="AO39" i="15"/>
  <c r="I39" i="15"/>
  <c r="P39" i="15"/>
  <c r="N39" i="15"/>
  <c r="K39" i="15"/>
  <c r="AL39" i="15"/>
  <c r="AK39" i="15"/>
  <c r="M39" i="15"/>
  <c r="L39" i="15"/>
  <c r="AM39" i="15"/>
  <c r="AI39" i="15"/>
  <c r="AN39" i="15"/>
  <c r="AJ39" i="15"/>
  <c r="J39" i="15"/>
  <c r="R39" i="15"/>
  <c r="O39" i="15"/>
  <c r="AS39" i="15"/>
  <c r="E39" i="15"/>
  <c r="AR39" i="15"/>
  <c r="G39" i="15"/>
  <c r="AU39" i="15"/>
  <c r="AP39" i="15"/>
  <c r="F39" i="15"/>
  <c r="AT39" i="15"/>
  <c r="AQ39" i="15"/>
  <c r="H39" i="15"/>
  <c r="R148" i="15"/>
  <c r="I148" i="15"/>
  <c r="K148" i="15"/>
  <c r="Q148" i="15"/>
  <c r="P151" i="15"/>
  <c r="H148" i="15"/>
  <c r="L156" i="15"/>
  <c r="AP156" i="15" s="1"/>
  <c r="P156" i="15"/>
  <c r="P148" i="15"/>
  <c r="N148" i="15"/>
  <c r="F156" i="15"/>
  <c r="G148" i="15"/>
  <c r="E148" i="15"/>
  <c r="AF145" i="15"/>
  <c r="AA159" i="15"/>
  <c r="D50" i="14"/>
  <c r="D52" i="14"/>
  <c r="D47" i="14"/>
  <c r="D57" i="14"/>
  <c r="D60" i="14"/>
  <c r="D45" i="14"/>
  <c r="D46" i="14"/>
  <c r="D42" i="14"/>
  <c r="D49" i="14"/>
  <c r="D55" i="14"/>
  <c r="D56" i="14"/>
  <c r="D48" i="14"/>
  <c r="D43" i="14"/>
  <c r="D59" i="14"/>
  <c r="D44" i="14"/>
  <c r="D51" i="14"/>
  <c r="D58" i="14"/>
  <c r="AE159" i="15"/>
  <c r="X159" i="15"/>
  <c r="T159" i="15"/>
  <c r="Y159" i="15"/>
  <c r="T145" i="15"/>
  <c r="AA145" i="15"/>
  <c r="P140" i="15"/>
  <c r="W22" i="15"/>
  <c r="X22" i="15"/>
  <c r="AC22" i="15"/>
  <c r="AG22" i="15"/>
  <c r="AF159" i="15"/>
  <c r="AG159" i="15"/>
  <c r="Z159" i="15"/>
  <c r="Z149" i="15"/>
  <c r="T158" i="15"/>
  <c r="AB151" i="15"/>
  <c r="AD158" i="15"/>
  <c r="AE155" i="15"/>
  <c r="AB159" i="15"/>
  <c r="U159" i="15"/>
  <c r="AC159" i="15"/>
  <c r="V159" i="15"/>
  <c r="AD159" i="15"/>
  <c r="AF158" i="15"/>
  <c r="T149" i="15"/>
  <c r="X149" i="15"/>
  <c r="H140" i="15"/>
  <c r="F140" i="15"/>
  <c r="X154" i="15"/>
  <c r="AC156" i="15"/>
  <c r="Z156" i="15"/>
  <c r="V156" i="15"/>
  <c r="AD156" i="15"/>
  <c r="AB154" i="15"/>
  <c r="AA156" i="15"/>
  <c r="J38" i="15"/>
  <c r="AA151" i="15"/>
  <c r="K131" i="15"/>
  <c r="E35" i="15"/>
  <c r="F33" i="15"/>
  <c r="E156" i="15"/>
  <c r="O151" i="15"/>
  <c r="AH156" i="15"/>
  <c r="G157" i="15"/>
  <c r="H151" i="15"/>
  <c r="N151" i="15"/>
  <c r="M156" i="15"/>
  <c r="R151" i="15"/>
  <c r="J151" i="15"/>
  <c r="I156" i="15"/>
  <c r="E151" i="15"/>
  <c r="AM156" i="15"/>
  <c r="K151" i="15"/>
  <c r="M151" i="15"/>
  <c r="AQ151" i="15" s="1"/>
  <c r="L151" i="15"/>
  <c r="AP151" i="15" s="1"/>
  <c r="O156" i="15"/>
  <c r="AH151" i="15"/>
  <c r="G151" i="15"/>
  <c r="I151" i="15"/>
  <c r="AU151" i="15"/>
  <c r="AU60" i="15"/>
  <c r="G33" i="15"/>
  <c r="H33" i="15"/>
  <c r="AL60" i="15"/>
  <c r="L35" i="15"/>
  <c r="AO79" i="15"/>
  <c r="AT60" i="15"/>
  <c r="K36" i="15"/>
  <c r="AJ197" i="15"/>
  <c r="AR197" i="15"/>
  <c r="AS197" i="15"/>
  <c r="AT197" i="15"/>
  <c r="AM197" i="15"/>
  <c r="AM189" i="15"/>
  <c r="AU188" i="15"/>
  <c r="AL188" i="15"/>
  <c r="AJ187" i="15"/>
  <c r="AR187" i="15"/>
  <c r="AK187" i="15"/>
  <c r="AS187" i="15"/>
  <c r="AL187" i="15"/>
  <c r="AT187" i="15"/>
  <c r="AM187" i="15"/>
  <c r="AU187" i="15"/>
  <c r="AN187" i="15"/>
  <c r="AV187" i="15"/>
  <c r="AO187" i="15"/>
  <c r="AJ236" i="15"/>
  <c r="AR236" i="15"/>
  <c r="AK236" i="15"/>
  <c r="AS236" i="15"/>
  <c r="AL236" i="15"/>
  <c r="AT236" i="15"/>
  <c r="AM236" i="15"/>
  <c r="AU236" i="15"/>
  <c r="AN236" i="15"/>
  <c r="AV236" i="15"/>
  <c r="AO236" i="15"/>
  <c r="AM230" i="15"/>
  <c r="AJ225" i="15"/>
  <c r="AT228" i="15"/>
  <c r="AJ224" i="15"/>
  <c r="AR224" i="15"/>
  <c r="AK224" i="15"/>
  <c r="AL228" i="15"/>
  <c r="AG134" i="15"/>
  <c r="AN228" i="15"/>
  <c r="AV228" i="15"/>
  <c r="AO228" i="15"/>
  <c r="AO225" i="15"/>
  <c r="AP224" i="15"/>
  <c r="AU62" i="15"/>
  <c r="AO61" i="15"/>
  <c r="AN78" i="15"/>
  <c r="AV75" i="15"/>
  <c r="AK75" i="15"/>
  <c r="AO71" i="15"/>
  <c r="AN68" i="15"/>
  <c r="AS67" i="15"/>
  <c r="AN66" i="15"/>
  <c r="AO64" i="15"/>
  <c r="AO60" i="15"/>
  <c r="AU76" i="15"/>
  <c r="AU75" i="15"/>
  <c r="AM68" i="15"/>
  <c r="AN60" i="15"/>
  <c r="AT76" i="15"/>
  <c r="AT75" i="15"/>
  <c r="AL68" i="15"/>
  <c r="AU66" i="15"/>
  <c r="AL66" i="15"/>
  <c r="AU68" i="15"/>
  <c r="AU67" i="15"/>
  <c r="AC15" i="15"/>
  <c r="AU202" i="15"/>
  <c r="AT194" i="15"/>
  <c r="AT202" i="15"/>
  <c r="AN200" i="15"/>
  <c r="AN199" i="15"/>
  <c r="AO194" i="15"/>
  <c r="AQ192" i="15"/>
  <c r="AI200" i="15"/>
  <c r="AM199" i="15"/>
  <c r="AM194" i="15"/>
  <c r="AM202" i="15"/>
  <c r="AQ200" i="15"/>
  <c r="AL199" i="15"/>
  <c r="AL194" i="15"/>
  <c r="AN192" i="15"/>
  <c r="AL202" i="15"/>
  <c r="AN202" i="15"/>
  <c r="AV199" i="15"/>
  <c r="AK199" i="15"/>
  <c r="AJ184" i="15"/>
  <c r="AV183" i="15"/>
  <c r="AI183" i="15"/>
  <c r="AK188" i="15"/>
  <c r="AI184" i="15"/>
  <c r="AI185" i="15"/>
  <c r="AT188" i="15"/>
  <c r="AL184" i="15"/>
  <c r="AV184" i="15"/>
  <c r="AN184" i="15"/>
  <c r="AD131" i="15"/>
  <c r="AP197" i="15"/>
  <c r="AJ185" i="15"/>
  <c r="AO185" i="15"/>
  <c r="AQ185" i="15"/>
  <c r="AJ195" i="15"/>
  <c r="AO195" i="15"/>
  <c r="AR195" i="15"/>
  <c r="AQ239" i="15"/>
  <c r="AV233" i="15"/>
  <c r="AO229" i="15"/>
  <c r="AM227" i="15"/>
  <c r="AD153" i="15"/>
  <c r="AA144" i="15"/>
  <c r="AV237" i="15"/>
  <c r="AO233" i="15"/>
  <c r="AN229" i="15"/>
  <c r="AL227" i="15"/>
  <c r="AL243" i="15"/>
  <c r="AN233" i="15"/>
  <c r="AM229" i="15"/>
  <c r="AI227" i="15"/>
  <c r="AD143" i="15"/>
  <c r="AV229" i="15"/>
  <c r="AU227" i="15"/>
  <c r="AM238" i="15"/>
  <c r="AU229" i="15"/>
  <c r="AK229" i="15"/>
  <c r="AT227" i="15"/>
  <c r="AS242" i="15"/>
  <c r="AV241" i="15"/>
  <c r="AN234" i="15"/>
  <c r="AJ230" i="15"/>
  <c r="AT229" i="15"/>
  <c r="AJ229" i="15"/>
  <c r="AQ227" i="15"/>
  <c r="AR229" i="15"/>
  <c r="AI242" i="15"/>
  <c r="AO241" i="15"/>
  <c r="AO237" i="15"/>
  <c r="AS229" i="15"/>
  <c r="AI229" i="15"/>
  <c r="AK232" i="15"/>
  <c r="AN224" i="15"/>
  <c r="AO235" i="15"/>
  <c r="AM67" i="15"/>
  <c r="AM235" i="15"/>
  <c r="AT232" i="15"/>
  <c r="AU237" i="15"/>
  <c r="AL235" i="15"/>
  <c r="AI234" i="15"/>
  <c r="AV232" i="15"/>
  <c r="AS226" i="15"/>
  <c r="AU186" i="15"/>
  <c r="AJ74" i="15"/>
  <c r="AN237" i="15"/>
  <c r="AN232" i="15"/>
  <c r="AV66" i="15"/>
  <c r="AM237" i="15"/>
  <c r="AL232" i="15"/>
  <c r="AE152" i="15"/>
  <c r="AA147" i="15"/>
  <c r="AC136" i="15"/>
  <c r="AB22" i="15"/>
  <c r="AB38" i="15"/>
  <c r="AC158" i="15"/>
  <c r="X142" i="15"/>
  <c r="AD161" i="15"/>
  <c r="AF155" i="15"/>
  <c r="AE30" i="15"/>
  <c r="AE139" i="15"/>
  <c r="AE31" i="15"/>
  <c r="AE23" i="15"/>
  <c r="AE160" i="15"/>
  <c r="AG151" i="15"/>
  <c r="AV151" i="15" s="1"/>
  <c r="AA138" i="15"/>
  <c r="AD141" i="15"/>
  <c r="AB145" i="15"/>
  <c r="AU193" i="15"/>
  <c r="AN238" i="15"/>
  <c r="AU77" i="15"/>
  <c r="AK225" i="15"/>
  <c r="AN226" i="15"/>
  <c r="AT237" i="15"/>
  <c r="AM226" i="15"/>
  <c r="AN241" i="15"/>
  <c r="AJ237" i="15"/>
  <c r="AU235" i="15"/>
  <c r="AI226" i="15"/>
  <c r="AV230" i="15"/>
  <c r="AF137" i="15"/>
  <c r="AC148" i="15"/>
  <c r="AR148" i="15" s="1"/>
  <c r="AE150" i="15"/>
  <c r="AB146" i="15"/>
  <c r="AD140" i="15"/>
  <c r="AO243" i="15"/>
  <c r="U156" i="15"/>
  <c r="AS79" i="15"/>
  <c r="O38" i="15"/>
  <c r="AI202" i="15"/>
  <c r="E161" i="15"/>
  <c r="AJ192" i="15"/>
  <c r="F151" i="15"/>
  <c r="AV197" i="15"/>
  <c r="R156" i="15"/>
  <c r="AK197" i="15"/>
  <c r="G156" i="15"/>
  <c r="AK156" i="15" s="1"/>
  <c r="AL197" i="15"/>
  <c r="H156" i="15"/>
  <c r="K136" i="15"/>
  <c r="E141" i="15"/>
  <c r="O139" i="15"/>
  <c r="R137" i="15"/>
  <c r="K31" i="15"/>
  <c r="AO31" i="15" s="1"/>
  <c r="I29" i="15"/>
  <c r="P144" i="15"/>
  <c r="P138" i="15"/>
  <c r="Q158" i="15"/>
  <c r="J33" i="15"/>
  <c r="P30" i="15"/>
  <c r="M140" i="15"/>
  <c r="I21" i="15"/>
  <c r="J37" i="15"/>
  <c r="K23" i="15"/>
  <c r="J25" i="15"/>
  <c r="L32" i="15"/>
  <c r="N156" i="15"/>
  <c r="AR156" i="15" s="1"/>
  <c r="I165" i="15"/>
  <c r="AC144" i="15"/>
  <c r="AD144" i="15"/>
  <c r="U154" i="15"/>
  <c r="AC23" i="15"/>
  <c r="AF146" i="15"/>
  <c r="AD146" i="15"/>
  <c r="U23" i="15"/>
  <c r="Y23" i="15"/>
  <c r="AF154" i="15"/>
  <c r="M165" i="15"/>
  <c r="E138" i="15"/>
  <c r="M159" i="15"/>
  <c r="AQ159" i="15" s="1"/>
  <c r="R160" i="15"/>
  <c r="L159" i="15"/>
  <c r="AH142" i="15"/>
  <c r="O142" i="15"/>
  <c r="H159" i="15"/>
  <c r="E165" i="15"/>
  <c r="H165" i="15"/>
  <c r="M19" i="15"/>
  <c r="M133" i="15"/>
  <c r="F19" i="15"/>
  <c r="L19" i="15"/>
  <c r="AA165" i="15"/>
  <c r="F248" i="15"/>
  <c r="F249" i="15" s="1"/>
  <c r="I153" i="15"/>
  <c r="L153" i="15"/>
  <c r="N30" i="15"/>
  <c r="Q30" i="15"/>
  <c r="X165" i="15"/>
  <c r="U165" i="15"/>
  <c r="Y14" i="15"/>
  <c r="T14" i="15"/>
  <c r="X146" i="15"/>
  <c r="AG154" i="15"/>
  <c r="Y155" i="15"/>
  <c r="AA158" i="15"/>
  <c r="E152" i="15"/>
  <c r="T155" i="15"/>
  <c r="Z154" i="15"/>
  <c r="AB158" i="15"/>
  <c r="AH155" i="15"/>
  <c r="W42" i="15"/>
  <c r="Y154" i="15"/>
  <c r="AE154" i="15"/>
  <c r="AD154" i="15"/>
  <c r="G152" i="15"/>
  <c r="AD155" i="15"/>
  <c r="V158" i="15"/>
  <c r="V155" i="15"/>
  <c r="Z158" i="15"/>
  <c r="W154" i="15"/>
  <c r="V154" i="15"/>
  <c r="J152" i="15"/>
  <c r="AE137" i="15"/>
  <c r="AC154" i="15"/>
  <c r="W155" i="15"/>
  <c r="M152" i="15"/>
  <c r="U155" i="15"/>
  <c r="AC161" i="15"/>
  <c r="K152" i="15"/>
  <c r="Z137" i="15"/>
  <c r="H161" i="15"/>
  <c r="X158" i="15"/>
  <c r="X155" i="15"/>
  <c r="AG158" i="15"/>
  <c r="N24" i="15"/>
  <c r="AE158" i="15"/>
  <c r="Z155" i="15"/>
  <c r="AB155" i="15"/>
  <c r="W158" i="15"/>
  <c r="K155" i="15"/>
  <c r="Y158" i="15"/>
  <c r="AA155" i="15"/>
  <c r="T154" i="15"/>
  <c r="AG144" i="15"/>
  <c r="AS156" i="15"/>
  <c r="J156" i="15"/>
  <c r="H248" i="15"/>
  <c r="H249" i="15" s="1"/>
  <c r="AJ156" i="15"/>
  <c r="K156" i="15"/>
  <c r="AO156" i="15" s="1"/>
  <c r="AP159" i="15"/>
  <c r="L141" i="15"/>
  <c r="F131" i="15"/>
  <c r="Q131" i="15"/>
  <c r="Y133" i="15"/>
  <c r="T30" i="15"/>
  <c r="W156" i="15"/>
  <c r="W30" i="15"/>
  <c r="AE156" i="15"/>
  <c r="AT156" i="15" s="1"/>
  <c r="Y30" i="15"/>
  <c r="T156" i="15"/>
  <c r="AI156" i="15" s="1"/>
  <c r="Y156" i="15"/>
  <c r="AN156" i="15" s="1"/>
  <c r="W160" i="15"/>
  <c r="AB156" i="15"/>
  <c r="AQ156" i="15" s="1"/>
  <c r="AG156" i="15"/>
  <c r="AF156" i="15"/>
  <c r="AU156" i="15" s="1"/>
  <c r="X141" i="15"/>
  <c r="K30" i="15"/>
  <c r="I30" i="15"/>
  <c r="R157" i="15"/>
  <c r="J160" i="15"/>
  <c r="L161" i="15"/>
  <c r="E154" i="15"/>
  <c r="AI154" i="15" s="1"/>
  <c r="N141" i="15"/>
  <c r="R152" i="15"/>
  <c r="R138" i="15"/>
  <c r="K157" i="15"/>
  <c r="AH161" i="15"/>
  <c r="F141" i="15"/>
  <c r="O30" i="15"/>
  <c r="F30" i="15"/>
  <c r="Q157" i="15"/>
  <c r="I160" i="15"/>
  <c r="P160" i="15"/>
  <c r="AT160" i="15" s="1"/>
  <c r="H154" i="15"/>
  <c r="N157" i="15"/>
  <c r="E157" i="15"/>
  <c r="Q161" i="15"/>
  <c r="F161" i="15"/>
  <c r="M160" i="15"/>
  <c r="E30" i="15"/>
  <c r="AI30" i="15" s="1"/>
  <c r="H30" i="15"/>
  <c r="AL30" i="15" s="1"/>
  <c r="E160" i="15"/>
  <c r="I157" i="15"/>
  <c r="H160" i="15"/>
  <c r="P154" i="15"/>
  <c r="F152" i="15"/>
  <c r="N161" i="15"/>
  <c r="AR161" i="15" s="1"/>
  <c r="I152" i="15"/>
  <c r="AH152" i="15"/>
  <c r="P161" i="15"/>
  <c r="M30" i="15"/>
  <c r="AH30" i="15"/>
  <c r="P157" i="15"/>
  <c r="O152" i="15"/>
  <c r="O161" i="15"/>
  <c r="AS161" i="15" s="1"/>
  <c r="H138" i="15"/>
  <c r="M157" i="15"/>
  <c r="AL154" i="15"/>
  <c r="K138" i="15"/>
  <c r="R25" i="15"/>
  <c r="L30" i="15"/>
  <c r="J30" i="15"/>
  <c r="AN30" i="15" s="1"/>
  <c r="L160" i="15"/>
  <c r="H157" i="15"/>
  <c r="H152" i="15"/>
  <c r="Q152" i="15"/>
  <c r="N152" i="15"/>
  <c r="AH157" i="15"/>
  <c r="AT154" i="15"/>
  <c r="L152" i="15"/>
  <c r="K161" i="15"/>
  <c r="I161" i="15"/>
  <c r="Q160" i="15"/>
  <c r="R30" i="15"/>
  <c r="AT30" i="15"/>
  <c r="G30" i="15"/>
  <c r="K160" i="15"/>
  <c r="M161" i="15"/>
  <c r="O157" i="15"/>
  <c r="P152" i="15"/>
  <c r="AT152" i="15" s="1"/>
  <c r="F157" i="15"/>
  <c r="AT157" i="15"/>
  <c r="L157" i="15"/>
  <c r="R161" i="15"/>
  <c r="U30" i="15"/>
  <c r="AJ30" i="15" s="1"/>
  <c r="AG160" i="15"/>
  <c r="AB148" i="15"/>
  <c r="AQ148" i="15" s="1"/>
  <c r="AB30" i="15"/>
  <c r="Y160" i="15"/>
  <c r="AN160" i="15" s="1"/>
  <c r="AF147" i="15"/>
  <c r="W138" i="15"/>
  <c r="T138" i="15"/>
  <c r="AA30" i="15"/>
  <c r="X147" i="15"/>
  <c r="AE138" i="15"/>
  <c r="AG138" i="15"/>
  <c r="Y141" i="15"/>
  <c r="AF30" i="15"/>
  <c r="AU30" i="15" s="1"/>
  <c r="X160" i="15"/>
  <c r="AC147" i="15"/>
  <c r="AB138" i="15"/>
  <c r="AA141" i="15"/>
  <c r="K21" i="15"/>
  <c r="M132" i="15"/>
  <c r="H132" i="15"/>
  <c r="E21" i="15"/>
  <c r="I27" i="15"/>
  <c r="O21" i="15"/>
  <c r="J132" i="15"/>
  <c r="Q21" i="15"/>
  <c r="AH21" i="15"/>
  <c r="N21" i="15"/>
  <c r="G21" i="15"/>
  <c r="L21" i="15"/>
  <c r="E132" i="15"/>
  <c r="G132" i="15"/>
  <c r="F132" i="15"/>
  <c r="L132" i="15"/>
  <c r="I132" i="15"/>
  <c r="J21" i="15"/>
  <c r="F21" i="15"/>
  <c r="H21" i="15"/>
  <c r="AL21" i="15" s="1"/>
  <c r="R21" i="15"/>
  <c r="P21" i="15"/>
  <c r="M21" i="15"/>
  <c r="L37" i="15"/>
  <c r="E248" i="15"/>
  <c r="E249" i="15" s="1"/>
  <c r="R27" i="15"/>
  <c r="L137" i="15"/>
  <c r="H37" i="15"/>
  <c r="N27" i="15"/>
  <c r="M27" i="15"/>
  <c r="G137" i="15"/>
  <c r="N150" i="15"/>
  <c r="H27" i="15"/>
  <c r="P142" i="15"/>
  <c r="K141" i="15"/>
  <c r="I142" i="15"/>
  <c r="E155" i="15"/>
  <c r="I141" i="15"/>
  <c r="Q150" i="15"/>
  <c r="Q155" i="15"/>
  <c r="Q142" i="15"/>
  <c r="H142" i="15"/>
  <c r="AU155" i="15"/>
  <c r="Q141" i="15"/>
  <c r="G155" i="15"/>
  <c r="AK155" i="15" s="1"/>
  <c r="H155" i="15"/>
  <c r="AL155" i="15" s="1"/>
  <c r="I155" i="15"/>
  <c r="AM155" i="15" s="1"/>
  <c r="J142" i="15"/>
  <c r="K133" i="15"/>
  <c r="O155" i="15"/>
  <c r="R141" i="15"/>
  <c r="E158" i="15"/>
  <c r="R37" i="15"/>
  <c r="R158" i="15"/>
  <c r="O141" i="15"/>
  <c r="F142" i="15"/>
  <c r="R142" i="15"/>
  <c r="P141" i="15"/>
  <c r="R155" i="15"/>
  <c r="AV155" i="15" s="1"/>
  <c r="J155" i="15"/>
  <c r="AN155" i="15" s="1"/>
  <c r="H158" i="15"/>
  <c r="AL158" i="15" s="1"/>
  <c r="P155" i="15"/>
  <c r="AT155" i="15" s="1"/>
  <c r="F155" i="15"/>
  <c r="AJ155" i="15" s="1"/>
  <c r="F37" i="15"/>
  <c r="G141" i="15"/>
  <c r="N142" i="15"/>
  <c r="K142" i="15"/>
  <c r="J133" i="15"/>
  <c r="E142" i="15"/>
  <c r="AI155" i="15"/>
  <c r="AO155" i="15"/>
  <c r="AM142" i="15"/>
  <c r="L133" i="15"/>
  <c r="M155" i="15"/>
  <c r="AQ155" i="15" s="1"/>
  <c r="E37" i="15"/>
  <c r="Q37" i="15"/>
  <c r="K37" i="15"/>
  <c r="M37" i="15"/>
  <c r="J150" i="15"/>
  <c r="H141" i="15"/>
  <c r="G142" i="15"/>
  <c r="L142" i="15"/>
  <c r="AS155" i="15"/>
  <c r="L155" i="15"/>
  <c r="AP155" i="15" s="1"/>
  <c r="N155" i="15"/>
  <c r="AR155" i="15" s="1"/>
  <c r="AA22" i="15"/>
  <c r="V22" i="15"/>
  <c r="U22" i="15"/>
  <c r="Z157" i="15"/>
  <c r="AD151" i="15"/>
  <c r="AS151" i="15" s="1"/>
  <c r="U145" i="15"/>
  <c r="AG146" i="15"/>
  <c r="AB153" i="15"/>
  <c r="T146" i="15"/>
  <c r="W157" i="15"/>
  <c r="AA146" i="15"/>
  <c r="U151" i="15"/>
  <c r="AC157" i="15"/>
  <c r="AR157" i="15" s="1"/>
  <c r="AE146" i="15"/>
  <c r="Y146" i="15"/>
  <c r="V145" i="15"/>
  <c r="AE22" i="15"/>
  <c r="AC146" i="15"/>
  <c r="Z146" i="15"/>
  <c r="T151" i="15"/>
  <c r="AI151" i="15" s="1"/>
  <c r="AC151" i="15"/>
  <c r="AR151" i="15" s="1"/>
  <c r="Y145" i="15"/>
  <c r="V153" i="15"/>
  <c r="T153" i="15"/>
  <c r="AD145" i="15"/>
  <c r="T131" i="15"/>
  <c r="X145" i="15"/>
  <c r="AE153" i="15"/>
  <c r="AF22" i="15"/>
  <c r="AD22" i="15"/>
  <c r="AA157" i="15"/>
  <c r="U146" i="15"/>
  <c r="AG150" i="15"/>
  <c r="V151" i="15"/>
  <c r="AK151" i="15" s="1"/>
  <c r="W151" i="15"/>
  <c r="AL151" i="15" s="1"/>
  <c r="AC153" i="15"/>
  <c r="AE145" i="15"/>
  <c r="Y151" i="15"/>
  <c r="AN151" i="15" s="1"/>
  <c r="AE151" i="15"/>
  <c r="AT151" i="15" s="1"/>
  <c r="U153" i="15"/>
  <c r="V157" i="15"/>
  <c r="AK157" i="15" s="1"/>
  <c r="T165" i="15"/>
  <c r="AG145" i="15"/>
  <c r="W153" i="15"/>
  <c r="T22" i="15"/>
  <c r="X14" i="15"/>
  <c r="Z22" i="15"/>
  <c r="W146" i="15"/>
  <c r="V146" i="15"/>
  <c r="W145" i="15"/>
  <c r="Z151" i="15"/>
  <c r="AO151" i="15" s="1"/>
  <c r="X151" i="15"/>
  <c r="AM151" i="15" s="1"/>
  <c r="U157" i="15"/>
  <c r="AB157" i="15"/>
  <c r="N153" i="15"/>
  <c r="M153" i="15"/>
  <c r="AH153" i="15"/>
  <c r="F153" i="15"/>
  <c r="E153" i="15"/>
  <c r="AI153" i="15"/>
  <c r="AQ153" i="15"/>
  <c r="H153" i="15"/>
  <c r="K153" i="15"/>
  <c r="E139" i="15"/>
  <c r="AJ153" i="15"/>
  <c r="L139" i="15"/>
  <c r="O153" i="15"/>
  <c r="P139" i="15"/>
  <c r="AR153" i="15"/>
  <c r="J139" i="15"/>
  <c r="AL153" i="15"/>
  <c r="AS153" i="15"/>
  <c r="G153" i="15"/>
  <c r="AK153" i="15" s="1"/>
  <c r="R139" i="15"/>
  <c r="M147" i="15"/>
  <c r="Q153" i="15"/>
  <c r="P153" i="15"/>
  <c r="AT153" i="15" s="1"/>
  <c r="Q147" i="15"/>
  <c r="V144" i="15"/>
  <c r="Z144" i="15"/>
  <c r="AA31" i="15"/>
  <c r="Z150" i="15"/>
  <c r="W144" i="15"/>
  <c r="AG131" i="15"/>
  <c r="AD31" i="15"/>
  <c r="AF31" i="15"/>
  <c r="T150" i="15"/>
  <c r="AE144" i="15"/>
  <c r="X131" i="15"/>
  <c r="T144" i="15"/>
  <c r="X144" i="15"/>
  <c r="Y131" i="15"/>
  <c r="AB144" i="15"/>
  <c r="AF144" i="15"/>
  <c r="U131" i="15"/>
  <c r="AC131" i="15"/>
  <c r="U150" i="15"/>
  <c r="X31" i="15"/>
  <c r="U144" i="15"/>
  <c r="Y144" i="15"/>
  <c r="AB131" i="15"/>
  <c r="N33" i="15"/>
  <c r="H23" i="15"/>
  <c r="N23" i="15"/>
  <c r="O159" i="15"/>
  <c r="O19" i="15"/>
  <c r="H19" i="15"/>
  <c r="H35" i="15"/>
  <c r="I35" i="15"/>
  <c r="J35" i="15"/>
  <c r="F23" i="15"/>
  <c r="AJ23" i="15" s="1"/>
  <c r="K19" i="15"/>
  <c r="F38" i="15"/>
  <c r="P32" i="15"/>
  <c r="N32" i="15"/>
  <c r="Q35" i="15"/>
  <c r="M24" i="15"/>
  <c r="F24" i="15"/>
  <c r="J24" i="15"/>
  <c r="I159" i="15"/>
  <c r="G159" i="15"/>
  <c r="N159" i="15"/>
  <c r="J154" i="15"/>
  <c r="AN154" i="15" s="1"/>
  <c r="I154" i="15"/>
  <c r="AM154" i="15" s="1"/>
  <c r="M154" i="15"/>
  <c r="AQ154" i="15" s="1"/>
  <c r="M138" i="15"/>
  <c r="P33" i="15"/>
  <c r="P23" i="15"/>
  <c r="AT23" i="15" s="1"/>
  <c r="Q159" i="15"/>
  <c r="AU159" i="15" s="1"/>
  <c r="P19" i="15"/>
  <c r="P35" i="15"/>
  <c r="J19" i="15"/>
  <c r="R35" i="15"/>
  <c r="O23" i="15"/>
  <c r="Q33" i="15"/>
  <c r="I23" i="15"/>
  <c r="P38" i="15"/>
  <c r="K32" i="15"/>
  <c r="H32" i="15"/>
  <c r="F32" i="15"/>
  <c r="K35" i="15"/>
  <c r="G35" i="15"/>
  <c r="L25" i="15"/>
  <c r="Q24" i="15"/>
  <c r="N19" i="15"/>
  <c r="L24" i="15"/>
  <c r="M23" i="15"/>
  <c r="F159" i="15"/>
  <c r="Q154" i="15"/>
  <c r="R159" i="15"/>
  <c r="AV159" i="15" s="1"/>
  <c r="AU154" i="15"/>
  <c r="AM159" i="15"/>
  <c r="R33" i="15"/>
  <c r="L38" i="15"/>
  <c r="K38" i="15"/>
  <c r="R19" i="15"/>
  <c r="E38" i="15"/>
  <c r="H24" i="15"/>
  <c r="R23" i="15"/>
  <c r="I38" i="15"/>
  <c r="AH38" i="15"/>
  <c r="J32" i="15"/>
  <c r="I33" i="15"/>
  <c r="L23" i="15"/>
  <c r="E24" i="15"/>
  <c r="J159" i="15"/>
  <c r="AN159" i="15" s="1"/>
  <c r="F154" i="15"/>
  <c r="AJ154" i="15" s="1"/>
  <c r="K154" i="15"/>
  <c r="AO154" i="15" s="1"/>
  <c r="R146" i="15"/>
  <c r="AS159" i="15"/>
  <c r="AR159" i="15"/>
  <c r="L154" i="15"/>
  <c r="AP154" i="15" s="1"/>
  <c r="AH154" i="15"/>
  <c r="R154" i="15"/>
  <c r="AV154" i="15" s="1"/>
  <c r="AK159" i="15"/>
  <c r="N138" i="15"/>
  <c r="L138" i="15"/>
  <c r="R38" i="15"/>
  <c r="AV38" i="15" s="1"/>
  <c r="G23" i="15"/>
  <c r="G38" i="15"/>
  <c r="M35" i="15"/>
  <c r="F35" i="15"/>
  <c r="G24" i="15"/>
  <c r="E23" i="15"/>
  <c r="N154" i="15"/>
  <c r="I149" i="15"/>
  <c r="AH159" i="15"/>
  <c r="AT149" i="15"/>
  <c r="AR154" i="15"/>
  <c r="G138" i="15"/>
  <c r="I138" i="15"/>
  <c r="O33" i="15"/>
  <c r="Q23" i="15"/>
  <c r="AL159" i="15"/>
  <c r="P24" i="15"/>
  <c r="K24" i="15"/>
  <c r="J23" i="15"/>
  <c r="AN23" i="15" s="1"/>
  <c r="M33" i="15"/>
  <c r="Q19" i="15"/>
  <c r="K33" i="15"/>
  <c r="E19" i="15"/>
  <c r="N38" i="15"/>
  <c r="Q32" i="15"/>
  <c r="O32" i="15"/>
  <c r="M32" i="15"/>
  <c r="AH23" i="15"/>
  <c r="R24" i="15"/>
  <c r="N35" i="15"/>
  <c r="G154" i="15"/>
  <c r="AK154" i="15" s="1"/>
  <c r="O138" i="15"/>
  <c r="F138" i="15"/>
  <c r="K159" i="15"/>
  <c r="AO159" i="15" s="1"/>
  <c r="Q138" i="15"/>
  <c r="E159" i="15"/>
  <c r="AI159" i="15" s="1"/>
  <c r="E33" i="15"/>
  <c r="I19" i="15"/>
  <c r="M38" i="15"/>
  <c r="AQ38" i="15" s="1"/>
  <c r="AR23" i="15"/>
  <c r="O35" i="15"/>
  <c r="H38" i="15"/>
  <c r="I32" i="15"/>
  <c r="G32" i="15"/>
  <c r="E32" i="15"/>
  <c r="L33" i="15"/>
  <c r="P159" i="15"/>
  <c r="AT159" i="15" s="1"/>
  <c r="O154" i="15"/>
  <c r="AS154" i="15" s="1"/>
  <c r="J138" i="15"/>
  <c r="AV149" i="15"/>
  <c r="AJ159" i="15"/>
  <c r="U140" i="15"/>
  <c r="Z23" i="15"/>
  <c r="AO23" i="15" s="1"/>
  <c r="AG149" i="15"/>
  <c r="AF149" i="15"/>
  <c r="T23" i="15"/>
  <c r="AE149" i="15"/>
  <c r="U149" i="15"/>
  <c r="Z140" i="15"/>
  <c r="Y149" i="15"/>
  <c r="P27" i="15"/>
  <c r="J27" i="15"/>
  <c r="O37" i="15"/>
  <c r="K27" i="15"/>
  <c r="E27" i="15"/>
  <c r="L158" i="15"/>
  <c r="AP158" i="15" s="1"/>
  <c r="L165" i="15"/>
  <c r="E140" i="15"/>
  <c r="P158" i="15"/>
  <c r="K150" i="15"/>
  <c r="G150" i="15"/>
  <c r="G140" i="15"/>
  <c r="F158" i="15"/>
  <c r="Q27" i="15"/>
  <c r="N37" i="15"/>
  <c r="K158" i="15"/>
  <c r="AO158" i="15" s="1"/>
  <c r="E150" i="15"/>
  <c r="AI150" i="15" s="1"/>
  <c r="H150" i="15"/>
  <c r="G37" i="15"/>
  <c r="F165" i="15"/>
  <c r="J165" i="15"/>
  <c r="K140" i="15"/>
  <c r="P131" i="15"/>
  <c r="R140" i="15"/>
  <c r="O150" i="15"/>
  <c r="J140" i="15"/>
  <c r="K132" i="15"/>
  <c r="O140" i="15"/>
  <c r="J158" i="15"/>
  <c r="AT158" i="15"/>
  <c r="O27" i="15"/>
  <c r="AH37" i="15"/>
  <c r="P37" i="15"/>
  <c r="H131" i="15"/>
  <c r="AU158" i="15"/>
  <c r="M150" i="15"/>
  <c r="AH150" i="15"/>
  <c r="AS150" i="15"/>
  <c r="Q140" i="15"/>
  <c r="AI158" i="15"/>
  <c r="O158" i="15"/>
  <c r="AS158" i="15" s="1"/>
  <c r="L27" i="15"/>
  <c r="F27" i="15"/>
  <c r="G165" i="15"/>
  <c r="K165" i="15"/>
  <c r="AV158" i="15"/>
  <c r="M158" i="15"/>
  <c r="AQ158" i="15" s="1"/>
  <c r="F150" i="15"/>
  <c r="AJ150" i="15" s="1"/>
  <c r="AN158" i="15"/>
  <c r="L150" i="15"/>
  <c r="I140" i="15"/>
  <c r="I37" i="15"/>
  <c r="R150" i="15"/>
  <c r="AV150" i="15" s="1"/>
  <c r="M131" i="15"/>
  <c r="AJ158" i="15"/>
  <c r="N140" i="15"/>
  <c r="P150" i="15"/>
  <c r="AT150" i="15" s="1"/>
  <c r="AO150" i="15"/>
  <c r="I150" i="15"/>
  <c r="N158" i="15"/>
  <c r="AR158" i="15" s="1"/>
  <c r="I158" i="15"/>
  <c r="AM158" i="15" s="1"/>
  <c r="AH158" i="15"/>
  <c r="G158" i="15"/>
  <c r="AK158" i="15" s="1"/>
  <c r="AD136" i="15"/>
  <c r="AE140" i="15"/>
  <c r="Y140" i="15"/>
  <c r="W31" i="15"/>
  <c r="AA23" i="15"/>
  <c r="AF23" i="15"/>
  <c r="T157" i="15"/>
  <c r="AF157" i="15"/>
  <c r="AU157" i="15" s="1"/>
  <c r="AB150" i="15"/>
  <c r="W150" i="15"/>
  <c r="AA131" i="15"/>
  <c r="AB136" i="15"/>
  <c r="AG140" i="15"/>
  <c r="AF153" i="15"/>
  <c r="AB149" i="15"/>
  <c r="AG136" i="15"/>
  <c r="Z165" i="15"/>
  <c r="AB165" i="15"/>
  <c r="T136" i="15"/>
  <c r="W23" i="15"/>
  <c r="AL23" i="15" s="1"/>
  <c r="AB31" i="15"/>
  <c r="AG31" i="15"/>
  <c r="V31" i="15"/>
  <c r="Y165" i="15"/>
  <c r="X157" i="15"/>
  <c r="V165" i="15"/>
  <c r="AF136" i="15"/>
  <c r="W136" i="15"/>
  <c r="W140" i="15"/>
  <c r="V149" i="15"/>
  <c r="X153" i="15"/>
  <c r="AD149" i="15"/>
  <c r="T140" i="15"/>
  <c r="V131" i="15"/>
  <c r="Z131" i="15"/>
  <c r="V140" i="15"/>
  <c r="AC31" i="15"/>
  <c r="T31" i="15"/>
  <c r="Y31" i="15"/>
  <c r="V23" i="15"/>
  <c r="Z31" i="15"/>
  <c r="X23" i="15"/>
  <c r="AG157" i="15"/>
  <c r="AV157" i="15" s="1"/>
  <c r="Y150" i="15"/>
  <c r="AN150" i="15" s="1"/>
  <c r="U136" i="15"/>
  <c r="AE136" i="15"/>
  <c r="AA140" i="15"/>
  <c r="AG153" i="15"/>
  <c r="AA149" i="15"/>
  <c r="AC140" i="15"/>
  <c r="W131" i="15"/>
  <c r="AA136" i="15"/>
  <c r="AF131" i="15"/>
  <c r="AE131" i="15"/>
  <c r="X136" i="15"/>
  <c r="U31" i="15"/>
  <c r="AD23" i="15"/>
  <c r="Y157" i="15"/>
  <c r="AN157" i="15" s="1"/>
  <c r="AC149" i="15"/>
  <c r="AF150" i="15"/>
  <c r="AF140" i="15"/>
  <c r="Z136" i="15"/>
  <c r="AD157" i="15"/>
  <c r="X150" i="15"/>
  <c r="Y153" i="15"/>
  <c r="Y136" i="15"/>
  <c r="AB23" i="15"/>
  <c r="AG23" i="15"/>
  <c r="AV23" i="15" s="1"/>
  <c r="W165" i="15"/>
  <c r="AA150" i="15"/>
  <c r="V150" i="15"/>
  <c r="AK150" i="15" s="1"/>
  <c r="X140" i="15"/>
  <c r="V136" i="15"/>
  <c r="Z153" i="15"/>
  <c r="AO153" i="15" s="1"/>
  <c r="AC150" i="15"/>
  <c r="AR150" i="15" s="1"/>
  <c r="AB140" i="15"/>
  <c r="AA153" i="15"/>
  <c r="AP153" i="15" s="1"/>
  <c r="F25" i="15"/>
  <c r="G146" i="15"/>
  <c r="AK146" i="15" s="1"/>
  <c r="Q149" i="15"/>
  <c r="J146" i="15"/>
  <c r="F147" i="15"/>
  <c r="J147" i="15"/>
  <c r="AP149" i="15"/>
  <c r="AH147" i="15"/>
  <c r="I146" i="15"/>
  <c r="E149" i="15"/>
  <c r="N25" i="15"/>
  <c r="M146" i="15"/>
  <c r="AQ146" i="15" s="1"/>
  <c r="L147" i="15"/>
  <c r="N147" i="15"/>
  <c r="AR147" i="15" s="1"/>
  <c r="R147" i="15"/>
  <c r="AH149" i="15"/>
  <c r="AV146" i="15"/>
  <c r="AK149" i="15"/>
  <c r="H146" i="15"/>
  <c r="AL146" i="15" s="1"/>
  <c r="K149" i="15"/>
  <c r="F31" i="15"/>
  <c r="AJ31" i="15" s="1"/>
  <c r="I25" i="15"/>
  <c r="N146" i="15"/>
  <c r="E146" i="15"/>
  <c r="G147" i="15"/>
  <c r="K147" i="15"/>
  <c r="AQ149" i="15"/>
  <c r="AU147" i="15"/>
  <c r="P146" i="15"/>
  <c r="AT146" i="15"/>
  <c r="AN146" i="15"/>
  <c r="AP147" i="15"/>
  <c r="E25" i="15"/>
  <c r="F146" i="15"/>
  <c r="AJ146" i="15" s="1"/>
  <c r="O147" i="15"/>
  <c r="AI149" i="15"/>
  <c r="AL149" i="15"/>
  <c r="Q146" i="15"/>
  <c r="AM146" i="15"/>
  <c r="J149" i="15"/>
  <c r="M25" i="15"/>
  <c r="G25" i="15"/>
  <c r="K25" i="15"/>
  <c r="L146" i="15"/>
  <c r="K146" i="15"/>
  <c r="AO146" i="15" s="1"/>
  <c r="N149" i="15"/>
  <c r="H147" i="15"/>
  <c r="AS149" i="15"/>
  <c r="AI146" i="15"/>
  <c r="AU146" i="15"/>
  <c r="AR146" i="15"/>
  <c r="R149" i="15"/>
  <c r="L149" i="15"/>
  <c r="H149" i="15"/>
  <c r="O25" i="15"/>
  <c r="H25" i="15"/>
  <c r="Q25" i="15"/>
  <c r="G149" i="15"/>
  <c r="P147" i="15"/>
  <c r="P149" i="15"/>
  <c r="AJ149" i="15"/>
  <c r="AH146" i="15"/>
  <c r="O146" i="15"/>
  <c r="AS146" i="15" s="1"/>
  <c r="AO149" i="15"/>
  <c r="P25" i="15"/>
  <c r="O149" i="15"/>
  <c r="E147" i="15"/>
  <c r="I147" i="15"/>
  <c r="AM147" i="15" s="1"/>
  <c r="AM149" i="15"/>
  <c r="AR149" i="15"/>
  <c r="AP146" i="15"/>
  <c r="M149" i="15"/>
  <c r="AN149" i="15"/>
  <c r="F149" i="15"/>
  <c r="AF38" i="15"/>
  <c r="AU38" i="15" s="1"/>
  <c r="AE15" i="15"/>
  <c r="Z30" i="15"/>
  <c r="AO30" i="15" s="1"/>
  <c r="Z147" i="15"/>
  <c r="AO147" i="15" s="1"/>
  <c r="AG148" i="15"/>
  <c r="AV148" i="15" s="1"/>
  <c r="AD148" i="15"/>
  <c r="AS148" i="15" s="1"/>
  <c r="U147" i="15"/>
  <c r="U142" i="15"/>
  <c r="AD137" i="15"/>
  <c r="AB160" i="15"/>
  <c r="T137" i="15"/>
  <c r="AC141" i="15"/>
  <c r="AE38" i="15"/>
  <c r="AT38" i="15" s="1"/>
  <c r="V148" i="15"/>
  <c r="AK148" i="15" s="1"/>
  <c r="AG15" i="15"/>
  <c r="AC30" i="15"/>
  <c r="AR30" i="15" s="1"/>
  <c r="Z160" i="15"/>
  <c r="W148" i="15"/>
  <c r="AL148" i="15" s="1"/>
  <c r="AF148" i="15"/>
  <c r="AU148" i="15" s="1"/>
  <c r="AE147" i="15"/>
  <c r="Z138" i="15"/>
  <c r="U137" i="15"/>
  <c r="V137" i="15"/>
  <c r="W142" i="15"/>
  <c r="AL142" i="15" s="1"/>
  <c r="Y15" i="15"/>
  <c r="Z15" i="15"/>
  <c r="AD30" i="15"/>
  <c r="AF160" i="15"/>
  <c r="U148" i="15"/>
  <c r="AJ148" i="15" s="1"/>
  <c r="W147" i="15"/>
  <c r="AL147" i="15" s="1"/>
  <c r="AD147" i="15"/>
  <c r="AA148" i="15"/>
  <c r="AP148" i="15" s="1"/>
  <c r="U138" i="15"/>
  <c r="AA139" i="15"/>
  <c r="AF138" i="15"/>
  <c r="AC160" i="15"/>
  <c r="AB141" i="15"/>
  <c r="AF141" i="15"/>
  <c r="AG137" i="15"/>
  <c r="Z148" i="15"/>
  <c r="AO148" i="15" s="1"/>
  <c r="AE141" i="15"/>
  <c r="AB147" i="15"/>
  <c r="AD160" i="15"/>
  <c r="AB15" i="15"/>
  <c r="Z142" i="15"/>
  <c r="V147" i="15"/>
  <c r="AC138" i="15"/>
  <c r="X139" i="15"/>
  <c r="U160" i="15"/>
  <c r="V141" i="15"/>
  <c r="Y137" i="15"/>
  <c r="T160" i="15"/>
  <c r="Z141" i="15"/>
  <c r="T141" i="15"/>
  <c r="AB152" i="15"/>
  <c r="AQ152" i="15" s="1"/>
  <c r="U15" i="15"/>
  <c r="AG147" i="15"/>
  <c r="AV147" i="15" s="1"/>
  <c r="AE148" i="15"/>
  <c r="AT148" i="15" s="1"/>
  <c r="V138" i="15"/>
  <c r="AC137" i="15"/>
  <c r="Y138" i="15"/>
  <c r="X138" i="15"/>
  <c r="V160" i="15"/>
  <c r="Y148" i="15"/>
  <c r="AN148" i="15" s="1"/>
  <c r="AC152" i="15"/>
  <c r="AR152" i="15" s="1"/>
  <c r="AA137" i="15"/>
  <c r="W141" i="15"/>
  <c r="X137" i="15"/>
  <c r="U141" i="15"/>
  <c r="T15" i="15"/>
  <c r="X30" i="15"/>
  <c r="AM30" i="15" s="1"/>
  <c r="X15" i="15"/>
  <c r="AF15" i="15"/>
  <c r="AD15" i="15"/>
  <c r="AG30" i="15"/>
  <c r="V15" i="15"/>
  <c r="AA15" i="15"/>
  <c r="Y38" i="15"/>
  <c r="AN38" i="15" s="1"/>
  <c r="V30" i="15"/>
  <c r="X148" i="15"/>
  <c r="AM148" i="15" s="1"/>
  <c r="Y147" i="15"/>
  <c r="AN147" i="15" s="1"/>
  <c r="T148" i="15"/>
  <c r="AI148" i="15" s="1"/>
  <c r="AD138" i="15"/>
  <c r="W137" i="15"/>
  <c r="AA160" i="15"/>
  <c r="T147" i="15"/>
  <c r="AB137" i="15"/>
  <c r="AG141" i="15"/>
  <c r="Q31" i="15"/>
  <c r="AU31" i="15" s="1"/>
  <c r="AH31" i="15"/>
  <c r="J31" i="15"/>
  <c r="AN31" i="15" s="1"/>
  <c r="N26" i="15"/>
  <c r="L31" i="15"/>
  <c r="AP31" i="15" s="1"/>
  <c r="O31" i="15"/>
  <c r="AS31" i="15" s="1"/>
  <c r="G31" i="15"/>
  <c r="AK31" i="15" s="1"/>
  <c r="I31" i="15"/>
  <c r="AM31" i="15" s="1"/>
  <c r="M31" i="15"/>
  <c r="AQ31" i="15" s="1"/>
  <c r="H289" i="15"/>
  <c r="H290" i="15" s="1"/>
  <c r="P31" i="15"/>
  <c r="AT31" i="15" s="1"/>
  <c r="R31" i="15"/>
  <c r="AV31" i="15" s="1"/>
  <c r="H31" i="15"/>
  <c r="AL31" i="15" s="1"/>
  <c r="D290" i="15"/>
  <c r="Q290" i="15" s="1"/>
  <c r="E31" i="15"/>
  <c r="AI31" i="15" s="1"/>
  <c r="E289" i="15"/>
  <c r="E290" i="15" s="1"/>
  <c r="N31" i="15"/>
  <c r="AR31" i="15" s="1"/>
  <c r="N289" i="15"/>
  <c r="K137" i="15"/>
  <c r="L289" i="15"/>
  <c r="L290" i="15" s="1"/>
  <c r="D249" i="15"/>
  <c r="K249" i="15" s="1"/>
  <c r="E22" i="15"/>
  <c r="H137" i="15"/>
  <c r="N137" i="15"/>
  <c r="I137" i="15"/>
  <c r="G289" i="15"/>
  <c r="G290" i="15" s="1"/>
  <c r="P137" i="15"/>
  <c r="O137" i="15"/>
  <c r="M137" i="15"/>
  <c r="P289" i="15"/>
  <c r="P36" i="15"/>
  <c r="Q137" i="15"/>
  <c r="E137" i="15"/>
  <c r="J137" i="15"/>
  <c r="F137" i="15"/>
  <c r="K289" i="15"/>
  <c r="X38" i="15"/>
  <c r="W38" i="15"/>
  <c r="AD38" i="15"/>
  <c r="AF152" i="15"/>
  <c r="AF139" i="15"/>
  <c r="AB142" i="15"/>
  <c r="AQ142" i="15" s="1"/>
  <c r="U152" i="15"/>
  <c r="Y152" i="15"/>
  <c r="AN152" i="15" s="1"/>
  <c r="T142" i="15"/>
  <c r="V38" i="15"/>
  <c r="X152" i="15"/>
  <c r="AM152" i="15" s="1"/>
  <c r="AD142" i="15"/>
  <c r="AS142" i="15" s="1"/>
  <c r="V139" i="15"/>
  <c r="Y139" i="15"/>
  <c r="AC142" i="15"/>
  <c r="W134" i="15"/>
  <c r="AG152" i="15"/>
  <c r="AV152" i="15" s="1"/>
  <c r="W139" i="15"/>
  <c r="T38" i="15"/>
  <c r="Z38" i="15"/>
  <c r="AO38" i="15" s="1"/>
  <c r="V142" i="15"/>
  <c r="T139" i="15"/>
  <c r="AG139" i="15"/>
  <c r="AE142" i="15"/>
  <c r="AT142" i="15" s="1"/>
  <c r="AD152" i="15"/>
  <c r="V152" i="15"/>
  <c r="AK152" i="15" s="1"/>
  <c r="AB139" i="15"/>
  <c r="AA38" i="15"/>
  <c r="U38" i="15"/>
  <c r="AJ38" i="15" s="1"/>
  <c r="AG142" i="15"/>
  <c r="Z139" i="15"/>
  <c r="AA142" i="15"/>
  <c r="W152" i="15"/>
  <c r="AD139" i="15"/>
  <c r="T152" i="15"/>
  <c r="AI152" i="15" s="1"/>
  <c r="Z152" i="15"/>
  <c r="Y142" i="15"/>
  <c r="AA152" i="15"/>
  <c r="AC38" i="15"/>
  <c r="U139" i="15"/>
  <c r="AC139" i="15"/>
  <c r="AF142" i="15"/>
  <c r="AU142" i="15" s="1"/>
  <c r="W29" i="15"/>
  <c r="V42" i="15"/>
  <c r="U161" i="15"/>
  <c r="AB143" i="15"/>
  <c r="AF161" i="15"/>
  <c r="AB161" i="15"/>
  <c r="AQ161" i="15" s="1"/>
  <c r="V143" i="15"/>
  <c r="AC143" i="15"/>
  <c r="T143" i="15"/>
  <c r="Y161" i="15"/>
  <c r="AN161" i="15" s="1"/>
  <c r="T161" i="15"/>
  <c r="AI161" i="15" s="1"/>
  <c r="AA161" i="15"/>
  <c r="AP161" i="15" s="1"/>
  <c r="U143" i="15"/>
  <c r="Z143" i="15"/>
  <c r="AG143" i="15"/>
  <c r="U42" i="15"/>
  <c r="Y143" i="15"/>
  <c r="W143" i="15"/>
  <c r="AG161" i="15"/>
  <c r="AV161" i="15" s="1"/>
  <c r="Z161" i="15"/>
  <c r="X42" i="15"/>
  <c r="AE143" i="15"/>
  <c r="AB42" i="15"/>
  <c r="Y42" i="15"/>
  <c r="V161" i="15"/>
  <c r="AK161" i="15" s="1"/>
  <c r="AA143" i="15"/>
  <c r="AF143" i="15"/>
  <c r="AE161" i="15"/>
  <c r="X143" i="15"/>
  <c r="AA42" i="15"/>
  <c r="T42" i="15"/>
  <c r="Z42" i="15"/>
  <c r="W161" i="15"/>
  <c r="X161" i="15"/>
  <c r="J248" i="15"/>
  <c r="J249" i="15" s="1"/>
  <c r="M22" i="15"/>
  <c r="O24" i="15"/>
  <c r="K139" i="15"/>
  <c r="M139" i="15"/>
  <c r="G139" i="15"/>
  <c r="K248" i="15"/>
  <c r="I289" i="15"/>
  <c r="I290" i="15" s="1"/>
  <c r="M289" i="15"/>
  <c r="M290" i="15" s="1"/>
  <c r="R22" i="15"/>
  <c r="Q34" i="15"/>
  <c r="L131" i="15"/>
  <c r="H139" i="15"/>
  <c r="AH160" i="15"/>
  <c r="AV160" i="15"/>
  <c r="G160" i="15"/>
  <c r="G248" i="15"/>
  <c r="G249" i="15" s="1"/>
  <c r="L248" i="15"/>
  <c r="L249" i="15" s="1"/>
  <c r="Q289" i="15"/>
  <c r="F289" i="15"/>
  <c r="F290" i="15" s="1"/>
  <c r="R153" i="15"/>
  <c r="AV153" i="15" s="1"/>
  <c r="J153" i="15"/>
  <c r="AN153" i="15" s="1"/>
  <c r="K145" i="15"/>
  <c r="I139" i="15"/>
  <c r="AU160" i="15"/>
  <c r="AI160" i="15"/>
  <c r="N160" i="15"/>
  <c r="AO160" i="15"/>
  <c r="F160" i="15"/>
  <c r="AJ160" i="15" s="1"/>
  <c r="AL160" i="15"/>
  <c r="O160" i="15"/>
  <c r="AS160" i="15" s="1"/>
  <c r="AR160" i="15"/>
  <c r="I248" i="15"/>
  <c r="I249" i="15" s="1"/>
  <c r="M248" i="15"/>
  <c r="M249" i="15" s="1"/>
  <c r="J289" i="15"/>
  <c r="J290" i="15" s="1"/>
  <c r="I24" i="15"/>
  <c r="N131" i="15"/>
  <c r="F139" i="15"/>
  <c r="Q139" i="15"/>
  <c r="G133" i="15"/>
  <c r="AK160" i="15"/>
  <c r="AQ160" i="15"/>
  <c r="AM160" i="15"/>
  <c r="O289" i="15"/>
  <c r="L135" i="15"/>
  <c r="E144" i="15"/>
  <c r="R145" i="15"/>
  <c r="F133" i="15"/>
  <c r="AT144" i="15"/>
  <c r="T135" i="15"/>
  <c r="H133" i="15"/>
  <c r="O145" i="15"/>
  <c r="I133" i="15"/>
  <c r="N143" i="15"/>
  <c r="Y135" i="15"/>
  <c r="X135" i="15"/>
  <c r="L143" i="15"/>
  <c r="E133" i="15"/>
  <c r="Q144" i="15"/>
  <c r="AU144" i="15"/>
  <c r="AH144" i="15"/>
  <c r="AR143" i="15"/>
  <c r="N144" i="15"/>
  <c r="K144" i="15"/>
  <c r="AO144" i="15" s="1"/>
  <c r="AH143" i="15"/>
  <c r="H144" i="15"/>
  <c r="F143" i="15"/>
  <c r="AJ143" i="15" s="1"/>
  <c r="R144" i="15"/>
  <c r="R136" i="15"/>
  <c r="AV144" i="15"/>
  <c r="K143" i="15"/>
  <c r="I144" i="15"/>
  <c r="AM144" i="15" s="1"/>
  <c r="AR144" i="15"/>
  <c r="AI144" i="15"/>
  <c r="O144" i="15"/>
  <c r="P143" i="15"/>
  <c r="AT143" i="15" s="1"/>
  <c r="O143" i="15"/>
  <c r="AS143" i="15" s="1"/>
  <c r="G144" i="15"/>
  <c r="AK144" i="15" s="1"/>
  <c r="F144" i="15"/>
  <c r="AJ144" i="15" s="1"/>
  <c r="E143" i="15"/>
  <c r="M143" i="15"/>
  <c r="Q143" i="15"/>
  <c r="AU143" i="15" s="1"/>
  <c r="AS144" i="15"/>
  <c r="AP143" i="15"/>
  <c r="AI143" i="15"/>
  <c r="J144" i="15"/>
  <c r="AN144" i="15" s="1"/>
  <c r="G143" i="15"/>
  <c r="I143" i="15"/>
  <c r="AM143" i="15" s="1"/>
  <c r="J143" i="15"/>
  <c r="AN143" i="15" s="1"/>
  <c r="AQ143" i="15"/>
  <c r="M144" i="15"/>
  <c r="AQ144" i="15" s="1"/>
  <c r="L144" i="15"/>
  <c r="AP144" i="15" s="1"/>
  <c r="H143" i="15"/>
  <c r="AL143" i="15" s="1"/>
  <c r="R143" i="15"/>
  <c r="AV143" i="15" s="1"/>
  <c r="AK143" i="15"/>
  <c r="AL144" i="15"/>
  <c r="AO143" i="15"/>
  <c r="I20" i="15"/>
  <c r="Q28" i="15"/>
  <c r="E29" i="15"/>
  <c r="N20" i="15"/>
  <c r="J29" i="15"/>
  <c r="F29" i="15"/>
  <c r="O29" i="15"/>
  <c r="N28" i="15"/>
  <c r="R29" i="15"/>
  <c r="L29" i="15"/>
  <c r="P29" i="15"/>
  <c r="AT29" i="15" s="1"/>
  <c r="K29" i="15"/>
  <c r="G20" i="15"/>
  <c r="J20" i="15"/>
  <c r="H29" i="15"/>
  <c r="AL29" i="15" s="1"/>
  <c r="AH29" i="15"/>
  <c r="M29" i="15"/>
  <c r="H28" i="15"/>
  <c r="P20" i="15"/>
  <c r="P28" i="15"/>
  <c r="N29" i="15"/>
  <c r="M20" i="15"/>
  <c r="Q29" i="15"/>
  <c r="G29" i="15"/>
  <c r="J36" i="15"/>
  <c r="F36" i="15"/>
  <c r="I36" i="15"/>
  <c r="F34" i="15"/>
  <c r="I34" i="15"/>
  <c r="AD289" i="15"/>
  <c r="V289" i="15"/>
  <c r="V290" i="15" s="1"/>
  <c r="AC289" i="15"/>
  <c r="U289" i="15"/>
  <c r="U290" i="15" s="1"/>
  <c r="AB289" i="15"/>
  <c r="AB290" i="15" s="1"/>
  <c r="T289" i="15"/>
  <c r="T290" i="15" s="1"/>
  <c r="AA289" i="15"/>
  <c r="AA290" i="15" s="1"/>
  <c r="Z289" i="15"/>
  <c r="AG289" i="15"/>
  <c r="Y289" i="15"/>
  <c r="Y290" i="15" s="1"/>
  <c r="S290" i="15"/>
  <c r="AF289" i="15"/>
  <c r="X289" i="15"/>
  <c r="X290" i="15" s="1"/>
  <c r="AE289" i="15"/>
  <c r="W289" i="15"/>
  <c r="W290" i="15" s="1"/>
  <c r="Z134" i="15"/>
  <c r="AB132" i="15"/>
  <c r="U134" i="15"/>
  <c r="T132" i="15"/>
  <c r="AF134" i="15"/>
  <c r="AA134" i="15"/>
  <c r="U132" i="15"/>
  <c r="X134" i="15"/>
  <c r="X132" i="15"/>
  <c r="AC134" i="15"/>
  <c r="Y134" i="15"/>
  <c r="N139" i="15"/>
  <c r="AB134" i="15"/>
  <c r="AE134" i="15"/>
  <c r="AD134" i="15"/>
  <c r="V134" i="15"/>
  <c r="T134" i="15"/>
  <c r="V132" i="15"/>
  <c r="AA132" i="15"/>
  <c r="V248" i="15"/>
  <c r="V249" i="15" s="1"/>
  <c r="U248" i="15"/>
  <c r="U249" i="15" s="1"/>
  <c r="AB248" i="15"/>
  <c r="AB249" i="15" s="1"/>
  <c r="T248" i="15"/>
  <c r="T249" i="15" s="1"/>
  <c r="AA248" i="15"/>
  <c r="AA249" i="15" s="1"/>
  <c r="Z248" i="15"/>
  <c r="Y248" i="15"/>
  <c r="Y249" i="15" s="1"/>
  <c r="X248" i="15"/>
  <c r="X249" i="15" s="1"/>
  <c r="W248" i="15"/>
  <c r="W249" i="15" s="1"/>
  <c r="W135" i="15"/>
  <c r="E136" i="15"/>
  <c r="P136" i="15"/>
  <c r="J145" i="15"/>
  <c r="G136" i="15"/>
  <c r="AB135" i="15"/>
  <c r="I135" i="15"/>
  <c r="G135" i="15"/>
  <c r="F135" i="15"/>
  <c r="N136" i="15"/>
  <c r="H135" i="15"/>
  <c r="E135" i="15"/>
  <c r="J135" i="15"/>
  <c r="Q136" i="15"/>
  <c r="I136" i="15"/>
  <c r="K135" i="15"/>
  <c r="M136" i="15"/>
  <c r="H136" i="15"/>
  <c r="L136" i="15"/>
  <c r="J136" i="15"/>
  <c r="Z135" i="15"/>
  <c r="V135" i="15"/>
  <c r="U135" i="15"/>
  <c r="M135" i="15"/>
  <c r="AA135" i="15"/>
  <c r="M141" i="15"/>
  <c r="J141" i="15"/>
  <c r="Z132" i="15"/>
  <c r="W132" i="15"/>
  <c r="O136" i="15"/>
  <c r="F136" i="15"/>
  <c r="R131" i="15"/>
  <c r="J131" i="15"/>
  <c r="E131" i="15"/>
  <c r="I131" i="15"/>
  <c r="AA133" i="15"/>
  <c r="V133" i="15"/>
  <c r="U133" i="15"/>
  <c r="T133" i="15"/>
  <c r="W133" i="15"/>
  <c r="AB133" i="15"/>
  <c r="Z133" i="15"/>
  <c r="X133" i="15"/>
  <c r="G131" i="15"/>
  <c r="O131" i="15"/>
  <c r="F207" i="15"/>
  <c r="F208" i="15" s="1"/>
  <c r="M207" i="15"/>
  <c r="M208" i="15" s="1"/>
  <c r="E207" i="15"/>
  <c r="E208" i="15" s="1"/>
  <c r="L207" i="15"/>
  <c r="L208" i="15" s="1"/>
  <c r="K207" i="15"/>
  <c r="J207" i="15"/>
  <c r="J208" i="15" s="1"/>
  <c r="D208" i="15"/>
  <c r="D164" i="15" s="1"/>
  <c r="I207" i="15"/>
  <c r="I208" i="15" s="1"/>
  <c r="H207" i="15"/>
  <c r="H208" i="15" s="1"/>
  <c r="G207" i="15"/>
  <c r="G208" i="15" s="1"/>
  <c r="L134" i="15"/>
  <c r="O134" i="15"/>
  <c r="F134" i="15"/>
  <c r="N134" i="15"/>
  <c r="M134" i="15"/>
  <c r="R134" i="15"/>
  <c r="I134" i="15"/>
  <c r="H134" i="15"/>
  <c r="G134" i="15"/>
  <c r="P134" i="15"/>
  <c r="J134" i="15"/>
  <c r="E134" i="15"/>
  <c r="Q134" i="15"/>
  <c r="K134" i="15"/>
  <c r="V207" i="15"/>
  <c r="V208" i="15" s="1"/>
  <c r="U207" i="15"/>
  <c r="U208" i="15" s="1"/>
  <c r="AB207" i="15"/>
  <c r="AB208" i="15" s="1"/>
  <c r="T207" i="15"/>
  <c r="T208" i="15" s="1"/>
  <c r="AA207" i="15"/>
  <c r="AA208" i="15" s="1"/>
  <c r="Z207" i="15"/>
  <c r="Y207" i="15"/>
  <c r="Y208" i="15" s="1"/>
  <c r="S208" i="15"/>
  <c r="S164" i="15" s="1"/>
  <c r="X207" i="15"/>
  <c r="X208" i="15" s="1"/>
  <c r="W207" i="15"/>
  <c r="W208" i="15" s="1"/>
  <c r="L145" i="15"/>
  <c r="AS145" i="15"/>
  <c r="AK145" i="15"/>
  <c r="AV145" i="15"/>
  <c r="AN145" i="15"/>
  <c r="F145" i="15"/>
  <c r="AJ145" i="15" s="1"/>
  <c r="E145" i="15"/>
  <c r="AI145" i="15" s="1"/>
  <c r="Q145" i="15"/>
  <c r="AU145" i="15" s="1"/>
  <c r="M145" i="15"/>
  <c r="AQ145" i="15" s="1"/>
  <c r="AH145" i="15"/>
  <c r="AP145" i="15"/>
  <c r="I145" i="15"/>
  <c r="AM145" i="15" s="1"/>
  <c r="P145" i="15"/>
  <c r="AT145" i="15" s="1"/>
  <c r="N145" i="15"/>
  <c r="AR145" i="15" s="1"/>
  <c r="AO145" i="15"/>
  <c r="H145" i="15"/>
  <c r="AL145" i="15"/>
  <c r="M28" i="15"/>
  <c r="O20" i="15"/>
  <c r="J28" i="15"/>
  <c r="K20" i="15"/>
  <c r="K28" i="15"/>
  <c r="E26" i="15"/>
  <c r="L20" i="15"/>
  <c r="R28" i="15"/>
  <c r="G28" i="15"/>
  <c r="F20" i="15"/>
  <c r="O28" i="15"/>
  <c r="F26" i="15"/>
  <c r="R20" i="15"/>
  <c r="L28" i="15"/>
  <c r="F28" i="15"/>
  <c r="H20" i="15"/>
  <c r="Q26" i="15"/>
  <c r="M36" i="15"/>
  <c r="H36" i="15"/>
  <c r="U14" i="15"/>
  <c r="Q36" i="15"/>
  <c r="R36" i="15"/>
  <c r="AA14" i="15"/>
  <c r="Z14" i="15"/>
  <c r="F125" i="15"/>
  <c r="F126" i="15" s="1"/>
  <c r="M125" i="15"/>
  <c r="M126" i="15" s="1"/>
  <c r="E125" i="15"/>
  <c r="E126" i="15" s="1"/>
  <c r="L125" i="15"/>
  <c r="L126" i="15" s="1"/>
  <c r="K125" i="15"/>
  <c r="J125" i="15"/>
  <c r="J126" i="15" s="1"/>
  <c r="H125" i="15"/>
  <c r="H126" i="15" s="1"/>
  <c r="I125" i="15"/>
  <c r="I126" i="15" s="1"/>
  <c r="G125" i="15"/>
  <c r="G126" i="15" s="1"/>
  <c r="D126" i="15"/>
  <c r="V125" i="15"/>
  <c r="V126" i="15" s="1"/>
  <c r="U125" i="15"/>
  <c r="U126" i="15" s="1"/>
  <c r="AB125" i="15"/>
  <c r="AB126" i="15" s="1"/>
  <c r="T125" i="15"/>
  <c r="T126" i="15" s="1"/>
  <c r="AA125" i="15"/>
  <c r="AA126" i="15" s="1"/>
  <c r="Z125" i="15"/>
  <c r="S126" i="15"/>
  <c r="X125" i="15"/>
  <c r="X126" i="15" s="1"/>
  <c r="Y125" i="15"/>
  <c r="Y126" i="15" s="1"/>
  <c r="W125" i="15"/>
  <c r="W126" i="15" s="1"/>
  <c r="G36" i="15"/>
  <c r="O36" i="15"/>
  <c r="N36" i="15"/>
  <c r="AE13" i="15"/>
  <c r="AE21" i="15"/>
  <c r="S27" i="15"/>
  <c r="AH27" i="15" s="1"/>
  <c r="S20" i="15"/>
  <c r="S35" i="15"/>
  <c r="AH35" i="15" s="1"/>
  <c r="S9" i="15"/>
  <c r="S33" i="15"/>
  <c r="AH33" i="15" s="1"/>
  <c r="AB14" i="15"/>
  <c r="W14" i="15"/>
  <c r="V14" i="15"/>
  <c r="S26" i="15"/>
  <c r="AH26" i="15" s="1"/>
  <c r="S12" i="15"/>
  <c r="S18" i="15"/>
  <c r="S16" i="15"/>
  <c r="AF16" i="15" s="1"/>
  <c r="S25" i="15"/>
  <c r="AH25" i="15" s="1"/>
  <c r="S34" i="15"/>
  <c r="AH34" i="15" s="1"/>
  <c r="S19" i="15"/>
  <c r="AH19" i="15" s="1"/>
  <c r="S24" i="15"/>
  <c r="S36" i="15"/>
  <c r="S28" i="15"/>
  <c r="S32" i="15"/>
  <c r="S11" i="15"/>
  <c r="S17" i="15"/>
  <c r="S10" i="15"/>
  <c r="S84" i="15"/>
  <c r="S40" i="15" s="1"/>
  <c r="S8" i="15"/>
  <c r="AE8" i="15" s="1"/>
  <c r="AA37" i="15"/>
  <c r="AB37" i="15"/>
  <c r="AQ37" i="15" s="1"/>
  <c r="Z37" i="15"/>
  <c r="X37" i="15"/>
  <c r="AG37" i="15"/>
  <c r="AV37" i="15" s="1"/>
  <c r="V37" i="15"/>
  <c r="AK37" i="15" s="1"/>
  <c r="AF37" i="15"/>
  <c r="AU37" i="15" s="1"/>
  <c r="U37" i="15"/>
  <c r="AD37" i="15"/>
  <c r="T37" i="15"/>
  <c r="AC37" i="15"/>
  <c r="Y37" i="15"/>
  <c r="AA13" i="15"/>
  <c r="AD13" i="15"/>
  <c r="T13" i="15"/>
  <c r="AC13" i="15"/>
  <c r="Y13" i="15"/>
  <c r="X13" i="15"/>
  <c r="AG13" i="15"/>
  <c r="V13" i="15"/>
  <c r="AF13" i="15"/>
  <c r="U13" i="15"/>
  <c r="AB13" i="15"/>
  <c r="Z13" i="15"/>
  <c r="AE37" i="15"/>
  <c r="AT37" i="15" s="1"/>
  <c r="W37" i="15"/>
  <c r="AL37" i="15" s="1"/>
  <c r="AA29" i="15"/>
  <c r="Z29" i="15"/>
  <c r="Y29" i="15"/>
  <c r="AG29" i="15"/>
  <c r="AV29" i="15" s="1"/>
  <c r="V29" i="15"/>
  <c r="AF29" i="15"/>
  <c r="U29" i="15"/>
  <c r="AJ29" i="15" s="1"/>
  <c r="AD29" i="15"/>
  <c r="AS29" i="15" s="1"/>
  <c r="T29" i="15"/>
  <c r="AC29" i="15"/>
  <c r="AB29" i="15"/>
  <c r="AQ29" i="15" s="1"/>
  <c r="X29" i="15"/>
  <c r="AA21" i="15"/>
  <c r="AB21" i="15"/>
  <c r="Z21" i="15"/>
  <c r="AO21" i="15" s="1"/>
  <c r="X21" i="15"/>
  <c r="AM21" i="15" s="1"/>
  <c r="AG21" i="15"/>
  <c r="AV21" i="15" s="1"/>
  <c r="V21" i="15"/>
  <c r="AF21" i="15"/>
  <c r="AU21" i="15" s="1"/>
  <c r="U21" i="15"/>
  <c r="AD21" i="15"/>
  <c r="AS21" i="15" s="1"/>
  <c r="T21" i="15"/>
  <c r="AI21" i="15" s="1"/>
  <c r="AC21" i="15"/>
  <c r="AR21" i="15" s="1"/>
  <c r="Y21" i="15"/>
  <c r="M26" i="15"/>
  <c r="N34" i="15"/>
  <c r="G26" i="15"/>
  <c r="H26" i="15"/>
  <c r="H34" i="15"/>
  <c r="O26" i="15"/>
  <c r="P26" i="15"/>
  <c r="P34" i="15"/>
  <c r="E34" i="15"/>
  <c r="G34" i="15"/>
  <c r="M34" i="15"/>
  <c r="O34" i="15"/>
  <c r="I26" i="15"/>
  <c r="K26" i="15"/>
  <c r="J26" i="15"/>
  <c r="L26" i="15"/>
  <c r="R26" i="15"/>
  <c r="K34" i="15"/>
  <c r="R34" i="15"/>
  <c r="J34" i="15"/>
  <c r="L34" i="15"/>
  <c r="E28" i="15"/>
  <c r="AH28" i="15"/>
  <c r="E36" i="15"/>
  <c r="L36" i="15"/>
  <c r="AH36" i="15"/>
  <c r="J22" i="15"/>
  <c r="AN22" i="15" s="1"/>
  <c r="AH22" i="15"/>
  <c r="I22" i="15"/>
  <c r="AM22" i="15" s="1"/>
  <c r="AI22" i="15"/>
  <c r="AQ22" i="15"/>
  <c r="L22" i="15"/>
  <c r="AP22" i="15" s="1"/>
  <c r="N22" i="15"/>
  <c r="AR22" i="15" s="1"/>
  <c r="O22" i="15"/>
  <c r="AS22" i="15" s="1"/>
  <c r="P22" i="15"/>
  <c r="AT22" i="15" s="1"/>
  <c r="AV22" i="15"/>
  <c r="G22" i="15"/>
  <c r="AK22" i="15" s="1"/>
  <c r="F22" i="15"/>
  <c r="AJ22" i="15" s="1"/>
  <c r="AO22" i="15"/>
  <c r="H22" i="15"/>
  <c r="AL22" i="15" s="1"/>
  <c r="Q22" i="15"/>
  <c r="AU22" i="15" s="1"/>
  <c r="E20" i="15"/>
  <c r="AH20" i="15"/>
  <c r="D166" i="15" l="1"/>
  <c r="J166" i="15" s="1"/>
  <c r="M164" i="15"/>
  <c r="AQ164" i="15" s="1"/>
  <c r="L164" i="15"/>
  <c r="AP164" i="15" s="1"/>
  <c r="AH164" i="15"/>
  <c r="J164" i="15"/>
  <c r="AN164" i="15" s="1"/>
  <c r="I164" i="15"/>
  <c r="AM164" i="15" s="1"/>
  <c r="AK164" i="15"/>
  <c r="H164" i="15"/>
  <c r="AL164" i="15" s="1"/>
  <c r="E164" i="15"/>
  <c r="AI164" i="15" s="1"/>
  <c r="F164" i="15"/>
  <c r="AJ164" i="15" s="1"/>
  <c r="AB164" i="15"/>
  <c r="X164" i="15"/>
  <c r="V164" i="15"/>
  <c r="Y164" i="15"/>
  <c r="W164" i="15"/>
  <c r="AA164" i="15"/>
  <c r="T164" i="15"/>
  <c r="U164" i="15"/>
  <c r="S166" i="15"/>
  <c r="Y166" i="15" s="1"/>
  <c r="AB163" i="15"/>
  <c r="T163" i="15"/>
  <c r="W163" i="15"/>
  <c r="Z163" i="15"/>
  <c r="Y163" i="15"/>
  <c r="AA163" i="15"/>
  <c r="U163" i="15"/>
  <c r="V163" i="15"/>
  <c r="X163" i="15"/>
  <c r="AH163" i="15"/>
  <c r="K163" i="15"/>
  <c r="AO163" i="15" s="1"/>
  <c r="J163" i="15"/>
  <c r="AN163" i="15" s="1"/>
  <c r="AK163" i="15"/>
  <c r="M163" i="15"/>
  <c r="I163" i="15"/>
  <c r="AM163" i="15" s="1"/>
  <c r="L163" i="15"/>
  <c r="AP163" i="15" s="1"/>
  <c r="AQ163" i="15"/>
  <c r="E163" i="15"/>
  <c r="AI163" i="15" s="1"/>
  <c r="F163" i="15"/>
  <c r="AJ163" i="15" s="1"/>
  <c r="H163" i="15"/>
  <c r="AL163" i="15" s="1"/>
  <c r="AM29" i="15"/>
  <c r="AN29" i="15"/>
  <c r="AS38" i="15"/>
  <c r="AN37" i="15"/>
  <c r="AM23" i="15"/>
  <c r="AS23" i="15"/>
  <c r="AI29" i="15"/>
  <c r="AP29" i="15"/>
  <c r="AS37" i="15"/>
  <c r="AP37" i="15"/>
  <c r="AK23" i="15"/>
  <c r="AP23" i="15"/>
  <c r="X32" i="15"/>
  <c r="AH32" i="15"/>
  <c r="AF24" i="15"/>
  <c r="AU24" i="15" s="1"/>
  <c r="AH24" i="15"/>
  <c r="AK29" i="15"/>
  <c r="AU29" i="15"/>
  <c r="AR29" i="15"/>
  <c r="AO29" i="15"/>
  <c r="AI147" i="15"/>
  <c r="AT147" i="15"/>
  <c r="AS147" i="15"/>
  <c r="AK147" i="15"/>
  <c r="AJ147" i="15"/>
  <c r="AM150" i="15"/>
  <c r="AM37" i="15"/>
  <c r="AP150" i="15"/>
  <c r="AQ150" i="15"/>
  <c r="AL150" i="15"/>
  <c r="AR37" i="15"/>
  <c r="AM32" i="15"/>
  <c r="AL38" i="15"/>
  <c r="AR38" i="15"/>
  <c r="AU23" i="15"/>
  <c r="AI23" i="15"/>
  <c r="AK38" i="15"/>
  <c r="AM38" i="15"/>
  <c r="AI38" i="15"/>
  <c r="AP38" i="15"/>
  <c r="AQ23" i="15"/>
  <c r="AU153" i="15"/>
  <c r="AQ147" i="15"/>
  <c r="AP142" i="15"/>
  <c r="AK142" i="15"/>
  <c r="AO37" i="15"/>
  <c r="AI37" i="15"/>
  <c r="AI142" i="15"/>
  <c r="AO142" i="15"/>
  <c r="AR142" i="15"/>
  <c r="AJ37" i="15"/>
  <c r="AV142" i="15"/>
  <c r="AJ142" i="15"/>
  <c r="AN142" i="15"/>
  <c r="AU150" i="15"/>
  <c r="AQ21" i="15"/>
  <c r="AT21" i="15"/>
  <c r="AJ21" i="15"/>
  <c r="AN21" i="15"/>
  <c r="AP21" i="15"/>
  <c r="AK21" i="15"/>
  <c r="AP157" i="15"/>
  <c r="AJ157" i="15"/>
  <c r="AS157" i="15"/>
  <c r="AK30" i="15"/>
  <c r="AV30" i="15"/>
  <c r="AM161" i="15"/>
  <c r="AO161" i="15"/>
  <c r="AP152" i="15"/>
  <c r="AU152" i="15"/>
  <c r="AL152" i="15"/>
  <c r="AL157" i="15"/>
  <c r="AP160" i="15"/>
  <c r="AP30" i="15"/>
  <c r="AQ157" i="15"/>
  <c r="AS152" i="15"/>
  <c r="AQ30" i="15"/>
  <c r="AT161" i="15"/>
  <c r="AJ152" i="15"/>
  <c r="AM157" i="15"/>
  <c r="AJ161" i="15"/>
  <c r="AU161" i="15"/>
  <c r="AI157" i="15"/>
  <c r="AS30" i="15"/>
  <c r="AO157" i="15"/>
  <c r="AL161" i="15"/>
  <c r="AO152" i="15"/>
  <c r="AM153" i="15"/>
  <c r="AL156" i="15"/>
  <c r="AV156" i="15"/>
  <c r="AJ151" i="15"/>
  <c r="N290" i="15"/>
  <c r="R290" i="15"/>
  <c r="K290" i="15"/>
  <c r="O290" i="15"/>
  <c r="P290" i="15"/>
  <c r="V84" i="15"/>
  <c r="V85" i="15" s="1"/>
  <c r="Z208" i="15"/>
  <c r="AE290" i="15"/>
  <c r="AG290" i="15"/>
  <c r="AF290" i="15"/>
  <c r="AD290" i="15"/>
  <c r="AC290" i="15"/>
  <c r="Z290" i="15"/>
  <c r="Z249" i="15"/>
  <c r="Z126" i="15"/>
  <c r="K126" i="15"/>
  <c r="K208" i="15"/>
  <c r="K164" i="15" s="1"/>
  <c r="AO164" i="15" s="1"/>
  <c r="AA32" i="15"/>
  <c r="AP32" i="15" s="1"/>
  <c r="W16" i="15"/>
  <c r="K166" i="15"/>
  <c r="AG32" i="15"/>
  <c r="AV32" i="15" s="1"/>
  <c r="Z32" i="15"/>
  <c r="AO32" i="15" s="1"/>
  <c r="U84" i="15"/>
  <c r="U85" i="15" s="1"/>
  <c r="AB32" i="15"/>
  <c r="AQ32" i="15" s="1"/>
  <c r="AA35" i="15"/>
  <c r="AP35" i="15" s="1"/>
  <c r="AD35" i="15"/>
  <c r="AS35" i="15" s="1"/>
  <c r="X35" i="15"/>
  <c r="AM35" i="15" s="1"/>
  <c r="AB35" i="15"/>
  <c r="AQ35" i="15" s="1"/>
  <c r="AF35" i="15"/>
  <c r="AU35" i="15" s="1"/>
  <c r="T35" i="15"/>
  <c r="AI35" i="15" s="1"/>
  <c r="V35" i="15"/>
  <c r="AK35" i="15" s="1"/>
  <c r="W35" i="15"/>
  <c r="AL35" i="15" s="1"/>
  <c r="Z35" i="15"/>
  <c r="AO35" i="15" s="1"/>
  <c r="U35" i="15"/>
  <c r="AJ35" i="15" s="1"/>
  <c r="AE35" i="15"/>
  <c r="AT35" i="15" s="1"/>
  <c r="Y35" i="15"/>
  <c r="AN35" i="15" s="1"/>
  <c r="AC35" i="15"/>
  <c r="AR35" i="15" s="1"/>
  <c r="AG35" i="15"/>
  <c r="AV35" i="15" s="1"/>
  <c r="S85" i="15"/>
  <c r="S41" i="15" s="1"/>
  <c r="S43" i="15" s="1"/>
  <c r="W84" i="15"/>
  <c r="W85" i="15" s="1"/>
  <c r="U32" i="15"/>
  <c r="AJ32" i="15" s="1"/>
  <c r="AC32" i="15"/>
  <c r="AR32" i="15" s="1"/>
  <c r="AA9" i="15"/>
  <c r="X9" i="15"/>
  <c r="T9" i="15"/>
  <c r="V9" i="15"/>
  <c r="W9" i="15"/>
  <c r="U9" i="15"/>
  <c r="Y9" i="15"/>
  <c r="Z9" i="15"/>
  <c r="AB9" i="15"/>
  <c r="Z84" i="15"/>
  <c r="Z40" i="15" s="1"/>
  <c r="Y32" i="15"/>
  <c r="AN32" i="15" s="1"/>
  <c r="AA84" i="15"/>
  <c r="AA85" i="15" s="1"/>
  <c r="V32" i="15"/>
  <c r="AK32" i="15" s="1"/>
  <c r="AD32" i="15"/>
  <c r="AS32" i="15" s="1"/>
  <c r="Z16" i="15"/>
  <c r="U16" i="15"/>
  <c r="AA16" i="15"/>
  <c r="X16" i="15"/>
  <c r="AG16" i="15"/>
  <c r="Y16" i="15"/>
  <c r="AC16" i="15"/>
  <c r="AE16" i="15"/>
  <c r="T16" i="15"/>
  <c r="AD16" i="15"/>
  <c r="AB16" i="15"/>
  <c r="V16" i="15"/>
  <c r="AB12" i="15"/>
  <c r="U12" i="15"/>
  <c r="V12" i="15"/>
  <c r="T12" i="15"/>
  <c r="Y12" i="15"/>
  <c r="Z12" i="15"/>
  <c r="AA12" i="15"/>
  <c r="X12" i="15"/>
  <c r="W12" i="15"/>
  <c r="T84" i="15"/>
  <c r="T85" i="15" s="1"/>
  <c r="X84" i="15"/>
  <c r="X85" i="15" s="1"/>
  <c r="W24" i="15"/>
  <c r="AL24" i="15" s="1"/>
  <c r="Z18" i="15"/>
  <c r="AA18" i="15"/>
  <c r="X18" i="15"/>
  <c r="T18" i="15"/>
  <c r="U18" i="15"/>
  <c r="AF18" i="15"/>
  <c r="AB18" i="15"/>
  <c r="W18" i="15"/>
  <c r="AE18" i="15"/>
  <c r="V18" i="15"/>
  <c r="Y18" i="15"/>
  <c r="AC18" i="15"/>
  <c r="AD18" i="15"/>
  <c r="AG18" i="15"/>
  <c r="AB20" i="15"/>
  <c r="AQ20" i="15" s="1"/>
  <c r="T20" i="15"/>
  <c r="AI20" i="15" s="1"/>
  <c r="AC20" i="15"/>
  <c r="AR20" i="15" s="1"/>
  <c r="AG20" i="15"/>
  <c r="AV20" i="15" s="1"/>
  <c r="AE20" i="15"/>
  <c r="AT20" i="15" s="1"/>
  <c r="Z20" i="15"/>
  <c r="AO20" i="15" s="1"/>
  <c r="U20" i="15"/>
  <c r="AJ20" i="15" s="1"/>
  <c r="V20" i="15"/>
  <c r="AK20" i="15" s="1"/>
  <c r="X20" i="15"/>
  <c r="AM20" i="15" s="1"/>
  <c r="AD20" i="15"/>
  <c r="AS20" i="15" s="1"/>
  <c r="W20" i="15"/>
  <c r="AL20" i="15" s="1"/>
  <c r="AF20" i="15"/>
  <c r="AU20" i="15" s="1"/>
  <c r="Y20" i="15"/>
  <c r="AN20" i="15" s="1"/>
  <c r="AA20" i="15"/>
  <c r="AP20" i="15" s="1"/>
  <c r="Z34" i="15"/>
  <c r="AO34" i="15" s="1"/>
  <c r="V34" i="15"/>
  <c r="AK34" i="15" s="1"/>
  <c r="T34" i="15"/>
  <c r="AI34" i="15" s="1"/>
  <c r="AD34" i="15"/>
  <c r="AS34" i="15" s="1"/>
  <c r="X34" i="15"/>
  <c r="AM34" i="15" s="1"/>
  <c r="AE34" i="15"/>
  <c r="AT34" i="15" s="1"/>
  <c r="AA34" i="15"/>
  <c r="AP34" i="15" s="1"/>
  <c r="AB34" i="15"/>
  <c r="AQ34" i="15" s="1"/>
  <c r="AF34" i="15"/>
  <c r="AU34" i="15" s="1"/>
  <c r="Y34" i="15"/>
  <c r="AN34" i="15" s="1"/>
  <c r="U34" i="15"/>
  <c r="AJ34" i="15" s="1"/>
  <c r="AG34" i="15"/>
  <c r="AV34" i="15" s="1"/>
  <c r="AC34" i="15"/>
  <c r="AR34" i="15" s="1"/>
  <c r="W34" i="15"/>
  <c r="AL34" i="15" s="1"/>
  <c r="AB84" i="15"/>
  <c r="AB85" i="15" s="1"/>
  <c r="AA17" i="15"/>
  <c r="W17" i="15"/>
  <c r="V17" i="15"/>
  <c r="AE17" i="15"/>
  <c r="Z17" i="15"/>
  <c r="X17" i="15"/>
  <c r="AG17" i="15"/>
  <c r="AB17" i="15"/>
  <c r="AF17" i="15"/>
  <c r="T17" i="15"/>
  <c r="Y17" i="15"/>
  <c r="AC17" i="15"/>
  <c r="AD17" i="15"/>
  <c r="U17" i="15"/>
  <c r="X11" i="15"/>
  <c r="Y11" i="15"/>
  <c r="AC11" i="15"/>
  <c r="AA11" i="15"/>
  <c r="AE11" i="15"/>
  <c r="W11" i="15"/>
  <c r="AF11" i="15"/>
  <c r="AG11" i="15"/>
  <c r="V11" i="15"/>
  <c r="Z11" i="15"/>
  <c r="T11" i="15"/>
  <c r="AD11" i="15"/>
  <c r="AB11" i="15"/>
  <c r="U11" i="15"/>
  <c r="AA33" i="15"/>
  <c r="AP33" i="15" s="1"/>
  <c r="AG33" i="15"/>
  <c r="AV33" i="15" s="1"/>
  <c r="AE33" i="15"/>
  <c r="AT33" i="15" s="1"/>
  <c r="AB33" i="15"/>
  <c r="AQ33" i="15" s="1"/>
  <c r="Y33" i="15"/>
  <c r="AN33" i="15" s="1"/>
  <c r="X33" i="15"/>
  <c r="AM33" i="15" s="1"/>
  <c r="Z33" i="15"/>
  <c r="AO33" i="15" s="1"/>
  <c r="W33" i="15"/>
  <c r="AL33" i="15" s="1"/>
  <c r="T33" i="15"/>
  <c r="AI33" i="15" s="1"/>
  <c r="U33" i="15"/>
  <c r="AJ33" i="15" s="1"/>
  <c r="AF33" i="15"/>
  <c r="AU33" i="15" s="1"/>
  <c r="AC33" i="15"/>
  <c r="AR33" i="15" s="1"/>
  <c r="AD33" i="15"/>
  <c r="AS33" i="15" s="1"/>
  <c r="V33" i="15"/>
  <c r="AK33" i="15" s="1"/>
  <c r="T32" i="15"/>
  <c r="AI32" i="15" s="1"/>
  <c r="AE32" i="15"/>
  <c r="AT32" i="15" s="1"/>
  <c r="AE24" i="15"/>
  <c r="AT24" i="15" s="1"/>
  <c r="V24" i="15"/>
  <c r="AK24" i="15" s="1"/>
  <c r="T24" i="15"/>
  <c r="AI24" i="15" s="1"/>
  <c r="AD24" i="15"/>
  <c r="AS24" i="15" s="1"/>
  <c r="AB24" i="15"/>
  <c r="AQ24" i="15" s="1"/>
  <c r="U24" i="15"/>
  <c r="AJ24" i="15" s="1"/>
  <c r="X24" i="15"/>
  <c r="AM24" i="15" s="1"/>
  <c r="AC24" i="15"/>
  <c r="AR24" i="15" s="1"/>
  <c r="AG24" i="15"/>
  <c r="AV24" i="15" s="1"/>
  <c r="Y24" i="15"/>
  <c r="AN24" i="15" s="1"/>
  <c r="Z24" i="15"/>
  <c r="AO24" i="15" s="1"/>
  <c r="AA24" i="15"/>
  <c r="AP24" i="15" s="1"/>
  <c r="AB28" i="15"/>
  <c r="AQ28" i="15" s="1"/>
  <c r="Y28" i="15"/>
  <c r="AN28" i="15" s="1"/>
  <c r="AA28" i="15"/>
  <c r="AP28" i="15" s="1"/>
  <c r="U28" i="15"/>
  <c r="AJ28" i="15" s="1"/>
  <c r="V28" i="15"/>
  <c r="AK28" i="15" s="1"/>
  <c r="W28" i="15"/>
  <c r="AL28" i="15" s="1"/>
  <c r="AG28" i="15"/>
  <c r="AV28" i="15" s="1"/>
  <c r="X28" i="15"/>
  <c r="AM28" i="15" s="1"/>
  <c r="AD28" i="15"/>
  <c r="AS28" i="15" s="1"/>
  <c r="AE28" i="15"/>
  <c r="AT28" i="15" s="1"/>
  <c r="T28" i="15"/>
  <c r="AI28" i="15" s="1"/>
  <c r="AC28" i="15"/>
  <c r="AR28" i="15" s="1"/>
  <c r="AF28" i="15"/>
  <c r="AU28" i="15" s="1"/>
  <c r="Z28" i="15"/>
  <c r="AO28" i="15" s="1"/>
  <c r="AA19" i="15"/>
  <c r="AP19" i="15" s="1"/>
  <c r="T19" i="15"/>
  <c r="AI19" i="15" s="1"/>
  <c r="Z19" i="15"/>
  <c r="AO19" i="15" s="1"/>
  <c r="AD19" i="15"/>
  <c r="AS19" i="15" s="1"/>
  <c r="Y19" i="15"/>
  <c r="AN19" i="15" s="1"/>
  <c r="U19" i="15"/>
  <c r="AJ19" i="15" s="1"/>
  <c r="AG19" i="15"/>
  <c r="AV19" i="15" s="1"/>
  <c r="AB19" i="15"/>
  <c r="AQ19" i="15" s="1"/>
  <c r="AC19" i="15"/>
  <c r="AR19" i="15" s="1"/>
  <c r="X19" i="15"/>
  <c r="AM19" i="15" s="1"/>
  <c r="W19" i="15"/>
  <c r="AL19" i="15" s="1"/>
  <c r="AF19" i="15"/>
  <c r="AU19" i="15" s="1"/>
  <c r="V19" i="15"/>
  <c r="AK19" i="15" s="1"/>
  <c r="AE19" i="15"/>
  <c r="AT19" i="15" s="1"/>
  <c r="Y84" i="15"/>
  <c r="Y85" i="15" s="1"/>
  <c r="AF32" i="15"/>
  <c r="AU32" i="15" s="1"/>
  <c r="W32" i="15"/>
  <c r="AL32" i="15" s="1"/>
  <c r="AD36" i="15"/>
  <c r="AS36" i="15" s="1"/>
  <c r="AB36" i="15"/>
  <c r="AQ36" i="15" s="1"/>
  <c r="AE36" i="15"/>
  <c r="AT36" i="15" s="1"/>
  <c r="AC36" i="15"/>
  <c r="AR36" i="15" s="1"/>
  <c r="Y36" i="15"/>
  <c r="AN36" i="15" s="1"/>
  <c r="U36" i="15"/>
  <c r="AJ36" i="15" s="1"/>
  <c r="AG36" i="15"/>
  <c r="AV36" i="15" s="1"/>
  <c r="X36" i="15"/>
  <c r="AM36" i="15" s="1"/>
  <c r="AA36" i="15"/>
  <c r="AP36" i="15" s="1"/>
  <c r="V36" i="15"/>
  <c r="AK36" i="15" s="1"/>
  <c r="W36" i="15"/>
  <c r="AL36" i="15" s="1"/>
  <c r="AF36" i="15"/>
  <c r="AU36" i="15" s="1"/>
  <c r="Z36" i="15"/>
  <c r="AO36" i="15" s="1"/>
  <c r="T36" i="15"/>
  <c r="AI36" i="15" s="1"/>
  <c r="AA25" i="15"/>
  <c r="AP25" i="15" s="1"/>
  <c r="AF25" i="15"/>
  <c r="AU25" i="15" s="1"/>
  <c r="T25" i="15"/>
  <c r="AI25" i="15" s="1"/>
  <c r="Y25" i="15"/>
  <c r="AN25" i="15" s="1"/>
  <c r="W25" i="15"/>
  <c r="AL25" i="15" s="1"/>
  <c r="AB25" i="15"/>
  <c r="AQ25" i="15" s="1"/>
  <c r="AC25" i="15"/>
  <c r="AR25" i="15" s="1"/>
  <c r="V25" i="15"/>
  <c r="AK25" i="15" s="1"/>
  <c r="U25" i="15"/>
  <c r="AJ25" i="15" s="1"/>
  <c r="AD25" i="15"/>
  <c r="AS25" i="15" s="1"/>
  <c r="AE25" i="15"/>
  <c r="AT25" i="15" s="1"/>
  <c r="X25" i="15"/>
  <c r="AM25" i="15" s="1"/>
  <c r="Z25" i="15"/>
  <c r="AO25" i="15" s="1"/>
  <c r="AG25" i="15"/>
  <c r="AV25" i="15" s="1"/>
  <c r="AA27" i="15"/>
  <c r="AP27" i="15" s="1"/>
  <c r="AB27" i="15"/>
  <c r="AQ27" i="15" s="1"/>
  <c r="U27" i="15"/>
  <c r="AJ27" i="15" s="1"/>
  <c r="AF27" i="15"/>
  <c r="AU27" i="15" s="1"/>
  <c r="AC27" i="15"/>
  <c r="AR27" i="15" s="1"/>
  <c r="T27" i="15"/>
  <c r="AI27" i="15" s="1"/>
  <c r="V27" i="15"/>
  <c r="AK27" i="15" s="1"/>
  <c r="AD27" i="15"/>
  <c r="AS27" i="15" s="1"/>
  <c r="Y27" i="15"/>
  <c r="AN27" i="15" s="1"/>
  <c r="Z27" i="15"/>
  <c r="AO27" i="15" s="1"/>
  <c r="W27" i="15"/>
  <c r="AL27" i="15" s="1"/>
  <c r="AG27" i="15"/>
  <c r="AV27" i="15" s="1"/>
  <c r="X27" i="15"/>
  <c r="AM27" i="15" s="1"/>
  <c r="AE27" i="15"/>
  <c r="AT27" i="15" s="1"/>
  <c r="Z10" i="15"/>
  <c r="U10" i="15"/>
  <c r="AA10" i="15"/>
  <c r="V10" i="15"/>
  <c r="X10" i="15"/>
  <c r="T10" i="15"/>
  <c r="AB10" i="15"/>
  <c r="Y10" i="15"/>
  <c r="W10" i="15"/>
  <c r="Z26" i="15"/>
  <c r="AO26" i="15" s="1"/>
  <c r="U26" i="15"/>
  <c r="AJ26" i="15" s="1"/>
  <c r="AG26" i="15"/>
  <c r="AV26" i="15" s="1"/>
  <c r="AC26" i="15"/>
  <c r="AR26" i="15" s="1"/>
  <c r="AA26" i="15"/>
  <c r="AP26" i="15" s="1"/>
  <c r="X26" i="15"/>
  <c r="AM26" i="15" s="1"/>
  <c r="AF26" i="15"/>
  <c r="AU26" i="15" s="1"/>
  <c r="AB26" i="15"/>
  <c r="AQ26" i="15" s="1"/>
  <c r="V26" i="15"/>
  <c r="AK26" i="15" s="1"/>
  <c r="AD26" i="15"/>
  <c r="AS26" i="15" s="1"/>
  <c r="W26" i="15"/>
  <c r="AL26" i="15" s="1"/>
  <c r="T26" i="15"/>
  <c r="AI26" i="15" s="1"/>
  <c r="AE26" i="15"/>
  <c r="AT26" i="15" s="1"/>
  <c r="Y26" i="15"/>
  <c r="AN26" i="15" s="1"/>
  <c r="AF8" i="15"/>
  <c r="W8" i="15"/>
  <c r="V8" i="15"/>
  <c r="AD8" i="15"/>
  <c r="X8" i="15"/>
  <c r="AC8" i="15"/>
  <c r="AA8" i="15"/>
  <c r="AG8" i="15"/>
  <c r="AB8" i="15"/>
  <c r="Z8" i="15"/>
  <c r="T8" i="15"/>
  <c r="U8" i="15"/>
  <c r="Y8" i="15"/>
  <c r="Z164" i="15" l="1"/>
  <c r="H166" i="15"/>
  <c r="E166" i="15"/>
  <c r="D167" i="15"/>
  <c r="L167" i="15" s="1"/>
  <c r="I166" i="15"/>
  <c r="M166" i="15"/>
  <c r="F166" i="15"/>
  <c r="L166" i="15"/>
  <c r="G166" i="15"/>
  <c r="T166" i="15"/>
  <c r="V40" i="15"/>
  <c r="U40" i="15"/>
  <c r="W40" i="15"/>
  <c r="V166" i="15"/>
  <c r="S167" i="15"/>
  <c r="AB167" i="15" s="1"/>
  <c r="Y40" i="15"/>
  <c r="AB166" i="15"/>
  <c r="X40" i="15"/>
  <c r="T40" i="15"/>
  <c r="AA40" i="15"/>
  <c r="U166" i="15"/>
  <c r="W166" i="15"/>
  <c r="X166" i="15"/>
  <c r="AB40" i="15"/>
  <c r="Z166" i="15"/>
  <c r="AA166" i="15"/>
  <c r="AB41" i="15"/>
  <c r="T41" i="15"/>
  <c r="AA41" i="15"/>
  <c r="V41" i="15"/>
  <c r="X41" i="15"/>
  <c r="U41" i="15"/>
  <c r="Y41" i="15"/>
  <c r="W41" i="15"/>
  <c r="Z85" i="15"/>
  <c r="Z41" i="15" s="1"/>
  <c r="E167" i="15"/>
  <c r="V43" i="15"/>
  <c r="Y43" i="15"/>
  <c r="U43" i="15"/>
  <c r="AB43" i="15"/>
  <c r="X43" i="15"/>
  <c r="T43" i="15"/>
  <c r="AA43" i="15"/>
  <c r="W43" i="15"/>
  <c r="S44" i="15"/>
  <c r="Z43" i="15"/>
  <c r="X167" i="15" l="1"/>
  <c r="Y167" i="15"/>
  <c r="W167" i="15"/>
  <c r="Z167" i="15"/>
  <c r="U167" i="15"/>
  <c r="V167" i="15"/>
  <c r="F167" i="15"/>
  <c r="M167" i="15"/>
  <c r="G167" i="15"/>
  <c r="J167" i="15"/>
  <c r="H167" i="15"/>
  <c r="I167" i="15"/>
  <c r="K167" i="15"/>
  <c r="T167" i="15"/>
  <c r="AA167" i="15"/>
  <c r="V44" i="15"/>
  <c r="AB44" i="15"/>
  <c r="Y44" i="15"/>
  <c r="U44" i="15"/>
  <c r="X44" i="15"/>
  <c r="T44" i="15"/>
  <c r="AA44" i="15"/>
  <c r="W44" i="15"/>
  <c r="Z44" i="15"/>
  <c r="AE247" i="15" l="1"/>
  <c r="AE206" i="15"/>
  <c r="AE165" i="15" s="1"/>
  <c r="AE217" i="15"/>
  <c r="AE176" i="15"/>
  <c r="AE215" i="15"/>
  <c r="AE174" i="15"/>
  <c r="AE133" i="15" s="1"/>
  <c r="AE214" i="15"/>
  <c r="AE173" i="15"/>
  <c r="M423" i="11"/>
  <c r="M419" i="11"/>
  <c r="AE124" i="15"/>
  <c r="AE83" i="15"/>
  <c r="AE96" i="15"/>
  <c r="AE55" i="15"/>
  <c r="AE14" i="15" s="1"/>
  <c r="AE94" i="15"/>
  <c r="AE53" i="15"/>
  <c r="AE92" i="15"/>
  <c r="AE51" i="15"/>
  <c r="AE91" i="15"/>
  <c r="AE50" i="15"/>
  <c r="M422" i="11"/>
  <c r="M421" i="11"/>
  <c r="P247" i="15"/>
  <c r="P206" i="15"/>
  <c r="P217" i="15"/>
  <c r="P176" i="15"/>
  <c r="P215" i="15"/>
  <c r="P174" i="15"/>
  <c r="P214" i="15"/>
  <c r="P173" i="15"/>
  <c r="M410" i="11"/>
  <c r="P124" i="15"/>
  <c r="P83" i="15"/>
  <c r="P96" i="15"/>
  <c r="P55" i="15"/>
  <c r="P94" i="15"/>
  <c r="P53" i="15"/>
  <c r="P92" i="15"/>
  <c r="P51" i="15"/>
  <c r="P91" i="15"/>
  <c r="P50" i="15"/>
  <c r="M409" i="11"/>
  <c r="M408" i="11"/>
  <c r="M425" i="11" l="1"/>
  <c r="AF96" i="15"/>
  <c r="AC83" i="15"/>
  <c r="AC50" i="15"/>
  <c r="AC124" i="15"/>
  <c r="M406" i="11"/>
  <c r="C406" i="11"/>
  <c r="M412" i="11"/>
  <c r="N55" i="15"/>
  <c r="P165" i="15"/>
  <c r="P133" i="15"/>
  <c r="N96" i="15"/>
  <c r="P135" i="15"/>
  <c r="Q176" i="15"/>
  <c r="AE42" i="15"/>
  <c r="AE12" i="15"/>
  <c r="AF215" i="15"/>
  <c r="AE132" i="15"/>
  <c r="AE207" i="15"/>
  <c r="AE208" i="15"/>
  <c r="AE135" i="15"/>
  <c r="AE248" i="15"/>
  <c r="AE249" i="15"/>
  <c r="C423" i="11"/>
  <c r="AC174" i="15"/>
  <c r="AC176" i="15"/>
  <c r="AC206" i="15"/>
  <c r="AC247" i="15"/>
  <c r="AC173" i="15"/>
  <c r="AC215" i="15"/>
  <c r="AC214" i="15"/>
  <c r="C419" i="11"/>
  <c r="AC217" i="15"/>
  <c r="P207" i="15"/>
  <c r="P132" i="15"/>
  <c r="P208" i="15"/>
  <c r="P248" i="15"/>
  <c r="P249" i="15"/>
  <c r="O174" i="15"/>
  <c r="C410" i="11"/>
  <c r="N173" i="15"/>
  <c r="N215" i="15"/>
  <c r="N217" i="15"/>
  <c r="N214" i="15"/>
  <c r="N247" i="15"/>
  <c r="N174" i="15"/>
  <c r="N176" i="15"/>
  <c r="N206" i="15"/>
  <c r="AE84" i="15"/>
  <c r="AE9" i="15"/>
  <c r="AE85" i="15"/>
  <c r="AE125" i="15"/>
  <c r="AE126" i="15"/>
  <c r="AE10" i="15"/>
  <c r="AC53" i="15"/>
  <c r="AF50" i="15"/>
  <c r="AC91" i="15"/>
  <c r="AC9" i="15" s="1"/>
  <c r="AC96" i="15"/>
  <c r="AC94" i="15"/>
  <c r="AC51" i="15"/>
  <c r="C421" i="11"/>
  <c r="AC92" i="15"/>
  <c r="AC55" i="15"/>
  <c r="C408" i="11"/>
  <c r="P125" i="15"/>
  <c r="P126" i="15"/>
  <c r="N53" i="15"/>
  <c r="N50" i="15"/>
  <c r="N94" i="15"/>
  <c r="N83" i="15"/>
  <c r="N91" i="15"/>
  <c r="N92" i="15"/>
  <c r="C409" i="11"/>
  <c r="N51" i="15"/>
  <c r="N124" i="15"/>
  <c r="AE164" i="15" l="1"/>
  <c r="AE163" i="15"/>
  <c r="AE41" i="15"/>
  <c r="AE40" i="15"/>
  <c r="P164" i="15"/>
  <c r="AT164" i="15" s="1"/>
  <c r="P163" i="15"/>
  <c r="AT163" i="15" s="1"/>
  <c r="D53" i="14"/>
  <c r="J53" i="14"/>
  <c r="O53" i="14"/>
  <c r="J54" i="14"/>
  <c r="D61" i="14"/>
  <c r="J61" i="14"/>
  <c r="O61" i="14"/>
  <c r="C412" i="11"/>
  <c r="C7" i="11" s="1"/>
  <c r="AD55" i="15"/>
  <c r="AD124" i="15"/>
  <c r="AC42" i="15"/>
  <c r="D20" i="14"/>
  <c r="C422" i="11"/>
  <c r="C425" i="11" s="1"/>
  <c r="D7" i="11" s="1"/>
  <c r="AD92" i="15"/>
  <c r="AD83" i="15"/>
  <c r="C30" i="14"/>
  <c r="H30" i="14" s="1"/>
  <c r="O206" i="15"/>
  <c r="O94" i="15"/>
  <c r="R51" i="15"/>
  <c r="O51" i="15"/>
  <c r="N135" i="15"/>
  <c r="N165" i="15"/>
  <c r="Q124" i="15"/>
  <c r="AE167" i="15"/>
  <c r="AC165" i="15"/>
  <c r="AE166" i="15"/>
  <c r="AD206" i="15"/>
  <c r="AD215" i="15"/>
  <c r="AF247" i="15"/>
  <c r="AC84" i="15"/>
  <c r="AC40" i="15" s="1"/>
  <c r="AD247" i="15"/>
  <c r="AD176" i="15"/>
  <c r="AC133" i="15"/>
  <c r="D22" i="14"/>
  <c r="AF176" i="15"/>
  <c r="AD174" i="15"/>
  <c r="AD133" i="15" s="1"/>
  <c r="AF214" i="15"/>
  <c r="AC248" i="15"/>
  <c r="AC249" i="15"/>
  <c r="AC207" i="15"/>
  <c r="AC163" i="15" s="1"/>
  <c r="AC132" i="15"/>
  <c r="AC208" i="15"/>
  <c r="AF174" i="15"/>
  <c r="AF133" i="15" s="1"/>
  <c r="AD217" i="15"/>
  <c r="AF173" i="15"/>
  <c r="AD42" i="15"/>
  <c r="AD214" i="15"/>
  <c r="AD173" i="15"/>
  <c r="AF217" i="15"/>
  <c r="AF206" i="15"/>
  <c r="AC135" i="15"/>
  <c r="D23" i="14"/>
  <c r="P167" i="15"/>
  <c r="P166" i="15"/>
  <c r="O217" i="15"/>
  <c r="N132" i="15"/>
  <c r="N207" i="15"/>
  <c r="N208" i="15"/>
  <c r="O176" i="15"/>
  <c r="Q247" i="15"/>
  <c r="O215" i="15"/>
  <c r="O133" i="15" s="1"/>
  <c r="N133" i="15"/>
  <c r="N248" i="15"/>
  <c r="N249" i="15"/>
  <c r="Q173" i="15"/>
  <c r="R206" i="15"/>
  <c r="Q174" i="15"/>
  <c r="O173" i="15"/>
  <c r="Q217" i="15"/>
  <c r="Q135" i="15" s="1"/>
  <c r="Q214" i="15"/>
  <c r="Q215" i="15"/>
  <c r="C22" i="14"/>
  <c r="H22" i="14" s="1"/>
  <c r="O247" i="15"/>
  <c r="Q206" i="15"/>
  <c r="O214" i="15"/>
  <c r="C23" i="14"/>
  <c r="H23" i="14" s="1"/>
  <c r="R174" i="15"/>
  <c r="AC85" i="15"/>
  <c r="AE44" i="15"/>
  <c r="AE43" i="15"/>
  <c r="AG92" i="15"/>
  <c r="AG124" i="15"/>
  <c r="AC125" i="15"/>
  <c r="AC126" i="15"/>
  <c r="AF53" i="15"/>
  <c r="AD51" i="15"/>
  <c r="AD10" i="15" s="1"/>
  <c r="AF91" i="15"/>
  <c r="AF83" i="15"/>
  <c r="AF124" i="15"/>
  <c r="D19" i="14"/>
  <c r="AD96" i="15"/>
  <c r="AD14" i="15" s="1"/>
  <c r="AD91" i="15"/>
  <c r="AC14" i="15"/>
  <c r="AF55" i="15"/>
  <c r="AF14" i="15" s="1"/>
  <c r="AF94" i="15"/>
  <c r="AD94" i="15"/>
  <c r="AG55" i="15"/>
  <c r="AD50" i="15"/>
  <c r="AC12" i="15"/>
  <c r="D30" i="14"/>
  <c r="AF92" i="15"/>
  <c r="AC10" i="15"/>
  <c r="AD53" i="15"/>
  <c r="AD12" i="15" s="1"/>
  <c r="AF51" i="15"/>
  <c r="AG83" i="15"/>
  <c r="AG42" i="15" s="1"/>
  <c r="Q96" i="15"/>
  <c r="Q53" i="15"/>
  <c r="O92" i="15"/>
  <c r="Q51" i="15"/>
  <c r="O55" i="15"/>
  <c r="O53" i="15"/>
  <c r="R94" i="15"/>
  <c r="Q50" i="15"/>
  <c r="Q83" i="15"/>
  <c r="N125" i="15"/>
  <c r="N126" i="15"/>
  <c r="Q92" i="15"/>
  <c r="Q55" i="15"/>
  <c r="O91" i="15"/>
  <c r="Q94" i="15"/>
  <c r="O124" i="15"/>
  <c r="Q91" i="15"/>
  <c r="O96" i="15"/>
  <c r="C20" i="14"/>
  <c r="O63" i="14"/>
  <c r="O83" i="15"/>
  <c r="O50" i="15"/>
  <c r="AQ223" i="15"/>
  <c r="AI223" i="15"/>
  <c r="AP223" i="15"/>
  <c r="AH223" i="15"/>
  <c r="AO223" i="15"/>
  <c r="AV223" i="15"/>
  <c r="AN223" i="15"/>
  <c r="AU223" i="15"/>
  <c r="AM223" i="15"/>
  <c r="AT223" i="15"/>
  <c r="AL223" i="15"/>
  <c r="AS223" i="15"/>
  <c r="AK223" i="15"/>
  <c r="AR223" i="15"/>
  <c r="AJ223" i="15"/>
  <c r="AO264" i="15"/>
  <c r="AV264" i="15"/>
  <c r="AN264" i="15"/>
  <c r="AU264" i="15"/>
  <c r="AM264" i="15"/>
  <c r="AT264" i="15"/>
  <c r="AL264" i="15"/>
  <c r="AS264" i="15"/>
  <c r="AK264" i="15"/>
  <c r="AR264" i="15"/>
  <c r="AJ264" i="15"/>
  <c r="AQ264" i="15"/>
  <c r="AI264" i="15"/>
  <c r="AP264" i="15"/>
  <c r="AH264" i="15"/>
  <c r="AS182" i="15"/>
  <c r="AK182" i="15"/>
  <c r="AR182" i="15"/>
  <c r="AJ182" i="15"/>
  <c r="AQ182" i="15"/>
  <c r="AI182" i="15"/>
  <c r="AP182" i="15"/>
  <c r="AH182" i="15"/>
  <c r="AO182" i="15"/>
  <c r="AV182" i="15"/>
  <c r="AN182" i="15"/>
  <c r="AU182" i="15"/>
  <c r="AM182" i="15"/>
  <c r="AT182" i="15"/>
  <c r="AL182" i="15"/>
  <c r="AS100" i="15"/>
  <c r="AK100" i="15"/>
  <c r="AR100" i="15"/>
  <c r="AJ100" i="15"/>
  <c r="AQ100" i="15"/>
  <c r="AI100" i="15"/>
  <c r="AP100" i="15"/>
  <c r="AH100" i="15"/>
  <c r="AO100" i="15"/>
  <c r="AV100" i="15"/>
  <c r="AN100" i="15"/>
  <c r="AL100" i="15"/>
  <c r="AM100" i="15"/>
  <c r="AU100" i="15"/>
  <c r="AT100" i="15"/>
  <c r="AU59" i="15"/>
  <c r="AM59" i="15"/>
  <c r="AT59" i="15"/>
  <c r="AL59" i="15"/>
  <c r="AR59" i="15"/>
  <c r="AJ59" i="15"/>
  <c r="AQ59" i="15"/>
  <c r="AI59" i="15"/>
  <c r="AP59" i="15"/>
  <c r="AO59" i="15"/>
  <c r="AN59" i="15"/>
  <c r="AK59" i="15"/>
  <c r="AH59" i="15"/>
  <c r="AS59" i="15"/>
  <c r="AV59" i="15"/>
  <c r="D18" i="15"/>
  <c r="L18" i="15" s="1"/>
  <c r="AC43" i="15" l="1"/>
  <c r="AC41" i="15"/>
  <c r="AC167" i="15"/>
  <c r="AC164" i="15"/>
  <c r="N164" i="15"/>
  <c r="AR164" i="15" s="1"/>
  <c r="N163" i="15"/>
  <c r="AR163" i="15" s="1"/>
  <c r="O54" i="14"/>
  <c r="C18" i="14"/>
  <c r="H18" i="14" s="1"/>
  <c r="H20" i="14"/>
  <c r="I30" i="14"/>
  <c r="J30" i="14" s="1"/>
  <c r="E30" i="14"/>
  <c r="O62" i="14"/>
  <c r="E19" i="14"/>
  <c r="I19" i="14"/>
  <c r="J19" i="14" s="1"/>
  <c r="D54" i="14"/>
  <c r="J62" i="14"/>
  <c r="D62" i="14"/>
  <c r="E22" i="14"/>
  <c r="I22" i="14"/>
  <c r="J22" i="14" s="1"/>
  <c r="E20" i="14"/>
  <c r="I20" i="14"/>
  <c r="E23" i="14"/>
  <c r="I23" i="14"/>
  <c r="J23" i="14" s="1"/>
  <c r="J63" i="14"/>
  <c r="D63" i="14"/>
  <c r="K12" i="11"/>
  <c r="M12" i="11"/>
  <c r="I12" i="11"/>
  <c r="L12" i="11"/>
  <c r="F21" i="11"/>
  <c r="AF165" i="15"/>
  <c r="H21" i="11"/>
  <c r="C12" i="11"/>
  <c r="E21" i="11"/>
  <c r="C21" i="11"/>
  <c r="E12" i="11"/>
  <c r="F12" i="11"/>
  <c r="G12" i="11"/>
  <c r="O165" i="15"/>
  <c r="Q165" i="15"/>
  <c r="AD165" i="15"/>
  <c r="AC44" i="15"/>
  <c r="AG173" i="15"/>
  <c r="D34" i="14"/>
  <c r="AG174" i="15"/>
  <c r="AD248" i="15"/>
  <c r="AD249" i="15"/>
  <c r="D21" i="14"/>
  <c r="AG247" i="15"/>
  <c r="AG217" i="15"/>
  <c r="AG214" i="15"/>
  <c r="AC166" i="15"/>
  <c r="AF135" i="15"/>
  <c r="AG176" i="15"/>
  <c r="AG215" i="15"/>
  <c r="AF132" i="15"/>
  <c r="AF207" i="15"/>
  <c r="AF208" i="15"/>
  <c r="AD135" i="15"/>
  <c r="AD132" i="15"/>
  <c r="AD207" i="15"/>
  <c r="AD208" i="15"/>
  <c r="AF248" i="15"/>
  <c r="AF249" i="15"/>
  <c r="D33" i="14"/>
  <c r="AG206" i="15"/>
  <c r="C21" i="14"/>
  <c r="Q248" i="15"/>
  <c r="Q249" i="15"/>
  <c r="Q133" i="15"/>
  <c r="R247" i="15"/>
  <c r="R165" i="15" s="1"/>
  <c r="C33" i="14"/>
  <c r="H33" i="14" s="1"/>
  <c r="O248" i="15"/>
  <c r="O249" i="15"/>
  <c r="O135" i="15"/>
  <c r="R217" i="15"/>
  <c r="R214" i="15"/>
  <c r="O207" i="15"/>
  <c r="O132" i="15"/>
  <c r="O208" i="15"/>
  <c r="R176" i="15"/>
  <c r="R215" i="15"/>
  <c r="R133" i="15" s="1"/>
  <c r="N167" i="15"/>
  <c r="R173" i="15"/>
  <c r="Q132" i="15"/>
  <c r="Q207" i="15"/>
  <c r="Q208" i="15"/>
  <c r="N166" i="15"/>
  <c r="C34" i="14"/>
  <c r="H34" i="14" s="1"/>
  <c r="AF84" i="15"/>
  <c r="AD125" i="15"/>
  <c r="AD126" i="15"/>
  <c r="D18" i="14"/>
  <c r="AF42" i="15"/>
  <c r="AG91" i="15"/>
  <c r="AF85" i="15"/>
  <c r="D31" i="14"/>
  <c r="D64" i="14"/>
  <c r="AG94" i="15"/>
  <c r="AF125" i="15"/>
  <c r="AF43" i="15" s="1"/>
  <c r="AF126" i="15"/>
  <c r="AG53" i="15"/>
  <c r="AG96" i="15"/>
  <c r="AG14" i="15" s="1"/>
  <c r="AF9" i="15"/>
  <c r="AG50" i="15"/>
  <c r="AG51" i="15"/>
  <c r="AG10" i="15" s="1"/>
  <c r="AF10" i="15"/>
  <c r="AD84" i="15"/>
  <c r="AD9" i="15"/>
  <c r="AD85" i="15"/>
  <c r="AF12" i="15"/>
  <c r="Q125" i="15"/>
  <c r="Q126" i="15"/>
  <c r="R92" i="15"/>
  <c r="R124" i="15"/>
  <c r="R53" i="15"/>
  <c r="R83" i="15"/>
  <c r="R50" i="15"/>
  <c r="R55" i="15"/>
  <c r="R96" i="15"/>
  <c r="C31" i="14"/>
  <c r="O125" i="15"/>
  <c r="O126" i="15"/>
  <c r="R91" i="15"/>
  <c r="J18" i="15"/>
  <c r="AN18" i="15"/>
  <c r="AP18" i="15"/>
  <c r="AH18" i="15"/>
  <c r="AU141" i="15"/>
  <c r="AT141" i="15"/>
  <c r="AQ141" i="15"/>
  <c r="AI141" i="15"/>
  <c r="AP141" i="15"/>
  <c r="AH141" i="15"/>
  <c r="AO141" i="15"/>
  <c r="AN141" i="15"/>
  <c r="AM141" i="15"/>
  <c r="AV141" i="15"/>
  <c r="AL141" i="15"/>
  <c r="AS141" i="15"/>
  <c r="AK141" i="15"/>
  <c r="AR141" i="15"/>
  <c r="AJ141" i="15"/>
  <c r="F18" i="15"/>
  <c r="AJ18" i="15" s="1"/>
  <c r="K18" i="15"/>
  <c r="AO18" i="15" s="1"/>
  <c r="M18" i="15"/>
  <c r="AQ18" i="15" s="1"/>
  <c r="R18" i="15"/>
  <c r="AV18" i="15" s="1"/>
  <c r="E18" i="15"/>
  <c r="AI18" i="15" s="1"/>
  <c r="N18" i="15"/>
  <c r="AR18" i="15" s="1"/>
  <c r="I18" i="15"/>
  <c r="AM18" i="15" s="1"/>
  <c r="H18" i="15"/>
  <c r="AL18" i="15" s="1"/>
  <c r="G18" i="15"/>
  <c r="AK18" i="15" s="1"/>
  <c r="Q18" i="15"/>
  <c r="AU18" i="15" s="1"/>
  <c r="P18" i="15"/>
  <c r="AT18" i="15" s="1"/>
  <c r="O18" i="15"/>
  <c r="AS18" i="15" s="1"/>
  <c r="AF41" i="15" l="1"/>
  <c r="AF164" i="15"/>
  <c r="AF163" i="15"/>
  <c r="O163" i="15"/>
  <c r="AS163" i="15" s="1"/>
  <c r="O164" i="15"/>
  <c r="AS164" i="15" s="1"/>
  <c r="AD164" i="15"/>
  <c r="AD163" i="15"/>
  <c r="AF40" i="15"/>
  <c r="AD44" i="15"/>
  <c r="AD41" i="15"/>
  <c r="AD40" i="15"/>
  <c r="Q163" i="15"/>
  <c r="AU163" i="15" s="1"/>
  <c r="Q164" i="15"/>
  <c r="AU164" i="15" s="1"/>
  <c r="O65" i="14"/>
  <c r="E33" i="14"/>
  <c r="I33" i="14"/>
  <c r="J33" i="14" s="1"/>
  <c r="I21" i="14"/>
  <c r="E21" i="14"/>
  <c r="J64" i="14"/>
  <c r="I31" i="14"/>
  <c r="E31" i="14"/>
  <c r="C29" i="14"/>
  <c r="H29" i="14" s="1"/>
  <c r="H31" i="14"/>
  <c r="C25" i="14"/>
  <c r="H25" i="14" s="1"/>
  <c r="H21" i="14"/>
  <c r="J20" i="14"/>
  <c r="D65" i="14"/>
  <c r="I18" i="14"/>
  <c r="J18" i="14" s="1"/>
  <c r="E18" i="14"/>
  <c r="I34" i="14"/>
  <c r="J34" i="14" s="1"/>
  <c r="E34" i="14"/>
  <c r="O64" i="14"/>
  <c r="J65" i="14"/>
  <c r="D3" i="26"/>
  <c r="D3" i="25"/>
  <c r="AD166" i="15"/>
  <c r="M3" i="23"/>
  <c r="M3" i="24"/>
  <c r="AG135" i="15"/>
  <c r="R135" i="15"/>
  <c r="Q166" i="15"/>
  <c r="Q167" i="15"/>
  <c r="O166" i="15"/>
  <c r="AD167" i="15"/>
  <c r="AD43" i="15"/>
  <c r="D32" i="14"/>
  <c r="AF167" i="15"/>
  <c r="AG165" i="15"/>
  <c r="AF166" i="15"/>
  <c r="AG248" i="15"/>
  <c r="AG249" i="15"/>
  <c r="AG132" i="15"/>
  <c r="AG207" i="15"/>
  <c r="AG208" i="15"/>
  <c r="AG133" i="15"/>
  <c r="O167" i="15"/>
  <c r="R207" i="15"/>
  <c r="R132" i="15"/>
  <c r="R208" i="15"/>
  <c r="R248" i="15"/>
  <c r="R249" i="15"/>
  <c r="C32" i="14"/>
  <c r="AG12" i="15"/>
  <c r="AG84" i="15"/>
  <c r="AG9" i="15"/>
  <c r="AG85" i="15"/>
  <c r="D25" i="14"/>
  <c r="AF44" i="15"/>
  <c r="AG125" i="15"/>
  <c r="AG126" i="15"/>
  <c r="D29" i="14"/>
  <c r="R125" i="15"/>
  <c r="R126" i="15"/>
  <c r="AO53" i="15"/>
  <c r="AV53" i="15"/>
  <c r="AN53" i="15"/>
  <c r="AT53" i="15"/>
  <c r="AL53" i="15"/>
  <c r="AS53" i="15"/>
  <c r="AK53" i="15"/>
  <c r="AJ53" i="15"/>
  <c r="AI53" i="15"/>
  <c r="AH53" i="15"/>
  <c r="AU53" i="15"/>
  <c r="AR53" i="15"/>
  <c r="AQ53" i="15"/>
  <c r="AP53" i="15"/>
  <c r="AM53" i="15"/>
  <c r="AR173" i="15"/>
  <c r="AJ173" i="15"/>
  <c r="AQ173" i="15"/>
  <c r="AI173" i="15"/>
  <c r="AO173" i="15"/>
  <c r="AV173" i="15"/>
  <c r="AN173" i="15"/>
  <c r="AT173" i="15"/>
  <c r="AL173" i="15"/>
  <c r="AK173" i="15"/>
  <c r="AH173" i="15"/>
  <c r="AU173" i="15"/>
  <c r="AS173" i="15"/>
  <c r="AP173" i="15"/>
  <c r="AM173" i="15"/>
  <c r="AR181" i="15"/>
  <c r="AJ181" i="15"/>
  <c r="AQ181" i="15"/>
  <c r="AI181" i="15"/>
  <c r="AP181" i="15"/>
  <c r="AH181" i="15"/>
  <c r="AO181" i="15"/>
  <c r="AV181" i="15"/>
  <c r="AN181" i="15"/>
  <c r="AU181" i="15"/>
  <c r="AM181" i="15"/>
  <c r="AT181" i="15"/>
  <c r="AL181" i="15"/>
  <c r="AS181" i="15"/>
  <c r="AK181" i="15"/>
  <c r="AU219" i="15"/>
  <c r="AM219" i="15"/>
  <c r="AT219" i="15"/>
  <c r="AL219" i="15"/>
  <c r="AS219" i="15"/>
  <c r="AK219" i="15"/>
  <c r="AR219" i="15"/>
  <c r="AJ219" i="15"/>
  <c r="AQ219" i="15"/>
  <c r="AI219" i="15"/>
  <c r="AP219" i="15"/>
  <c r="AH219" i="15"/>
  <c r="AO219" i="15"/>
  <c r="AV219" i="15"/>
  <c r="AN219" i="15"/>
  <c r="AR247" i="15"/>
  <c r="AJ247" i="15"/>
  <c r="AQ247" i="15"/>
  <c r="AI247" i="15"/>
  <c r="AP247" i="15"/>
  <c r="AH247" i="15"/>
  <c r="AO247" i="15"/>
  <c r="AV247" i="15"/>
  <c r="AN247" i="15"/>
  <c r="AU247" i="15"/>
  <c r="AM247" i="15"/>
  <c r="AT247" i="15"/>
  <c r="AL247" i="15"/>
  <c r="AS247" i="15"/>
  <c r="AK247" i="15"/>
  <c r="AP257" i="15"/>
  <c r="AH257" i="15"/>
  <c r="AO257" i="15"/>
  <c r="AV257" i="15"/>
  <c r="AN257" i="15"/>
  <c r="AU257" i="15"/>
  <c r="AM257" i="15"/>
  <c r="AT257" i="15"/>
  <c r="AL257" i="15"/>
  <c r="AS257" i="15"/>
  <c r="AK257" i="15"/>
  <c r="AR257" i="15"/>
  <c r="AJ257" i="15"/>
  <c r="AI257" i="15"/>
  <c r="AQ257" i="15"/>
  <c r="AT261" i="15"/>
  <c r="AL261" i="15"/>
  <c r="AS261" i="15"/>
  <c r="AK261" i="15"/>
  <c r="AR261" i="15"/>
  <c r="AJ261" i="15"/>
  <c r="AQ261" i="15"/>
  <c r="AI261" i="15"/>
  <c r="AP261" i="15"/>
  <c r="AH261" i="15"/>
  <c r="AO261" i="15"/>
  <c r="AV261" i="15"/>
  <c r="AN261" i="15"/>
  <c r="AM261" i="15"/>
  <c r="AU261" i="15"/>
  <c r="AO96" i="15"/>
  <c r="AV96" i="15"/>
  <c r="AN96" i="15"/>
  <c r="AU96" i="15"/>
  <c r="AM96" i="15"/>
  <c r="AT96" i="15"/>
  <c r="AL96" i="15"/>
  <c r="AS96" i="15"/>
  <c r="AK96" i="15"/>
  <c r="AR96" i="15"/>
  <c r="AJ96" i="15"/>
  <c r="AH96" i="15"/>
  <c r="AI96" i="15"/>
  <c r="AQ96" i="15"/>
  <c r="AP96" i="15"/>
  <c r="AV177" i="15"/>
  <c r="AN177" i="15"/>
  <c r="AU177" i="15"/>
  <c r="AM177" i="15"/>
  <c r="AS177" i="15"/>
  <c r="AK177" i="15"/>
  <c r="AR177" i="15"/>
  <c r="AJ177" i="15"/>
  <c r="AQ177" i="15"/>
  <c r="AI177" i="15"/>
  <c r="AP177" i="15"/>
  <c r="AH177" i="15"/>
  <c r="AT177" i="15"/>
  <c r="AO177" i="15"/>
  <c r="AL177" i="15"/>
  <c r="AQ215" i="15"/>
  <c r="AI215" i="15"/>
  <c r="AP215" i="15"/>
  <c r="AH215" i="15"/>
  <c r="AO215" i="15"/>
  <c r="AV215" i="15"/>
  <c r="AN215" i="15"/>
  <c r="AU215" i="15"/>
  <c r="AM215" i="15"/>
  <c r="AT215" i="15"/>
  <c r="AL215" i="15"/>
  <c r="AS215" i="15"/>
  <c r="AK215" i="15"/>
  <c r="AR215" i="15"/>
  <c r="AJ215" i="15"/>
  <c r="AP54" i="15"/>
  <c r="AH54" i="15"/>
  <c r="AO54" i="15"/>
  <c r="AU54" i="15"/>
  <c r="AM54" i="15"/>
  <c r="AT54" i="15"/>
  <c r="AL54" i="15"/>
  <c r="AK54" i="15"/>
  <c r="AJ54" i="15"/>
  <c r="AI54" i="15"/>
  <c r="AV54" i="15"/>
  <c r="AS54" i="15"/>
  <c r="AR54" i="15"/>
  <c r="AN54" i="15"/>
  <c r="AQ54" i="15"/>
  <c r="AP97" i="15"/>
  <c r="AH97" i="15"/>
  <c r="AO97" i="15"/>
  <c r="AV97" i="15"/>
  <c r="AN97" i="15"/>
  <c r="AU97" i="15"/>
  <c r="AM97" i="15"/>
  <c r="AT97" i="15"/>
  <c r="AL97" i="15"/>
  <c r="AS97" i="15"/>
  <c r="AK97" i="15"/>
  <c r="AR97" i="15"/>
  <c r="AQ97" i="15"/>
  <c r="AJ97" i="15"/>
  <c r="AI97" i="15"/>
  <c r="AV95" i="15"/>
  <c r="AN95" i="15"/>
  <c r="AU95" i="15"/>
  <c r="AM95" i="15"/>
  <c r="AS95" i="15"/>
  <c r="AK95" i="15"/>
  <c r="AR95" i="15"/>
  <c r="AJ95" i="15"/>
  <c r="AQ95" i="15"/>
  <c r="AI95" i="15"/>
  <c r="AT95" i="15"/>
  <c r="AP95" i="15"/>
  <c r="AO95" i="15"/>
  <c r="AL95" i="15"/>
  <c r="AH95" i="15"/>
  <c r="AQ90" i="15"/>
  <c r="AI90" i="15"/>
  <c r="AP90" i="15"/>
  <c r="AH90" i="15"/>
  <c r="AV90" i="15"/>
  <c r="AN90" i="15"/>
  <c r="AU90" i="15"/>
  <c r="AM90" i="15"/>
  <c r="AT90" i="15"/>
  <c r="AS90" i="15"/>
  <c r="AR90" i="15"/>
  <c r="AO90" i="15"/>
  <c r="AL90" i="15"/>
  <c r="AK90" i="15"/>
  <c r="AJ90" i="15"/>
  <c r="AS174" i="15"/>
  <c r="AK174" i="15"/>
  <c r="AR174" i="15"/>
  <c r="AJ174" i="15"/>
  <c r="AP174" i="15"/>
  <c r="AH174" i="15"/>
  <c r="AO174" i="15"/>
  <c r="AU174" i="15"/>
  <c r="AM174" i="15"/>
  <c r="AQ174" i="15"/>
  <c r="AN174" i="15"/>
  <c r="AL174" i="15"/>
  <c r="AI174" i="15"/>
  <c r="AV174" i="15"/>
  <c r="AT174" i="15"/>
  <c r="AT206" i="15"/>
  <c r="AL206" i="15"/>
  <c r="AS206" i="15"/>
  <c r="AK206" i="15"/>
  <c r="AR206" i="15"/>
  <c r="AJ206" i="15"/>
  <c r="AQ206" i="15"/>
  <c r="AI206" i="15"/>
  <c r="AP206" i="15"/>
  <c r="AH206" i="15"/>
  <c r="AO206" i="15"/>
  <c r="AV206" i="15"/>
  <c r="AN206" i="15"/>
  <c r="AU206" i="15"/>
  <c r="AM206" i="15"/>
  <c r="AR216" i="15"/>
  <c r="AJ216" i="15"/>
  <c r="AQ216" i="15"/>
  <c r="AI216" i="15"/>
  <c r="AP216" i="15"/>
  <c r="AH216" i="15"/>
  <c r="AO216" i="15"/>
  <c r="AV216" i="15"/>
  <c r="AN216" i="15"/>
  <c r="AU216" i="15"/>
  <c r="AM216" i="15"/>
  <c r="AT216" i="15"/>
  <c r="AL216" i="15"/>
  <c r="AS216" i="15"/>
  <c r="AK216" i="15"/>
  <c r="AV220" i="15"/>
  <c r="AN220" i="15"/>
  <c r="AU220" i="15"/>
  <c r="AM220" i="15"/>
  <c r="AT220" i="15"/>
  <c r="AL220" i="15"/>
  <c r="AS220" i="15"/>
  <c r="AK220" i="15"/>
  <c r="AR220" i="15"/>
  <c r="AJ220" i="15"/>
  <c r="AQ220" i="15"/>
  <c r="AI220" i="15"/>
  <c r="AP220" i="15"/>
  <c r="AH220" i="15"/>
  <c r="AO220" i="15"/>
  <c r="AU254" i="15"/>
  <c r="AM254" i="15"/>
  <c r="AT254" i="15"/>
  <c r="AL254" i="15"/>
  <c r="AS254" i="15"/>
  <c r="AK254" i="15"/>
  <c r="AR254" i="15"/>
  <c r="AJ254" i="15"/>
  <c r="AQ254" i="15"/>
  <c r="AI254" i="15"/>
  <c r="AP254" i="15"/>
  <c r="AH254" i="15"/>
  <c r="AO254" i="15"/>
  <c r="AV254" i="15"/>
  <c r="AN254" i="15"/>
  <c r="AQ258" i="15"/>
  <c r="AI258" i="15"/>
  <c r="AP258" i="15"/>
  <c r="AH258" i="15"/>
  <c r="AO258" i="15"/>
  <c r="AV258" i="15"/>
  <c r="AN258" i="15"/>
  <c r="AU258" i="15"/>
  <c r="AM258" i="15"/>
  <c r="AT258" i="15"/>
  <c r="AL258" i="15"/>
  <c r="AS258" i="15"/>
  <c r="AK258" i="15"/>
  <c r="AR258" i="15"/>
  <c r="AJ258" i="15"/>
  <c r="AU262" i="15"/>
  <c r="AM262" i="15"/>
  <c r="AT262" i="15"/>
  <c r="AL262" i="15"/>
  <c r="AS262" i="15"/>
  <c r="AK262" i="15"/>
  <c r="AR262" i="15"/>
  <c r="AJ262" i="15"/>
  <c r="AQ262" i="15"/>
  <c r="AI262" i="15"/>
  <c r="AP262" i="15"/>
  <c r="AH262" i="15"/>
  <c r="AO262" i="15"/>
  <c r="AV262" i="15"/>
  <c r="AN262" i="15"/>
  <c r="AQ55" i="15"/>
  <c r="AI55" i="15"/>
  <c r="AP55" i="15"/>
  <c r="AH55" i="15"/>
  <c r="AV55" i="15"/>
  <c r="AN55" i="15"/>
  <c r="AU55" i="15"/>
  <c r="AM55" i="15"/>
  <c r="AL55" i="15"/>
  <c r="AO55" i="15"/>
  <c r="AK55" i="15"/>
  <c r="AJ55" i="15"/>
  <c r="AT55" i="15"/>
  <c r="AS55" i="15"/>
  <c r="AR55" i="15"/>
  <c r="AQ98" i="15"/>
  <c r="AI98" i="15"/>
  <c r="AP98" i="15"/>
  <c r="AH98" i="15"/>
  <c r="AO98" i="15"/>
  <c r="AV98" i="15"/>
  <c r="AN98" i="15"/>
  <c r="AU98" i="15"/>
  <c r="AM98" i="15"/>
  <c r="AT98" i="15"/>
  <c r="AL98" i="15"/>
  <c r="AJ98" i="15"/>
  <c r="AK98" i="15"/>
  <c r="AS98" i="15"/>
  <c r="AR98" i="15"/>
  <c r="AO178" i="15"/>
  <c r="AV178" i="15"/>
  <c r="AN178" i="15"/>
  <c r="AT178" i="15"/>
  <c r="AL178" i="15"/>
  <c r="AS178" i="15"/>
  <c r="AK178" i="15"/>
  <c r="AR178" i="15"/>
  <c r="AJ178" i="15"/>
  <c r="AQ178" i="15"/>
  <c r="AI178" i="15"/>
  <c r="AM178" i="15"/>
  <c r="AH178" i="15"/>
  <c r="AU178" i="15"/>
  <c r="AP178" i="15"/>
  <c r="AR56" i="15"/>
  <c r="AJ56" i="15"/>
  <c r="AQ56" i="15"/>
  <c r="AI56" i="15"/>
  <c r="AO56" i="15"/>
  <c r="AV56" i="15"/>
  <c r="AN56" i="15"/>
  <c r="AM56" i="15"/>
  <c r="AL56" i="15"/>
  <c r="AP56" i="15"/>
  <c r="AK56" i="15"/>
  <c r="AH56" i="15"/>
  <c r="AU56" i="15"/>
  <c r="AT56" i="15"/>
  <c r="AS56" i="15"/>
  <c r="AR91" i="15"/>
  <c r="AJ91" i="15"/>
  <c r="AQ91" i="15"/>
  <c r="AI91" i="15"/>
  <c r="AO91" i="15"/>
  <c r="AV91" i="15"/>
  <c r="AN91" i="15"/>
  <c r="AU91" i="15"/>
  <c r="AH91" i="15"/>
  <c r="AT91" i="15"/>
  <c r="AS91" i="15"/>
  <c r="AP91" i="15"/>
  <c r="AM91" i="15"/>
  <c r="AL91" i="15"/>
  <c r="AK91" i="15"/>
  <c r="AR99" i="15"/>
  <c r="AJ99" i="15"/>
  <c r="AQ99" i="15"/>
  <c r="AI99" i="15"/>
  <c r="AP99" i="15"/>
  <c r="AH99" i="15"/>
  <c r="AO99" i="15"/>
  <c r="AV99" i="15"/>
  <c r="AN99" i="15"/>
  <c r="AU99" i="15"/>
  <c r="AM99" i="15"/>
  <c r="AT99" i="15"/>
  <c r="AS99" i="15"/>
  <c r="AL99" i="15"/>
  <c r="AK99" i="15"/>
  <c r="AV52" i="15"/>
  <c r="AN52" i="15"/>
  <c r="AU52" i="15"/>
  <c r="AM52" i="15"/>
  <c r="AS52" i="15"/>
  <c r="AK52" i="15"/>
  <c r="AR52" i="15"/>
  <c r="AJ52" i="15"/>
  <c r="AI52" i="15"/>
  <c r="AH52" i="15"/>
  <c r="AT52" i="15"/>
  <c r="AQ52" i="15"/>
  <c r="AL52" i="15"/>
  <c r="AP52" i="15"/>
  <c r="AO52" i="15"/>
  <c r="AS92" i="15"/>
  <c r="AK92" i="15"/>
  <c r="AR92" i="15"/>
  <c r="AJ92" i="15"/>
  <c r="AP92" i="15"/>
  <c r="AH92" i="15"/>
  <c r="AO92" i="15"/>
  <c r="AV92" i="15"/>
  <c r="AU92" i="15"/>
  <c r="AT92" i="15"/>
  <c r="AQ92" i="15"/>
  <c r="AN92" i="15"/>
  <c r="AI92" i="15"/>
  <c r="AM92" i="15"/>
  <c r="AL92" i="15"/>
  <c r="AT175" i="15"/>
  <c r="AL175" i="15"/>
  <c r="AS175" i="15"/>
  <c r="AK175" i="15"/>
  <c r="AQ175" i="15"/>
  <c r="AI175" i="15"/>
  <c r="AP175" i="15"/>
  <c r="AH175" i="15"/>
  <c r="AV175" i="15"/>
  <c r="AN175" i="15"/>
  <c r="AU175" i="15"/>
  <c r="AR175" i="15"/>
  <c r="AO175" i="15"/>
  <c r="AM175" i="15"/>
  <c r="AJ175" i="15"/>
  <c r="AO213" i="15"/>
  <c r="AV213" i="15"/>
  <c r="AN213" i="15"/>
  <c r="AU213" i="15"/>
  <c r="AM213" i="15"/>
  <c r="AT213" i="15"/>
  <c r="AL213" i="15"/>
  <c r="AS213" i="15"/>
  <c r="AK213" i="15"/>
  <c r="AR213" i="15"/>
  <c r="AJ213" i="15"/>
  <c r="AQ213" i="15"/>
  <c r="AI213" i="15"/>
  <c r="AH213" i="15"/>
  <c r="AP213" i="15"/>
  <c r="AS217" i="15"/>
  <c r="AK217" i="15"/>
  <c r="AR217" i="15"/>
  <c r="AJ217" i="15"/>
  <c r="AQ217" i="15"/>
  <c r="AI217" i="15"/>
  <c r="AP217" i="15"/>
  <c r="AH217" i="15"/>
  <c r="AO217" i="15"/>
  <c r="AV217" i="15"/>
  <c r="AN217" i="15"/>
  <c r="AU217" i="15"/>
  <c r="AM217" i="15"/>
  <c r="AL217" i="15"/>
  <c r="AT217" i="15"/>
  <c r="AO221" i="15"/>
  <c r="AV221" i="15"/>
  <c r="AN221" i="15"/>
  <c r="AU221" i="15"/>
  <c r="AM221" i="15"/>
  <c r="AT221" i="15"/>
  <c r="AL221" i="15"/>
  <c r="AS221" i="15"/>
  <c r="AK221" i="15"/>
  <c r="AR221" i="15"/>
  <c r="AJ221" i="15"/>
  <c r="AQ221" i="15"/>
  <c r="AI221" i="15"/>
  <c r="AP221" i="15"/>
  <c r="AH221" i="15"/>
  <c r="AV255" i="15"/>
  <c r="AN255" i="15"/>
  <c r="AU255" i="15"/>
  <c r="AM255" i="15"/>
  <c r="AT255" i="15"/>
  <c r="AL255" i="15"/>
  <c r="AS255" i="15"/>
  <c r="AK255" i="15"/>
  <c r="AR255" i="15"/>
  <c r="AJ255" i="15"/>
  <c r="AQ255" i="15"/>
  <c r="AI255" i="15"/>
  <c r="AP255" i="15"/>
  <c r="AH255" i="15"/>
  <c r="AO255" i="15"/>
  <c r="AR259" i="15"/>
  <c r="AJ259" i="15"/>
  <c r="AQ259" i="15"/>
  <c r="AI259" i="15"/>
  <c r="AP259" i="15"/>
  <c r="AH259" i="15"/>
  <c r="AO259" i="15"/>
  <c r="AV259" i="15"/>
  <c r="AN259" i="15"/>
  <c r="AU259" i="15"/>
  <c r="AM259" i="15"/>
  <c r="AT259" i="15"/>
  <c r="AL259" i="15"/>
  <c r="AS259" i="15"/>
  <c r="AK259" i="15"/>
  <c r="AV263" i="15"/>
  <c r="AN263" i="15"/>
  <c r="AU263" i="15"/>
  <c r="AM263" i="15"/>
  <c r="AT263" i="15"/>
  <c r="AL263" i="15"/>
  <c r="AS263" i="15"/>
  <c r="AK263" i="15"/>
  <c r="AR263" i="15"/>
  <c r="AJ263" i="15"/>
  <c r="AQ263" i="15"/>
  <c r="AI263" i="15"/>
  <c r="AP263" i="15"/>
  <c r="AH263" i="15"/>
  <c r="AO263" i="15"/>
  <c r="AU51" i="15"/>
  <c r="AM51" i="15"/>
  <c r="AT51" i="15"/>
  <c r="AL51" i="15"/>
  <c r="AR51" i="15"/>
  <c r="AJ51" i="15"/>
  <c r="AQ51" i="15"/>
  <c r="AI51" i="15"/>
  <c r="AH51" i="15"/>
  <c r="AV51" i="15"/>
  <c r="AK51" i="15"/>
  <c r="AS51" i="15"/>
  <c r="AP51" i="15"/>
  <c r="AO51" i="15"/>
  <c r="AN51" i="15"/>
  <c r="AR49" i="15"/>
  <c r="AJ49" i="15"/>
  <c r="AQ49" i="15"/>
  <c r="AI49" i="15"/>
  <c r="AK49" i="15"/>
  <c r="AP49" i="15"/>
  <c r="AH49" i="15"/>
  <c r="AO49" i="15"/>
  <c r="AV49" i="15"/>
  <c r="AN49" i="15"/>
  <c r="AU49" i="15"/>
  <c r="AM49" i="15"/>
  <c r="AS49" i="15"/>
  <c r="AT49" i="15"/>
  <c r="AL49" i="15"/>
  <c r="AS57" i="15"/>
  <c r="AK57" i="15"/>
  <c r="AR57" i="15"/>
  <c r="AJ57" i="15"/>
  <c r="AP57" i="15"/>
  <c r="AH57" i="15"/>
  <c r="AO57" i="15"/>
  <c r="AN57" i="15"/>
  <c r="AM57" i="15"/>
  <c r="AL57" i="15"/>
  <c r="AQ57" i="15"/>
  <c r="AI57" i="15"/>
  <c r="AV57" i="15"/>
  <c r="AU57" i="15"/>
  <c r="AT57" i="15"/>
  <c r="AT124" i="15"/>
  <c r="AL124" i="15"/>
  <c r="AS124" i="15"/>
  <c r="AK124" i="15"/>
  <c r="AR124" i="15"/>
  <c r="AJ124" i="15"/>
  <c r="AQ124" i="15"/>
  <c r="AI124" i="15"/>
  <c r="AP124" i="15"/>
  <c r="AH124" i="15"/>
  <c r="AO124" i="15"/>
  <c r="AV124" i="15"/>
  <c r="AU124" i="15"/>
  <c r="AN124" i="15"/>
  <c r="AM124" i="15"/>
  <c r="AP179" i="15"/>
  <c r="AH179" i="15"/>
  <c r="AO179" i="15"/>
  <c r="AV179" i="15"/>
  <c r="AN179" i="15"/>
  <c r="AU179" i="15"/>
  <c r="AM179" i="15"/>
  <c r="AT179" i="15"/>
  <c r="AL179" i="15"/>
  <c r="AS179" i="15"/>
  <c r="AK179" i="15"/>
  <c r="AR179" i="15"/>
  <c r="AJ179" i="15"/>
  <c r="AQ179" i="15"/>
  <c r="AI179" i="15"/>
  <c r="AT50" i="15"/>
  <c r="AS50" i="15"/>
  <c r="AQ50" i="15"/>
  <c r="AP50" i="15"/>
  <c r="AK50" i="15"/>
  <c r="AV50" i="15"/>
  <c r="AJ50" i="15"/>
  <c r="AL50" i="15"/>
  <c r="AU50" i="15"/>
  <c r="AI50" i="15"/>
  <c r="AR50" i="15"/>
  <c r="AH50" i="15"/>
  <c r="AO50" i="15"/>
  <c r="AN50" i="15"/>
  <c r="AM50" i="15"/>
  <c r="AT58" i="15"/>
  <c r="AL58" i="15"/>
  <c r="AS58" i="15"/>
  <c r="AK58" i="15"/>
  <c r="AQ58" i="15"/>
  <c r="AI58" i="15"/>
  <c r="AP58" i="15"/>
  <c r="AH58" i="15"/>
  <c r="AO58" i="15"/>
  <c r="AN58" i="15"/>
  <c r="AM58" i="15"/>
  <c r="AJ58" i="15"/>
  <c r="AR58" i="15"/>
  <c r="AV58" i="15"/>
  <c r="AU58" i="15"/>
  <c r="AT93" i="15"/>
  <c r="AL93" i="15"/>
  <c r="AS93" i="15"/>
  <c r="AK93" i="15"/>
  <c r="AQ93" i="15"/>
  <c r="AI93" i="15"/>
  <c r="AP93" i="15"/>
  <c r="AH93" i="15"/>
  <c r="AO93" i="15"/>
  <c r="AJ93" i="15"/>
  <c r="AM93" i="15"/>
  <c r="AV93" i="15"/>
  <c r="AU93" i="15"/>
  <c r="AR93" i="15"/>
  <c r="AN93" i="15"/>
  <c r="AV83" i="15"/>
  <c r="AN83" i="15"/>
  <c r="AU83" i="15"/>
  <c r="AM83" i="15"/>
  <c r="AS83" i="15"/>
  <c r="AK83" i="15"/>
  <c r="AR83" i="15"/>
  <c r="AJ83" i="15"/>
  <c r="AQ83" i="15"/>
  <c r="AT83" i="15"/>
  <c r="AP83" i="15"/>
  <c r="AO83" i="15"/>
  <c r="AL83" i="15"/>
  <c r="AI83" i="15"/>
  <c r="AH83" i="15"/>
  <c r="AU94" i="15"/>
  <c r="AM94" i="15"/>
  <c r="AT94" i="15"/>
  <c r="AL94" i="15"/>
  <c r="AR94" i="15"/>
  <c r="AJ94" i="15"/>
  <c r="AQ94" i="15"/>
  <c r="AI94" i="15"/>
  <c r="AP94" i="15"/>
  <c r="AH94" i="15"/>
  <c r="AO94" i="15"/>
  <c r="AN94" i="15"/>
  <c r="AK94" i="15"/>
  <c r="AS94" i="15"/>
  <c r="AV94" i="15"/>
  <c r="AQ172" i="15"/>
  <c r="AI172" i="15"/>
  <c r="AP172" i="15"/>
  <c r="AH172" i="15"/>
  <c r="AV172" i="15"/>
  <c r="AN172" i="15"/>
  <c r="AU172" i="15"/>
  <c r="AM172" i="15"/>
  <c r="AS172" i="15"/>
  <c r="AK172" i="15"/>
  <c r="AT172" i="15"/>
  <c r="AR172" i="15"/>
  <c r="AO172" i="15"/>
  <c r="AL172" i="15"/>
  <c r="AJ172" i="15"/>
  <c r="AU176" i="15"/>
  <c r="AM176" i="15"/>
  <c r="AT176" i="15"/>
  <c r="AL176" i="15"/>
  <c r="AR176" i="15"/>
  <c r="AJ176" i="15"/>
  <c r="AQ176" i="15"/>
  <c r="AI176" i="15"/>
  <c r="AP176" i="15"/>
  <c r="AH176" i="15"/>
  <c r="AO176" i="15"/>
  <c r="AK176" i="15"/>
  <c r="AV176" i="15"/>
  <c r="AS176" i="15"/>
  <c r="AN176" i="15"/>
  <c r="AQ180" i="15"/>
  <c r="AI180" i="15"/>
  <c r="AP180" i="15"/>
  <c r="AH180" i="15"/>
  <c r="AO180" i="15"/>
  <c r="AV180" i="15"/>
  <c r="AN180" i="15"/>
  <c r="AU180" i="15"/>
  <c r="AM180" i="15"/>
  <c r="AT180" i="15"/>
  <c r="AL180" i="15"/>
  <c r="AS180" i="15"/>
  <c r="AK180" i="15"/>
  <c r="AR180" i="15"/>
  <c r="AJ180" i="15"/>
  <c r="AP214" i="15"/>
  <c r="AH214" i="15"/>
  <c r="AO214" i="15"/>
  <c r="AV214" i="15"/>
  <c r="AN214" i="15"/>
  <c r="AU214" i="15"/>
  <c r="AM214" i="15"/>
  <c r="AT214" i="15"/>
  <c r="AL214" i="15"/>
  <c r="AS214" i="15"/>
  <c r="AK214" i="15"/>
  <c r="AR214" i="15"/>
  <c r="AJ214" i="15"/>
  <c r="AQ214" i="15"/>
  <c r="AI214" i="15"/>
  <c r="AT218" i="15"/>
  <c r="AL218" i="15"/>
  <c r="AS218" i="15"/>
  <c r="AK218" i="15"/>
  <c r="AR218" i="15"/>
  <c r="AJ218" i="15"/>
  <c r="AQ218" i="15"/>
  <c r="AI218" i="15"/>
  <c r="AP218" i="15"/>
  <c r="AH218" i="15"/>
  <c r="AO218" i="15"/>
  <c r="AV218" i="15"/>
  <c r="AN218" i="15"/>
  <c r="AU218" i="15"/>
  <c r="AM218" i="15"/>
  <c r="AP222" i="15"/>
  <c r="AH222" i="15"/>
  <c r="AO222" i="15"/>
  <c r="AV222" i="15"/>
  <c r="AN222" i="15"/>
  <c r="AU222" i="15"/>
  <c r="AM222" i="15"/>
  <c r="AT222" i="15"/>
  <c r="AL222" i="15"/>
  <c r="AS222" i="15"/>
  <c r="AK222" i="15"/>
  <c r="AR222" i="15"/>
  <c r="AJ222" i="15"/>
  <c r="AQ222" i="15"/>
  <c r="AI222" i="15"/>
  <c r="AO256" i="15"/>
  <c r="AV256" i="15"/>
  <c r="AN256" i="15"/>
  <c r="AU256" i="15"/>
  <c r="AM256" i="15"/>
  <c r="AT256" i="15"/>
  <c r="AL256" i="15"/>
  <c r="AS256" i="15"/>
  <c r="AK256" i="15"/>
  <c r="AR256" i="15"/>
  <c r="AJ256" i="15"/>
  <c r="AQ256" i="15"/>
  <c r="AI256" i="15"/>
  <c r="AP256" i="15"/>
  <c r="AH256" i="15"/>
  <c r="AS260" i="15"/>
  <c r="AK260" i="15"/>
  <c r="AR260" i="15"/>
  <c r="AJ260" i="15"/>
  <c r="AQ260" i="15"/>
  <c r="AI260" i="15"/>
  <c r="AP260" i="15"/>
  <c r="AH260" i="15"/>
  <c r="AO260" i="15"/>
  <c r="AV260" i="15"/>
  <c r="AN260" i="15"/>
  <c r="AU260" i="15"/>
  <c r="AM260" i="15"/>
  <c r="AT260" i="15"/>
  <c r="AL260" i="15"/>
  <c r="AP288" i="15"/>
  <c r="AH288" i="15"/>
  <c r="AO288" i="15"/>
  <c r="AV288" i="15"/>
  <c r="AN288" i="15"/>
  <c r="AU288" i="15"/>
  <c r="AM288" i="15"/>
  <c r="AT288" i="15"/>
  <c r="AL288" i="15"/>
  <c r="AS288" i="15"/>
  <c r="AK288" i="15"/>
  <c r="AR288" i="15"/>
  <c r="AJ288" i="15"/>
  <c r="AQ288" i="15"/>
  <c r="AI288" i="15"/>
  <c r="AG41" i="15" l="1"/>
  <c r="AG40" i="15"/>
  <c r="AG164" i="15"/>
  <c r="AG163" i="15"/>
  <c r="R164" i="15"/>
  <c r="AV164" i="15" s="1"/>
  <c r="R163" i="15"/>
  <c r="AV163" i="15" s="1"/>
  <c r="I29" i="14"/>
  <c r="J29" i="14" s="1"/>
  <c r="E29" i="14"/>
  <c r="J31" i="14"/>
  <c r="J21" i="14"/>
  <c r="I32" i="14"/>
  <c r="E32" i="14"/>
  <c r="C36" i="14"/>
  <c r="H36" i="14" s="1"/>
  <c r="H32" i="14"/>
  <c r="E25" i="14"/>
  <c r="I25" i="14"/>
  <c r="J25" i="14" s="1"/>
  <c r="AG167" i="15"/>
  <c r="AG166" i="15"/>
  <c r="R167" i="15"/>
  <c r="R166" i="15"/>
  <c r="AG44" i="15"/>
  <c r="D36" i="14"/>
  <c r="AG43" i="15"/>
  <c r="D16" i="15"/>
  <c r="D11" i="15"/>
  <c r="D12" i="15"/>
  <c r="D10" i="15"/>
  <c r="D14" i="15"/>
  <c r="D42" i="15"/>
  <c r="D13" i="15"/>
  <c r="D17" i="15"/>
  <c r="D9" i="15"/>
  <c r="D15" i="15"/>
  <c r="I36" i="14" l="1"/>
  <c r="J36" i="14" s="1"/>
  <c r="E36" i="14"/>
  <c r="J32" i="14"/>
  <c r="AH14" i="15"/>
  <c r="AH10" i="15"/>
  <c r="AH15" i="15"/>
  <c r="AH11" i="15"/>
  <c r="AP132" i="15"/>
  <c r="AH132" i="15"/>
  <c r="AO132" i="15"/>
  <c r="AV132" i="15"/>
  <c r="AN132" i="15"/>
  <c r="AU132" i="15"/>
  <c r="AM132" i="15"/>
  <c r="AT132" i="15"/>
  <c r="AL132" i="15"/>
  <c r="AS132" i="15"/>
  <c r="AK132" i="15"/>
  <c r="AR132" i="15"/>
  <c r="AQ132" i="15"/>
  <c r="AJ132" i="15"/>
  <c r="AI132" i="15"/>
  <c r="AH16" i="15"/>
  <c r="AH13" i="15"/>
  <c r="AH42" i="15"/>
  <c r="AH12" i="15"/>
  <c r="AH9" i="15"/>
  <c r="AH17" i="15"/>
  <c r="P17" i="15"/>
  <c r="AT17" i="15" s="1"/>
  <c r="K17" i="15"/>
  <c r="AO17" i="15" s="1"/>
  <c r="J17" i="15"/>
  <c r="AN17" i="15" s="1"/>
  <c r="R17" i="15"/>
  <c r="AV17" i="15" s="1"/>
  <c r="G17" i="15"/>
  <c r="AK17" i="15" s="1"/>
  <c r="I17" i="15"/>
  <c r="AM17" i="15" s="1"/>
  <c r="F17" i="15"/>
  <c r="AJ17" i="15" s="1"/>
  <c r="O17" i="15"/>
  <c r="AS17" i="15" s="1"/>
  <c r="Q17" i="15"/>
  <c r="AU17" i="15" s="1"/>
  <c r="L17" i="15"/>
  <c r="AP17" i="15" s="1"/>
  <c r="N17" i="15"/>
  <c r="AR17" i="15" s="1"/>
  <c r="E17" i="15"/>
  <c r="AI17" i="15" s="1"/>
  <c r="H17" i="15"/>
  <c r="AL17" i="15" s="1"/>
  <c r="M17" i="15"/>
  <c r="AQ17" i="15" s="1"/>
  <c r="R14" i="15"/>
  <c r="AV14" i="15" s="1"/>
  <c r="E14" i="15"/>
  <c r="AI14" i="15" s="1"/>
  <c r="M14" i="15"/>
  <c r="AQ14" i="15" s="1"/>
  <c r="F14" i="15"/>
  <c r="AJ14" i="15" s="1"/>
  <c r="J14" i="15"/>
  <c r="AN14" i="15" s="1"/>
  <c r="N14" i="15"/>
  <c r="AR14" i="15" s="1"/>
  <c r="G14" i="15"/>
  <c r="AK14" i="15" s="1"/>
  <c r="I14" i="15"/>
  <c r="AM14" i="15" s="1"/>
  <c r="O14" i="15"/>
  <c r="AS14" i="15" s="1"/>
  <c r="H14" i="15"/>
  <c r="AL14" i="15" s="1"/>
  <c r="Q14" i="15"/>
  <c r="AU14" i="15" s="1"/>
  <c r="P14" i="15"/>
  <c r="AT14" i="15" s="1"/>
  <c r="K14" i="15"/>
  <c r="AO14" i="15" s="1"/>
  <c r="L14" i="15"/>
  <c r="AP14" i="15" s="1"/>
  <c r="L15" i="15"/>
  <c r="AP15" i="15" s="1"/>
  <c r="I15" i="15"/>
  <c r="AM15" i="15" s="1"/>
  <c r="H15" i="15"/>
  <c r="AL15" i="15" s="1"/>
  <c r="P15" i="15"/>
  <c r="AT15" i="15" s="1"/>
  <c r="F15" i="15"/>
  <c r="AJ15" i="15" s="1"/>
  <c r="Q15" i="15"/>
  <c r="AU15" i="15" s="1"/>
  <c r="O15" i="15"/>
  <c r="AS15" i="15" s="1"/>
  <c r="N15" i="15"/>
  <c r="AR15" i="15" s="1"/>
  <c r="K15" i="15"/>
  <c r="AO15" i="15" s="1"/>
  <c r="J15" i="15"/>
  <c r="AN15" i="15" s="1"/>
  <c r="G15" i="15"/>
  <c r="AK15" i="15" s="1"/>
  <c r="E15" i="15"/>
  <c r="AI15" i="15" s="1"/>
  <c r="M15" i="15"/>
  <c r="AQ15" i="15" s="1"/>
  <c r="R15" i="15"/>
  <c r="AV15" i="15" s="1"/>
  <c r="P13" i="15"/>
  <c r="AT13" i="15" s="1"/>
  <c r="J13" i="15"/>
  <c r="AN13" i="15" s="1"/>
  <c r="K13" i="15"/>
  <c r="AO13" i="15" s="1"/>
  <c r="R13" i="15"/>
  <c r="AV13" i="15" s="1"/>
  <c r="I13" i="15"/>
  <c r="AM13" i="15" s="1"/>
  <c r="Q13" i="15"/>
  <c r="AU13" i="15" s="1"/>
  <c r="N13" i="15"/>
  <c r="AR13" i="15" s="1"/>
  <c r="L13" i="15"/>
  <c r="AP13" i="15" s="1"/>
  <c r="E13" i="15"/>
  <c r="AI13" i="15" s="1"/>
  <c r="G13" i="15"/>
  <c r="AK13" i="15" s="1"/>
  <c r="M13" i="15"/>
  <c r="AQ13" i="15" s="1"/>
  <c r="F13" i="15"/>
  <c r="AJ13" i="15" s="1"/>
  <c r="O13" i="15"/>
  <c r="AS13" i="15" s="1"/>
  <c r="H13" i="15"/>
  <c r="AL13" i="15" s="1"/>
  <c r="P10" i="15"/>
  <c r="AT10" i="15" s="1"/>
  <c r="J10" i="15"/>
  <c r="AN10" i="15" s="1"/>
  <c r="R10" i="15"/>
  <c r="AV10" i="15" s="1"/>
  <c r="K10" i="15"/>
  <c r="AO10" i="15" s="1"/>
  <c r="L10" i="15"/>
  <c r="AP10" i="15" s="1"/>
  <c r="H10" i="15"/>
  <c r="AL10" i="15" s="1"/>
  <c r="G10" i="15"/>
  <c r="AK10" i="15" s="1"/>
  <c r="O10" i="15"/>
  <c r="AS10" i="15" s="1"/>
  <c r="I10" i="15"/>
  <c r="AM10" i="15" s="1"/>
  <c r="E10" i="15"/>
  <c r="AI10" i="15" s="1"/>
  <c r="F10" i="15"/>
  <c r="AJ10" i="15" s="1"/>
  <c r="Q10" i="15"/>
  <c r="AU10" i="15" s="1"/>
  <c r="M10" i="15"/>
  <c r="AQ10" i="15" s="1"/>
  <c r="N10" i="15"/>
  <c r="AR10" i="15" s="1"/>
  <c r="L11" i="15"/>
  <c r="AP11" i="15" s="1"/>
  <c r="I11" i="15"/>
  <c r="AM11" i="15" s="1"/>
  <c r="R11" i="15"/>
  <c r="AV11" i="15" s="1"/>
  <c r="H11" i="15"/>
  <c r="AL11" i="15" s="1"/>
  <c r="P11" i="15"/>
  <c r="AT11" i="15" s="1"/>
  <c r="K11" i="15"/>
  <c r="AO11" i="15" s="1"/>
  <c r="J11" i="15"/>
  <c r="AN11" i="15" s="1"/>
  <c r="G11" i="15"/>
  <c r="AK11" i="15" s="1"/>
  <c r="F11" i="15"/>
  <c r="AJ11" i="15" s="1"/>
  <c r="Q11" i="15"/>
  <c r="AU11" i="15" s="1"/>
  <c r="O11" i="15"/>
  <c r="AS11" i="15" s="1"/>
  <c r="N11" i="15"/>
  <c r="AR11" i="15" s="1"/>
  <c r="E11" i="15"/>
  <c r="AI11" i="15" s="1"/>
  <c r="M11" i="15"/>
  <c r="AQ11" i="15" s="1"/>
  <c r="R42" i="15"/>
  <c r="AV42" i="15" s="1"/>
  <c r="M42" i="15"/>
  <c r="AQ42" i="15" s="1"/>
  <c r="E42" i="15"/>
  <c r="AI42" i="15" s="1"/>
  <c r="G42" i="15"/>
  <c r="AK42" i="15" s="1"/>
  <c r="L42" i="15"/>
  <c r="AP42" i="15" s="1"/>
  <c r="O42" i="15"/>
  <c r="AS42" i="15" s="1"/>
  <c r="I42" i="15"/>
  <c r="AM42" i="15" s="1"/>
  <c r="K42" i="15"/>
  <c r="AO42" i="15" s="1"/>
  <c r="F42" i="15"/>
  <c r="AJ42" i="15" s="1"/>
  <c r="H42" i="15"/>
  <c r="AL42" i="15" s="1"/>
  <c r="Q42" i="15"/>
  <c r="AU42" i="15" s="1"/>
  <c r="N42" i="15"/>
  <c r="AR42" i="15" s="1"/>
  <c r="P42" i="15"/>
  <c r="AT42" i="15" s="1"/>
  <c r="J42" i="15"/>
  <c r="AN42" i="15" s="1"/>
  <c r="N12" i="15"/>
  <c r="AR12" i="15" s="1"/>
  <c r="R12" i="15"/>
  <c r="AV12" i="15" s="1"/>
  <c r="Q12" i="15"/>
  <c r="AU12" i="15" s="1"/>
  <c r="J12" i="15"/>
  <c r="AN12" i="15" s="1"/>
  <c r="I12" i="15"/>
  <c r="AM12" i="15" s="1"/>
  <c r="H12" i="15"/>
  <c r="AL12" i="15" s="1"/>
  <c r="P12" i="15"/>
  <c r="AT12" i="15" s="1"/>
  <c r="O12" i="15"/>
  <c r="AS12" i="15" s="1"/>
  <c r="E12" i="15"/>
  <c r="AI12" i="15" s="1"/>
  <c r="M12" i="15"/>
  <c r="AQ12" i="15" s="1"/>
  <c r="K12" i="15"/>
  <c r="AO12" i="15" s="1"/>
  <c r="L12" i="15"/>
  <c r="AP12" i="15" s="1"/>
  <c r="F12" i="15"/>
  <c r="AJ12" i="15" s="1"/>
  <c r="G12" i="15"/>
  <c r="AK12" i="15" s="1"/>
  <c r="N16" i="15"/>
  <c r="AR16" i="15" s="1"/>
  <c r="R16" i="15"/>
  <c r="AV16" i="15" s="1"/>
  <c r="P16" i="15"/>
  <c r="AT16" i="15" s="1"/>
  <c r="Q16" i="15"/>
  <c r="AU16" i="15" s="1"/>
  <c r="K16" i="15"/>
  <c r="AO16" i="15" s="1"/>
  <c r="J16" i="15"/>
  <c r="AN16" i="15" s="1"/>
  <c r="I16" i="15"/>
  <c r="AM16" i="15" s="1"/>
  <c r="H16" i="15"/>
  <c r="AL16" i="15" s="1"/>
  <c r="F16" i="15"/>
  <c r="AJ16" i="15" s="1"/>
  <c r="E16" i="15"/>
  <c r="AI16" i="15" s="1"/>
  <c r="G16" i="15"/>
  <c r="AK16" i="15" s="1"/>
  <c r="M16" i="15"/>
  <c r="AQ16" i="15" s="1"/>
  <c r="O16" i="15"/>
  <c r="AS16" i="15" s="1"/>
  <c r="L16" i="15"/>
  <c r="AP16" i="15" s="1"/>
  <c r="N9" i="15"/>
  <c r="AR9" i="15" s="1"/>
  <c r="P9" i="15"/>
  <c r="AT9" i="15" s="1"/>
  <c r="J9" i="15"/>
  <c r="AN9" i="15" s="1"/>
  <c r="I9" i="15"/>
  <c r="AM9" i="15" s="1"/>
  <c r="H9" i="15"/>
  <c r="AL9" i="15" s="1"/>
  <c r="R9" i="15"/>
  <c r="AV9" i="15" s="1"/>
  <c r="Q9" i="15"/>
  <c r="AU9" i="15" s="1"/>
  <c r="G9" i="15"/>
  <c r="AK9" i="15" s="1"/>
  <c r="O9" i="15"/>
  <c r="AS9" i="15" s="1"/>
  <c r="L9" i="15"/>
  <c r="AP9" i="15" s="1"/>
  <c r="K9" i="15"/>
  <c r="AO9" i="15" s="1"/>
  <c r="M9" i="15"/>
  <c r="AQ9" i="15" s="1"/>
  <c r="E9" i="15"/>
  <c r="AI9" i="15" s="1"/>
  <c r="F9" i="15"/>
  <c r="AJ9" i="15" s="1"/>
  <c r="AV138" i="15" l="1"/>
  <c r="AN138" i="15"/>
  <c r="AU138" i="15"/>
  <c r="AM138" i="15"/>
  <c r="AT138" i="15"/>
  <c r="AL138" i="15"/>
  <c r="AS138" i="15"/>
  <c r="AK138" i="15"/>
  <c r="AR138" i="15"/>
  <c r="AJ138" i="15"/>
  <c r="AQ138" i="15"/>
  <c r="AI138" i="15"/>
  <c r="AH138" i="15"/>
  <c r="AP138" i="15"/>
  <c r="AO138" i="15"/>
  <c r="AO131" i="15"/>
  <c r="AV131" i="15"/>
  <c r="AN131" i="15"/>
  <c r="AU131" i="15"/>
  <c r="AM131" i="15"/>
  <c r="AT131" i="15"/>
  <c r="AL131" i="15"/>
  <c r="AS131" i="15"/>
  <c r="AK131" i="15"/>
  <c r="AR131" i="15"/>
  <c r="AJ131" i="15"/>
  <c r="AP131" i="15"/>
  <c r="AQ131" i="15"/>
  <c r="AI131" i="15"/>
  <c r="AH131" i="15"/>
  <c r="AS248" i="15"/>
  <c r="AK248" i="15"/>
  <c r="AR248" i="15"/>
  <c r="AJ248" i="15"/>
  <c r="AQ248" i="15"/>
  <c r="AI248" i="15"/>
  <c r="AP248" i="15"/>
  <c r="AH248" i="15"/>
  <c r="AO248" i="15"/>
  <c r="AV248" i="15"/>
  <c r="AN248" i="15"/>
  <c r="AU248" i="15"/>
  <c r="AM248" i="15"/>
  <c r="AT248" i="15"/>
  <c r="AL248" i="15"/>
  <c r="AO139" i="15"/>
  <c r="AV139" i="15"/>
  <c r="AN139" i="15"/>
  <c r="AU139" i="15"/>
  <c r="AM139" i="15"/>
  <c r="AT139" i="15"/>
  <c r="AL139" i="15"/>
  <c r="AS139" i="15"/>
  <c r="AK139" i="15"/>
  <c r="AR139" i="15"/>
  <c r="AJ139" i="15"/>
  <c r="AQ139" i="15"/>
  <c r="AP139" i="15"/>
  <c r="AI139" i="15"/>
  <c r="AH139" i="15"/>
  <c r="AR134" i="15"/>
  <c r="AJ134" i="15"/>
  <c r="AQ134" i="15"/>
  <c r="AI134" i="15"/>
  <c r="AP134" i="15"/>
  <c r="AH134" i="15"/>
  <c r="AO134" i="15"/>
  <c r="AV134" i="15"/>
  <c r="AN134" i="15"/>
  <c r="AU134" i="15"/>
  <c r="AM134" i="15"/>
  <c r="AT134" i="15"/>
  <c r="AS134" i="15"/>
  <c r="AL134" i="15"/>
  <c r="AK134" i="15"/>
  <c r="AP140" i="15"/>
  <c r="AH140" i="15"/>
  <c r="AO140" i="15"/>
  <c r="AV140" i="15"/>
  <c r="AN140" i="15"/>
  <c r="AU140" i="15"/>
  <c r="AM140" i="15"/>
  <c r="AT140" i="15"/>
  <c r="AL140" i="15"/>
  <c r="AS140" i="15"/>
  <c r="AK140" i="15"/>
  <c r="AI140" i="15"/>
  <c r="AJ140" i="15"/>
  <c r="AR140" i="15"/>
  <c r="AQ140" i="15"/>
  <c r="AU207" i="15"/>
  <c r="AM207" i="15"/>
  <c r="AT207" i="15"/>
  <c r="AL207" i="15"/>
  <c r="AS207" i="15"/>
  <c r="AK207" i="15"/>
  <c r="AR207" i="15"/>
  <c r="AJ207" i="15"/>
  <c r="AQ207" i="15"/>
  <c r="AI207" i="15"/>
  <c r="AP207" i="15"/>
  <c r="AH207" i="15"/>
  <c r="AO207" i="15"/>
  <c r="AV207" i="15"/>
  <c r="AN207" i="15"/>
  <c r="AV165" i="15"/>
  <c r="AN165" i="15"/>
  <c r="AU165" i="15"/>
  <c r="AM165" i="15"/>
  <c r="AS165" i="15"/>
  <c r="AK165" i="15"/>
  <c r="AR165" i="15"/>
  <c r="AJ165" i="15"/>
  <c r="AP165" i="15"/>
  <c r="AO165" i="15"/>
  <c r="AL165" i="15"/>
  <c r="AI165" i="15"/>
  <c r="AH165" i="15"/>
  <c r="AT165" i="15"/>
  <c r="AQ165" i="15"/>
  <c r="AS135" i="15"/>
  <c r="AK135" i="15"/>
  <c r="AR135" i="15"/>
  <c r="AJ135" i="15"/>
  <c r="AQ135" i="15"/>
  <c r="AI135" i="15"/>
  <c r="AP135" i="15"/>
  <c r="AH135" i="15"/>
  <c r="AO135" i="15"/>
  <c r="AV135" i="15"/>
  <c r="AN135" i="15"/>
  <c r="AT135" i="15"/>
  <c r="AM135" i="15"/>
  <c r="AL135" i="15"/>
  <c r="AU135" i="15"/>
  <c r="AT136" i="15"/>
  <c r="AL136" i="15"/>
  <c r="AS136" i="15"/>
  <c r="AK136" i="15"/>
  <c r="AR136" i="15"/>
  <c r="AJ136" i="15"/>
  <c r="AQ136" i="15"/>
  <c r="AI136" i="15"/>
  <c r="AP136" i="15"/>
  <c r="AH136" i="15"/>
  <c r="AO136" i="15"/>
  <c r="AV136" i="15"/>
  <c r="AU136" i="15"/>
  <c r="AN136" i="15"/>
  <c r="AM136" i="15"/>
  <c r="AQ289" i="15"/>
  <c r="AI289" i="15"/>
  <c r="AP289" i="15"/>
  <c r="AH289" i="15"/>
  <c r="AO289" i="15"/>
  <c r="AV289" i="15"/>
  <c r="AN289" i="15"/>
  <c r="AU289" i="15"/>
  <c r="AM289" i="15"/>
  <c r="AT289" i="15"/>
  <c r="AL289" i="15"/>
  <c r="AS289" i="15"/>
  <c r="AK289" i="15"/>
  <c r="AR289" i="15"/>
  <c r="AJ289" i="15"/>
  <c r="AU125" i="15"/>
  <c r="AM125" i="15"/>
  <c r="AT125" i="15"/>
  <c r="AL125" i="15"/>
  <c r="AS125" i="15"/>
  <c r="AK125" i="15"/>
  <c r="AR125" i="15"/>
  <c r="AJ125" i="15"/>
  <c r="AQ125" i="15"/>
  <c r="AI125" i="15"/>
  <c r="AP125" i="15"/>
  <c r="AH125" i="15"/>
  <c r="AN125" i="15"/>
  <c r="AO125" i="15"/>
  <c r="AV125" i="15"/>
  <c r="AU137" i="15"/>
  <c r="AM137" i="15"/>
  <c r="AT137" i="15"/>
  <c r="AL137" i="15"/>
  <c r="AS137" i="15"/>
  <c r="AK137" i="15"/>
  <c r="AR137" i="15"/>
  <c r="AJ137" i="15"/>
  <c r="AQ137" i="15"/>
  <c r="AI137" i="15"/>
  <c r="AP137" i="15"/>
  <c r="AH137" i="15"/>
  <c r="AV137" i="15"/>
  <c r="AO137" i="15"/>
  <c r="AN137" i="15"/>
  <c r="AQ133" i="15"/>
  <c r="AI133" i="15"/>
  <c r="AP133" i="15"/>
  <c r="AH133" i="15"/>
  <c r="AO133" i="15"/>
  <c r="AV133" i="15"/>
  <c r="AN133" i="15"/>
  <c r="AU133" i="15"/>
  <c r="AM133" i="15"/>
  <c r="AT133" i="15"/>
  <c r="AL133" i="15"/>
  <c r="AR133" i="15"/>
  <c r="AK133" i="15"/>
  <c r="AS133" i="15"/>
  <c r="AJ133" i="15"/>
  <c r="D84" i="15"/>
  <c r="D40" i="15" s="1"/>
  <c r="D8" i="15"/>
  <c r="C41" i="14"/>
  <c r="AH40" i="15" l="1"/>
  <c r="C50" i="14"/>
  <c r="E50" i="14" s="1"/>
  <c r="C47" i="14"/>
  <c r="E47" i="14" s="1"/>
  <c r="C52" i="14"/>
  <c r="E52" i="14" s="1"/>
  <c r="C46" i="14"/>
  <c r="E46" i="14" s="1"/>
  <c r="C44" i="14"/>
  <c r="E44" i="14" s="1"/>
  <c r="C45" i="14"/>
  <c r="E45" i="14" s="1"/>
  <c r="C42" i="14"/>
  <c r="E42" i="14" s="1"/>
  <c r="C55" i="14"/>
  <c r="E55" i="14" s="1"/>
  <c r="C51" i="14"/>
  <c r="E51" i="14" s="1"/>
  <c r="C59" i="14"/>
  <c r="E59" i="14" s="1"/>
  <c r="C56" i="14"/>
  <c r="E56" i="14" s="1"/>
  <c r="C49" i="14"/>
  <c r="E49" i="14" s="1"/>
  <c r="C48" i="14"/>
  <c r="E48" i="14" s="1"/>
  <c r="C60" i="14"/>
  <c r="E60" i="14" s="1"/>
  <c r="C43" i="14"/>
  <c r="E43" i="14" s="1"/>
  <c r="C58" i="14"/>
  <c r="E58" i="14" s="1"/>
  <c r="C57" i="14"/>
  <c r="E57" i="14" s="1"/>
  <c r="E41" i="14"/>
  <c r="C53" i="14"/>
  <c r="E53" i="14" s="1"/>
  <c r="C61" i="14"/>
  <c r="E61" i="14" s="1"/>
  <c r="C54" i="14"/>
  <c r="E54" i="14" s="1"/>
  <c r="C62" i="14"/>
  <c r="E62" i="14" s="1"/>
  <c r="C63" i="14"/>
  <c r="E63" i="14" s="1"/>
  <c r="C64" i="14"/>
  <c r="E64" i="14" s="1"/>
  <c r="C65" i="14"/>
  <c r="E65" i="14" s="1"/>
  <c r="N84" i="15"/>
  <c r="AR84" i="15" s="1"/>
  <c r="F84" i="15"/>
  <c r="F85" i="15" s="1"/>
  <c r="M84" i="15"/>
  <c r="M85" i="15" s="1"/>
  <c r="E84" i="15"/>
  <c r="E85" i="15" s="1"/>
  <c r="L84" i="15"/>
  <c r="L85" i="15" s="1"/>
  <c r="K84" i="15"/>
  <c r="AO84" i="15" s="1"/>
  <c r="R84" i="15"/>
  <c r="AV84" i="15" s="1"/>
  <c r="J84" i="15"/>
  <c r="J85" i="15" s="1"/>
  <c r="Q84" i="15"/>
  <c r="AU84" i="15" s="1"/>
  <c r="I84" i="15"/>
  <c r="I85" i="15" s="1"/>
  <c r="P84" i="15"/>
  <c r="AT84" i="15" s="1"/>
  <c r="H84" i="15"/>
  <c r="H85" i="15" s="1"/>
  <c r="O84" i="15"/>
  <c r="AS84" i="15" s="1"/>
  <c r="G84" i="15"/>
  <c r="G85" i="15" s="1"/>
  <c r="AO166" i="15"/>
  <c r="AV166" i="15"/>
  <c r="AN166" i="15"/>
  <c r="AT166" i="15"/>
  <c r="AL166" i="15"/>
  <c r="AS166" i="15"/>
  <c r="AK166" i="15"/>
  <c r="AQ166" i="15"/>
  <c r="AP166" i="15"/>
  <c r="AM166" i="15"/>
  <c r="AJ166" i="15"/>
  <c r="AI166" i="15"/>
  <c r="AH166" i="15"/>
  <c r="AU166" i="15"/>
  <c r="AR166" i="15"/>
  <c r="D85" i="15"/>
  <c r="D41" i="15" s="1"/>
  <c r="D43" i="15" s="1"/>
  <c r="AH84" i="15"/>
  <c r="AV208" i="15"/>
  <c r="AN208" i="15"/>
  <c r="AU208" i="15"/>
  <c r="AM208" i="15"/>
  <c r="AT208" i="15"/>
  <c r="AL208" i="15"/>
  <c r="AS208" i="15"/>
  <c r="AK208" i="15"/>
  <c r="AR208" i="15"/>
  <c r="AJ208" i="15"/>
  <c r="AQ208" i="15"/>
  <c r="AI208" i="15"/>
  <c r="AP208" i="15"/>
  <c r="AH208" i="15"/>
  <c r="AO208" i="15"/>
  <c r="AR290" i="15"/>
  <c r="AJ290" i="15"/>
  <c r="AQ290" i="15"/>
  <c r="AI290" i="15"/>
  <c r="AP290" i="15"/>
  <c r="AH290" i="15"/>
  <c r="AO290" i="15"/>
  <c r="AV290" i="15"/>
  <c r="AN290" i="15"/>
  <c r="AU290" i="15"/>
  <c r="AM290" i="15"/>
  <c r="AT290" i="15"/>
  <c r="AL290" i="15"/>
  <c r="AS290" i="15"/>
  <c r="AK290" i="15"/>
  <c r="AH8" i="15"/>
  <c r="AT249" i="15"/>
  <c r="AL249" i="15"/>
  <c r="AS249" i="15"/>
  <c r="AK249" i="15"/>
  <c r="AR249" i="15"/>
  <c r="AJ249" i="15"/>
  <c r="AQ249" i="15"/>
  <c r="AI249" i="15"/>
  <c r="AP249" i="15"/>
  <c r="AH249" i="15"/>
  <c r="AO249" i="15"/>
  <c r="AV249" i="15"/>
  <c r="AN249" i="15"/>
  <c r="AU249" i="15"/>
  <c r="AM249" i="15"/>
  <c r="AV126" i="15"/>
  <c r="AN126" i="15"/>
  <c r="AU126" i="15"/>
  <c r="AM126" i="15"/>
  <c r="AT126" i="15"/>
  <c r="AL126" i="15"/>
  <c r="AS126" i="15"/>
  <c r="AK126" i="15"/>
  <c r="AR126" i="15"/>
  <c r="AJ126" i="15"/>
  <c r="AQ126" i="15"/>
  <c r="AI126" i="15"/>
  <c r="AP126" i="15"/>
  <c r="AO126" i="15"/>
  <c r="AH126" i="15"/>
  <c r="Q8" i="15"/>
  <c r="AU8" i="15" s="1"/>
  <c r="I8" i="15"/>
  <c r="AM8" i="15" s="1"/>
  <c r="P8" i="15"/>
  <c r="AT8" i="15" s="1"/>
  <c r="H8" i="15"/>
  <c r="AL8" i="15" s="1"/>
  <c r="O8" i="15"/>
  <c r="AS8" i="15" s="1"/>
  <c r="G8" i="15"/>
  <c r="AK8" i="15" s="1"/>
  <c r="N8" i="15"/>
  <c r="AR8" i="15" s="1"/>
  <c r="F8" i="15"/>
  <c r="AJ8" i="15" s="1"/>
  <c r="M8" i="15"/>
  <c r="AQ8" i="15" s="1"/>
  <c r="E8" i="15"/>
  <c r="AI8" i="15" s="1"/>
  <c r="L8" i="15"/>
  <c r="AP8" i="15" s="1"/>
  <c r="K8" i="15"/>
  <c r="AO8" i="15" s="1"/>
  <c r="R8" i="15"/>
  <c r="AV8" i="15" s="1"/>
  <c r="J8" i="15"/>
  <c r="AN8" i="15" s="1"/>
  <c r="I40" i="15" l="1"/>
  <c r="AM40" i="15" s="1"/>
  <c r="J40" i="15"/>
  <c r="AN40" i="15" s="1"/>
  <c r="E40" i="15"/>
  <c r="AI40" i="15" s="1"/>
  <c r="N40" i="15"/>
  <c r="AR40" i="15" s="1"/>
  <c r="O40" i="15"/>
  <c r="AS40" i="15" s="1"/>
  <c r="P40" i="15"/>
  <c r="AT40" i="15" s="1"/>
  <c r="Q40" i="15"/>
  <c r="AU40" i="15" s="1"/>
  <c r="R40" i="15"/>
  <c r="AV40" i="15" s="1"/>
  <c r="G40" i="15"/>
  <c r="AK40" i="15" s="1"/>
  <c r="L40" i="15"/>
  <c r="AP40" i="15" s="1"/>
  <c r="F40" i="15"/>
  <c r="AJ40" i="15" s="1"/>
  <c r="K40" i="15"/>
  <c r="AO40" i="15" s="1"/>
  <c r="M40" i="15"/>
  <c r="AQ40" i="15" s="1"/>
  <c r="H40" i="15"/>
  <c r="AL40" i="15" s="1"/>
  <c r="M41" i="15"/>
  <c r="AQ41" i="15" s="1"/>
  <c r="L41" i="15"/>
  <c r="AP41" i="15" s="1"/>
  <c r="J41" i="15"/>
  <c r="AN41" i="15" s="1"/>
  <c r="AH41" i="15"/>
  <c r="I41" i="15"/>
  <c r="AM41" i="15" s="1"/>
  <c r="F41" i="15"/>
  <c r="AJ41" i="15" s="1"/>
  <c r="H41" i="15"/>
  <c r="AL41" i="15" s="1"/>
  <c r="G41" i="15"/>
  <c r="AK41" i="15" s="1"/>
  <c r="E41" i="15"/>
  <c r="AI41" i="15" s="1"/>
  <c r="AJ84" i="15"/>
  <c r="AQ84" i="15"/>
  <c r="AI84" i="15"/>
  <c r="AL84" i="15"/>
  <c r="AP84" i="15"/>
  <c r="AN84" i="15"/>
  <c r="AK84" i="15"/>
  <c r="AM84" i="15"/>
  <c r="P85" i="15"/>
  <c r="AT85" i="15" s="1"/>
  <c r="N85" i="15"/>
  <c r="AR85" i="15" s="1"/>
  <c r="K85" i="15"/>
  <c r="AO85" i="15" s="1"/>
  <c r="O85" i="15"/>
  <c r="AS85" i="15" s="1"/>
  <c r="R85" i="15"/>
  <c r="AV85" i="15" s="1"/>
  <c r="Q85" i="15"/>
  <c r="AU85" i="15" s="1"/>
  <c r="AH43" i="15"/>
  <c r="AP167" i="15"/>
  <c r="AH167" i="15"/>
  <c r="AO167" i="15"/>
  <c r="AU167" i="15"/>
  <c r="AM167" i="15"/>
  <c r="AT167" i="15"/>
  <c r="AL167" i="15"/>
  <c r="AR167" i="15"/>
  <c r="AS167" i="15"/>
  <c r="AQ167" i="15"/>
  <c r="AN167" i="15"/>
  <c r="AK167" i="15"/>
  <c r="AJ167" i="15"/>
  <c r="AI167" i="15"/>
  <c r="AV167" i="15"/>
  <c r="AP85" i="15"/>
  <c r="AH85" i="15"/>
  <c r="AM85" i="15"/>
  <c r="AL85" i="15"/>
  <c r="AQ85" i="15"/>
  <c r="AN85" i="15"/>
  <c r="AK85" i="15"/>
  <c r="AJ85" i="15"/>
  <c r="AI85" i="15"/>
  <c r="Q43" i="15"/>
  <c r="AU43" i="15" s="1"/>
  <c r="I43" i="15"/>
  <c r="AM43" i="15" s="1"/>
  <c r="P43" i="15"/>
  <c r="AT43" i="15" s="1"/>
  <c r="H43" i="15"/>
  <c r="AL43" i="15" s="1"/>
  <c r="N43" i="15"/>
  <c r="AR43" i="15" s="1"/>
  <c r="F43" i="15"/>
  <c r="AJ43" i="15" s="1"/>
  <c r="G43" i="15"/>
  <c r="AK43" i="15" s="1"/>
  <c r="E43" i="15"/>
  <c r="AI43" i="15" s="1"/>
  <c r="R43" i="15"/>
  <c r="AV43" i="15" s="1"/>
  <c r="O43" i="15"/>
  <c r="AS43" i="15" s="1"/>
  <c r="M43" i="15"/>
  <c r="AQ43" i="15" s="1"/>
  <c r="L43" i="15"/>
  <c r="AP43" i="15" s="1"/>
  <c r="K43" i="15"/>
  <c r="AO43" i="15" s="1"/>
  <c r="D44" i="15"/>
  <c r="J43" i="15"/>
  <c r="AN43" i="15" s="1"/>
  <c r="N41" i="15" l="1"/>
  <c r="AR41" i="15" s="1"/>
  <c r="R41" i="15"/>
  <c r="AV41" i="15" s="1"/>
  <c r="K41" i="15"/>
  <c r="AO41" i="15" s="1"/>
  <c r="Q41" i="15"/>
  <c r="AU41" i="15" s="1"/>
  <c r="P41" i="15"/>
  <c r="AT41" i="15" s="1"/>
  <c r="O41" i="15"/>
  <c r="AS41" i="15" s="1"/>
  <c r="AH44" i="15"/>
  <c r="K44" i="15"/>
  <c r="AO44" i="15" s="1"/>
  <c r="R44" i="15"/>
  <c r="AV44" i="15" s="1"/>
  <c r="J44" i="15"/>
  <c r="AN44" i="15" s="1"/>
  <c r="P44" i="15"/>
  <c r="AT44" i="15" s="1"/>
  <c r="H44" i="15"/>
  <c r="AL44" i="15" s="1"/>
  <c r="F44" i="15"/>
  <c r="AJ44" i="15" s="1"/>
  <c r="Q44" i="15"/>
  <c r="AU44" i="15" s="1"/>
  <c r="E44" i="15"/>
  <c r="AI44" i="15" s="1"/>
  <c r="O44" i="15"/>
  <c r="AS44" i="15" s="1"/>
  <c r="N44" i="15"/>
  <c r="AR44" i="15" s="1"/>
  <c r="M44" i="15"/>
  <c r="AQ44" i="15" s="1"/>
  <c r="L44" i="15"/>
  <c r="AP44" i="15" s="1"/>
  <c r="I44" i="15"/>
  <c r="AM44" i="15" s="1"/>
  <c r="G44" i="15"/>
  <c r="AK44" i="15" s="1"/>
</calcChain>
</file>

<file path=xl/sharedStrings.xml><?xml version="1.0" encoding="utf-8"?>
<sst xmlns="http://schemas.openxmlformats.org/spreadsheetml/2006/main" count="1766" uniqueCount="493">
  <si>
    <t>This workbook contains the following tabs:</t>
  </si>
  <si>
    <t>Tab Name</t>
  </si>
  <si>
    <t>Required Data Entry?</t>
  </si>
  <si>
    <t>Tab Purpose</t>
  </si>
  <si>
    <t>Reference Tables</t>
  </si>
  <si>
    <t>No</t>
  </si>
  <si>
    <t>This tab provides several reference tables to aid insurers in their data submission. Please refer to this tab, or the Implementation Manual, if you have any questions on what to submit in this template. 
Insurers are not required to input any data in this tab.</t>
  </si>
  <si>
    <t>Definitions</t>
  </si>
  <si>
    <t>This tab provides the definitions of key terms used throughout this template, including the spending categories referenced in the Advanced Network tab. Please refer to this tab, or the Implementation Manual, if you have any questions on what to submit in this template.
Insurers are not required to input any data in this tab.</t>
  </si>
  <si>
    <t>HD-TME - 2023 and 2024</t>
  </si>
  <si>
    <t>Yes</t>
  </si>
  <si>
    <t>Insurers must submit summary information (e.g., period beginning and end date, information about clinical risk adjustment) and any carrier-specific comments about the TME submission. Please note that there are separate tabs to submit 2023 and 2024 data.</t>
  </si>
  <si>
    <t>Advanced Network - 2023 and 2024</t>
  </si>
  <si>
    <t>Insurers must submit TME by Advanced Network and insurance category, using the spending categories defined in the Implementation Manual. Please note that there are separate tabs to submit 2023 and 2024 data.</t>
  </si>
  <si>
    <t>RX Rebates - 2023 and 2024</t>
  </si>
  <si>
    <t>Insurers must submit pharmaceutical rebates by insurance category. Please note that there are separate tabs to submit 2023 and 2024 data.</t>
  </si>
  <si>
    <t>Line of Business Enrollment</t>
  </si>
  <si>
    <t>Insurers must submit member month information by line of business category. Insurance carriers with self-insured lines of business must also provide Income from Fees of Uninsured Plans reported in the Supplemental Health Care Exhibit. Please note that there is one tab to submit 2023 and 2024 data.</t>
  </si>
  <si>
    <t>Standard Deviation - 2023 and 2024</t>
  </si>
  <si>
    <t>Insurers must submit standard deviation for all attributed members by market by Advanced Network and by market for the insurer overall. Please note that there are separate tabs to submit 2023 and 2024 data.</t>
  </si>
  <si>
    <t>Age_Sex Factors - 2023 and 2024</t>
  </si>
  <si>
    <t>Insurers must submit spending by age band and by sex, for the purposes of risk adjustment. Please note that there are separate tabs to submit 2023 and 2024 data.</t>
  </si>
  <si>
    <t>Mandatory Questions</t>
  </si>
  <si>
    <t>Insurers must answer questions on their data submission to ensure the submission aligns with the specifications outlined in the Implementation Manual.</t>
  </si>
  <si>
    <t>Validation by Market</t>
  </si>
  <si>
    <t>This tab uses insurer-provided information from the Advanced Network and Rx Rebates tabs to calculate spend and trend by market and service category. These summary tables are intended to help insurers validate their data prior to submission.
Insurers are not required to input any data in this tab. Insurers must review this tab prior to submitting this file to ensure data are correct.</t>
  </si>
  <si>
    <t>Validation by Provider</t>
  </si>
  <si>
    <t>This tab uses insurer-provided information from the Advanced Network and Rx Rebates tabs to calculate spend and trend by Advanced Network and service category. These summary tables are intended to help insurers validate their data prior to submission.
Insurers are not required to input any data in this tab. Insurers must review this tab prior to submitting this file to ensure data are correct.</t>
  </si>
  <si>
    <t>Data Validation</t>
  </si>
  <si>
    <t>This tab uses insurer-provided information from all tabs that require data entry to assess consistency in spending, truncation, member months, and other imputed data across tabs. These summary tables are intended to help insurers validate their data prior to submission.
Insurers are not required to input any data in this tab. Insurers must review this tab prior to submitting this file to ensure data are correct.</t>
  </si>
  <si>
    <t>Insurer TME Data Specifications
Reference Tables</t>
  </si>
  <si>
    <t>Insurers' TME Filing Schedule Date</t>
  </si>
  <si>
    <t>Files Due</t>
  </si>
  <si>
    <t>CY 2018 and CY 2019 TME</t>
  </si>
  <si>
    <t>CY 2019, CY 2020 and CY 2021 TME</t>
  </si>
  <si>
    <t>CY 2021 and CY 2022 TME</t>
  </si>
  <si>
    <t>CY 2022 and CY 2023 TME</t>
  </si>
  <si>
    <t>CY 2023 and CY 2024 TME</t>
  </si>
  <si>
    <t>CY 2024 and CY 2025 TME</t>
  </si>
  <si>
    <t>Advanced Network/Insurer Carrier Org ID</t>
  </si>
  <si>
    <t>Advanced Network/Insurance Carrier Overall</t>
  </si>
  <si>
    <t>Insurance Carrier Overall</t>
  </si>
  <si>
    <t>Privia Quality Network of Connecticut (PQN CT) (formerly Community Medical Group)</t>
  </si>
  <si>
    <t>Connecticut Children's Care Network</t>
  </si>
  <si>
    <t>Connecticut State Medical Society IPA</t>
  </si>
  <si>
    <t>Hartford Healthcare Integrated Care Partners</t>
  </si>
  <si>
    <t>NA</t>
  </si>
  <si>
    <t>Northeast Medical Group</t>
  </si>
  <si>
    <t>Prospect Connecticut Medical Foundation Inc. (dba Prospect Medical, Prospect Health Services, Prospect Holdings)</t>
  </si>
  <si>
    <t>Value Care Alliance</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</si>
  <si>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</si>
  <si>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</si>
  <si>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</si>
  <si>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</si>
  <si>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</si>
  <si>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</si>
  <si>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</si>
  <si>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</si>
  <si>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</si>
  <si>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</si>
  <si>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</si>
  <si>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</si>
  <si>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</si>
  <si>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Health Medical Group</t>
  </si>
  <si>
    <t>Starling Physicians</t>
  </si>
  <si>
    <t>UConn Medical Group</t>
  </si>
  <si>
    <t>United Community and Family Services</t>
  </si>
  <si>
    <t>Wheeler Clinic</t>
  </si>
  <si>
    <t>Yale Medicine</t>
  </si>
  <si>
    <t>Trinity Health, Inc.</t>
  </si>
  <si>
    <t>Members Not Attributed to an Advanced Network</t>
  </si>
  <si>
    <t>Insurance Carrier Organizational ID</t>
  </si>
  <si>
    <t>Insurer</t>
  </si>
  <si>
    <t>Aetna Health &amp; Life</t>
  </si>
  <si>
    <t>Anthem</t>
  </si>
  <si>
    <t>Cigna</t>
  </si>
  <si>
    <t>ConnectiCare</t>
  </si>
  <si>
    <t>UnitedHealthcare</t>
  </si>
  <si>
    <t>Connecticut Office of the State Comptroller (OSC)</t>
  </si>
  <si>
    <t>Wellcare</t>
  </si>
  <si>
    <t>Insurance Category Code</t>
  </si>
  <si>
    <t>Definition</t>
  </si>
  <si>
    <t>Medicare Managed Care (excluding Medicare/Medicaid Dual Eligibles)</t>
  </si>
  <si>
    <t>Medicaid including CHIP (excluding Medicare/Medicaid Dual Eligibles)</t>
  </si>
  <si>
    <t>Commercial - Full Claims</t>
  </si>
  <si>
    <t>Commercial - Partial Claims</t>
  </si>
  <si>
    <t>Medicare Expenditures for Medicare/Medicaid Dual Eligibles</t>
  </si>
  <si>
    <t>Medicaid Expenditures for Medicare/Medicaid Dual Eligibles</t>
  </si>
  <si>
    <t>Other</t>
  </si>
  <si>
    <t>Line of Business Enrollment Category Code</t>
  </si>
  <si>
    <t>Individual</t>
  </si>
  <si>
    <t>Large group, fully insured</t>
  </si>
  <si>
    <t>Small group, fully insured</t>
  </si>
  <si>
    <t>Self-insured</t>
  </si>
  <si>
    <t>Student Market</t>
  </si>
  <si>
    <t>Medicare Managed Care</t>
  </si>
  <si>
    <t>Medicaid/CHIP Managed Care</t>
  </si>
  <si>
    <t>Medicare/Medicaid Duals</t>
  </si>
  <si>
    <t>Market Code</t>
  </si>
  <si>
    <t>Medicare (Insurance Category Codes 1 and 5)</t>
  </si>
  <si>
    <t>Medicaid (Insurance Category Codes 2 and 6)</t>
  </si>
  <si>
    <t>Commercial (Insurance Category Codes 3 and 4)</t>
  </si>
  <si>
    <t>Age Band Code</t>
  </si>
  <si>
    <t>0 to 1 year old</t>
  </si>
  <si>
    <t>2 to 18 years old</t>
  </si>
  <si>
    <t>19 to 39 years old</t>
  </si>
  <si>
    <t>40 to 54 years old</t>
  </si>
  <si>
    <t>55 to 64 years old</t>
  </si>
  <si>
    <t>65 to 74 years old</t>
  </si>
  <si>
    <t>75 to 84 years old</t>
  </si>
  <si>
    <t>85 + years old</t>
  </si>
  <si>
    <t>Sex Code</t>
  </si>
  <si>
    <t>Female</t>
  </si>
  <si>
    <t>Male</t>
  </si>
  <si>
    <t>Attribution Hierarchy Code</t>
  </si>
  <si>
    <t>Member Selection</t>
  </si>
  <si>
    <t>Contract arrangement</t>
  </si>
  <si>
    <t>Utilization</t>
  </si>
  <si>
    <t>Members Unattributed</t>
  </si>
  <si>
    <t>Payer Overall</t>
  </si>
  <si>
    <t>Advanced Network Tab</t>
  </si>
  <si>
    <t>Term</t>
  </si>
  <si>
    <t>Advanced Network/Carrier Overall ID</t>
  </si>
  <si>
    <t>Member Months (annual)</t>
  </si>
  <si>
    <t>Claims: Hospital Inpatient</t>
  </si>
  <si>
    <t>Claims: Hospital Outpatient</t>
  </si>
  <si>
    <t>The TME paid to hospitals for outpatient services generated from claims. Includes all hospital types and includes payments made for hospital-licensed satellite clinics. Includes emergency room services not resulting in admittance. Includes observation services. Does not include payments made for physician services provided on an outpatient basis that have been billed directly by a physician group practice or an individual physician.</t>
  </si>
  <si>
    <t>Claims: Professional, Primary Care</t>
  </si>
  <si>
    <t>Claims: Professional, Primary Care (for Monitoring Purposes)</t>
  </si>
  <si>
    <t>Claims: Professional, Specialty</t>
  </si>
  <si>
    <t>Claims: Professional Other</t>
  </si>
  <si>
    <t>The TME paid from claims to healthcare providers for services provided by a licensed practitioner other than a physician but is not identified as primary care in the first primary care definition above. This includes, but is not limited to, licensed podiatrists, non-primary care nurse practitioners, non-primary care physician assistants, physical therapists, occupational therapists, speech therapists, psychologists, licensed clinical social workers, counselors, dieticians, dentists, chiropractors and any professional fees that do not fit other categories.</t>
  </si>
  <si>
    <t>Claims: Pharmacy</t>
  </si>
  <si>
    <t>Claims: Long-Term Care</t>
  </si>
  <si>
    <t>Claims: Other</t>
  </si>
  <si>
    <t>All TME paid from claims to healthcare providers for medical services not otherwise included in other categories. Includes, but is not limited to durable medical equipment, facility fees of community health center services, freestanding ambulatory surgical center services, freestanding diagnostic facility services, hospice, hearing aid services and optical services. Payments made to members for direct reimbursement of healthcare benefits/services may be reported in “Claims: Other” if the insurance carrier is unable to classify the service. If this is the case, the carrier should consult with OHS about the appropriate placement of the service prior to categorizing it as “Claims: Other.” However, TME data for non-healthcare benefits/services, such as fitness club reimbursements, are not to be reported in any category. Payments for fitness club membership discounts whether given to the provider or given in the form of a capitated payment to an organization that assists the insurance carrier with enrolling members in gyms is not a valid payment to include.</t>
  </si>
  <si>
    <t>Non-Claims: Payments to Support Population Health and Practice Infrastructure</t>
  </si>
  <si>
    <t>Non-Claims: Other</t>
  </si>
  <si>
    <t>Non-Claims: Total Primary Care Non-Claims-Based Payments</t>
  </si>
  <si>
    <t>Total Claims Excluded because of Truncation</t>
  </si>
  <si>
    <t>Count of Members with Claims Truncated</t>
  </si>
  <si>
    <t>RX Rebates Tab</t>
  </si>
  <si>
    <t>Retail Pharmacy Rebates</t>
  </si>
  <si>
    <t>Medical Pharmacy Rebates</t>
  </si>
  <si>
    <t xml:space="preserve">The estimated value of rebates attributed to Connecticut resident members provided by pharmaceutical manufacturers for prescription drugs with specified dates of fill corresponding with the reporting period, excluding manufacturer-provided fair maker value bona fide service fees for pharmaceuticals that are paid for under the member’s medical benefit. These drugs may be included in the professional claims category with J codes or part of facility feeds for drug infusions administered in the outpatient setting. Pharmacy rebate data should exclude stand-alone prescription drug plans. 
When medical pharmacy rebate data are not available for Insurance Category Code 4 (Commercial Partial Claims), carriers should estimate the rebates using data from Insurance Category Code 3 (Commercial Full Claims). OHS recommends applying the pharmacy rebates to pharmacy spending ratio observed in Insurance Category Code 3. Carriers can then apply this ratio to the pharmacy spending within Insurance Category Code 4.
This amount should include pharmacy benefit manager (PBM) rebate guarantee amounts and any additional rebate amounts transferred by the PBM. This value should always be reported as a negative number. 
Total rebates should be reported without regard to how they are paid to the insurer (e.g., through regular aggregate payments, on a claims-by-claim basis, etc.) or whether they are passed on to an employer. The only exception is for Medicaid managed care payers who should not report pharmacy rebates that are passed to the state. They should only report those rebates above and beyond the state negotiated rebates. 
Payers should apply IBNR factors to preliminary prescription drug rebate data to estimate total anticipated rebates related to fill dates in the calendar year for which reporting will be done. If insurance carriers are unable to report rebates specifically for Connecticut residents, insurance carriers should report estimated rebates attributed to Connecticut resident members in a proportion equal to the proportion of pharmacy spending for Connecticut resident members compared to pharmacy spending for total members, by line of business. For example, if Connecticut resident commercial member spending represents 10% of an insurer’s total commercial members, then 10% of the total pharmacy rebates for its commercial book of business should be reported. If the insurer is unable to identify the percentage of pharmacy spending for Connecticut resident members, then the insurer should calculate the pharmacy rebates attributable to Connecticut resident members using percentage of membership. This value should always be reported as a negative number. </t>
  </si>
  <si>
    <t>Line of Business Enrollment Tab</t>
  </si>
  <si>
    <t>Line of Business Category Code</t>
  </si>
  <si>
    <t>Income from Fees of Uninsured Plans</t>
  </si>
  <si>
    <t>Standard Deviation Tab</t>
  </si>
  <si>
    <t>Total Truncated Spending</t>
  </si>
  <si>
    <t>The total claims-based spending after truncation attributed to each member participating in a plan each month with a medical benefit consistent with the general cost growth target specifications on how to calculate claims-based spending. The spending in these cells should be after member-level truncation is applied using the truncation points listed in the Implementation Manual. Do not include any non-claims spending categories.
Some insurers will attribute members to Advanced Networks on a monthly basis. If a member is attributed to more than one Advanced Network during the year, the payer should “reset the clock” by calculating total spending attributed to the Advanced Network for all Advanced Networks to which the member was reported and identify the total spending above the truncation point by each Advanced Network.
For insurers reporting in Insurance Category Code 4 (Partial Claims, Adjusted), the member level truncation should be applied after estimates of carve-out spending have been made, so that truncation is being applied to an estimate of individual members’ total claims spending.</t>
  </si>
  <si>
    <t>Standard Deviation of Claims Expenditures</t>
  </si>
  <si>
    <t xml:space="preserve">The calculated standard deviation for all members for the applicable market and Advanced Network, reported as a PMPM value. Insurance carriers should include all members attributed to an Advanced Network, including members with no utilization. Standard deviation should be based on per-member-per-month (PMPM) spending. Insurance carriers should calculate the standard deviation PMPM after partial claims adjustments. Non-claims expenditures should be excluded from the calculation. 
</t>
  </si>
  <si>
    <t>Age/Sex Factors Tab</t>
  </si>
  <si>
    <t>Sex Band Code</t>
  </si>
  <si>
    <t>Code associated with the sex of the members whose spending is being reported. See References Tables tab.</t>
  </si>
  <si>
    <t>Total Member Months by Age/Sex Band</t>
  </si>
  <si>
    <t>Total Spending before Truncation is Applied</t>
  </si>
  <si>
    <t>Count of Members whose Spending was Truncated</t>
  </si>
  <si>
    <t>Total Spending After Applying Truncation at the Member Level</t>
  </si>
  <si>
    <t>Total Spending Excluded from Spending After Applying Truncation at the Member Level</t>
  </si>
  <si>
    <t>The sum of all dollars that were removed from total spending after applying truncation at the member level.</t>
  </si>
  <si>
    <t>Connecticut</t>
  </si>
  <si>
    <t>Header Record Template - 2023</t>
  </si>
  <si>
    <t>Black = Payer-reported data </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</si>
  <si>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data in this tab.</t>
    </r>
  </si>
  <si>
    <t>HD001</t>
  </si>
  <si>
    <t>HD002</t>
  </si>
  <si>
    <t>HD003</t>
  </si>
  <si>
    <t>HD004</t>
  </si>
  <si>
    <t>HD005</t>
  </si>
  <si>
    <t>Insurer Carrier Org ID</t>
  </si>
  <si>
    <t>Period Beginning Date</t>
  </si>
  <si>
    <t>Period Ending Date</t>
  </si>
  <si>
    <t>Insurer Comments</t>
  </si>
  <si>
    <t>"Doing Business As"</t>
  </si>
  <si>
    <t>Header Record Template - 2024</t>
  </si>
  <si>
    <r>
      <rPr>
        <b/>
        <sz val="18"/>
        <color theme="0"/>
        <rFont val="Calibri"/>
        <family val="2"/>
        <scheme val="minor"/>
      </rPr>
      <t xml:space="preserve">Please enter </t>
    </r>
    <r>
      <rPr>
        <b/>
        <u/>
        <sz val="18"/>
        <color theme="0"/>
        <rFont val="Calibri"/>
        <family val="2"/>
        <scheme val="minor"/>
      </rPr>
      <t>2024</t>
    </r>
    <r>
      <rPr>
        <b/>
        <sz val="18"/>
        <color theme="0"/>
        <rFont val="Calibri"/>
        <family val="2"/>
        <scheme val="minor"/>
      </rPr>
      <t xml:space="preserve"> data in this tab.</t>
    </r>
  </si>
  <si>
    <t>Total Medical Expenses Calculation Template - 2023</t>
  </si>
  <si>
    <t>ANs without members attributed</t>
  </si>
  <si>
    <t>Check for Member Months</t>
  </si>
  <si>
    <t>Check for Truncated and Non-Truncated Spending</t>
  </si>
  <si>
    <t>Check for Average Truncated Claims Per Member</t>
  </si>
  <si>
    <t>Blue = OHS-calculated data</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</si>
  <si>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</si>
  <si>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</si>
  <si>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</si>
  <si>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</si>
  <si>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</si>
  <si>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</si>
  <si>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</si>
  <si>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</si>
  <si>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</si>
  <si>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</si>
  <si>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</si>
  <si>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</si>
  <si>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</si>
  <si>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</si>
  <si>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</si>
  <si>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</si>
  <si>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</si>
  <si>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</si>
  <si>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</si>
  <si>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</si>
  <si>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</si>
  <si>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</si>
  <si>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</si>
  <si>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</si>
  <si>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</si>
  <si>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</si>
  <si>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</si>
  <si>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Advanced Network/Insurance Carrier Org ID</t>
  </si>
  <si>
    <t>Member Months</t>
  </si>
  <si>
    <t>Non-Claims: Performance Payments</t>
  </si>
  <si>
    <t>Non-Claims: Shared Savings and Shared Risk Settlements</t>
  </si>
  <si>
    <t>Non-Claims: Capitation and Full Risk Payments</t>
  </si>
  <si>
    <t>TOTAL Non-Truncated Unadjusted Claims Expenses</t>
  </si>
  <si>
    <t>TOTAL Truncated Unadjusted Claims Expenses (A21 -A19)</t>
  </si>
  <si>
    <t>TOTAL Non-Claims Expenses</t>
  </si>
  <si>
    <t>TOTAL Non-Truncated Unadjusted Expenses (A21 + A23)</t>
  </si>
  <si>
    <t>TOTAL Truncated Unadjusted Expenses (A22 + A23)</t>
  </si>
  <si>
    <t>Non-Truncated Unadjusted TME (PMPM) (A24 / A1)</t>
  </si>
  <si>
    <t>Truncated Unadjusted TME (PMPM) (A25 / A1)</t>
  </si>
  <si>
    <t>Average Claims Truncated Per Member</t>
  </si>
  <si>
    <t>Total Claims Excluded (A19)/Total Non-Truncated Claims Expenses (A21)</t>
  </si>
  <si>
    <t>Total Medical Expenses Calculation Template - 2024</t>
  </si>
  <si>
    <t>Check for alignment of member months</t>
  </si>
  <si>
    <t>Pharmacy Rebate Template - 2023</t>
  </si>
  <si>
    <t>Total Pharmacy Rebates</t>
  </si>
  <si>
    <t>Pharmacy Rebate Template - 2024</t>
  </si>
  <si>
    <t>Line of Business Enrollment Template 2023 and 2024</t>
  </si>
  <si>
    <t>Insurance carriers with self-insured lines of business must provide total premiums received for self-insured accounts (in aggregate). Please follow the instructions from the National Association of Insurance Commissioners (NAIC) Supplemental Health Care Exhibit (SHCE), Part 1, Line 12, Income from Fees of Uninsured Plans. This information is separately requested because it is not typically reported in the SHCE filed with the Connecticut Insurance Department, but is necessary to calculate the Net Cost of Private Health Insurance (NCPHI).</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</si>
  <si>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and </t>
    </r>
    <r>
      <rPr>
        <b/>
        <u/>
        <sz val="18"/>
        <color theme="0"/>
        <rFont val="Calibri"/>
        <family val="2"/>
        <scheme val="minor"/>
      </rPr>
      <t>2024</t>
    </r>
    <r>
      <rPr>
        <b/>
        <sz val="18"/>
        <color theme="0"/>
        <rFont val="Calibri"/>
        <family val="2"/>
        <scheme val="minor"/>
      </rPr>
      <t xml:space="preserve"> data in this tab.</t>
    </r>
  </si>
  <si>
    <t>B1</t>
  </si>
  <si>
    <t>B3</t>
  </si>
  <si>
    <t>B4</t>
  </si>
  <si>
    <t>2023 Member Months</t>
  </si>
  <si>
    <t>2024 Member Months</t>
  </si>
  <si>
    <t>2023 Income from Fees of Uninsured Plans</t>
  </si>
  <si>
    <t>2024 Income from Fees of Uninsured Plans</t>
  </si>
  <si>
    <t>Standard Deviation Template - 2023</t>
  </si>
  <si>
    <t>Check for alignment of truncated spending by market</t>
  </si>
  <si>
    <t>Market ID</t>
  </si>
  <si>
    <t>Total Spending After Truncation</t>
  </si>
  <si>
    <t>Standard Deviation PMPM</t>
  </si>
  <si>
    <t>Standard Deviation Template - 2024</t>
  </si>
  <si>
    <t>Age/Sex Factors Template - 2023</t>
  </si>
  <si>
    <t>Advanced Network ID</t>
  </si>
  <si>
    <t>Total Dollars Excluded from Spending After Applying Truncation at the Member Level</t>
  </si>
  <si>
    <t>Truncated Spending + Dollars Excluded = Total Spending before Truncation is Applied?</t>
  </si>
  <si>
    <t>Age/Sex Factors Template - 2024</t>
  </si>
  <si>
    <t>Connecticut Insurer TME Data Specifications
Mandatory Questions</t>
  </si>
  <si>
    <t>I verify that the information in this workbook is accurate.</t>
  </si>
  <si>
    <t>Contact Name:</t>
  </si>
  <si>
    <t>[Input Required]</t>
  </si>
  <si>
    <t>Contact Email:</t>
  </si>
  <si>
    <t>All questions in this tab must be answered.</t>
  </si>
  <si>
    <t>Questions</t>
  </si>
  <si>
    <t>Response - 2023 Reporting</t>
  </si>
  <si>
    <t>Response - 2024 Reporting</t>
  </si>
  <si>
    <t>Comments</t>
  </si>
  <si>
    <t>Is spending reported in a manner consistent with the service category definitions outlined in Version 5.0 of the Implementation Manual?</t>
  </si>
  <si>
    <t>Does the TME data include Connecticut residents only?</t>
  </si>
  <si>
    <t>Do the data represent members who receive, at a minimum, medical benefits?</t>
  </si>
  <si>
    <t>Are the data limited only to members for whom the insurer is primary on the claim?</t>
  </si>
  <si>
    <t>Are members attributed to Advanced Networks consistent with each contract?</t>
  </si>
  <si>
    <t>Were members attributed using the Taxpayer Identification Numbers (TINs) provided by OHS?</t>
  </si>
  <si>
    <t>Do the TME data include allowed amounts?</t>
  </si>
  <si>
    <t>Does the TME include services provided by providers, regardless of location of provider?</t>
  </si>
  <si>
    <t>Does the TME include services provided by providers, regardless of the situs of the member's plan?</t>
  </si>
  <si>
    <t>Do the TME data include all data for all attributed members for each month a member was attributed?</t>
  </si>
  <si>
    <t>Are TME data submitted based on the incurred date/date of service?</t>
  </si>
  <si>
    <t xml:space="preserve">How long was the claims runout period for claims payments (e.g., "at least 180 days")? </t>
  </si>
  <si>
    <t xml:space="preserve">How long was the runout period for non-claims payments (e.g., "at least 180 days")? </t>
  </si>
  <si>
    <t>Are IBNR/IBNP factors applied to the TME data?</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</si>
  <si>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</si>
  <si>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</si>
  <si>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</si>
  <si>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 xml:space="preserve">If reporting ICC 4, was the spending adjusted prior to truncation? </t>
  </si>
  <si>
    <t>Are pharmacy rebate data estimated? If yes, how?</t>
  </si>
  <si>
    <t>What carved-out services are estimated? If estimations were made, did OHS approve your methodology for estimating?</t>
  </si>
  <si>
    <t>Is the standard deviation calculated using the formula for population standard deviation?</t>
  </si>
  <si>
    <t>In calculating standard deviation, is spending included for every month the member was attributed, regardless of whether the member has paid claims?</t>
  </si>
  <si>
    <t>Does the standard deviation data exclude non-claims spending?</t>
  </si>
  <si>
    <t>Is standard deviation calculated by market, which combines certain Insurance Category codes?</t>
  </si>
  <si>
    <t>Did you review the "Validation by Market," "Validation by Provider," and "Data Validation" tabs to ensure the consistency and accuracy of the data being submitted?</t>
  </si>
  <si>
    <t>Is there anything else you would like us to know about the data you submitted?</t>
  </si>
  <si>
    <t>This tab uses the data you submitted in the Advanced Network and Rx Rebates tabs to calculate member month and per member per month (PMPM) spend and trend by market and spending category. Please review the data in this tab prior to submission to ensure that you are comfortable with the 2023 and 2024 PMPM values and trends reflected in the tables below.</t>
  </si>
  <si>
    <t>Table 1: Member Months by Market</t>
  </si>
  <si>
    <t>Market</t>
  </si>
  <si>
    <t>2023</t>
  </si>
  <si>
    <t>2024</t>
  </si>
  <si>
    <t>2023-2024 Trend</t>
  </si>
  <si>
    <t>Commercial - Total</t>
  </si>
  <si>
    <t>Medicare - Total</t>
  </si>
  <si>
    <t>Total</t>
  </si>
  <si>
    <t>Table 2: Total Medical Expense (TME) Trends by Market, Net of Rebates (Non-Truncated, Unadjusted)</t>
  </si>
  <si>
    <t>Table 3: Per Member Per Month (PMPM) TME Trends by Market, Net of Rebates (Non-Truncated, Unadjusted)</t>
  </si>
  <si>
    <t>Total (Unadjusted, Net of Total Rebates)</t>
  </si>
  <si>
    <t>Table 4: Total Medical Expense (TME) Trends by Market, Net of Rebates (Truncated, Unadjusted)</t>
  </si>
  <si>
    <t>Table 5: Per Member Per Month (PMPM) TME Trends by Market, Net of Rebates (Truncated, Unadjusted)</t>
  </si>
  <si>
    <t>Table 6: Commercial - Total TME Trends PMPM</t>
  </si>
  <si>
    <t>Table 7: Commercial - Full Claims (ICC 3) TME Trends PMPM</t>
  </si>
  <si>
    <t>Table 8: Commercial - Partial Claims (ICC 4) TME Trends PMPM</t>
  </si>
  <si>
    <t>Note: PMPMs are not risk adjusted.</t>
  </si>
  <si>
    <t>Service Category</t>
  </si>
  <si>
    <t>Claims: Pharmacy (Gross of Retail Pharmacy Rebates)</t>
  </si>
  <si>
    <t>Claims: Pharmacy (Net of Retail Pharmacy Rebates)</t>
  </si>
  <si>
    <t>Total Non-Truncated Claims Spending</t>
  </si>
  <si>
    <t>Total Truncated Claims Spending</t>
  </si>
  <si>
    <t>Total Non-claims Spending</t>
  </si>
  <si>
    <t>Total Non-Truncated Spending, Gross of Total Rebates</t>
  </si>
  <si>
    <t>Total Non-Truncated Spending, Net of Total Rebates</t>
  </si>
  <si>
    <t>Total Truncated Spending, Gross of Total Rebates</t>
  </si>
  <si>
    <t>Total Truncated Spending, Net of Total Rebates</t>
  </si>
  <si>
    <t>Table 9: Medicare - Total TME Trends PMPM</t>
  </si>
  <si>
    <t>Table 10: Medicare Managed Care (ICC 1) TME Trends PMPM</t>
  </si>
  <si>
    <t>Table 11: Medicare Expenditures for Medicare/Medicaid Dual Eligibles (ICC 5) TME Trends PMPM</t>
  </si>
  <si>
    <t>Table 12: Other (ICC 7) TME Trends PMPM</t>
  </si>
  <si>
    <t>Validation by Advanced Network</t>
  </si>
  <si>
    <t>This tab uses the data you submitted in the Advanced Network and Rx Rebates tabs to calculate member month and per member per month (PMPM) spend and trends by Advanced Network and spending category. Please review the data in this tab prior to submission to ensure that you are comfortable with the 2024 and 2024 PMPM values and trend reflected in the tables below.</t>
  </si>
  <si>
    <t>Table 1: Commercial - Total TME Service Category Trends PMPM</t>
  </si>
  <si>
    <t>Advanced Network</t>
  </si>
  <si>
    <t>Org ID</t>
  </si>
  <si>
    <t>Name</t>
  </si>
  <si>
    <t>Claims: Professional, Primary Care (Monitoring)</t>
  </si>
  <si>
    <t>Claims: Pharmacy (Gross of Rebates)</t>
  </si>
  <si>
    <t>Claims: Long-term Care</t>
  </si>
  <si>
    <t>TOTAL Non-Truncated Claims Expenses</t>
  </si>
  <si>
    <t>TOTAL Truncated Claims Expenses</t>
  </si>
  <si>
    <t>TOTAL Non-Truncated Total Expenses</t>
  </si>
  <si>
    <t>TOTAL Truncated Total Expenses</t>
  </si>
  <si>
    <t>Total, Gross of Rebates</t>
  </si>
  <si>
    <t>Total, Net of Rebates</t>
  </si>
  <si>
    <t>Table 2: Commercial - Full Claims (ICC 3) TME Service Category Trends PMPM</t>
  </si>
  <si>
    <t>Table 3: Commercial - Partial Claims (ICC 4) TME Service Category Trends PMPM</t>
  </si>
  <si>
    <t>Table 4: Medicare - Total TME Service Category Trends PMPM</t>
  </si>
  <si>
    <t>`</t>
  </si>
  <si>
    <t>Table 5: Medicare Managed Care (ICC 1) TME Service Category Trends PMPM</t>
  </si>
  <si>
    <t>Table 6: Medicare Expenditures for Medicare/Medicaid Dual Eligibles (ICC 5) TME Service Category Trends PMPM</t>
  </si>
  <si>
    <t>Table 7: Other (ICC 7) TME Service Category Trends PMPM</t>
  </si>
  <si>
    <t>Table of Contents &amp; Summary Report</t>
  </si>
  <si>
    <t>Checks for Insurer Overall</t>
  </si>
  <si>
    <t>Issue for 2023?</t>
  </si>
  <si>
    <t>Issue for 2024?</t>
  </si>
  <si>
    <t>Alignment of member months across the Advanced Network, Age/Sex, Line of Business, and Standard Deviation tabs by Market</t>
  </si>
  <si>
    <t>Alignment of member months across the Advanced Network, Age/Sex, Line of Business, and Standard Deviation tabs by ICC</t>
  </si>
  <si>
    <t>Reasonableness of PMPMs - is there a greater than 10% difference between ICCs 3 and 4 for any Claims category?</t>
  </si>
  <si>
    <t>Checks by Advanced Network</t>
  </si>
  <si>
    <t>ICC1</t>
  </si>
  <si>
    <t>ICC2</t>
  </si>
  <si>
    <t>ICC3</t>
  </si>
  <si>
    <t>ICC4</t>
  </si>
  <si>
    <t>ICC5</t>
  </si>
  <si>
    <t>ICC6</t>
  </si>
  <si>
    <t>Alignment of truncated and non-truncated spending by Advanced Network Across the Advanced Network and Age/Sex tabs</t>
  </si>
  <si>
    <t>Advanced Networks With No Spending Attributed</t>
  </si>
  <si>
    <t>Is truncated spending at the AN level greater than or equal to truncated spending for the Insurer Overall?</t>
  </si>
  <si>
    <t>For how many Advanced Networks was there a significant (&gt;10%) increase or decrease in member months attributed from 2023 to 2024?</t>
  </si>
  <si>
    <t>Medicare</t>
  </si>
  <si>
    <t>Medicaid</t>
  </si>
  <si>
    <t>Commercial</t>
  </si>
  <si>
    <t>Alignment of Truncated Spending by Market between Advanced Network and Standard Deviation tabs</t>
  </si>
  <si>
    <t>Reporting Period</t>
  </si>
  <si>
    <t>Reported Dates</t>
  </si>
  <si>
    <t>Expected Insurance Category Codes for Carrier</t>
  </si>
  <si>
    <t>Red highlighting indicates that there is no data where we would expected reported values.</t>
  </si>
  <si>
    <t>Expected in 2023?</t>
  </si>
  <si>
    <t>Reported in Advanced Network tab for 2023?</t>
  </si>
  <si>
    <t>Expected in 2024?</t>
  </si>
  <si>
    <t>Reported in Advanced Network tab for 2024?</t>
  </si>
  <si>
    <t>Consistent across 2023 and 2024?</t>
  </si>
  <si>
    <t>Consistency of Member Months Across Advanced Network, Age Sex, Line of Business, and Standard Deviation tabs for 2023 for Insurer Overall by Market</t>
  </si>
  <si>
    <t>Red highlighting indicates member months do not match across tabs.</t>
  </si>
  <si>
    <t>Category</t>
  </si>
  <si>
    <t>Line of Business</t>
  </si>
  <si>
    <t>Consistent? If not, what is the variation between the TME and Line of Business tabs?</t>
  </si>
  <si>
    <t>Age/Sex</t>
  </si>
  <si>
    <t>Consistent? If not, what is the variation between the Advanced Network and Age/Sex tabs?</t>
  </si>
  <si>
    <t>Standard Deviation</t>
  </si>
  <si>
    <t>Consistent? If not, what is the variation between the Advanced Network and Standard Deviation tabs?</t>
  </si>
  <si>
    <t>Duals (ICCs 5+6)</t>
  </si>
  <si>
    <t>Commercial (ICCs 3+4)</t>
  </si>
  <si>
    <t>Consistency of Member Months Across Advanced Network, Age Sex, Line of Business, and Standard Deviation tabs for 2024 for Insurer Overall by Market</t>
  </si>
  <si>
    <t>[back to top]</t>
  </si>
  <si>
    <t>Consistency of Member Months in Age/Sex Factors Tabs for Insurer Overall (ID 100) by ICC</t>
  </si>
  <si>
    <t>2023 Advanced Network Member Months</t>
  </si>
  <si>
    <t>2023 Age/Sex Member Months</t>
  </si>
  <si>
    <t>Consistent? If not, what is the variation between the Advanced Network and Age/Sex tabs for 2023?</t>
  </si>
  <si>
    <t>Is the member months for the Insurer Overall equal to the sum of member months across all Advanced Networks for 2023?</t>
  </si>
  <si>
    <t>2024 Advanced Network Member Months</t>
  </si>
  <si>
    <t>2024 Age/Sex Member Months</t>
  </si>
  <si>
    <t>Consistent? If not, what is the variation between the Advanced Network and Age/Sex tabs for 2024?</t>
  </si>
  <si>
    <t>Check that members were attributed to all Advanced Networks</t>
  </si>
  <si>
    <t>Insurance Category Code 1</t>
  </si>
  <si>
    <t>Insurance Category Code 3</t>
  </si>
  <si>
    <t>Insurance Category Code 4</t>
  </si>
  <si>
    <t>Insurance Category Code 5</t>
  </si>
  <si>
    <t>Click (+) or [2] to expand, (-) or [1] to collapse data by ICC</t>
  </si>
  <si>
    <t>Consistency of Truncated Spending and Members with Truncated Spending Across TME and Age/Sex tabs for 2023 by Advanced Network</t>
  </si>
  <si>
    <t>Consistency of Truncated Spending and Members with Truncated Spending Across TME and Age/Sex tabs for 2024 by Advanced Network</t>
  </si>
  <si>
    <t>Insurance Category 1</t>
  </si>
  <si>
    <t>Data from 2023 Age/Sex tab</t>
  </si>
  <si>
    <t>Do data in the Age/Sex tabs match data in the TME tab for 2023?</t>
  </si>
  <si>
    <t>Extra Checks</t>
  </si>
  <si>
    <t>Data from 2024 Age/Sex tab</t>
  </si>
  <si>
    <t>Do data in the Age/Sex tabs match data in the TME tab for 2024?</t>
  </si>
  <si>
    <t>Count of members whose spending was truncated</t>
  </si>
  <si>
    <t>Total Dollars excluded?</t>
  </si>
  <si>
    <t>Count of members whose spending was truncated?</t>
  </si>
  <si>
    <t>Total Spending before Truncation is Applied?</t>
  </si>
  <si>
    <t>Total Spending After Applying Truncation at the Member Level?</t>
  </si>
  <si>
    <t>Total Members greater than Count of Members with Claims Truncated?
If not, what is the variation?</t>
  </si>
  <si>
    <t>TME Tab: Spending before Truncation greater than (or equal to) Spending after Truncation?</t>
  </si>
  <si>
    <t>TME Tab: 
Truncated Spending + Amount of Claims Truncated = Total Spending before Truncation?</t>
  </si>
  <si>
    <t>Change in Member Months between 2023 and 2024 by AN</t>
  </si>
  <si>
    <t>Insurance Category 2</t>
  </si>
  <si>
    <t>Insurance Category 3</t>
  </si>
  <si>
    <t>Insurance Category 4</t>
  </si>
  <si>
    <t xml:space="preserve">Insurance Category 5 </t>
  </si>
  <si>
    <t>Insurance Category 6</t>
  </si>
  <si>
    <t>Consistency of Truncated Spending by Advanced Network between the Advanced Network and Standard Deviation Tabs for each Market by Advanced Network</t>
  </si>
  <si>
    <t>Total Truncated Claim Spending from TME tab for market</t>
  </si>
  <si>
    <t>Total Truncated Spending from Standard Deviation tab</t>
  </si>
  <si>
    <t>Consistent?</t>
  </si>
  <si>
    <t>Reasonableness of PMPMs for 2023 for Insurer Overall</t>
  </si>
  <si>
    <t>Red highlighting indicates the reported PMPM is less than &lt;$10, potentially indicating an error.</t>
  </si>
  <si>
    <t xml:space="preserve"> Non-Truncated Unadjusted Expenses</t>
  </si>
  <si>
    <t>Total Non-Claims</t>
  </si>
  <si>
    <t>Total Claims: Pharmacy Spending</t>
  </si>
  <si>
    <t>Total Pharmacy Rebates Reported (Medical + Retail)</t>
  </si>
  <si>
    <t>Are rebates reported for the ICC greater than Claims: Pharmacy?</t>
  </si>
  <si>
    <r>
      <t xml:space="preserve">Greater than or equal to a 10% change between ICCs 3+4? 
</t>
    </r>
    <r>
      <rPr>
        <i/>
        <sz val="11"/>
        <color theme="1"/>
        <rFont val="Calibri"/>
        <family val="2"/>
        <scheme val="minor"/>
      </rPr>
      <t>Red highlighting indicates a 10%+ change.</t>
    </r>
  </si>
  <si>
    <t>Reasonableness of PMPMs for 2024 for Insurer Overall</t>
  </si>
  <si>
    <t>Reasonableness of Data Compared to Other Submitted Data for 2023</t>
  </si>
  <si>
    <t>Reasonableness of Data Compared to Other Submitted Data for 2024</t>
  </si>
  <si>
    <t>Red highlighting indicates a percentage change of greater than 10%.</t>
  </si>
  <si>
    <t>Source</t>
  </si>
  <si>
    <t>% Change</t>
  </si>
  <si>
    <t>1 + 5</t>
  </si>
  <si>
    <t>Member Months “Monthly MA Enrollment by State/County/Contract” report</t>
  </si>
  <si>
    <t>Responses to Mandatory Questions</t>
  </si>
  <si>
    <t>Red highlighting indicates a response that deviates from the answer we would expect to receive.</t>
  </si>
  <si>
    <t>Question</t>
  </si>
  <si>
    <t>2023 Answer</t>
  </si>
  <si>
    <t>Expected?</t>
  </si>
  <si>
    <t>2024 Answer</t>
  </si>
  <si>
    <t>Expected Insurance Category Codes</t>
  </si>
  <si>
    <t>Medicaid Managed Care</t>
  </si>
  <si>
    <t>Commercial Full Claims</t>
  </si>
  <si>
    <t>Commercial Partial Claims</t>
  </si>
  <si>
    <t>Medicare Exp. Duals</t>
  </si>
  <si>
    <t>Medicaid Exp. Duals</t>
  </si>
  <si>
    <t>X</t>
  </si>
  <si>
    <t>Connecticut Office of the State Comptroller</t>
  </si>
  <si>
    <t>Medicare Managed Care Enrollment by State/County/Contract 
X 12</t>
  </si>
  <si>
    <t>Expected Answer</t>
  </si>
  <si>
    <t>At least 180 days</t>
  </si>
  <si>
    <t>Not Applicable</t>
  </si>
  <si>
    <t xml:space="preserve">The TME paid to primary care providers delivered at a primary care site of care generated from claims using the code-level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
  </si>
  <si>
    <r>
      <t xml:space="preserve">The TME paid to primary care providers, including OB/GYNs and midwifery, generated from claims using the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and for OB/GYNs and midwives that billed for codes in the code-level definition at a primary care site of care.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
    </r>
    <r>
      <rPr>
        <b/>
        <sz val="11"/>
        <color theme="1"/>
        <rFont val="Calibri"/>
        <family val="2"/>
        <scheme val="minor"/>
      </rPr>
      <t xml:space="preserve">Note: </t>
    </r>
    <r>
      <rPr>
        <sz val="11"/>
        <color theme="1"/>
        <rFont val="Calibri"/>
        <family val="2"/>
        <scheme val="minor"/>
      </rPr>
      <t xml:space="preserve">TME paid to OB/GYNs and midwifery included in the “Claims: Professional, Primary Care (for Monitoring Purposes)” category should also be included in the “Claims: Professional, Specialty” category.
</t>
    </r>
  </si>
  <si>
    <t xml:space="preserve">The TME paid to physicians or physician group practices generated from claims. Includes services provided by a doctors of medicine or osteopathy in clinical areas other than family medicine, internal medicine, general medicine or pediatric medicine, not defined as primary care in the first primary care definition above. Note: TME paid to OB/GYNs and midwifery included in the “Claims: Professional, Primary Care (for Monitoring Purposes)” category should also be included in the “Claims: Professional, Specialty” category.
</t>
  </si>
  <si>
    <t xml:space="preserve">Payments made to support the infrastructure and resources necessary for coordinating care, improving quality, and/or controlling costs. Includes, but is not limited to payments that support a) care management, care coordination, population health, medication reconciliation, b) primary care/behavioral health/social care integration, c) provider electronic health record (EHR)/health information technology (HIT) infrastructure and other provider data analytic payments, and d) patient-centered medical home recognition or practice transformation.
</t>
  </si>
  <si>
    <t xml:space="preserve">Payments made to providers based on their performance on specific metrics, which could be related to quality of care, patient outcomes, or data reporting. Includes pay-for-performance, i.e., payments to reward providers for achieving a set target, and pay-for-reporting, i.e., payments to providers for reporting on a set of metrics, usually to build capacity for pay-for-performance, payments. Includes shared savings distributions, i.e., payments received by providers if costs of services are below a set target, and shared risk recoupments, i.e., payments providers must recoup if costs of services are above a set target.
</t>
  </si>
  <si>
    <t>Financial arrangements where providers are rewarded for achieving cost savings and/or quality goals for a defined set of services over a specific period. Providers may share in the savings generated or bear financial risk if costs exceed expectations. Payments under this category includes shared savings and shared risk settlements a) for fee-for-service episode-based contracts and b) for fee-for-service total cost of care contracts.</t>
  </si>
  <si>
    <t xml:space="preserve">Payments made to providers on a per-patient basis, regardless of the amount of care the patient receives, with the provider assuming full financial risk. All non-claims-based payments for services delivered under the following payment arrangements: a) prospective episode-based payments that include full risk, b) capitation, c) prospective global budget payment with full risk, and d) full risk payments to integrated finance and delivery systems.
</t>
  </si>
  <si>
    <t xml:space="preserve">All other payments made pursuant to the insurer’s contract with a provider not made on the basis of a claim for healthcare benefits/services and cannot be properly classified elsewhere. This may include governmental payer shortfall payments, grants or other surplus payments. Only payments made to providers are to be reported; insurer administrative expenditures (including corporate allocations) are not included in TME.
</t>
  </si>
  <si>
    <t xml:space="preserve">All non-claims-based payments included in the above six categories that are specifically made to a primary care provider or provider organization. Payments in this category should be a sub-set of payments reported in the other non-claims categories. This category is the only category not mutually exclusive to the other non-claims categories.
</t>
  </si>
  <si>
    <t xml:space="preserve">The total claims-based spending truncated using the truncation points listed in the Implementation Manual. This variable is collected by Insurance Category Code for each Advanced Network and for the Carrier Overall. 
While OHS recognizes that some insurance carriers separately truncate medical and pharmacy spending in their total cost of care contracts, OHS requests that truncation be applied to individuals’ total spending, inclusive of all medical and pharmacy spending.
For insurance carriers reporting Insurance Category Code 4 spending (Commercial: Partial Claims), the member level truncation should be applied after estimates of carve-out spending have been made, so that truncation is being applied to an estimate of individual members’ total claims spending.
</t>
  </si>
  <si>
    <t xml:space="preserve">The number of members whose spending was above the truncation threshold applicable to the Insurance Category Code and Advanced Network to which the member was attributed. This variable is collected by Insurance Category Code for each Advanced Network and for the Carrier Overall. 
</t>
  </si>
  <si>
    <t xml:space="preserve">All TME data from claims to providers for: (1) nursing homes and skilled nursing facilities; (2) intermediate care facilities for individuals with intellectual disability (ICF/ID) and assisted living facilities; and (3) providers of home- and community-based services, including personal care (e.g., assistance with dressing, bathing, eating, etc.), homemaker and chore services, home-delivered meal programs, home health services, adult daycare, self-directed personal assistance services (e.g., assistance with grocery shopping, etc.), and programs designed to assist individuals with long-term care needs who receive care in their home and community, such as PACE and Money Follows the Person. Does not include payments made for professional services rendered during a facility stay that have been billed directly by a physician group practice or an individual practitioner.
</t>
  </si>
  <si>
    <t xml:space="preserve">The TME paid from claims to healthcare providers for prescription drugs, biological products or vaccines as defined by the insurance carrier’s prescription drug benefit. This category should not include claims paid for pharmaceuticals under the carrier’s medical benefit. Pharmacy spending provided under the medical benefit should be attributed to the location in which it was delivered (e.g., pharmaceuticals delivered in a hospital inpatient setting should be attributed to Claims: Hospital Inpatient). Medicare managed care, i.e., Medicare Advantage, insurance carriers that offer stand-alone prescription drug plans (PDPs) should exclude stand-alone PDP data from their TME. Pharmacy data is to be reported gross of applicable rebates.
</t>
  </si>
  <si>
    <t xml:space="preserve">The TME paid to hospitals for inpatient services generated from claims. Includes all room and board and ancillary payments. Includes all hospital types. Includes payments for emergency room services when the member is admitted to the hospital, in accordance with the specific payer’s payment rules. Does not include payments made for observation services. Does not include payments made for physician services provided during an inpatient stay that have been billed directly by a physician group practice or an individual physician. Does not include inpatient services at non-hospital facilities.
</t>
  </si>
  <si>
    <t xml:space="preserve">A hierarchy field code indicates the attribution methodology through which member months per allocated top providers. Tiers 1, 2, and 3 refer to memebr selection, contractual arrangements, and utilization/other, respectively. Field code 4 should be used for unattributed member months and field code 5 for overall payer data.
</t>
  </si>
  <si>
    <t xml:space="preserve">The number of unique members participating in a plan each month with at least a medical benefit, regardless of whether the member has any paid claims. Member months should be calculated by taking the number of members with a medical benefit and multiplying that sum by the number of months in the member’s policy.
</t>
  </si>
  <si>
    <t xml:space="preserve">A number that indicates the insurance category that is being reported, as defined in Table A-4 below. All data reported by Insurance Category Code should be mutually exclusive. Commercial claims should be separated into two categories. Commercial self insured or fully insured data for large providers for which the insurance carrier can collect information on all direct medical claims and any claims paid by a delegated entity should be reported in the “Full Claims” category. Commercial self-insured or fully insured data that does not include all medical and subcarrier claims should be reported in the “Partial Claims,” category. An adjustment should be made to “Partial Claims” to allow for them to be comparable to full claims. Such an adjustment must be reviewed with OHS before the adjustment is made.  The goal of the adjustment is to estimate what total spending might be for those members without having to collect claims data from carve-out vendors, such as PBMs or behavioral health vendors. For example, for those members for whom pharmacy benefits are carved out, the insurance carrier might include its commercial market book of business average pharmacy spending PMPM for the same year, calculated on members who had pharmacy coverage, applied to all member months for which the carve out applied.
If an insurance carrier enrolls Medicare/Medicaid dual eligibles, OHS requires the carrier to report Medicare-related expenditures under Insurance Category Code 5 and Medicaid-related expenditures under Insurance Category Code 6. For example, if a carrier covers Medicare/Medicaid dual eligibles, but is only responsible for Medicaid services, expenditures for those dual eligibles are reported under Insurance Category Code 6. However, if a carrier is an integrated care entity providing both Medicare and Medicaid benefits to dual eligibles, the carrier should use both Insurance Category Codes 5 and 6, respectively, to report applicable expenditures. If direct assignment of the expenditure cannot be made to code 5 or 6, the carrier should use reasonable and appropriate methods to allocate expenditures to the respective Insurance Category Code. This will allow OHS to include the Medicare- or Medicaid-related expenditure for dual eligibles in the respective Market for reporting purposes.
Insurance carriers shall report for all insurance categories for which they have business. For carriers reporting in the “Other” category, carriers should describe in the Comments field (HD004) what is included in the “Other” category.
</t>
  </si>
  <si>
    <t xml:space="preserve">The OHS-assigned organizational ID of the Advanced Network or the Carrier Overall. For TME data for members who are unattributed to an Advanced Network, their data are to be reported in aggregate as “Members Not Attributed to an Advanced Network (Advanced Network Identification Number 999).” 
</t>
  </si>
  <si>
    <t xml:space="preserve">A number that indicates the insurance category that pharmacy rebates are being reported on. Use the applicable Insurance Category Code as defined previously in the Advanced Network Record File (not all Insurance Category Codes may be applicable to pharmacy rebates).
</t>
  </si>
  <si>
    <t xml:space="preserve">The estimated value of rebates attributed to Connecticut resident members provided by pharmaceutical manufacturers for prescription drugs with specified dates of fill, corresponding to the reporting period excluding manufacturer-provided fair market value bona fide service fees for retail prescription drugs. This amount should include pharmacy benefit manager (PBM) rebate guarantee amounts and any additional rebate amounts transferred by the PBM. Pharmacy rebate data should exclude stand-alone prescription drug plans.
When retail pharmacy rebate data are not available for Insurance Category Code 4 (Commercial Partial Claims), carriers should estimate the rebates using data from Insurance Category Code 3 (Commercial Full Claims). OHS recommends applying the pharmacy rebates to pharmacy spending ratio observed in Insurance Category Code 3. Carriers can then apply this ratio to the pharmacy spending within Insurance Category Code 4.
</t>
  </si>
  <si>
    <t xml:space="preserve">The number of members participating in a plan categorized by the insurance carrier as individual, large group – fully insured, small group – fully insured, self-insured, student market, Medicare managed care and Medicare/Medicaid duals. Carriers should not include Medigap members, but should include D-SNP members. Insurance carriers should report member months (see definition below) by line of business category listed in the References Tables tab.
</t>
  </si>
  <si>
    <t xml:space="preserve">OHS requests insurance carriers to report aggregate information on the premiums earned from their self-insured accounts (e.g., “fees from uninsured plans”). Carriers should follow the instructions for Part 1, Line 12 on the NAIC SCHE for their Connecticut-situs self-insured accounts. Carriers must report this for self-insured plans since this is not typically reported in the SHCE filed with the Connecticut Insurance Department. 
</t>
  </si>
  <si>
    <t xml:space="preserve">Code referring to the to the Medicare, Medicaid and Commercial markets, and combines Insurance Category Codes.  See the References Tables tab.
</t>
  </si>
  <si>
    <t xml:space="preserve">The OHS-assigned organizational ID of the Advanced Network or the Carrier Overall. For TME data for members who are unattributed to an Code associated with the age band of the members whose spending is being reported. See References Tables tab.
</t>
  </si>
  <si>
    <t xml:space="preserve">The number of unique Connecticut resident members for the age/sex cell participating in a plan each month with a medical benefit, regardless of whether the member has any paid claims. Member months should be calculated by summing the number of months each member was enrolled in a plan with a medical benefit for one calendar year. The age of the member should be determined as of January 1st of the calendar year.
</t>
  </si>
  <si>
    <t xml:space="preserve">The annual total claims-based spending attributed to each member participating in a plan each month with a medical benefit consistent with aforementioned specifications on how to calculate claims-based spending. The spending in these cells should be before member-level truncation is applied. Do not include any non-claims spending categories.
</t>
  </si>
  <si>
    <t xml:space="preserve">The number of members whose spending was above the truncation threshold applicable to the Insurance Category Code and Advanced Network to which the member was attributed. This variable is collected by Insurance Category Code for each Advanced Network. 
</t>
  </si>
  <si>
    <t>Western Connecticut Health Network (WCHN) Physician Hospital Organization</t>
  </si>
  <si>
    <t>Southern New England Health Care Organization (aka SoNE Health)</t>
  </si>
  <si>
    <t>InterCommunity Health Care</t>
  </si>
  <si>
    <t>For delegated payment arrangements reported under "Non-Claim: Capitation and Full Risk Payments," were administrative expenses included in the reported payments? If not applicable, select "Not Applicable."</t>
  </si>
  <si>
    <t>Westchester Medical Group PLLC (dba WestMed)</t>
  </si>
  <si>
    <t>Senior Care Network of CT (dba Advantage Plus Network)</t>
  </si>
  <si>
    <t>The definitions below are pulled directly from Version 5.1 of the Implementation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</si>
</sst>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 numFmtId="167" formatCode="&quot;$&quot;#,##0"/>
    <numFmt numFmtId="168" formatCode="0.0%"/>
    <numFmt numFmtId="169" formatCode="_([$$-409]* #,##0.00_);_([$$-409]* \(#,##0.00\);_([$$-409]* &quot;-&quot;??_);_(@_)"/>
    <numFmt numFmtId="170" formatCode="&quot;$&quot;#,##0.00"/>
  </numFmts>
  <fonts count="33" x14ac:knownFonts="1">
    <font>
      <sz val="11"/>
      <color theme="1"/>
      <name val="Calibri"/>
      <family val="2"/>
      <scheme val="minor"/>
    </font>
    <font>
      <b/>
      <sz val="11"/>
      <color theme="1"/>
      <name val="Calibri"/>
      <family val="2"/>
      <scheme val="minor"/>
    </font>
    <font>
      <b/>
      <u/>
      <sz val="11"/>
      <color theme="1"/>
      <name val="Calibri"/>
      <family val="2"/>
      <scheme val="minor"/>
    </font>
    <font>
      <sz val="10"/>
      <name val="Calibri"/>
      <family val="2"/>
    </font>
    <font>
      <sz val="11"/>
      <color rgb="FF0070C0"/>
      <name val="Calibri"/>
      <family val="2"/>
      <scheme val="minor"/>
    </font>
    <font>
      <sz val="11"/>
      <color theme="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u/>
      <sz val="11"/>
      <color rgb="FFFF0000"/>
      <name val="Calibri"/>
      <family val="2"/>
      <scheme val="minor"/>
    </font>
    <font>
      <sz val="11"/>
      <name val="Calibri"/>
      <family val="2"/>
      <scheme val="minor"/>
    </font>
    <font>
      <sz val="11"/>
      <color rgb="FFC00000"/>
      <name val="Calibri"/>
      <family val="2"/>
      <scheme val="minor"/>
    </font>
    <font>
      <b/>
      <sz val="11"/>
      <color theme="0"/>
      <name val="Calibri"/>
      <family val="2"/>
      <scheme val="minor"/>
    </font>
    <font>
      <i/>
      <sz val="11"/>
      <color rgb="FFC00000"/>
      <name val="Calibri"/>
      <family val="2"/>
      <scheme val="minor"/>
    </font>
    <font>
      <i/>
      <sz val="11"/>
      <name val="Calibri"/>
      <family val="2"/>
      <scheme val="minor"/>
    </font>
    <font>
      <b/>
      <sz val="12"/>
      <color theme="1"/>
      <name val="Calibri"/>
      <family val="2"/>
      <scheme val="minor"/>
    </font>
    <font>
      <sz val="11"/>
      <color theme="5"/>
      <name val="Calibri"/>
      <family val="2"/>
      <scheme val="minor"/>
    </font>
    <font>
      <b/>
      <i/>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sz val="8"/>
      <name val="Calibri"/>
      <family val="2"/>
      <scheme val="minor"/>
    </font>
    <font>
      <b/>
      <sz val="20"/>
      <color theme="1"/>
      <name val="Calibri"/>
      <family val="2"/>
      <scheme val="minor"/>
    </font>
    <font>
      <sz val="11"/>
      <color rgb="FF0070C0"/>
      <name val="Calibri"/>
      <family val="2"/>
    </font>
    <font>
      <b/>
      <sz val="16"/>
      <color theme="1"/>
      <name val="Calibri"/>
      <family val="2"/>
      <scheme val="minor"/>
    </font>
    <font>
      <b/>
      <sz val="18"/>
      <name val="Calibri"/>
      <family val="2"/>
      <scheme val="minor"/>
    </font>
    <font>
      <b/>
      <u/>
      <sz val="14"/>
      <color theme="1"/>
      <name val="Calibri"/>
      <family val="2"/>
      <scheme val="minor"/>
    </font>
    <font>
      <b/>
      <sz val="26"/>
      <color rgb="FFC00000"/>
      <name val="Calibri"/>
      <family val="2"/>
      <scheme val="minor"/>
    </font>
    <font>
      <u/>
      <sz val="11"/>
      <color theme="10"/>
      <name val="Calibri"/>
      <family val="2"/>
      <scheme val="minor"/>
    </font>
    <font>
      <u/>
      <sz val="11"/>
      <color theme="1"/>
      <name val="Calibri"/>
      <family val="2"/>
      <scheme val="minor"/>
    </font>
    <font>
      <b/>
      <sz val="18"/>
      <color theme="0"/>
      <name val="Calibri"/>
      <family val="2"/>
      <scheme val="minor"/>
    </font>
    <font>
      <b/>
      <u/>
      <sz val="18"/>
      <color theme="0"/>
      <name val="Calibri"/>
      <family val="2"/>
      <scheme val="minor"/>
    </font>
    <font>
      <b/>
      <u/>
      <sz val="20"/>
      <color theme="1"/>
      <name val="Calibri"/>
      <family val="2"/>
      <scheme val="minor"/>
    </font>
  </fonts>
  <fills count="2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3"/>
        <bgColor indexed="64"/>
      </patternFill>
    </fill>
    <fill>
      <patternFill patternType="solid">
        <fgColor theme="8"/>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5" tint="-0.49998474074526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theme="0" tint="-0.34998626667073579"/>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theme="4"/>
      </top>
      <bottom/>
      <diagonal/>
    </border>
    <border>
      <left style="thin">
        <color theme="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7">
    <xf numFmtId="0" fontId="0" fillId="0" borderId="0"/>
    <xf numFmtId="0" fontId="3" fillId="0" borderId="0"/>
    <xf numFmtId="43"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660">
    <xf numFmtId="0" fontId="0" fillId="0" borderId="0" xfId="0"/>
    <xf numFmtId="0" fontId="1" fillId="0" borderId="0" xfId="0" applyFont="1"/>
    <xf numFmtId="0" fontId="0" fillId="0" borderId="0" xfId="0" applyAlignment="1">
      <alignment horizontal="center"/>
    </xf>
    <xf numFmtId="3" fontId="0" fillId="0" borderId="0" xfId="0" applyNumberFormat="1"/>
    <xf numFmtId="0" fontId="0" fillId="0" borderId="1" xfId="0" applyBorder="1" applyAlignment="1">
      <alignment horizontal="center"/>
    </xf>
    <xf numFmtId="0" fontId="1" fillId="0" borderId="1" xfId="0" applyFont="1" applyBorder="1" applyAlignment="1">
      <alignment horizontal="center"/>
    </xf>
    <xf numFmtId="0" fontId="0" fillId="3" borderId="1" xfId="0" applyFill="1" applyBorder="1" applyAlignment="1" applyProtection="1">
      <alignment horizontal="center" vertical="center"/>
      <protection locked="0"/>
    </xf>
    <xf numFmtId="0" fontId="7" fillId="0" borderId="0" xfId="0" applyFont="1"/>
    <xf numFmtId="0" fontId="1" fillId="0" borderId="1" xfId="0" applyFont="1" applyBorder="1"/>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0" xfId="0" applyProtection="1">
      <protection locked="0"/>
    </xf>
    <xf numFmtId="0" fontId="0" fillId="0" borderId="0" xfId="0" applyAlignment="1">
      <alignment horizontal="center" wrapText="1"/>
    </xf>
    <xf numFmtId="0" fontId="11" fillId="0" borderId="0" xfId="0" applyFont="1"/>
    <xf numFmtId="0" fontId="2" fillId="0" borderId="0" xfId="0" applyFont="1"/>
    <xf numFmtId="3" fontId="0" fillId="0" borderId="1" xfId="0" applyNumberFormat="1" applyBorder="1" applyAlignment="1">
      <alignment horizontal="center"/>
    </xf>
    <xf numFmtId="0" fontId="8" fillId="0" borderId="0" xfId="0" applyFont="1"/>
    <xf numFmtId="0" fontId="0" fillId="0" borderId="0" xfId="0" applyAlignment="1">
      <alignment wrapText="1"/>
    </xf>
    <xf numFmtId="1" fontId="0" fillId="0" borderId="0" xfId="0" applyNumberFormat="1" applyAlignment="1">
      <alignment horizontal="center"/>
    </xf>
    <xf numFmtId="0" fontId="0" fillId="0" borderId="0" xfId="0"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horizontal="center"/>
    </xf>
    <xf numFmtId="1" fontId="0" fillId="0" borderId="0" xfId="0" applyNumberFormat="1" applyAlignment="1">
      <alignment horizontal="center" wrapText="1"/>
    </xf>
    <xf numFmtId="1" fontId="1" fillId="4" borderId="0" xfId="0" applyNumberFormat="1" applyFont="1" applyFill="1" applyAlignment="1">
      <alignment horizontal="center"/>
    </xf>
    <xf numFmtId="49" fontId="0" fillId="0" borderId="0" xfId="0" applyNumberFormat="1"/>
    <xf numFmtId="0" fontId="6" fillId="0" borderId="0" xfId="0" applyFont="1"/>
    <xf numFmtId="0" fontId="1" fillId="0" borderId="0" xfId="0" applyFont="1" applyAlignment="1">
      <alignment horizontal="center"/>
    </xf>
    <xf numFmtId="0" fontId="10" fillId="0" borderId="1" xfId="0" applyFont="1" applyBorder="1" applyAlignment="1">
      <alignment horizontal="center"/>
    </xf>
    <xf numFmtId="0" fontId="10" fillId="0" borderId="0" xfId="0" applyFont="1"/>
    <xf numFmtId="0" fontId="1" fillId="0" borderId="0" xfId="0" applyFont="1" applyAlignment="1">
      <alignment horizontal="right"/>
    </xf>
    <xf numFmtId="0" fontId="1" fillId="0" borderId="0" xfId="0" applyFont="1" applyAlignment="1">
      <alignment horizontal="left" vertical="top"/>
    </xf>
    <xf numFmtId="0" fontId="1" fillId="0" borderId="1" xfId="0" applyFont="1" applyBorder="1" applyAlignment="1">
      <alignment horizontal="center" vertical="top" wrapText="1"/>
    </xf>
    <xf numFmtId="0" fontId="0" fillId="0" borderId="10" xfId="0" applyBorder="1" applyAlignment="1">
      <alignment wrapText="1"/>
    </xf>
    <xf numFmtId="0" fontId="0" fillId="0" borderId="1" xfId="0" applyBorder="1" applyAlignment="1">
      <alignment horizontal="center" vertical="top" wrapText="1"/>
    </xf>
    <xf numFmtId="9" fontId="0" fillId="0" borderId="1" xfId="5" applyFont="1" applyBorder="1" applyAlignment="1">
      <alignment horizontal="center"/>
    </xf>
    <xf numFmtId="3" fontId="7" fillId="0" borderId="0" xfId="0" applyNumberFormat="1"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0" xfId="0" applyProtection="1">
      <protection hidden="1"/>
    </xf>
    <xf numFmtId="0" fontId="2" fillId="0" borderId="0" xfId="0" applyFont="1" applyProtection="1">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0" fillId="0" borderId="1" xfId="0" applyBorder="1" applyProtection="1">
      <protection hidden="1"/>
    </xf>
    <xf numFmtId="0" fontId="0" fillId="0" borderId="12" xfId="0" applyBorder="1" applyAlignment="1" applyProtection="1">
      <alignment horizontal="center"/>
      <protection hidden="1"/>
    </xf>
    <xf numFmtId="0" fontId="0" fillId="0" borderId="5" xfId="0" applyBorder="1" applyAlignment="1" applyProtection="1">
      <alignment horizontal="center"/>
      <protection hidden="1"/>
    </xf>
    <xf numFmtId="0" fontId="1" fillId="0" borderId="8" xfId="0" applyFont="1" applyBorder="1" applyAlignment="1" applyProtection="1">
      <alignment horizontal="center"/>
      <protection hidden="1"/>
    </xf>
    <xf numFmtId="0" fontId="13" fillId="0" borderId="0" xfId="0" applyFont="1" applyProtection="1">
      <protection hidden="1"/>
    </xf>
    <xf numFmtId="0" fontId="14" fillId="0" borderId="0" xfId="0" applyFont="1" applyAlignment="1">
      <alignment horizontal="left" vertical="top"/>
    </xf>
    <xf numFmtId="0" fontId="1" fillId="4" borderId="0" xfId="0" applyFont="1" applyFill="1" applyAlignment="1">
      <alignment horizontal="center" wrapText="1"/>
    </xf>
    <xf numFmtId="0" fontId="15" fillId="0" borderId="0" xfId="0" applyFont="1"/>
    <xf numFmtId="44" fontId="0" fillId="0" borderId="1" xfId="3" applyFont="1" applyBorder="1" applyAlignment="1">
      <alignment horizontal="center" vertical="center"/>
    </xf>
    <xf numFmtId="44" fontId="0" fillId="0" borderId="1" xfId="3" applyFont="1" applyBorder="1" applyAlignment="1">
      <alignment horizontal="center"/>
    </xf>
    <xf numFmtId="44" fontId="0" fillId="0" borderId="1" xfId="0" applyNumberFormat="1" applyBorder="1" applyAlignment="1">
      <alignment horizontal="center"/>
    </xf>
    <xf numFmtId="9" fontId="0" fillId="0" borderId="11" xfId="5" applyFont="1" applyBorder="1"/>
    <xf numFmtId="9" fontId="0" fillId="0" borderId="11" xfId="5" applyFont="1" applyBorder="1" applyAlignment="1">
      <alignment horizontal="center"/>
    </xf>
    <xf numFmtId="9" fontId="0" fillId="0" borderId="14" xfId="5" applyFont="1" applyBorder="1" applyAlignment="1">
      <alignment horizontal="center"/>
    </xf>
    <xf numFmtId="0" fontId="6" fillId="0" borderId="0" xfId="0" applyFont="1" applyAlignment="1">
      <alignment horizontal="left" indent="7"/>
    </xf>
    <xf numFmtId="0" fontId="12" fillId="8" borderId="1" xfId="0" applyFont="1" applyFill="1" applyBorder="1" applyAlignment="1">
      <alignment wrapText="1"/>
    </xf>
    <xf numFmtId="0" fontId="12" fillId="9" borderId="1" xfId="0" applyFont="1" applyFill="1" applyBorder="1" applyAlignment="1">
      <alignment wrapText="1"/>
    </xf>
    <xf numFmtId="0" fontId="12" fillId="10" borderId="1" xfId="0" applyFont="1" applyFill="1" applyBorder="1" applyAlignment="1">
      <alignment wrapText="1"/>
    </xf>
    <xf numFmtId="0" fontId="12" fillId="9" borderId="21" xfId="0" applyFont="1" applyFill="1" applyBorder="1" applyAlignment="1">
      <alignment wrapText="1"/>
    </xf>
    <xf numFmtId="0" fontId="12" fillId="9" borderId="22" xfId="0" applyFont="1" applyFill="1" applyBorder="1" applyAlignment="1">
      <alignment wrapText="1"/>
    </xf>
    <xf numFmtId="0" fontId="12" fillId="8" borderId="21" xfId="0" applyFont="1" applyFill="1" applyBorder="1" applyAlignment="1">
      <alignment wrapText="1"/>
    </xf>
    <xf numFmtId="0" fontId="12" fillId="8" borderId="22" xfId="0" applyFont="1" applyFill="1" applyBorder="1" applyAlignment="1">
      <alignment wrapText="1"/>
    </xf>
    <xf numFmtId="0" fontId="12" fillId="10" borderId="21" xfId="0" applyFont="1" applyFill="1" applyBorder="1" applyAlignment="1">
      <alignment wrapText="1"/>
    </xf>
    <xf numFmtId="0" fontId="12" fillId="10" borderId="22" xfId="0" applyFont="1" applyFill="1" applyBorder="1" applyAlignment="1">
      <alignment wrapText="1"/>
    </xf>
    <xf numFmtId="0" fontId="12" fillId="12" borderId="21" xfId="0" applyFont="1" applyFill="1" applyBorder="1" applyAlignment="1">
      <alignment wrapText="1"/>
    </xf>
    <xf numFmtId="0" fontId="12" fillId="12" borderId="1" xfId="0" applyFont="1" applyFill="1" applyBorder="1" applyAlignment="1">
      <alignment wrapText="1"/>
    </xf>
    <xf numFmtId="0" fontId="12" fillId="12" borderId="22" xfId="0" applyFont="1" applyFill="1" applyBorder="1" applyAlignment="1">
      <alignment wrapText="1"/>
    </xf>
    <xf numFmtId="0" fontId="12" fillId="13" borderId="21" xfId="0" applyFont="1" applyFill="1" applyBorder="1" applyAlignment="1">
      <alignment wrapText="1"/>
    </xf>
    <xf numFmtId="0" fontId="12" fillId="13" borderId="1" xfId="0" applyFont="1" applyFill="1" applyBorder="1" applyAlignment="1">
      <alignment wrapText="1"/>
    </xf>
    <xf numFmtId="0" fontId="12" fillId="13" borderId="22" xfId="0" applyFont="1" applyFill="1" applyBorder="1" applyAlignment="1">
      <alignment wrapText="1"/>
    </xf>
    <xf numFmtId="0" fontId="12" fillId="14" borderId="21" xfId="0" applyFont="1" applyFill="1" applyBorder="1" applyAlignment="1">
      <alignment wrapText="1"/>
    </xf>
    <xf numFmtId="0" fontId="12" fillId="14" borderId="1" xfId="0" applyFont="1" applyFill="1" applyBorder="1" applyAlignment="1">
      <alignment wrapText="1"/>
    </xf>
    <xf numFmtId="0" fontId="12" fillId="14" borderId="22" xfId="0" applyFont="1" applyFill="1" applyBorder="1" applyAlignment="1">
      <alignment wrapText="1"/>
    </xf>
    <xf numFmtId="0" fontId="0" fillId="0" borderId="12" xfId="0" applyBorder="1" applyAlignment="1">
      <alignment wrapText="1"/>
    </xf>
    <xf numFmtId="0" fontId="0" fillId="0" borderId="12" xfId="0" applyBorder="1" applyAlignment="1">
      <alignment horizontal="left" wrapText="1" indent="1"/>
    </xf>
    <xf numFmtId="0" fontId="0" fillId="0" borderId="12" xfId="0" applyBorder="1" applyAlignment="1">
      <alignment horizontal="left" wrapText="1"/>
    </xf>
    <xf numFmtId="0" fontId="0" fillId="7" borderId="12" xfId="0" applyFill="1" applyBorder="1" applyAlignment="1">
      <alignment wrapText="1"/>
    </xf>
    <xf numFmtId="0" fontId="12" fillId="6" borderId="8" xfId="0" applyFont="1" applyFill="1" applyBorder="1" applyAlignment="1">
      <alignment horizontal="center"/>
    </xf>
    <xf numFmtId="0" fontId="12" fillId="6" borderId="13" xfId="0" applyFont="1" applyFill="1" applyBorder="1" applyAlignment="1">
      <alignment horizontal="center"/>
    </xf>
    <xf numFmtId="0" fontId="12" fillId="6" borderId="6" xfId="0" applyFont="1" applyFill="1" applyBorder="1" applyAlignment="1">
      <alignment horizontal="center"/>
    </xf>
    <xf numFmtId="0" fontId="0" fillId="7" borderId="5" xfId="0" applyFill="1" applyBorder="1" applyAlignment="1">
      <alignment wrapText="1"/>
    </xf>
    <xf numFmtId="0" fontId="12" fillId="9" borderId="8" xfId="0" applyFont="1" applyFill="1" applyBorder="1" applyAlignment="1">
      <alignment horizontal="center"/>
    </xf>
    <xf numFmtId="0" fontId="12" fillId="9" borderId="13" xfId="0" applyFont="1" applyFill="1" applyBorder="1" applyAlignment="1">
      <alignment horizontal="center"/>
    </xf>
    <xf numFmtId="0" fontId="12" fillId="9" borderId="6" xfId="0" applyFont="1" applyFill="1" applyBorder="1" applyAlignment="1">
      <alignment horizontal="center"/>
    </xf>
    <xf numFmtId="0" fontId="12" fillId="8" borderId="8" xfId="0" applyFont="1" applyFill="1" applyBorder="1" applyAlignment="1">
      <alignment horizontal="center"/>
    </xf>
    <xf numFmtId="0" fontId="12" fillId="8" borderId="13" xfId="0" applyFont="1" applyFill="1" applyBorder="1" applyAlignment="1">
      <alignment horizontal="center"/>
    </xf>
    <xf numFmtId="0" fontId="12" fillId="8" borderId="6" xfId="0" applyFont="1" applyFill="1" applyBorder="1" applyAlignment="1">
      <alignment horizontal="center"/>
    </xf>
    <xf numFmtId="0" fontId="12" fillId="10" borderId="8" xfId="0" applyFont="1" applyFill="1" applyBorder="1" applyAlignment="1">
      <alignment horizontal="center"/>
    </xf>
    <xf numFmtId="0" fontId="12" fillId="10" borderId="13" xfId="0" applyFont="1" applyFill="1" applyBorder="1" applyAlignment="1">
      <alignment horizontal="center"/>
    </xf>
    <xf numFmtId="0" fontId="12" fillId="10" borderId="6" xfId="0" applyFont="1" applyFill="1" applyBorder="1" applyAlignment="1">
      <alignment horizontal="center"/>
    </xf>
    <xf numFmtId="0" fontId="12" fillId="11" borderId="8" xfId="0" applyFont="1" applyFill="1" applyBorder="1" applyAlignment="1">
      <alignment horizontal="center"/>
    </xf>
    <xf numFmtId="0" fontId="12" fillId="11" borderId="13" xfId="0" applyFont="1" applyFill="1" applyBorder="1" applyAlignment="1">
      <alignment horizontal="center"/>
    </xf>
    <xf numFmtId="0" fontId="12" fillId="11" borderId="6" xfId="0" applyFont="1" applyFill="1" applyBorder="1" applyAlignment="1">
      <alignment horizontal="center"/>
    </xf>
    <xf numFmtId="0" fontId="12" fillId="12" borderId="8" xfId="0" applyFont="1" applyFill="1" applyBorder="1" applyAlignment="1">
      <alignment horizontal="center"/>
    </xf>
    <xf numFmtId="0" fontId="12" fillId="12" borderId="13" xfId="0" applyFont="1" applyFill="1" applyBorder="1" applyAlignment="1">
      <alignment horizontal="center"/>
    </xf>
    <xf numFmtId="0" fontId="12" fillId="12" borderId="6" xfId="0" applyFont="1" applyFill="1" applyBorder="1" applyAlignment="1">
      <alignment horizontal="center"/>
    </xf>
    <xf numFmtId="0" fontId="12" fillId="13" borderId="8" xfId="0" applyFont="1" applyFill="1" applyBorder="1" applyAlignment="1">
      <alignment horizontal="center"/>
    </xf>
    <xf numFmtId="0" fontId="12" fillId="13" borderId="13" xfId="0" applyFont="1" applyFill="1" applyBorder="1" applyAlignment="1">
      <alignment horizontal="center"/>
    </xf>
    <xf numFmtId="0" fontId="12" fillId="13" borderId="6" xfId="0" applyFont="1" applyFill="1" applyBorder="1" applyAlignment="1">
      <alignment horizontal="center"/>
    </xf>
    <xf numFmtId="0" fontId="12" fillId="14" borderId="8" xfId="0" applyFont="1" applyFill="1" applyBorder="1" applyAlignment="1">
      <alignment horizontal="center"/>
    </xf>
    <xf numFmtId="0" fontId="12" fillId="14" borderId="13" xfId="0" applyFont="1" applyFill="1" applyBorder="1" applyAlignment="1">
      <alignment horizontal="center"/>
    </xf>
    <xf numFmtId="0" fontId="12" fillId="14" borderId="6" xfId="0" applyFont="1" applyFill="1" applyBorder="1" applyAlignment="1">
      <alignment horizontal="center"/>
    </xf>
    <xf numFmtId="44" fontId="0" fillId="0" borderId="1" xfId="3" applyFont="1" applyBorder="1"/>
    <xf numFmtId="44" fontId="0" fillId="7" borderId="1" xfId="3" applyFont="1" applyFill="1" applyBorder="1"/>
    <xf numFmtId="43" fontId="0" fillId="0" borderId="1" xfId="4" applyFont="1" applyBorder="1"/>
    <xf numFmtId="0" fontId="9" fillId="0" borderId="0" xfId="0" applyFont="1"/>
    <xf numFmtId="0" fontId="2" fillId="0" borderId="26" xfId="0" applyFont="1" applyBorder="1"/>
    <xf numFmtId="0" fontId="16" fillId="0" borderId="0" xfId="0" applyFont="1"/>
    <xf numFmtId="0" fontId="16" fillId="0" borderId="0" xfId="0" applyFont="1" applyAlignment="1">
      <alignment horizontal="right"/>
    </xf>
    <xf numFmtId="0" fontId="0" fillId="0" borderId="6" xfId="0" applyBorder="1"/>
    <xf numFmtId="0" fontId="0" fillId="0" borderId="8" xfId="0" applyBorder="1"/>
    <xf numFmtId="0" fontId="1" fillId="7" borderId="12" xfId="0" applyFont="1" applyFill="1" applyBorder="1" applyAlignment="1">
      <alignment wrapText="1"/>
    </xf>
    <xf numFmtId="0" fontId="0" fillId="0" borderId="12" xfId="0" applyBorder="1" applyAlignment="1">
      <alignment horizontal="left" wrapText="1" indent="2"/>
    </xf>
    <xf numFmtId="0" fontId="12" fillId="16" borderId="12" xfId="0" applyFont="1" applyFill="1" applyBorder="1" applyAlignment="1">
      <alignment wrapText="1"/>
    </xf>
    <xf numFmtId="0" fontId="12" fillId="16" borderId="5" xfId="0" applyFont="1" applyFill="1" applyBorder="1" applyAlignment="1">
      <alignment wrapText="1"/>
    </xf>
    <xf numFmtId="0" fontId="12" fillId="6" borderId="1" xfId="0" applyFont="1" applyFill="1" applyBorder="1"/>
    <xf numFmtId="14" fontId="0" fillId="0" borderId="1" xfId="0" applyNumberFormat="1" applyBorder="1"/>
    <xf numFmtId="0" fontId="14" fillId="0" borderId="0" xfId="0" applyFont="1"/>
    <xf numFmtId="0" fontId="8" fillId="0" borderId="1" xfId="0" applyFont="1" applyBorder="1"/>
    <xf numFmtId="0" fontId="12" fillId="9" borderId="12" xfId="0" applyFont="1" applyFill="1" applyBorder="1" applyAlignment="1">
      <alignment wrapText="1"/>
    </xf>
    <xf numFmtId="0" fontId="12" fillId="8" borderId="12" xfId="0" applyFont="1" applyFill="1" applyBorder="1" applyAlignment="1">
      <alignment wrapText="1"/>
    </xf>
    <xf numFmtId="0" fontId="12" fillId="10" borderId="12" xfId="0" applyFont="1" applyFill="1" applyBorder="1" applyAlignment="1">
      <alignment wrapText="1"/>
    </xf>
    <xf numFmtId="0" fontId="12" fillId="12" borderId="12" xfId="0" applyFont="1" applyFill="1" applyBorder="1" applyAlignment="1">
      <alignment wrapText="1"/>
    </xf>
    <xf numFmtId="0" fontId="12" fillId="13" borderId="12" xfId="0" applyFont="1" applyFill="1" applyBorder="1" applyAlignment="1">
      <alignment wrapText="1"/>
    </xf>
    <xf numFmtId="0" fontId="12" fillId="14" borderId="12" xfId="0" applyFont="1" applyFill="1" applyBorder="1" applyAlignment="1">
      <alignment wrapText="1"/>
    </xf>
    <xf numFmtId="0" fontId="12" fillId="9" borderId="2" xfId="0" applyFont="1" applyFill="1" applyBorder="1" applyAlignment="1">
      <alignment wrapText="1"/>
    </xf>
    <xf numFmtId="0" fontId="12" fillId="8" borderId="2" xfId="0" applyFont="1" applyFill="1" applyBorder="1" applyAlignment="1">
      <alignment wrapText="1"/>
    </xf>
    <xf numFmtId="0" fontId="12" fillId="10" borderId="2" xfId="0" applyFont="1" applyFill="1" applyBorder="1" applyAlignment="1">
      <alignment wrapText="1"/>
    </xf>
    <xf numFmtId="0" fontId="12" fillId="12" borderId="2" xfId="0" applyFont="1" applyFill="1" applyBorder="1" applyAlignment="1">
      <alignment wrapText="1"/>
    </xf>
    <xf numFmtId="0" fontId="12" fillId="13" borderId="2" xfId="0" applyFont="1" applyFill="1" applyBorder="1" applyAlignment="1">
      <alignment wrapText="1"/>
    </xf>
    <xf numFmtId="0" fontId="12" fillId="14" borderId="2" xfId="0" applyFont="1" applyFill="1" applyBorder="1" applyAlignment="1">
      <alignment wrapText="1"/>
    </xf>
    <xf numFmtId="44" fontId="0" fillId="0" borderId="12" xfId="3" applyFont="1" applyBorder="1"/>
    <xf numFmtId="44" fontId="0" fillId="0" borderId="22" xfId="3" applyFont="1" applyBorder="1"/>
    <xf numFmtId="44" fontId="0" fillId="7" borderId="12" xfId="3" applyFont="1" applyFill="1" applyBorder="1"/>
    <xf numFmtId="44" fontId="0" fillId="7" borderId="2" xfId="3" applyFont="1" applyFill="1" applyBorder="1"/>
    <xf numFmtId="44" fontId="0" fillId="7" borderId="22" xfId="3" applyFont="1" applyFill="1" applyBorder="1"/>
    <xf numFmtId="44" fontId="0" fillId="7" borderId="27" xfId="3" applyFont="1" applyFill="1" applyBorder="1"/>
    <xf numFmtId="44" fontId="0" fillId="7" borderId="24" xfId="3" applyFont="1" applyFill="1" applyBorder="1"/>
    <xf numFmtId="44" fontId="0" fillId="7" borderId="29" xfId="3" applyFont="1" applyFill="1" applyBorder="1"/>
    <xf numFmtId="44" fontId="0" fillId="7" borderId="25" xfId="3" applyFont="1" applyFill="1" applyBorder="1"/>
    <xf numFmtId="0" fontId="18" fillId="0" borderId="0" xfId="0" applyFont="1"/>
    <xf numFmtId="44" fontId="0" fillId="0" borderId="2" xfId="3" applyFont="1" applyBorder="1"/>
    <xf numFmtId="0" fontId="0" fillId="0" borderId="31" xfId="0" applyBorder="1" applyAlignment="1">
      <alignment wrapText="1"/>
    </xf>
    <xf numFmtId="0" fontId="0" fillId="7" borderId="31" xfId="0" applyFill="1" applyBorder="1" applyAlignment="1">
      <alignment wrapText="1"/>
    </xf>
    <xf numFmtId="0" fontId="0" fillId="7" borderId="32" xfId="0" applyFill="1" applyBorder="1" applyAlignment="1">
      <alignment wrapText="1"/>
    </xf>
    <xf numFmtId="0" fontId="0" fillId="0" borderId="22" xfId="0" applyBorder="1" applyAlignment="1">
      <alignment wrapText="1"/>
    </xf>
    <xf numFmtId="0" fontId="0" fillId="7" borderId="22" xfId="0" applyFill="1" applyBorder="1" applyAlignment="1">
      <alignment wrapText="1"/>
    </xf>
    <xf numFmtId="0" fontId="0" fillId="7" borderId="25" xfId="0" applyFill="1" applyBorder="1" applyAlignment="1">
      <alignment wrapText="1"/>
    </xf>
    <xf numFmtId="0" fontId="1" fillId="0" borderId="1" xfId="0" applyFont="1" applyBorder="1" applyAlignment="1">
      <alignment vertical="top"/>
    </xf>
    <xf numFmtId="0" fontId="0" fillId="0" borderId="1" xfId="0" applyBorder="1" applyAlignment="1">
      <alignment vertical="top"/>
    </xf>
    <xf numFmtId="0" fontId="19" fillId="0" borderId="0" xfId="0" applyFont="1"/>
    <xf numFmtId="0" fontId="12" fillId="8" borderId="1" xfId="0" applyFont="1" applyFill="1" applyBorder="1" applyAlignment="1">
      <alignment horizontal="center" vertical="center" wrapText="1"/>
    </xf>
    <xf numFmtId="0" fontId="4" fillId="0" borderId="0" xfId="0" applyFont="1"/>
    <xf numFmtId="0" fontId="0" fillId="0" borderId="2" xfId="0" applyBorder="1" applyAlignment="1">
      <alignment horizontal="center"/>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0" xfId="0" applyFont="1" applyAlignment="1">
      <alignment horizontal="center" vertical="center" wrapText="1"/>
    </xf>
    <xf numFmtId="0" fontId="1" fillId="8" borderId="1" xfId="0" applyFont="1" applyFill="1" applyBorder="1" applyAlignment="1">
      <alignment horizontal="center" vertical="center" wrapText="1"/>
    </xf>
    <xf numFmtId="0" fontId="1" fillId="8" borderId="13" xfId="0" applyFont="1" applyFill="1" applyBorder="1" applyAlignment="1">
      <alignment horizontal="center" vertical="center" wrapText="1"/>
    </xf>
    <xf numFmtId="2" fontId="0" fillId="0" borderId="0" xfId="0" applyNumberFormat="1" applyAlignment="1">
      <alignment horizontal="center"/>
    </xf>
    <xf numFmtId="1" fontId="0" fillId="0" borderId="0" xfId="0" applyNumberFormat="1"/>
    <xf numFmtId="0" fontId="7" fillId="0" borderId="2" xfId="0" applyFont="1" applyBorder="1" applyProtection="1">
      <protection locked="0"/>
    </xf>
    <xf numFmtId="0" fontId="0" fillId="17" borderId="1" xfId="0" applyFill="1" applyBorder="1" applyAlignment="1" applyProtection="1">
      <alignment horizontal="center"/>
      <protection hidden="1"/>
    </xf>
    <xf numFmtId="0" fontId="0" fillId="17" borderId="2" xfId="0" applyFill="1" applyBorder="1"/>
    <xf numFmtId="0" fontId="0" fillId="17" borderId="3" xfId="0" applyFill="1" applyBorder="1"/>
    <xf numFmtId="0" fontId="0" fillId="0" borderId="1" xfId="0" applyBorder="1" applyAlignment="1">
      <alignment horizontal="left" vertical="top"/>
    </xf>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12" fillId="6" borderId="1" xfId="0" applyFont="1" applyFill="1" applyBorder="1" applyAlignment="1">
      <alignment horizontal="left" vertical="top"/>
    </xf>
    <xf numFmtId="0" fontId="12" fillId="6" borderId="1" xfId="0" applyFont="1" applyFill="1" applyBorder="1" applyAlignment="1">
      <alignment horizontal="left" vertical="top" wrapText="1"/>
    </xf>
    <xf numFmtId="0" fontId="0" fillId="0" borderId="12" xfId="0" applyBorder="1" applyAlignment="1" applyProtection="1">
      <alignment horizontal="center"/>
      <protection locked="0"/>
    </xf>
    <xf numFmtId="14" fontId="0" fillId="0" borderId="1" xfId="0" applyNumberFormat="1" applyBorder="1" applyProtection="1">
      <protection locked="0"/>
    </xf>
    <xf numFmtId="49" fontId="0" fillId="0" borderId="1" xfId="0" applyNumberFormat="1" applyBorder="1" applyAlignment="1" applyProtection="1">
      <alignment horizontal="center"/>
      <protection locked="0"/>
    </xf>
    <xf numFmtId="0" fontId="0" fillId="0" borderId="33" xfId="0" applyBorder="1" applyAlignment="1">
      <alignment vertical="top"/>
    </xf>
    <xf numFmtId="166" fontId="0" fillId="0" borderId="0" xfId="0" applyNumberFormat="1" applyAlignment="1">
      <alignment horizontal="center" vertical="center"/>
    </xf>
    <xf numFmtId="0" fontId="0" fillId="0" borderId="34" xfId="0" applyBorder="1" applyAlignment="1">
      <alignment horizontal="center"/>
    </xf>
    <xf numFmtId="1" fontId="0" fillId="0" borderId="34" xfId="0" applyNumberFormat="1" applyBorder="1" applyAlignment="1">
      <alignment horizontal="center" wrapText="1"/>
    </xf>
    <xf numFmtId="1" fontId="0" fillId="0" borderId="34" xfId="0" applyNumberFormat="1" applyBorder="1" applyAlignment="1">
      <alignment horizontal="center"/>
    </xf>
    <xf numFmtId="1" fontId="12" fillId="4" borderId="35" xfId="0" applyNumberFormat="1" applyFont="1" applyFill="1" applyBorder="1" applyAlignment="1">
      <alignment horizontal="center"/>
    </xf>
    <xf numFmtId="0" fontId="12" fillId="4" borderId="0" xfId="0" applyFont="1" applyFill="1" applyAlignment="1">
      <alignment horizontal="center"/>
    </xf>
    <xf numFmtId="1" fontId="12" fillId="4" borderId="0" xfId="0" applyNumberFormat="1" applyFont="1" applyFill="1" applyAlignment="1">
      <alignment horizontal="center"/>
    </xf>
    <xf numFmtId="0" fontId="1" fillId="2" borderId="1" xfId="0" applyFont="1" applyFill="1" applyBorder="1" applyAlignment="1">
      <alignment horizontal="center"/>
    </xf>
    <xf numFmtId="0" fontId="10" fillId="0" borderId="1" xfId="0" applyFont="1" applyBorder="1" applyProtection="1">
      <protection locked="0"/>
    </xf>
    <xf numFmtId="0" fontId="10" fillId="0" borderId="1" xfId="0" applyFont="1" applyBorder="1" applyAlignment="1" applyProtection="1">
      <alignment wrapText="1"/>
      <protection locked="0"/>
    </xf>
    <xf numFmtId="0" fontId="10" fillId="0" borderId="1" xfId="0" applyFont="1" applyBorder="1" applyAlignment="1">
      <alignment wrapText="1"/>
    </xf>
    <xf numFmtId="0" fontId="10" fillId="3" borderId="1" xfId="0" applyFont="1" applyFill="1" applyBorder="1" applyAlignment="1" applyProtection="1">
      <alignment wrapText="1"/>
      <protection locked="0"/>
    </xf>
    <xf numFmtId="0" fontId="10" fillId="17" borderId="2" xfId="0" applyFont="1" applyFill="1" applyBorder="1"/>
    <xf numFmtId="0" fontId="10" fillId="17" borderId="2" xfId="0" applyFont="1" applyFill="1" applyBorder="1" applyProtection="1">
      <protection hidden="1"/>
    </xf>
    <xf numFmtId="0" fontId="10" fillId="3" borderId="1" xfId="0" applyFont="1" applyFill="1" applyBorder="1" applyAlignment="1">
      <alignment wrapText="1"/>
    </xf>
    <xf numFmtId="0" fontId="8" fillId="0" borderId="1" xfId="0" applyFont="1" applyBorder="1" applyAlignment="1">
      <alignment horizontal="center" wrapText="1"/>
    </xf>
    <xf numFmtId="0" fontId="0" fillId="17" borderId="1" xfId="0" applyFill="1" applyBorder="1" applyProtection="1">
      <protection hidden="1"/>
    </xf>
    <xf numFmtId="0" fontId="0" fillId="17" borderId="9" xfId="0" applyFill="1" applyBorder="1" applyProtection="1">
      <protection hidden="1"/>
    </xf>
    <xf numFmtId="0" fontId="12" fillId="18" borderId="21" xfId="0" applyFont="1" applyFill="1" applyBorder="1" applyAlignment="1">
      <alignment wrapText="1"/>
    </xf>
    <xf numFmtId="0" fontId="12" fillId="18" borderId="12" xfId="0" applyFont="1" applyFill="1" applyBorder="1" applyAlignment="1">
      <alignment wrapText="1"/>
    </xf>
    <xf numFmtId="0" fontId="12" fillId="18" borderId="1" xfId="0" applyFont="1" applyFill="1" applyBorder="1" applyAlignment="1">
      <alignment wrapText="1"/>
    </xf>
    <xf numFmtId="0" fontId="12" fillId="18" borderId="2" xfId="0" applyFont="1" applyFill="1" applyBorder="1" applyAlignment="1">
      <alignment wrapText="1"/>
    </xf>
    <xf numFmtId="0" fontId="12" fillId="18" borderId="22" xfId="0" applyFont="1" applyFill="1" applyBorder="1" applyAlignment="1">
      <alignment wrapText="1"/>
    </xf>
    <xf numFmtId="44" fontId="0" fillId="0" borderId="1" xfId="3" applyFont="1" applyBorder="1" applyProtection="1">
      <protection locked="0"/>
    </xf>
    <xf numFmtId="0" fontId="0" fillId="0" borderId="21" xfId="0" applyBorder="1" applyAlignment="1">
      <alignment horizontal="center"/>
    </xf>
    <xf numFmtId="0" fontId="0" fillId="0" borderId="23" xfId="0" applyBorder="1" applyAlignment="1">
      <alignment horizontal="center"/>
    </xf>
    <xf numFmtId="0" fontId="10" fillId="0" borderId="1" xfId="0" applyFont="1" applyBorder="1"/>
    <xf numFmtId="167" fontId="10" fillId="0" borderId="1" xfId="0" applyNumberFormat="1" applyFont="1" applyBorder="1"/>
    <xf numFmtId="0" fontId="2" fillId="0" borderId="0" xfId="0" applyFont="1" applyAlignment="1">
      <alignment horizontal="left"/>
    </xf>
    <xf numFmtId="167" fontId="10" fillId="0" borderId="22" xfId="0" applyNumberFormat="1" applyFont="1" applyBorder="1"/>
    <xf numFmtId="0" fontId="10" fillId="0" borderId="24" xfId="0" applyFont="1" applyBorder="1"/>
    <xf numFmtId="167" fontId="10" fillId="0" borderId="24" xfId="0" applyNumberFormat="1" applyFont="1" applyBorder="1"/>
    <xf numFmtId="167" fontId="10" fillId="0" borderId="25" xfId="0" applyNumberFormat="1" applyFont="1" applyBorder="1"/>
    <xf numFmtId="0" fontId="0" fillId="0" borderId="37" xfId="0" applyBorder="1" applyAlignment="1">
      <alignment horizontal="right"/>
    </xf>
    <xf numFmtId="0" fontId="0" fillId="0" borderId="38" xfId="0" applyBorder="1" applyAlignment="1">
      <alignment horizontal="right"/>
    </xf>
    <xf numFmtId="3" fontId="0" fillId="0" borderId="22" xfId="0" applyNumberFormat="1" applyBorder="1" applyAlignment="1">
      <alignment horizontal="center"/>
    </xf>
    <xf numFmtId="3" fontId="0" fillId="0" borderId="25" xfId="0" applyNumberFormat="1" applyBorder="1" applyAlignment="1">
      <alignment horizontal="center"/>
    </xf>
    <xf numFmtId="165" fontId="0" fillId="0" borderId="1" xfId="4" applyNumberFormat="1" applyFont="1" applyBorder="1"/>
    <xf numFmtId="164" fontId="0" fillId="0" borderId="1" xfId="3" applyNumberFormat="1" applyFont="1" applyBorder="1"/>
    <xf numFmtId="164" fontId="0" fillId="0" borderId="24" xfId="3" applyNumberFormat="1" applyFont="1" applyBorder="1"/>
    <xf numFmtId="165" fontId="0" fillId="7" borderId="9" xfId="4" applyNumberFormat="1" applyFont="1" applyFill="1" applyBorder="1"/>
    <xf numFmtId="164" fontId="0" fillId="7" borderId="1" xfId="3" applyNumberFormat="1" applyFont="1" applyFill="1" applyBorder="1"/>
    <xf numFmtId="164" fontId="0" fillId="0" borderId="0" xfId="0" applyNumberFormat="1"/>
    <xf numFmtId="165" fontId="0" fillId="0" borderId="1" xfId="4" applyNumberFormat="1" applyFont="1" applyBorder="1" applyAlignment="1">
      <alignment horizontal="center"/>
    </xf>
    <xf numFmtId="165" fontId="0" fillId="0" borderId="24" xfId="4" applyNumberFormat="1" applyFont="1" applyBorder="1" applyAlignment="1">
      <alignment horizontal="center"/>
    </xf>
    <xf numFmtId="165" fontId="0" fillId="0" borderId="1" xfId="4" applyNumberFormat="1" applyFont="1" applyBorder="1" applyAlignment="1">
      <alignment horizontal="center" vertical="center"/>
    </xf>
    <xf numFmtId="165" fontId="0" fillId="0" borderId="24" xfId="4" applyNumberFormat="1" applyFont="1" applyBorder="1" applyAlignment="1">
      <alignment horizontal="center" vertical="center"/>
    </xf>
    <xf numFmtId="165" fontId="0" fillId="0" borderId="21" xfId="4" applyNumberFormat="1" applyFont="1" applyBorder="1" applyAlignment="1">
      <alignment horizontal="center"/>
    </xf>
    <xf numFmtId="165" fontId="0" fillId="0" borderId="23" xfId="4" applyNumberFormat="1" applyFont="1" applyBorder="1" applyAlignment="1">
      <alignment horizontal="center"/>
    </xf>
    <xf numFmtId="3" fontId="1" fillId="0" borderId="20" xfId="0" applyNumberFormat="1" applyFont="1" applyBorder="1" applyAlignment="1">
      <alignment horizontal="center" vertical="center" wrapText="1"/>
    </xf>
    <xf numFmtId="164" fontId="0" fillId="0" borderId="21" xfId="3" applyNumberFormat="1" applyFont="1" applyBorder="1"/>
    <xf numFmtId="164" fontId="0" fillId="0" borderId="23" xfId="3" applyNumberFormat="1" applyFont="1" applyBorder="1"/>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20" borderId="0" xfId="0" applyFill="1"/>
    <xf numFmtId="167" fontId="10" fillId="0" borderId="1" xfId="3" applyNumberFormat="1" applyFont="1" applyBorder="1"/>
    <xf numFmtId="0" fontId="0" fillId="0" borderId="0" xfId="0" applyAlignment="1">
      <alignment vertical="center" wrapText="1"/>
    </xf>
    <xf numFmtId="167" fontId="10" fillId="0" borderId="24" xfId="3" applyNumberFormat="1" applyFont="1" applyBorder="1"/>
    <xf numFmtId="164" fontId="23" fillId="0" borderId="1" xfId="3" applyNumberFormat="1" applyFont="1" applyFill="1" applyBorder="1" applyAlignment="1" applyProtection="1">
      <alignment horizontal="center"/>
    </xf>
    <xf numFmtId="164" fontId="23" fillId="0" borderId="13" xfId="3" applyNumberFormat="1" applyFont="1" applyFill="1" applyBorder="1" applyAlignment="1" applyProtection="1">
      <alignment horizontal="center"/>
    </xf>
    <xf numFmtId="164" fontId="23" fillId="0" borderId="9" xfId="3" applyNumberFormat="1" applyFont="1" applyFill="1" applyBorder="1" applyAlignment="1" applyProtection="1">
      <alignment horizontal="center"/>
    </xf>
    <xf numFmtId="0" fontId="12" fillId="21" borderId="41" xfId="0" applyFont="1" applyFill="1" applyBorder="1" applyAlignment="1">
      <alignment horizontal="center" vertical="center" wrapText="1"/>
    </xf>
    <xf numFmtId="0" fontId="1" fillId="0" borderId="0" xfId="0" applyFont="1" applyAlignment="1">
      <alignment horizontal="center" vertical="center"/>
    </xf>
    <xf numFmtId="0" fontId="10" fillId="0" borderId="22" xfId="0" applyFont="1" applyBorder="1"/>
    <xf numFmtId="0" fontId="10" fillId="0" borderId="25" xfId="0" applyFont="1" applyBorder="1"/>
    <xf numFmtId="0" fontId="22" fillId="0" borderId="39" xfId="0" applyFont="1" applyBorder="1" applyAlignment="1">
      <alignment horizontal="center" vertical="center"/>
    </xf>
    <xf numFmtId="0" fontId="26" fillId="0" borderId="0" xfId="0" applyFont="1"/>
    <xf numFmtId="0" fontId="1" fillId="23" borderId="19" xfId="0" applyFont="1" applyFill="1" applyBorder="1" applyAlignment="1">
      <alignment horizontal="center" vertical="center" wrapText="1"/>
    </xf>
    <xf numFmtId="0" fontId="1" fillId="24" borderId="20" xfId="0" applyFont="1" applyFill="1" applyBorder="1" applyAlignment="1">
      <alignment horizontal="center" vertical="center" wrapText="1"/>
    </xf>
    <xf numFmtId="3" fontId="0" fillId="0" borderId="24" xfId="0" applyNumberFormat="1" applyBorder="1" applyAlignment="1">
      <alignment horizontal="center"/>
    </xf>
    <xf numFmtId="0" fontId="1" fillId="22" borderId="18" xfId="0" applyFont="1" applyFill="1" applyBorder="1" applyAlignment="1">
      <alignment horizontal="center" vertical="center" wrapText="1"/>
    </xf>
    <xf numFmtId="0" fontId="1" fillId="22" borderId="19" xfId="0" applyFont="1" applyFill="1" applyBorder="1" applyAlignment="1">
      <alignment horizontal="center" vertical="center" wrapText="1"/>
    </xf>
    <xf numFmtId="0" fontId="1" fillId="0" borderId="15" xfId="0" applyFont="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1" fillId="23" borderId="18" xfId="0" applyFont="1" applyFill="1" applyBorder="1" applyAlignment="1">
      <alignment horizontal="center" vertical="center" wrapText="1"/>
    </xf>
    <xf numFmtId="0" fontId="1" fillId="0" borderId="42" xfId="0" applyFont="1" applyBorder="1" applyAlignment="1">
      <alignment horizontal="right"/>
    </xf>
    <xf numFmtId="0" fontId="1" fillId="23" borderId="43"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8" fillId="22" borderId="43"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44"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44" xfId="0" applyFont="1" applyFill="1" applyBorder="1" applyAlignment="1">
      <alignment horizontal="center" vertical="center" wrapText="1"/>
    </xf>
    <xf numFmtId="0" fontId="24" fillId="24" borderId="40" xfId="0" applyFont="1" applyFill="1" applyBorder="1"/>
    <xf numFmtId="0" fontId="0" fillId="19" borderId="1" xfId="0" applyFill="1" applyBorder="1" applyAlignment="1">
      <alignment horizontal="center"/>
    </xf>
    <xf numFmtId="3" fontId="0" fillId="19" borderId="1" xfId="0" applyNumberFormat="1" applyFill="1" applyBorder="1" applyAlignment="1">
      <alignment horizontal="center"/>
    </xf>
    <xf numFmtId="164" fontId="0" fillId="19" borderId="1" xfId="3" applyNumberFormat="1" applyFont="1" applyFill="1" applyBorder="1" applyAlignment="1">
      <alignment horizontal="center"/>
    </xf>
    <xf numFmtId="164" fontId="0" fillId="0" borderId="1" xfId="3" applyNumberFormat="1" applyFont="1" applyBorder="1" applyAlignment="1">
      <alignment horizontal="center"/>
    </xf>
    <xf numFmtId="0" fontId="8" fillId="24" borderId="40" xfId="0" applyFont="1" applyFill="1" applyBorder="1" applyAlignment="1">
      <alignment horizontal="center" vertical="center" wrapText="1"/>
    </xf>
    <xf numFmtId="9" fontId="0" fillId="0" borderId="49" xfId="5" applyFont="1" applyBorder="1" applyAlignment="1">
      <alignment horizontal="center"/>
    </xf>
    <xf numFmtId="164" fontId="0" fillId="0" borderId="9" xfId="3" applyNumberFormat="1" applyFont="1" applyBorder="1"/>
    <xf numFmtId="0" fontId="0" fillId="0" borderId="9" xfId="0" applyBorder="1"/>
    <xf numFmtId="0" fontId="0" fillId="0" borderId="10" xfId="0" applyBorder="1"/>
    <xf numFmtId="0" fontId="0" fillId="0" borderId="11" xfId="0" applyBorder="1"/>
    <xf numFmtId="0" fontId="0" fillId="0" borderId="14" xfId="0" applyBorder="1"/>
    <xf numFmtId="0" fontId="8" fillId="24" borderId="50" xfId="0" applyFont="1" applyFill="1" applyBorder="1" applyAlignment="1">
      <alignment horizontal="center" vertical="center" wrapText="1"/>
    </xf>
    <xf numFmtId="168" fontId="0" fillId="0" borderId="39" xfId="5" applyNumberFormat="1" applyFont="1" applyBorder="1"/>
    <xf numFmtId="168" fontId="0" fillId="0" borderId="37" xfId="5" applyNumberFormat="1" applyFont="1" applyBorder="1"/>
    <xf numFmtId="168" fontId="0" fillId="0" borderId="38" xfId="5" applyNumberFormat="1" applyFont="1" applyBorder="1"/>
    <xf numFmtId="0" fontId="22" fillId="0" borderId="0" xfId="0" applyFont="1"/>
    <xf numFmtId="0" fontId="27" fillId="20" borderId="0" xfId="0" applyFont="1" applyFill="1"/>
    <xf numFmtId="0" fontId="0" fillId="0" borderId="0" xfId="0" applyAlignment="1">
      <alignment horizontal="left" wrapText="1" indent="4"/>
    </xf>
    <xf numFmtId="2" fontId="0" fillId="0" borderId="0" xfId="0" applyNumberFormat="1"/>
    <xf numFmtId="1" fontId="0" fillId="0" borderId="0" xfId="4" applyNumberFormat="1" applyFont="1"/>
    <xf numFmtId="1" fontId="0" fillId="0" borderId="23" xfId="4" applyNumberFormat="1" applyFont="1" applyFill="1" applyBorder="1"/>
    <xf numFmtId="1" fontId="0" fillId="0" borderId="24" xfId="4" applyNumberFormat="1" applyFont="1" applyBorder="1"/>
    <xf numFmtId="1" fontId="0" fillId="0" borderId="25" xfId="4" applyNumberFormat="1" applyFont="1" applyBorder="1"/>
    <xf numFmtId="1" fontId="0" fillId="0" borderId="0" xfId="4" applyNumberFormat="1" applyFont="1" applyFill="1" applyBorder="1"/>
    <xf numFmtId="1" fontId="0" fillId="0" borderId="0" xfId="4" applyNumberFormat="1" applyFont="1" applyBorder="1"/>
    <xf numFmtId="0" fontId="1" fillId="0" borderId="21" xfId="0" applyFont="1" applyBorder="1"/>
    <xf numFmtId="0" fontId="1" fillId="0" borderId="22" xfId="0" applyFont="1" applyBorder="1"/>
    <xf numFmtId="2" fontId="1" fillId="0" borderId="21" xfId="0" applyNumberFormat="1" applyFont="1" applyBorder="1"/>
    <xf numFmtId="2" fontId="1" fillId="0" borderId="1" xfId="0" applyNumberFormat="1" applyFont="1" applyBorder="1"/>
    <xf numFmtId="0" fontId="24" fillId="0" borderId="0" xfId="0" applyFont="1"/>
    <xf numFmtId="0" fontId="0" fillId="0" borderId="1" xfId="0" applyBorder="1" applyAlignment="1">
      <alignment horizontal="center" wrapText="1"/>
    </xf>
    <xf numFmtId="0" fontId="1" fillId="25" borderId="1" xfId="0" applyFont="1" applyFill="1" applyBorder="1" applyAlignment="1">
      <alignment horizontal="center" vertical="top" wrapText="1"/>
    </xf>
    <xf numFmtId="49" fontId="24" fillId="0" borderId="51" xfId="0" applyNumberFormat="1" applyFont="1" applyBorder="1" applyAlignment="1">
      <alignment horizontal="center" vertical="center"/>
    </xf>
    <xf numFmtId="49" fontId="24" fillId="0" borderId="52" xfId="0" applyNumberFormat="1" applyFont="1" applyBorder="1" applyAlignment="1">
      <alignment horizontal="center" vertical="center"/>
    </xf>
    <xf numFmtId="1" fontId="0" fillId="0" borderId="18" xfId="4" applyNumberFormat="1" applyFont="1" applyFill="1" applyBorder="1"/>
    <xf numFmtId="1" fontId="0" fillId="0" borderId="20" xfId="4" applyNumberFormat="1" applyFont="1" applyBorder="1"/>
    <xf numFmtId="1" fontId="0" fillId="0" borderId="53" xfId="4" applyNumberFormat="1" applyFont="1" applyFill="1" applyBorder="1"/>
    <xf numFmtId="1" fontId="0" fillId="0" borderId="54" xfId="4" applyNumberFormat="1" applyFont="1" applyBorder="1"/>
    <xf numFmtId="0" fontId="28" fillId="0" borderId="0" xfId="6" applyAlignment="1">
      <alignment horizontal="left" wrapText="1" indent="2"/>
    </xf>
    <xf numFmtId="0" fontId="0" fillId="0" borderId="0" xfId="0" applyAlignment="1">
      <alignment horizontal="left" wrapText="1" indent="2"/>
    </xf>
    <xf numFmtId="0" fontId="11" fillId="20" borderId="0" xfId="0" applyFont="1" applyFill="1"/>
    <xf numFmtId="0" fontId="16" fillId="20" borderId="0" xfId="0" applyFont="1" applyFill="1"/>
    <xf numFmtId="1" fontId="0" fillId="0" borderId="1" xfId="4" applyNumberFormat="1" applyFont="1" applyFill="1" applyBorder="1"/>
    <xf numFmtId="1" fontId="0" fillId="0" borderId="1" xfId="4" applyNumberFormat="1" applyFont="1" applyBorder="1"/>
    <xf numFmtId="1" fontId="0" fillId="0" borderId="21" xfId="4" applyNumberFormat="1" applyFont="1" applyFill="1" applyBorder="1"/>
    <xf numFmtId="1" fontId="0" fillId="0" borderId="22" xfId="4" applyNumberFormat="1" applyFont="1" applyBorder="1"/>
    <xf numFmtId="0" fontId="1" fillId="0" borderId="12" xfId="0" applyFont="1" applyBorder="1"/>
    <xf numFmtId="1" fontId="0" fillId="0" borderId="27" xfId="4" applyNumberFormat="1" applyFont="1" applyBorder="1"/>
    <xf numFmtId="0" fontId="28" fillId="0" borderId="0" xfId="6" applyAlignment="1">
      <alignment horizontal="left"/>
    </xf>
    <xf numFmtId="0" fontId="28" fillId="0" borderId="0" xfId="6" applyFill="1" applyAlignment="1">
      <alignment horizontal="left" wrapText="1" indent="2"/>
    </xf>
    <xf numFmtId="0" fontId="8" fillId="23" borderId="19" xfId="0" applyFont="1" applyFill="1" applyBorder="1" applyAlignment="1">
      <alignment horizontal="center" vertical="center" wrapText="1"/>
    </xf>
    <xf numFmtId="0" fontId="8" fillId="23" borderId="20" xfId="0" applyFont="1" applyFill="1" applyBorder="1" applyAlignment="1">
      <alignment horizontal="center" vertical="center" wrapText="1"/>
    </xf>
    <xf numFmtId="0" fontId="8" fillId="22" borderId="18"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8" fillId="24" borderId="18" xfId="0" applyFont="1" applyFill="1" applyBorder="1" applyAlignment="1">
      <alignment horizontal="center" vertical="center" wrapText="1"/>
    </xf>
    <xf numFmtId="0" fontId="8" fillId="24" borderId="19" xfId="0" applyFont="1" applyFill="1" applyBorder="1" applyAlignment="1">
      <alignment horizontal="center" vertical="center" wrapText="1"/>
    </xf>
    <xf numFmtId="0" fontId="8" fillId="24" borderId="20" xfId="0" applyFont="1" applyFill="1" applyBorder="1" applyAlignment="1">
      <alignment horizontal="center" vertical="center" wrapText="1"/>
    </xf>
    <xf numFmtId="0" fontId="1" fillId="0" borderId="39" xfId="0" applyFont="1" applyBorder="1" applyAlignment="1">
      <alignment horizontal="right"/>
    </xf>
    <xf numFmtId="0" fontId="1" fillId="23" borderId="55" xfId="0" applyFont="1" applyFill="1" applyBorder="1" applyAlignment="1">
      <alignment horizontal="center" vertical="center" wrapText="1"/>
    </xf>
    <xf numFmtId="0" fontId="1" fillId="23" borderId="9" xfId="0" applyFont="1" applyFill="1" applyBorder="1" applyAlignment="1">
      <alignment horizontal="center" vertical="center" wrapText="1"/>
    </xf>
    <xf numFmtId="0" fontId="1" fillId="23" borderId="56" xfId="0" applyFont="1" applyFill="1" applyBorder="1" applyAlignment="1">
      <alignment horizontal="center" vertical="center"/>
    </xf>
    <xf numFmtId="0" fontId="1" fillId="22" borderId="55" xfId="0" applyFont="1" applyFill="1" applyBorder="1" applyAlignment="1">
      <alignment horizontal="center" vertical="center" wrapText="1"/>
    </xf>
    <xf numFmtId="0" fontId="1" fillId="22" borderId="9" xfId="0" applyFont="1" applyFill="1" applyBorder="1" applyAlignment="1">
      <alignment horizontal="center" vertical="center" wrapText="1"/>
    </xf>
    <xf numFmtId="0" fontId="1" fillId="22" borderId="56" xfId="0" applyFont="1" applyFill="1" applyBorder="1" applyAlignment="1">
      <alignment horizontal="center" vertical="center"/>
    </xf>
    <xf numFmtId="164" fontId="0" fillId="0" borderId="18" xfId="3" applyNumberFormat="1" applyFont="1" applyBorder="1"/>
    <xf numFmtId="164" fontId="0" fillId="0" borderId="19" xfId="3" applyNumberFormat="1" applyFont="1" applyBorder="1"/>
    <xf numFmtId="0" fontId="0" fillId="0" borderId="59" xfId="0" applyBorder="1" applyAlignment="1">
      <alignment horizontal="center"/>
    </xf>
    <xf numFmtId="3" fontId="0" fillId="0" borderId="59" xfId="0" applyNumberFormat="1" applyBorder="1" applyAlignment="1">
      <alignment horizontal="center"/>
    </xf>
    <xf numFmtId="0" fontId="0" fillId="19" borderId="48" xfId="0" applyFill="1" applyBorder="1" applyAlignment="1">
      <alignment horizontal="center"/>
    </xf>
    <xf numFmtId="164" fontId="6" fillId="19" borderId="2" xfId="3" applyNumberFormat="1" applyFont="1" applyFill="1" applyBorder="1"/>
    <xf numFmtId="164" fontId="4" fillId="19" borderId="57" xfId="3" applyNumberFormat="1" applyFont="1" applyFill="1" applyBorder="1"/>
    <xf numFmtId="0" fontId="0" fillId="0" borderId="48" xfId="0" applyBorder="1" applyAlignment="1">
      <alignment horizontal="center"/>
    </xf>
    <xf numFmtId="164" fontId="6" fillId="0" borderId="2" xfId="3" applyNumberFormat="1" applyFont="1" applyBorder="1"/>
    <xf numFmtId="164" fontId="4" fillId="0" borderId="57" xfId="3" applyNumberFormat="1" applyFont="1" applyBorder="1"/>
    <xf numFmtId="0" fontId="0" fillId="19" borderId="58" xfId="0" applyFill="1" applyBorder="1"/>
    <xf numFmtId="164" fontId="6" fillId="19" borderId="61" xfId="3" applyNumberFormat="1" applyFont="1" applyFill="1" applyBorder="1"/>
    <xf numFmtId="164" fontId="4" fillId="19" borderId="60" xfId="3" applyNumberFormat="1" applyFont="1" applyFill="1" applyBorder="1"/>
    <xf numFmtId="43" fontId="0" fillId="19" borderId="1" xfId="4" applyFont="1" applyFill="1" applyBorder="1"/>
    <xf numFmtId="43" fontId="0" fillId="19" borderId="57" xfId="4" applyFont="1" applyFill="1" applyBorder="1"/>
    <xf numFmtId="43" fontId="0" fillId="0" borderId="57" xfId="4" applyFont="1" applyBorder="1"/>
    <xf numFmtId="0" fontId="0" fillId="0" borderId="58" xfId="0" applyBorder="1" applyAlignment="1">
      <alignment horizontal="center"/>
    </xf>
    <xf numFmtId="43" fontId="0" fillId="0" borderId="59" xfId="4" applyFont="1" applyBorder="1"/>
    <xf numFmtId="43" fontId="0" fillId="0" borderId="60" xfId="4" applyFont="1" applyBorder="1"/>
    <xf numFmtId="44" fontId="0" fillId="19" borderId="2" xfId="0" applyNumberFormat="1" applyFill="1" applyBorder="1"/>
    <xf numFmtId="44" fontId="0" fillId="19" borderId="57" xfId="0" applyNumberFormat="1" applyFill="1" applyBorder="1"/>
    <xf numFmtId="44" fontId="0" fillId="0" borderId="2" xfId="0" applyNumberFormat="1" applyBorder="1"/>
    <xf numFmtId="44" fontId="0" fillId="0" borderId="57" xfId="0" applyNumberFormat="1" applyBorder="1"/>
    <xf numFmtId="44" fontId="0" fillId="0" borderId="61" xfId="0" applyNumberFormat="1" applyBorder="1"/>
    <xf numFmtId="44" fontId="0" fillId="0" borderId="60" xfId="0" applyNumberFormat="1" applyBorder="1"/>
    <xf numFmtId="44" fontId="0" fillId="19" borderId="2" xfId="0" applyNumberFormat="1" applyFill="1" applyBorder="1" applyAlignment="1">
      <alignment horizontal="center"/>
    </xf>
    <xf numFmtId="44" fontId="0" fillId="0" borderId="2" xfId="0" applyNumberFormat="1" applyBorder="1" applyAlignment="1">
      <alignment horizontal="center"/>
    </xf>
    <xf numFmtId="3" fontId="0" fillId="19" borderId="1" xfId="3" applyNumberFormat="1" applyFont="1" applyFill="1" applyBorder="1" applyAlignment="1">
      <alignment horizontal="center"/>
    </xf>
    <xf numFmtId="3" fontId="0" fillId="0" borderId="1" xfId="3" applyNumberFormat="1" applyFont="1" applyBorder="1" applyAlignment="1">
      <alignment horizontal="center"/>
    </xf>
    <xf numFmtId="0" fontId="0" fillId="19" borderId="63" xfId="0" applyFill="1" applyBorder="1"/>
    <xf numFmtId="0" fontId="0" fillId="19" borderId="63" xfId="0" applyFill="1" applyBorder="1" applyAlignment="1">
      <alignment horizontal="center"/>
    </xf>
    <xf numFmtId="3" fontId="0" fillId="19" borderId="63" xfId="0" applyNumberFormat="1" applyFill="1" applyBorder="1" applyAlignment="1">
      <alignment horizontal="center"/>
    </xf>
    <xf numFmtId="164" fontId="0" fillId="19" borderId="63" xfId="3" applyNumberFormat="1" applyFont="1" applyFill="1" applyBorder="1" applyAlignment="1">
      <alignment horizontal="center"/>
    </xf>
    <xf numFmtId="1" fontId="0" fillId="19" borderId="63" xfId="4" applyNumberFormat="1" applyFont="1" applyFill="1" applyBorder="1" applyAlignment="1">
      <alignment horizontal="center"/>
    </xf>
    <xf numFmtId="164" fontId="4" fillId="19" borderId="63" xfId="3" applyNumberFormat="1" applyFont="1" applyFill="1" applyBorder="1" applyAlignment="1">
      <alignment horizontal="center"/>
    </xf>
    <xf numFmtId="0" fontId="0" fillId="0" borderId="63" xfId="0" applyBorder="1"/>
    <xf numFmtId="0" fontId="0" fillId="0" borderId="63" xfId="0" applyBorder="1" applyAlignment="1">
      <alignment horizontal="center"/>
    </xf>
    <xf numFmtId="3" fontId="0" fillId="0" borderId="63" xfId="0" applyNumberFormat="1" applyBorder="1" applyAlignment="1">
      <alignment horizontal="center"/>
    </xf>
    <xf numFmtId="164" fontId="0" fillId="0" borderId="63" xfId="3" applyNumberFormat="1" applyFont="1" applyBorder="1" applyAlignment="1">
      <alignment horizontal="center"/>
    </xf>
    <xf numFmtId="1" fontId="0" fillId="0" borderId="63" xfId="4" applyNumberFormat="1" applyFont="1" applyBorder="1" applyAlignment="1">
      <alignment horizontal="center"/>
    </xf>
    <xf numFmtId="164" fontId="4" fillId="0" borderId="63" xfId="3" applyNumberFormat="1" applyFont="1" applyBorder="1" applyAlignment="1">
      <alignment horizontal="center"/>
    </xf>
    <xf numFmtId="0" fontId="12" fillId="8" borderId="64"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21" borderId="9" xfId="0" applyFont="1" applyFill="1" applyBorder="1" applyAlignment="1">
      <alignment horizontal="center" vertical="center" wrapText="1"/>
    </xf>
    <xf numFmtId="1" fontId="0" fillId="19" borderId="63" xfId="3" applyNumberFormat="1" applyFont="1" applyFill="1" applyBorder="1" applyAlignment="1">
      <alignment horizontal="center"/>
    </xf>
    <xf numFmtId="1" fontId="0" fillId="0" borderId="63" xfId="3" applyNumberFormat="1" applyFont="1" applyBorder="1" applyAlignment="1">
      <alignment horizontal="center"/>
    </xf>
    <xf numFmtId="0" fontId="12" fillId="21" borderId="33" xfId="0" applyFont="1" applyFill="1" applyBorder="1" applyAlignment="1">
      <alignment horizontal="center" vertical="center" wrapText="1"/>
    </xf>
    <xf numFmtId="169" fontId="4" fillId="19" borderId="57" xfId="3" applyNumberFormat="1" applyFont="1" applyFill="1" applyBorder="1"/>
    <xf numFmtId="169" fontId="4" fillId="0" borderId="57" xfId="3" applyNumberFormat="1" applyFont="1" applyBorder="1"/>
    <xf numFmtId="0" fontId="12" fillId="21" borderId="13" xfId="0" applyFont="1" applyFill="1" applyBorder="1" applyAlignment="1">
      <alignment horizontal="center" vertical="center" wrapText="1"/>
    </xf>
    <xf numFmtId="44" fontId="23" fillId="0" borderId="66" xfId="3" applyFont="1" applyFill="1" applyBorder="1" applyAlignment="1" applyProtection="1">
      <alignment horizontal="center"/>
    </xf>
    <xf numFmtId="0" fontId="0" fillId="19" borderId="1" xfId="0" applyFill="1" applyBorder="1"/>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0" borderId="1" xfId="3" applyNumberFormat="1" applyFont="1" applyFill="1" applyBorder="1" applyAlignment="1" applyProtection="1">
      <alignment horizontal="center"/>
      <protection locked="0"/>
    </xf>
    <xf numFmtId="164" fontId="0" fillId="0" borderId="1" xfId="3" applyNumberFormat="1" applyFont="1" applyFill="1" applyBorder="1" applyAlignment="1" applyProtection="1">
      <alignment horizontal="center"/>
      <protection locked="0"/>
    </xf>
    <xf numFmtId="3" fontId="0" fillId="0" borderId="1" xfId="3" applyNumberFormat="1" applyFont="1" applyFill="1" applyBorder="1" applyAlignment="1">
      <alignment horizontal="center"/>
    </xf>
    <xf numFmtId="164" fontId="0" fillId="0" borderId="1" xfId="3" applyNumberFormat="1" applyFont="1" applyFill="1" applyBorder="1" applyAlignment="1">
      <alignment horizontal="center"/>
    </xf>
    <xf numFmtId="0" fontId="0" fillId="0" borderId="48"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9" xfId="0" applyBorder="1" applyAlignment="1" applyProtection="1">
      <alignment horizontal="center"/>
      <protection locked="0"/>
    </xf>
    <xf numFmtId="3" fontId="0" fillId="0" borderId="9" xfId="0" applyNumberFormat="1" applyBorder="1" applyAlignment="1" applyProtection="1">
      <alignment horizontal="center"/>
      <protection locked="0"/>
    </xf>
    <xf numFmtId="3" fontId="0" fillId="0" borderId="9" xfId="3" applyNumberFormat="1" applyFont="1" applyFill="1" applyBorder="1" applyAlignment="1" applyProtection="1">
      <alignment horizontal="center"/>
      <protection locked="0"/>
    </xf>
    <xf numFmtId="164" fontId="0" fillId="0" borderId="9" xfId="3" applyNumberFormat="1" applyFont="1" applyFill="1" applyBorder="1" applyAlignment="1" applyProtection="1">
      <alignment horizontal="center"/>
      <protection locked="0"/>
    </xf>
    <xf numFmtId="164" fontId="0" fillId="19" borderId="2" xfId="3" applyNumberFormat="1" applyFont="1" applyFill="1" applyBorder="1" applyAlignment="1">
      <alignment horizontal="center"/>
    </xf>
    <xf numFmtId="164" fontId="0" fillId="0" borderId="2" xfId="3" applyNumberFormat="1" applyFont="1" applyBorder="1" applyAlignment="1">
      <alignment horizontal="center"/>
    </xf>
    <xf numFmtId="164" fontId="0" fillId="0" borderId="2" xfId="3" applyNumberFormat="1" applyFont="1" applyFill="1" applyBorder="1" applyAlignment="1">
      <alignment horizontal="center"/>
    </xf>
    <xf numFmtId="164" fontId="0" fillId="0" borderId="2" xfId="3" applyNumberFormat="1" applyFont="1" applyFill="1" applyBorder="1" applyAlignment="1" applyProtection="1">
      <alignment horizontal="center"/>
      <protection locked="0"/>
    </xf>
    <xf numFmtId="164" fontId="0" fillId="0" borderId="3" xfId="3" applyNumberFormat="1" applyFont="1" applyFill="1" applyBorder="1" applyAlignment="1" applyProtection="1">
      <alignment horizontal="center"/>
      <protection locked="0"/>
    </xf>
    <xf numFmtId="0" fontId="0" fillId="0" borderId="21" xfId="4" applyNumberFormat="1" applyFont="1" applyBorder="1" applyAlignment="1">
      <alignment horizontal="right"/>
    </xf>
    <xf numFmtId="0" fontId="0" fillId="0" borderId="23" xfId="4" applyNumberFormat="1" applyFont="1" applyBorder="1" applyAlignment="1">
      <alignment horizontal="right"/>
    </xf>
    <xf numFmtId="0" fontId="1" fillId="0" borderId="63" xfId="0" applyFont="1" applyBorder="1" applyAlignment="1">
      <alignment vertical="top"/>
    </xf>
    <xf numFmtId="0" fontId="0" fillId="0" borderId="63" xfId="0" applyBorder="1" applyAlignment="1">
      <alignment vertical="top"/>
    </xf>
    <xf numFmtId="0" fontId="0" fillId="0" borderId="63" xfId="0" applyBorder="1" applyAlignment="1">
      <alignment wrapText="1"/>
    </xf>
    <xf numFmtId="0" fontId="1" fillId="0" borderId="9" xfId="0" applyFont="1" applyBorder="1" applyAlignment="1">
      <alignment vertical="top"/>
    </xf>
    <xf numFmtId="0" fontId="0" fillId="0" borderId="9" xfId="0" applyBorder="1" applyAlignment="1">
      <alignment vertical="top"/>
    </xf>
    <xf numFmtId="0" fontId="0" fillId="0" borderId="9" xfId="0" applyBorder="1" applyAlignment="1">
      <alignment wrapText="1"/>
    </xf>
    <xf numFmtId="0" fontId="0" fillId="0" borderId="63" xfId="0" applyBorder="1" applyAlignment="1">
      <alignment horizontal="left" vertical="top" wrapText="1"/>
    </xf>
    <xf numFmtId="164" fontId="4" fillId="19" borderId="1" xfId="3" applyNumberFormat="1" applyFont="1" applyFill="1" applyBorder="1" applyAlignment="1">
      <alignment horizontal="center"/>
    </xf>
    <xf numFmtId="0" fontId="12" fillId="21" borderId="65" xfId="0" applyFont="1" applyFill="1" applyBorder="1" applyAlignment="1">
      <alignment horizontal="center" vertical="center" wrapText="1"/>
    </xf>
    <xf numFmtId="169" fontId="4" fillId="19" borderId="63" xfId="4" applyNumberFormat="1" applyFont="1" applyFill="1" applyBorder="1" applyAlignment="1">
      <alignment horizontal="center"/>
    </xf>
    <xf numFmtId="169" fontId="4" fillId="0" borderId="63" xfId="4" applyNumberFormat="1" applyFont="1" applyBorder="1" applyAlignment="1">
      <alignment horizontal="center"/>
    </xf>
    <xf numFmtId="168" fontId="23" fillId="0" borderId="1" xfId="3" applyNumberFormat="1" applyFont="1" applyFill="1" applyBorder="1" applyAlignment="1" applyProtection="1">
      <alignment horizontal="center"/>
    </xf>
    <xf numFmtId="168" fontId="23" fillId="0" borderId="1" xfId="5" applyNumberFormat="1" applyFont="1" applyFill="1" applyBorder="1" applyAlignment="1" applyProtection="1">
      <alignment horizontal="center"/>
    </xf>
    <xf numFmtId="9" fontId="0" fillId="0" borderId="21" xfId="5" applyFont="1" applyBorder="1"/>
    <xf numFmtId="9" fontId="0" fillId="0" borderId="12" xfId="5" applyFont="1" applyBorder="1"/>
    <xf numFmtId="9" fontId="0" fillId="0" borderId="1" xfId="5" applyFont="1" applyBorder="1"/>
    <xf numFmtId="9" fontId="0" fillId="0" borderId="2" xfId="5" applyFont="1" applyBorder="1"/>
    <xf numFmtId="9" fontId="0" fillId="0" borderId="22" xfId="5" applyFont="1" applyBorder="1"/>
    <xf numFmtId="9" fontId="0" fillId="7" borderId="21" xfId="5" applyFont="1" applyFill="1" applyBorder="1"/>
    <xf numFmtId="9" fontId="0" fillId="7" borderId="12" xfId="5" applyFont="1" applyFill="1" applyBorder="1"/>
    <xf numFmtId="9" fontId="0" fillId="7" borderId="1" xfId="5" applyFont="1" applyFill="1" applyBorder="1"/>
    <xf numFmtId="9" fontId="0" fillId="7" borderId="2" xfId="5" applyFont="1" applyFill="1" applyBorder="1"/>
    <xf numFmtId="9" fontId="0" fillId="7" borderId="22" xfId="5" applyFont="1" applyFill="1" applyBorder="1"/>
    <xf numFmtId="9" fontId="0" fillId="7" borderId="23" xfId="5" applyFont="1" applyFill="1" applyBorder="1"/>
    <xf numFmtId="9" fontId="0" fillId="7" borderId="27" xfId="5" applyFont="1" applyFill="1" applyBorder="1"/>
    <xf numFmtId="9" fontId="0" fillId="7" borderId="24" xfId="5" applyFont="1" applyFill="1" applyBorder="1"/>
    <xf numFmtId="9" fontId="0" fillId="7" borderId="29" xfId="5" applyFont="1" applyFill="1" applyBorder="1"/>
    <xf numFmtId="9" fontId="0" fillId="7" borderId="25" xfId="5" applyFont="1" applyFill="1" applyBorder="1"/>
    <xf numFmtId="44" fontId="0" fillId="0" borderId="12" xfId="5" applyNumberFormat="1" applyFont="1" applyBorder="1"/>
    <xf numFmtId="44" fontId="0" fillId="0" borderId="1" xfId="5" applyNumberFormat="1" applyFont="1" applyBorder="1"/>
    <xf numFmtId="44" fontId="0" fillId="0" borderId="2" xfId="5" applyNumberFormat="1" applyFont="1" applyBorder="1"/>
    <xf numFmtId="44" fontId="0" fillId="0" borderId="22" xfId="5" applyNumberFormat="1" applyFont="1" applyBorder="1"/>
    <xf numFmtId="44" fontId="0" fillId="7" borderId="12" xfId="5" applyNumberFormat="1" applyFont="1" applyFill="1" applyBorder="1"/>
    <xf numFmtId="44" fontId="0" fillId="7" borderId="1" xfId="5" applyNumberFormat="1" applyFont="1" applyFill="1" applyBorder="1"/>
    <xf numFmtId="44" fontId="0" fillId="7" borderId="2" xfId="5" applyNumberFormat="1" applyFont="1" applyFill="1" applyBorder="1"/>
    <xf numFmtId="44" fontId="0" fillId="7" borderId="22" xfId="5" applyNumberFormat="1" applyFont="1" applyFill="1" applyBorder="1"/>
    <xf numFmtId="44" fontId="0" fillId="7" borderId="27" xfId="5" applyNumberFormat="1" applyFont="1" applyFill="1" applyBorder="1"/>
    <xf numFmtId="44" fontId="0" fillId="7" borderId="24" xfId="5" applyNumberFormat="1" applyFont="1" applyFill="1" applyBorder="1"/>
    <xf numFmtId="44" fontId="0" fillId="7" borderId="29" xfId="5" applyNumberFormat="1" applyFont="1" applyFill="1" applyBorder="1"/>
    <xf numFmtId="0" fontId="0" fillId="0" borderId="21" xfId="5" applyNumberFormat="1" applyFont="1" applyBorder="1"/>
    <xf numFmtId="0" fontId="0" fillId="7" borderId="21" xfId="5" applyNumberFormat="1" applyFont="1" applyFill="1" applyBorder="1"/>
    <xf numFmtId="0" fontId="0" fillId="7" borderId="23" xfId="5" applyNumberFormat="1" applyFont="1" applyFill="1" applyBorder="1"/>
    <xf numFmtId="0" fontId="0" fillId="0" borderId="21" xfId="4" applyNumberFormat="1" applyFont="1" applyBorder="1"/>
    <xf numFmtId="0" fontId="0" fillId="7" borderId="21" xfId="4" applyNumberFormat="1" applyFont="1" applyFill="1" applyBorder="1"/>
    <xf numFmtId="0" fontId="0" fillId="7" borderId="23" xfId="4" applyNumberFormat="1" applyFont="1" applyFill="1" applyBorder="1"/>
    <xf numFmtId="0" fontId="0" fillId="17" borderId="1" xfId="0" applyFill="1" applyBorder="1"/>
    <xf numFmtId="0" fontId="20" fillId="0" borderId="0" xfId="0" applyFont="1" applyAlignment="1">
      <alignment vertical="top" wrapText="1"/>
    </xf>
    <xf numFmtId="0" fontId="20" fillId="0" borderId="0" xfId="0" applyFont="1" applyAlignment="1">
      <alignment vertical="top"/>
    </xf>
    <xf numFmtId="3" fontId="0" fillId="26" borderId="25" xfId="0" applyNumberFormat="1" applyFill="1" applyBorder="1" applyAlignment="1">
      <alignment horizontal="center"/>
    </xf>
    <xf numFmtId="0" fontId="0" fillId="0" borderId="0" xfId="0" applyAlignment="1">
      <alignment horizontal="center" vertical="center" wrapText="1"/>
    </xf>
    <xf numFmtId="1" fontId="0" fillId="19"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Border="1" applyAlignment="1" applyProtection="1">
      <alignment horizontal="center"/>
      <protection locked="0"/>
    </xf>
    <xf numFmtId="1" fontId="0" fillId="0" borderId="9" xfId="0" applyNumberFormat="1" applyBorder="1" applyAlignment="1" applyProtection="1">
      <alignment horizontal="center"/>
      <protection locked="0"/>
    </xf>
    <xf numFmtId="165" fontId="0" fillId="19" borderId="1" xfId="4" applyNumberFormat="1" applyFont="1" applyFill="1" applyBorder="1" applyAlignment="1">
      <alignment horizontal="center"/>
    </xf>
    <xf numFmtId="165" fontId="0" fillId="0" borderId="1" xfId="4" applyNumberFormat="1" applyFont="1" applyFill="1" applyBorder="1" applyAlignment="1">
      <alignment horizontal="center"/>
    </xf>
    <xf numFmtId="165" fontId="0" fillId="0" borderId="1" xfId="4" applyNumberFormat="1" applyFont="1" applyFill="1" applyBorder="1" applyAlignment="1" applyProtection="1">
      <alignment horizontal="center"/>
      <protection locked="0"/>
    </xf>
    <xf numFmtId="165" fontId="0" fillId="0" borderId="9" xfId="4" applyNumberFormat="1" applyFont="1" applyFill="1" applyBorder="1" applyAlignment="1" applyProtection="1">
      <alignment horizontal="center"/>
      <protection locked="0"/>
    </xf>
    <xf numFmtId="0" fontId="15" fillId="0" borderId="0" xfId="0" applyFont="1" applyAlignment="1">
      <alignment wrapText="1"/>
    </xf>
    <xf numFmtId="10" fontId="0" fillId="0" borderId="2" xfId="5" applyNumberFormat="1" applyFont="1" applyBorder="1" applyAlignment="1">
      <alignment horizontal="right"/>
    </xf>
    <xf numFmtId="10" fontId="0" fillId="7" borderId="3" xfId="5" applyNumberFormat="1" applyFont="1" applyFill="1" applyBorder="1" applyAlignment="1">
      <alignment horizontal="right"/>
    </xf>
    <xf numFmtId="10" fontId="0" fillId="7" borderId="2" xfId="5" applyNumberFormat="1" applyFont="1" applyFill="1" applyBorder="1" applyAlignment="1">
      <alignment horizontal="right"/>
    </xf>
    <xf numFmtId="165" fontId="0" fillId="0" borderId="1" xfId="4" applyNumberFormat="1" applyFont="1" applyFill="1" applyBorder="1" applyAlignment="1">
      <alignment horizontal="right"/>
    </xf>
    <xf numFmtId="168" fontId="0" fillId="0" borderId="2" xfId="5" applyNumberFormat="1" applyFont="1" applyFill="1" applyBorder="1" applyAlignment="1">
      <alignment horizontal="right"/>
    </xf>
    <xf numFmtId="44" fontId="0" fillId="0" borderId="1" xfId="3" applyFont="1" applyFill="1" applyBorder="1" applyAlignment="1">
      <alignment horizontal="right"/>
    </xf>
    <xf numFmtId="44" fontId="1" fillId="7" borderId="1" xfId="3" applyFont="1" applyFill="1" applyBorder="1" applyAlignment="1">
      <alignment horizontal="right"/>
    </xf>
    <xf numFmtId="168" fontId="1" fillId="7" borderId="2" xfId="5" applyNumberFormat="1" applyFont="1" applyFill="1" applyBorder="1" applyAlignment="1">
      <alignment horizontal="right"/>
    </xf>
    <xf numFmtId="44" fontId="12" fillId="16" borderId="1" xfId="3" applyFont="1" applyFill="1" applyBorder="1" applyAlignment="1">
      <alignment horizontal="right"/>
    </xf>
    <xf numFmtId="168" fontId="12" fillId="16" borderId="2" xfId="5" applyNumberFormat="1" applyFont="1" applyFill="1" applyBorder="1" applyAlignment="1">
      <alignment horizontal="right"/>
    </xf>
    <xf numFmtId="44" fontId="12" fillId="16" borderId="9" xfId="3" applyFont="1" applyFill="1" applyBorder="1" applyAlignment="1">
      <alignment horizontal="right"/>
    </xf>
    <xf numFmtId="168" fontId="12" fillId="16" borderId="3" xfId="5" applyNumberFormat="1" applyFont="1" applyFill="1" applyBorder="1" applyAlignment="1">
      <alignment horizontal="right"/>
    </xf>
    <xf numFmtId="43" fontId="0" fillId="0" borderId="1" xfId="4" applyFont="1" applyBorder="1" applyAlignment="1">
      <alignment horizontal="right"/>
    </xf>
    <xf numFmtId="168" fontId="0" fillId="0" borderId="2" xfId="5" applyNumberFormat="1" applyFont="1" applyBorder="1" applyAlignment="1">
      <alignment horizontal="right"/>
    </xf>
    <xf numFmtId="44" fontId="12" fillId="15" borderId="1" xfId="3" applyFont="1" applyFill="1" applyBorder="1" applyAlignment="1">
      <alignment horizontal="right"/>
    </xf>
    <xf numFmtId="168" fontId="12" fillId="15" borderId="2" xfId="5" applyNumberFormat="1" applyFont="1" applyFill="1" applyBorder="1" applyAlignment="1">
      <alignment horizontal="right"/>
    </xf>
    <xf numFmtId="44" fontId="12" fillId="15" borderId="9" xfId="3" applyFont="1" applyFill="1" applyBorder="1" applyAlignment="1">
      <alignment horizontal="right"/>
    </xf>
    <xf numFmtId="10" fontId="0" fillId="0" borderId="2" xfId="5" applyNumberFormat="1" applyFont="1" applyFill="1" applyBorder="1" applyAlignment="1">
      <alignment horizontal="right"/>
    </xf>
    <xf numFmtId="10" fontId="1" fillId="7" borderId="2" xfId="5" applyNumberFormat="1" applyFont="1" applyFill="1" applyBorder="1" applyAlignment="1">
      <alignment horizontal="right"/>
    </xf>
    <xf numFmtId="10" fontId="12" fillId="16" borderId="2" xfId="5" applyNumberFormat="1" applyFont="1" applyFill="1" applyBorder="1" applyAlignment="1">
      <alignment horizontal="right"/>
    </xf>
    <xf numFmtId="10" fontId="12" fillId="16" borderId="3" xfId="5" applyNumberFormat="1" applyFont="1" applyFill="1" applyBorder="1" applyAlignment="1">
      <alignment horizontal="right"/>
    </xf>
    <xf numFmtId="43" fontId="0" fillId="0" borderId="1" xfId="3" applyNumberFormat="1" applyFont="1" applyFill="1" applyBorder="1" applyAlignment="1">
      <alignment horizontal="right"/>
    </xf>
    <xf numFmtId="0" fontId="0" fillId="0" borderId="1" xfId="3" applyNumberFormat="1" applyFont="1" applyFill="1" applyBorder="1" applyAlignment="1">
      <alignment horizontal="right"/>
    </xf>
    <xf numFmtId="43" fontId="1" fillId="7" borderId="1" xfId="3" applyNumberFormat="1" applyFont="1" applyFill="1" applyBorder="1" applyAlignment="1">
      <alignment horizontal="right"/>
    </xf>
    <xf numFmtId="43" fontId="12" fillId="15" borderId="1" xfId="3" applyNumberFormat="1" applyFont="1" applyFill="1" applyBorder="1" applyAlignment="1">
      <alignment horizontal="right"/>
    </xf>
    <xf numFmtId="0" fontId="12" fillId="15" borderId="1" xfId="3" applyNumberFormat="1" applyFont="1" applyFill="1" applyBorder="1" applyAlignment="1">
      <alignment horizontal="right"/>
    </xf>
    <xf numFmtId="43" fontId="12" fillId="15" borderId="9" xfId="3" applyNumberFormat="1" applyFont="1" applyFill="1" applyBorder="1" applyAlignment="1">
      <alignment horizontal="right"/>
    </xf>
    <xf numFmtId="0" fontId="0" fillId="5" borderId="0" xfId="0" applyFill="1" applyProtection="1">
      <protection locked="0"/>
    </xf>
    <xf numFmtId="0" fontId="8" fillId="8" borderId="19" xfId="0" applyFont="1" applyFill="1" applyBorder="1"/>
    <xf numFmtId="0" fontId="8" fillId="8" borderId="20" xfId="0" applyFont="1" applyFill="1" applyBorder="1"/>
    <xf numFmtId="1" fontId="0" fillId="0" borderId="55" xfId="4" applyNumberFormat="1" applyFont="1" applyFill="1" applyBorder="1"/>
    <xf numFmtId="1" fontId="0" fillId="0" borderId="9" xfId="4" applyNumberFormat="1" applyFont="1" applyBorder="1"/>
    <xf numFmtId="1" fontId="0" fillId="0" borderId="9" xfId="4" applyNumberFormat="1" applyFont="1" applyFill="1" applyBorder="1"/>
    <xf numFmtId="1" fontId="0" fillId="0" borderId="3" xfId="4" applyNumberFormat="1" applyFont="1" applyBorder="1"/>
    <xf numFmtId="1" fontId="0" fillId="0" borderId="56" xfId="4" applyNumberFormat="1" applyFont="1" applyBorder="1"/>
    <xf numFmtId="1" fontId="0" fillId="0" borderId="67" xfId="4" applyNumberFormat="1" applyFont="1" applyBorder="1"/>
    <xf numFmtId="0" fontId="32" fillId="0" borderId="0" xfId="0" applyFont="1"/>
    <xf numFmtId="2" fontId="15" fillId="0" borderId="18" xfId="0" applyNumberFormat="1" applyFont="1" applyBorder="1"/>
    <xf numFmtId="2" fontId="15" fillId="0" borderId="19" xfId="0" applyNumberFormat="1" applyFont="1" applyBorder="1"/>
    <xf numFmtId="0" fontId="15" fillId="0" borderId="19" xfId="0" applyFont="1" applyBorder="1"/>
    <xf numFmtId="0" fontId="15" fillId="0" borderId="20" xfId="0" applyFont="1" applyBorder="1"/>
    <xf numFmtId="1" fontId="0" fillId="0" borderId="24" xfId="4" applyNumberFormat="1" applyFont="1" applyFill="1" applyBorder="1"/>
    <xf numFmtId="0" fontId="15" fillId="0" borderId="28" xfId="0" applyFont="1" applyBorder="1"/>
    <xf numFmtId="1" fontId="0" fillId="0" borderId="25" xfId="4" applyNumberFormat="1" applyFont="1" applyFill="1" applyBorder="1"/>
    <xf numFmtId="1" fontId="0" fillId="0" borderId="68" xfId="4" applyNumberFormat="1" applyFont="1" applyBorder="1"/>
    <xf numFmtId="0" fontId="8" fillId="8" borderId="39" xfId="0" applyFont="1" applyFill="1"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8" fillId="8" borderId="18" xfId="0" applyFont="1" applyFill="1" applyBorder="1"/>
    <xf numFmtId="0" fontId="10" fillId="0" borderId="21" xfId="0" applyFont="1" applyBorder="1"/>
    <xf numFmtId="0" fontId="10" fillId="0" borderId="23" xfId="0" applyFont="1" applyBorder="1"/>
    <xf numFmtId="0" fontId="8" fillId="17" borderId="16" xfId="0" applyFont="1" applyFill="1" applyBorder="1"/>
    <xf numFmtId="0" fontId="10" fillId="17" borderId="36" xfId="0" applyFont="1" applyFill="1" applyBorder="1"/>
    <xf numFmtId="0" fontId="10" fillId="17" borderId="69" xfId="0" applyFont="1" applyFill="1" applyBorder="1"/>
    <xf numFmtId="1" fontId="0" fillId="0" borderId="22" xfId="0" applyNumberFormat="1" applyBorder="1"/>
    <xf numFmtId="1" fontId="0" fillId="0" borderId="25" xfId="0" applyNumberFormat="1" applyBorder="1"/>
    <xf numFmtId="0" fontId="0" fillId="0" borderId="43" xfId="0" applyBorder="1" applyAlignment="1">
      <alignment horizontal="center"/>
    </xf>
    <xf numFmtId="1" fontId="0" fillId="0" borderId="44" xfId="0" applyNumberFormat="1" applyBorder="1"/>
    <xf numFmtId="0" fontId="28" fillId="0" borderId="10" xfId="6" applyBorder="1" applyAlignment="1">
      <alignment horizontal="left" wrapText="1"/>
    </xf>
    <xf numFmtId="0" fontId="28" fillId="0" borderId="14" xfId="6" applyBorder="1" applyAlignment="1">
      <alignment wrapText="1"/>
    </xf>
    <xf numFmtId="43" fontId="10" fillId="0" borderId="21" xfId="4" applyFont="1" applyBorder="1" applyAlignment="1">
      <alignment horizontal="right"/>
    </xf>
    <xf numFmtId="43" fontId="10" fillId="0" borderId="23" xfId="4" applyFont="1" applyBorder="1" applyAlignment="1">
      <alignment horizontal="right"/>
    </xf>
    <xf numFmtId="170" fontId="10" fillId="0" borderId="1" xfId="3" applyNumberFormat="1" applyFont="1" applyBorder="1" applyAlignment="1">
      <alignment horizontal="right"/>
    </xf>
    <xf numFmtId="170" fontId="10" fillId="0" borderId="1" xfId="0" applyNumberFormat="1" applyFont="1" applyBorder="1" applyAlignment="1">
      <alignment horizontal="right"/>
    </xf>
    <xf numFmtId="170" fontId="10" fillId="0" borderId="22" xfId="0" applyNumberFormat="1" applyFont="1" applyBorder="1" applyAlignment="1">
      <alignment horizontal="right"/>
    </xf>
    <xf numFmtId="170" fontId="10" fillId="0" borderId="24" xfId="3" applyNumberFormat="1" applyFont="1" applyBorder="1" applyAlignment="1">
      <alignment horizontal="right"/>
    </xf>
    <xf numFmtId="170" fontId="10" fillId="0" borderId="24" xfId="0" applyNumberFormat="1" applyFont="1" applyBorder="1" applyAlignment="1">
      <alignment horizontal="right"/>
    </xf>
    <xf numFmtId="170" fontId="10" fillId="0" borderId="25" xfId="0" applyNumberFormat="1" applyFont="1" applyBorder="1" applyAlignment="1">
      <alignment horizontal="right"/>
    </xf>
    <xf numFmtId="170" fontId="10" fillId="0" borderId="1" xfId="4" applyNumberFormat="1" applyFont="1" applyBorder="1" applyAlignment="1">
      <alignment horizontal="right"/>
    </xf>
    <xf numFmtId="170" fontId="10" fillId="0" borderId="22" xfId="4" applyNumberFormat="1" applyFont="1" applyBorder="1" applyAlignment="1">
      <alignment horizontal="right"/>
    </xf>
    <xf numFmtId="170" fontId="10" fillId="0" borderId="24" xfId="4" applyNumberFormat="1" applyFont="1" applyBorder="1" applyAlignment="1">
      <alignment horizontal="right"/>
    </xf>
    <xf numFmtId="170" fontId="10" fillId="0" borderId="25" xfId="4" applyNumberFormat="1" applyFont="1" applyBorder="1" applyAlignment="1">
      <alignment horizontal="right"/>
    </xf>
    <xf numFmtId="43" fontId="10" fillId="0" borderId="1" xfId="4" applyFont="1" applyBorder="1" applyAlignment="1">
      <alignment horizontal="right"/>
    </xf>
    <xf numFmtId="43" fontId="10" fillId="0" borderId="24" xfId="4" applyFont="1" applyBorder="1" applyAlignment="1">
      <alignment horizontal="right"/>
    </xf>
    <xf numFmtId="170" fontId="10" fillId="0" borderId="20" xfId="0" applyNumberFormat="1" applyFont="1" applyBorder="1"/>
    <xf numFmtId="170" fontId="10" fillId="0" borderId="22" xfId="0" applyNumberFormat="1" applyFont="1" applyBorder="1"/>
    <xf numFmtId="170" fontId="10" fillId="0" borderId="25" xfId="0" applyNumberFormat="1" applyFont="1" applyBorder="1"/>
    <xf numFmtId="170" fontId="10" fillId="0" borderId="20" xfId="3" applyNumberFormat="1" applyFont="1" applyBorder="1"/>
    <xf numFmtId="170" fontId="10" fillId="0" borderId="22" xfId="3" applyNumberFormat="1" applyFont="1" applyBorder="1"/>
    <xf numFmtId="170" fontId="10" fillId="0" borderId="25" xfId="3" applyNumberFormat="1" applyFont="1" applyBorder="1"/>
    <xf numFmtId="0" fontId="12" fillId="4" borderId="0" xfId="0" applyFont="1" applyFill="1" applyAlignment="1">
      <alignment horizontal="center" wrapText="1"/>
    </xf>
    <xf numFmtId="0" fontId="31" fillId="8" borderId="0" xfId="0" applyFont="1" applyFill="1" applyAlignment="1">
      <alignment horizontal="center" vertical="center"/>
    </xf>
    <xf numFmtId="0" fontId="29" fillId="8" borderId="0" xfId="0" applyFont="1" applyFill="1" applyAlignment="1">
      <alignment horizontal="center"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0" fontId="28" fillId="0" borderId="0" xfId="6" applyAlignment="1">
      <alignment horizontal="center" wrapText="1"/>
    </xf>
    <xf numFmtId="0" fontId="1" fillId="0" borderId="0" xfId="0" applyFont="1" applyAlignment="1">
      <alignment horizontal="center" vertical="center" wrapText="1"/>
    </xf>
    <xf numFmtId="0" fontId="28" fillId="0" borderId="0" xfId="6" applyAlignment="1">
      <alignment horizontal="center"/>
    </xf>
    <xf numFmtId="0" fontId="17" fillId="0" borderId="0" xfId="0" applyFont="1" applyAlignment="1">
      <alignment horizontal="center" wrapText="1"/>
    </xf>
    <xf numFmtId="0" fontId="17" fillId="0" borderId="7" xfId="0" applyFont="1" applyBorder="1" applyAlignment="1">
      <alignment horizontal="center" wrapText="1"/>
    </xf>
    <xf numFmtId="0" fontId="31" fillId="10" borderId="0" xfId="0" applyFont="1" applyFill="1" applyAlignment="1">
      <alignment horizontal="center" vertical="center"/>
    </xf>
    <xf numFmtId="0" fontId="8" fillId="0" borderId="0" xfId="0" applyFont="1" applyAlignment="1">
      <alignment horizontal="center" vertic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1" fillId="2" borderId="2" xfId="0" applyFont="1" applyFill="1" applyBorder="1" applyAlignment="1">
      <alignment horizontal="center"/>
    </xf>
    <xf numFmtId="0" fontId="1" fillId="2" borderId="36" xfId="0" applyFont="1" applyFill="1" applyBorder="1" applyAlignment="1">
      <alignment horizontal="center"/>
    </xf>
    <xf numFmtId="0" fontId="1" fillId="2" borderId="12" xfId="0" applyFont="1" applyFill="1" applyBorder="1" applyAlignment="1">
      <alignment horizontal="center"/>
    </xf>
    <xf numFmtId="0" fontId="20" fillId="0" borderId="0" xfId="0" applyFont="1" applyAlignment="1">
      <alignment horizontal="left" vertical="top" wrapText="1"/>
    </xf>
    <xf numFmtId="0" fontId="12" fillId="13" borderId="18" xfId="0" applyFont="1" applyFill="1" applyBorder="1" applyAlignment="1">
      <alignment horizontal="center"/>
    </xf>
    <xf numFmtId="0" fontId="12" fillId="13" borderId="28" xfId="0" applyFont="1" applyFill="1" applyBorder="1" applyAlignment="1">
      <alignment horizontal="center"/>
    </xf>
    <xf numFmtId="0" fontId="12" fillId="13" borderId="19" xfId="0" applyFont="1" applyFill="1" applyBorder="1" applyAlignment="1">
      <alignment horizontal="center"/>
    </xf>
    <xf numFmtId="0" fontId="12" fillId="13" borderId="30" xfId="0" applyFont="1" applyFill="1" applyBorder="1" applyAlignment="1">
      <alignment horizontal="center"/>
    </xf>
    <xf numFmtId="0" fontId="12" fillId="13" borderId="20" xfId="0" applyFont="1" applyFill="1" applyBorder="1" applyAlignment="1">
      <alignment horizontal="center"/>
    </xf>
    <xf numFmtId="0" fontId="12" fillId="14" borderId="18" xfId="0" applyFont="1" applyFill="1" applyBorder="1" applyAlignment="1">
      <alignment horizontal="center"/>
    </xf>
    <xf numFmtId="0" fontId="12" fillId="14" borderId="28" xfId="0" applyFont="1" applyFill="1" applyBorder="1" applyAlignment="1">
      <alignment horizontal="center"/>
    </xf>
    <xf numFmtId="0" fontId="12" fillId="14" borderId="19" xfId="0" applyFont="1" applyFill="1" applyBorder="1" applyAlignment="1">
      <alignment horizontal="center"/>
    </xf>
    <xf numFmtId="0" fontId="12" fillId="14" borderId="30" xfId="0" applyFont="1" applyFill="1" applyBorder="1" applyAlignment="1">
      <alignment horizontal="center"/>
    </xf>
    <xf numFmtId="0" fontId="12" fillId="14" borderId="20" xfId="0" applyFont="1" applyFill="1" applyBorder="1" applyAlignment="1">
      <alignment horizontal="center"/>
    </xf>
    <xf numFmtId="0" fontId="12" fillId="8" borderId="15" xfId="0" applyFont="1" applyFill="1" applyBorder="1" applyAlignment="1">
      <alignment horizontal="center"/>
    </xf>
    <xf numFmtId="0" fontId="12" fillId="8" borderId="16" xfId="0" applyFont="1" applyFill="1" applyBorder="1" applyAlignment="1">
      <alignment horizontal="center"/>
    </xf>
    <xf numFmtId="0" fontId="12" fillId="8" borderId="17" xfId="0" applyFont="1" applyFill="1" applyBorder="1" applyAlignment="1">
      <alignment horizontal="center"/>
    </xf>
    <xf numFmtId="0" fontId="12" fillId="9" borderId="18" xfId="0" applyFont="1" applyFill="1" applyBorder="1" applyAlignment="1">
      <alignment horizontal="center"/>
    </xf>
    <xf numFmtId="0" fontId="12" fillId="9" borderId="28" xfId="0" applyFont="1" applyFill="1" applyBorder="1" applyAlignment="1">
      <alignment horizontal="center"/>
    </xf>
    <xf numFmtId="0" fontId="12" fillId="9" borderId="19" xfId="0" applyFont="1" applyFill="1" applyBorder="1" applyAlignment="1">
      <alignment horizontal="center"/>
    </xf>
    <xf numFmtId="0" fontId="12" fillId="9" borderId="30" xfId="0" applyFont="1" applyFill="1" applyBorder="1" applyAlignment="1">
      <alignment horizontal="center"/>
    </xf>
    <xf numFmtId="0" fontId="12" fillId="9" borderId="20" xfId="0" applyFont="1" applyFill="1" applyBorder="1" applyAlignment="1">
      <alignment horizontal="center"/>
    </xf>
    <xf numFmtId="0" fontId="12" fillId="8" borderId="18" xfId="0" applyFont="1" applyFill="1" applyBorder="1" applyAlignment="1">
      <alignment horizontal="center"/>
    </xf>
    <xf numFmtId="0" fontId="12" fillId="8" borderId="28" xfId="0" applyFont="1" applyFill="1" applyBorder="1" applyAlignment="1">
      <alignment horizontal="center"/>
    </xf>
    <xf numFmtId="0" fontId="12" fillId="8" borderId="19" xfId="0" applyFont="1" applyFill="1" applyBorder="1" applyAlignment="1">
      <alignment horizontal="center"/>
    </xf>
    <xf numFmtId="0" fontId="12" fillId="8" borderId="30" xfId="0" applyFont="1" applyFill="1" applyBorder="1" applyAlignment="1">
      <alignment horizontal="center"/>
    </xf>
    <xf numFmtId="0" fontId="12" fillId="8" borderId="20" xfId="0" applyFont="1" applyFill="1" applyBorder="1" applyAlignment="1">
      <alignment horizontal="center"/>
    </xf>
    <xf numFmtId="0" fontId="12" fillId="10" borderId="18" xfId="0" applyFont="1" applyFill="1" applyBorder="1" applyAlignment="1">
      <alignment horizontal="center"/>
    </xf>
    <xf numFmtId="0" fontId="12" fillId="10" borderId="28" xfId="0" applyFont="1" applyFill="1" applyBorder="1" applyAlignment="1">
      <alignment horizontal="center"/>
    </xf>
    <xf numFmtId="0" fontId="12" fillId="10" borderId="19" xfId="0" applyFont="1" applyFill="1" applyBorder="1" applyAlignment="1">
      <alignment horizontal="center"/>
    </xf>
    <xf numFmtId="0" fontId="12" fillId="10" borderId="30" xfId="0" applyFont="1" applyFill="1" applyBorder="1" applyAlignment="1">
      <alignment horizontal="center"/>
    </xf>
    <xf numFmtId="0" fontId="12" fillId="10" borderId="20" xfId="0" applyFont="1" applyFill="1" applyBorder="1" applyAlignment="1">
      <alignment horizontal="center"/>
    </xf>
    <xf numFmtId="0" fontId="12" fillId="18" borderId="18" xfId="0" applyFont="1" applyFill="1" applyBorder="1" applyAlignment="1">
      <alignment horizontal="center"/>
    </xf>
    <xf numFmtId="0" fontId="12" fillId="18" borderId="28" xfId="0" applyFont="1" applyFill="1" applyBorder="1" applyAlignment="1">
      <alignment horizontal="center"/>
    </xf>
    <xf numFmtId="0" fontId="12" fillId="18" borderId="19" xfId="0" applyFont="1" applyFill="1" applyBorder="1" applyAlignment="1">
      <alignment horizontal="center"/>
    </xf>
    <xf numFmtId="0" fontId="12" fillId="18" borderId="30" xfId="0" applyFont="1" applyFill="1" applyBorder="1" applyAlignment="1">
      <alignment horizontal="center"/>
    </xf>
    <xf numFmtId="0" fontId="12" fillId="18" borderId="20" xfId="0" applyFont="1" applyFill="1" applyBorder="1" applyAlignment="1">
      <alignment horizontal="center"/>
    </xf>
    <xf numFmtId="0" fontId="12" fillId="12" borderId="18" xfId="0" applyFont="1" applyFill="1" applyBorder="1" applyAlignment="1">
      <alignment horizontal="center"/>
    </xf>
    <xf numFmtId="0" fontId="12" fillId="12" borderId="28" xfId="0" applyFont="1" applyFill="1" applyBorder="1" applyAlignment="1">
      <alignment horizontal="center"/>
    </xf>
    <xf numFmtId="0" fontId="12" fillId="12" borderId="19" xfId="0" applyFont="1" applyFill="1" applyBorder="1" applyAlignment="1">
      <alignment horizontal="center"/>
    </xf>
    <xf numFmtId="0" fontId="12" fillId="12" borderId="30" xfId="0" applyFont="1" applyFill="1" applyBorder="1" applyAlignment="1">
      <alignment horizontal="center"/>
    </xf>
    <xf numFmtId="0" fontId="12" fillId="12" borderId="20" xfId="0" applyFont="1" applyFill="1" applyBorder="1" applyAlignment="1">
      <alignment horizontal="center"/>
    </xf>
    <xf numFmtId="0" fontId="12" fillId="9" borderId="15" xfId="0" applyFont="1" applyFill="1" applyBorder="1" applyAlignment="1">
      <alignment horizontal="center"/>
    </xf>
    <xf numFmtId="0" fontId="12" fillId="9" borderId="16" xfId="0" applyFont="1" applyFill="1" applyBorder="1" applyAlignment="1">
      <alignment horizontal="center"/>
    </xf>
    <xf numFmtId="0" fontId="12" fillId="9" borderId="17" xfId="0" applyFont="1" applyFill="1" applyBorder="1" applyAlignment="1">
      <alignment horizontal="center"/>
    </xf>
    <xf numFmtId="0" fontId="12" fillId="10" borderId="15" xfId="0" applyFont="1" applyFill="1" applyBorder="1" applyAlignment="1">
      <alignment horizontal="center"/>
    </xf>
    <xf numFmtId="0" fontId="12" fillId="10" borderId="16" xfId="0" applyFont="1" applyFill="1" applyBorder="1" applyAlignment="1">
      <alignment horizontal="center"/>
    </xf>
    <xf numFmtId="0" fontId="12" fillId="10" borderId="17" xfId="0" applyFont="1" applyFill="1" applyBorder="1" applyAlignment="1">
      <alignment horizontal="center"/>
    </xf>
    <xf numFmtId="0" fontId="12" fillId="10" borderId="18" xfId="0" applyFont="1" applyFill="1" applyBorder="1" applyAlignment="1">
      <alignment horizontal="center" wrapText="1"/>
    </xf>
    <xf numFmtId="0" fontId="12" fillId="10" borderId="20" xfId="0" applyFont="1" applyFill="1" applyBorder="1" applyAlignment="1">
      <alignment horizontal="center" wrapText="1"/>
    </xf>
    <xf numFmtId="0" fontId="12" fillId="9" borderId="18" xfId="0" applyFont="1" applyFill="1" applyBorder="1" applyAlignment="1">
      <alignment horizontal="center" wrapText="1"/>
    </xf>
    <xf numFmtId="0" fontId="12" fillId="9" borderId="20" xfId="0" applyFont="1" applyFill="1" applyBorder="1" applyAlignment="1">
      <alignment horizontal="center" wrapText="1"/>
    </xf>
    <xf numFmtId="0" fontId="12" fillId="8" borderId="18" xfId="0" applyFont="1" applyFill="1" applyBorder="1" applyAlignment="1">
      <alignment horizontal="center" wrapText="1"/>
    </xf>
    <xf numFmtId="0" fontId="12" fillId="8" borderId="20" xfId="0" applyFont="1" applyFill="1" applyBorder="1" applyAlignment="1">
      <alignment horizontal="center" wrapText="1"/>
    </xf>
    <xf numFmtId="0" fontId="12" fillId="18" borderId="15" xfId="0" applyFont="1" applyFill="1" applyBorder="1" applyAlignment="1">
      <alignment horizontal="center"/>
    </xf>
    <xf numFmtId="0" fontId="12" fillId="18" borderId="16" xfId="0" applyFont="1" applyFill="1" applyBorder="1" applyAlignment="1">
      <alignment horizontal="center"/>
    </xf>
    <xf numFmtId="0" fontId="12" fillId="18" borderId="18" xfId="0" applyFont="1" applyFill="1" applyBorder="1" applyAlignment="1">
      <alignment horizontal="center" wrapText="1"/>
    </xf>
    <xf numFmtId="0" fontId="12" fillId="18" borderId="20" xfId="0" applyFont="1" applyFill="1" applyBorder="1" applyAlignment="1">
      <alignment horizontal="center" wrapText="1"/>
    </xf>
    <xf numFmtId="0" fontId="12" fillId="12" borderId="18" xfId="0" applyFont="1" applyFill="1" applyBorder="1" applyAlignment="1">
      <alignment horizontal="center" wrapText="1"/>
    </xf>
    <xf numFmtId="0" fontId="12" fillId="12" borderId="20" xfId="0" applyFont="1" applyFill="1" applyBorder="1" applyAlignment="1">
      <alignment horizontal="center" wrapText="1"/>
    </xf>
    <xf numFmtId="0" fontId="12" fillId="18" borderId="17" xfId="0" applyFont="1" applyFill="1" applyBorder="1" applyAlignment="1">
      <alignment horizontal="center"/>
    </xf>
    <xf numFmtId="0" fontId="12" fillId="13" borderId="18" xfId="0" applyFont="1" applyFill="1" applyBorder="1" applyAlignment="1">
      <alignment horizontal="center" wrapText="1"/>
    </xf>
    <xf numFmtId="0" fontId="12" fillId="13" borderId="20" xfId="0" applyFont="1" applyFill="1" applyBorder="1" applyAlignment="1">
      <alignment horizontal="center" wrapText="1"/>
    </xf>
    <xf numFmtId="0" fontId="12" fillId="14" borderId="18" xfId="0" applyFont="1" applyFill="1" applyBorder="1" applyAlignment="1">
      <alignment horizontal="center" wrapText="1"/>
    </xf>
    <xf numFmtId="0" fontId="12" fillId="14" borderId="20" xfId="0" applyFont="1" applyFill="1" applyBorder="1" applyAlignment="1">
      <alignment horizontal="center" wrapText="1"/>
    </xf>
    <xf numFmtId="0" fontId="12" fillId="12" borderId="15" xfId="0" applyFont="1" applyFill="1" applyBorder="1" applyAlignment="1">
      <alignment horizontal="center"/>
    </xf>
    <xf numFmtId="0" fontId="12" fillId="12" borderId="16" xfId="0" applyFont="1" applyFill="1" applyBorder="1" applyAlignment="1">
      <alignment horizontal="center"/>
    </xf>
    <xf numFmtId="0" fontId="12" fillId="14" borderId="15" xfId="0" applyFont="1" applyFill="1" applyBorder="1" applyAlignment="1">
      <alignment horizontal="center"/>
    </xf>
    <xf numFmtId="0" fontId="12" fillId="14" borderId="16" xfId="0" applyFont="1" applyFill="1" applyBorder="1" applyAlignment="1">
      <alignment horizontal="center"/>
    </xf>
    <xf numFmtId="0" fontId="12" fillId="13" borderId="15" xfId="0" applyFont="1" applyFill="1" applyBorder="1" applyAlignment="1">
      <alignment horizontal="center"/>
    </xf>
    <xf numFmtId="0" fontId="12" fillId="13" borderId="16" xfId="0" applyFont="1" applyFill="1" applyBorder="1" applyAlignment="1">
      <alignment horizontal="center"/>
    </xf>
    <xf numFmtId="0" fontId="12" fillId="12" borderId="17" xfId="0" applyFont="1" applyFill="1" applyBorder="1" applyAlignment="1">
      <alignment horizontal="center"/>
    </xf>
    <xf numFmtId="0" fontId="12" fillId="13" borderId="17" xfId="0" applyFont="1" applyFill="1" applyBorder="1" applyAlignment="1">
      <alignment horizontal="center"/>
    </xf>
    <xf numFmtId="0" fontId="12" fillId="14" borderId="17" xfId="0" applyFont="1" applyFill="1" applyBorder="1" applyAlignment="1">
      <alignment horizontal="center"/>
    </xf>
    <xf numFmtId="0" fontId="25" fillId="24" borderId="45" xfId="0" applyFont="1" applyFill="1" applyBorder="1" applyAlignment="1">
      <alignment horizontal="center"/>
    </xf>
    <xf numFmtId="0" fontId="25" fillId="24" borderId="46" xfId="0" applyFont="1" applyFill="1" applyBorder="1" applyAlignment="1">
      <alignment horizontal="center"/>
    </xf>
    <xf numFmtId="0" fontId="25" fillId="24" borderId="47" xfId="0" applyFont="1" applyFill="1" applyBorder="1" applyAlignment="1">
      <alignment horizontal="center"/>
    </xf>
    <xf numFmtId="0" fontId="25" fillId="23" borderId="10" xfId="0" applyFont="1" applyFill="1" applyBorder="1" applyAlignment="1">
      <alignment horizontal="center"/>
    </xf>
    <xf numFmtId="0" fontId="25" fillId="23" borderId="11" xfId="0" applyFont="1" applyFill="1" applyBorder="1" applyAlignment="1">
      <alignment horizontal="center"/>
    </xf>
    <xf numFmtId="0" fontId="25" fillId="23" borderId="14" xfId="0" applyFont="1" applyFill="1" applyBorder="1" applyAlignment="1">
      <alignment horizontal="center"/>
    </xf>
    <xf numFmtId="0" fontId="25" fillId="22" borderId="10" xfId="0" applyFont="1" applyFill="1" applyBorder="1" applyAlignment="1">
      <alignment horizontal="center"/>
    </xf>
    <xf numFmtId="0" fontId="25" fillId="22" borderId="11" xfId="0" applyFont="1" applyFill="1" applyBorder="1" applyAlignment="1">
      <alignment horizontal="center"/>
    </xf>
    <xf numFmtId="0" fontId="25" fillId="22" borderId="14" xfId="0" applyFont="1" applyFill="1" applyBorder="1" applyAlignment="1">
      <alignment horizontal="center"/>
    </xf>
    <xf numFmtId="0" fontId="24" fillId="22" borderId="18" xfId="0" applyFont="1" applyFill="1" applyBorder="1" applyAlignment="1">
      <alignment horizontal="center"/>
    </xf>
    <xf numFmtId="0" fontId="24" fillId="22" borderId="19" xfId="0" applyFont="1" applyFill="1" applyBorder="1" applyAlignment="1">
      <alignment horizontal="center"/>
    </xf>
    <xf numFmtId="0" fontId="24" fillId="22" borderId="20" xfId="0" applyFont="1" applyFill="1" applyBorder="1" applyAlignment="1">
      <alignment horizontal="center"/>
    </xf>
    <xf numFmtId="0" fontId="24" fillId="23" borderId="18" xfId="0" applyFont="1" applyFill="1" applyBorder="1" applyAlignment="1">
      <alignment horizontal="center"/>
    </xf>
    <xf numFmtId="0" fontId="24" fillId="23" borderId="19" xfId="0" applyFont="1" applyFill="1" applyBorder="1" applyAlignment="1">
      <alignment horizontal="center"/>
    </xf>
    <xf numFmtId="0" fontId="24" fillId="23" borderId="20" xfId="0" applyFont="1" applyFill="1" applyBorder="1" applyAlignment="1">
      <alignment horizontal="center"/>
    </xf>
    <xf numFmtId="1" fontId="24" fillId="0" borderId="18" xfId="0" applyNumberFormat="1" applyFont="1" applyBorder="1" applyAlignment="1">
      <alignment horizontal="center"/>
    </xf>
    <xf numFmtId="1" fontId="24" fillId="0" borderId="19" xfId="0" applyNumberFormat="1" applyFont="1" applyBorder="1" applyAlignment="1">
      <alignment horizontal="center"/>
    </xf>
    <xf numFmtId="1" fontId="24" fillId="0" borderId="20" xfId="0" applyNumberFormat="1" applyFont="1" applyBorder="1" applyAlignment="1">
      <alignment horizontal="center"/>
    </xf>
    <xf numFmtId="1" fontId="24" fillId="0" borderId="15" xfId="4" applyNumberFormat="1" applyFont="1" applyFill="1" applyBorder="1" applyAlignment="1">
      <alignment horizontal="center"/>
    </xf>
    <xf numFmtId="1" fontId="24" fillId="0" borderId="16" xfId="4" applyNumberFormat="1" applyFont="1" applyFill="1" applyBorder="1" applyAlignment="1">
      <alignment horizontal="center"/>
    </xf>
    <xf numFmtId="1" fontId="24" fillId="0" borderId="17" xfId="4" applyNumberFormat="1" applyFont="1" applyFill="1" applyBorder="1" applyAlignment="1">
      <alignment horizontal="center"/>
    </xf>
    <xf numFmtId="1" fontId="24" fillId="0" borderId="16" xfId="4" applyNumberFormat="1" applyFont="1" applyBorder="1" applyAlignment="1">
      <alignment horizontal="center"/>
    </xf>
    <xf numFmtId="1" fontId="24" fillId="0" borderId="17" xfId="4" applyNumberFormat="1" applyFont="1" applyBorder="1" applyAlignment="1">
      <alignment horizontal="center"/>
    </xf>
  </cellXfs>
  <cellStyles count="7">
    <cellStyle name="Comma" xfId="4" builtinId="3"/>
    <cellStyle name="Comma 2" xfId="2" xr:uid="{00000000-0005-0000-0000-000001000000}"/>
    <cellStyle name="Currency" xfId="3" builtinId="4"/>
    <cellStyle name="Hyperlink" xfId="6" builtinId="8"/>
    <cellStyle name="Normal" xfId="0" builtinId="0"/>
    <cellStyle name="Normal 2" xfId="1" xr:uid="{00000000-0005-0000-0000-000004000000}"/>
    <cellStyle name="Percent" xfId="5" builtinId="5"/>
  </cellStyles>
  <dxfs count="476">
    <dxf>
      <fill>
        <patternFill>
          <bgColor theme="6"/>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FF7C80"/>
        </patternFill>
      </fill>
    </dxf>
    <dxf>
      <fill>
        <patternFill>
          <bgColor theme="6"/>
        </patternFill>
      </fill>
    </dxf>
    <dxf>
      <fill>
        <patternFill>
          <bgColor theme="6"/>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FF7C8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theme="6"/>
        </patternFill>
      </fill>
    </dxf>
    <dxf>
      <font>
        <color rgb="FF9C0006"/>
      </font>
      <fill>
        <patternFill>
          <bgColor rgb="FFFF9999"/>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theme="6"/>
        </patternFill>
      </fill>
    </dxf>
    <dxf>
      <font>
        <color rgb="FF9C0006"/>
      </font>
      <fill>
        <patternFill>
          <bgColor rgb="FFFF9999"/>
        </patternFill>
      </fill>
    </dxf>
    <dxf>
      <fill>
        <patternFill>
          <bgColor rgb="FFC00000"/>
        </patternFill>
      </fill>
    </dxf>
    <dxf>
      <fill>
        <patternFill>
          <bgColor theme="6"/>
        </patternFill>
      </fill>
    </dxf>
    <dxf>
      <fill>
        <patternFill patternType="none">
          <bgColor auto="1"/>
        </patternFill>
      </fill>
    </dxf>
    <dxf>
      <font>
        <color rgb="FF9C0006"/>
      </font>
      <fill>
        <patternFill>
          <bgColor rgb="FFFF9999"/>
        </patternFill>
      </fill>
    </dxf>
    <dxf>
      <fill>
        <patternFill>
          <bgColor rgb="FF92D050"/>
        </patternFill>
      </fill>
    </dxf>
    <dxf>
      <fill>
        <patternFill>
          <bgColor rgb="FFC00000"/>
        </patternFill>
      </fill>
    </dxf>
    <dxf>
      <fill>
        <patternFill>
          <bgColor theme="6"/>
        </patternFill>
      </fill>
    </dxf>
    <dxf>
      <fill>
        <patternFill>
          <bgColor rgb="FFC00000"/>
        </patternFill>
      </fill>
    </dxf>
    <dxf>
      <fill>
        <patternFill>
          <bgColor rgb="FFC00000"/>
        </patternFill>
      </fill>
    </dxf>
    <dxf>
      <font>
        <color rgb="FF9C0006"/>
      </font>
      <fill>
        <patternFill>
          <bgColor rgb="FFFF9999"/>
        </patternFill>
      </fill>
    </dxf>
    <dxf>
      <fill>
        <patternFill>
          <bgColor theme="6"/>
        </patternFill>
      </fill>
    </dxf>
    <dxf>
      <fill>
        <patternFill>
          <bgColor theme="6"/>
        </patternFill>
      </fill>
    </dxf>
    <dxf>
      <font>
        <color rgb="FF9C0006"/>
      </font>
      <fill>
        <patternFill>
          <bgColor rgb="FFFF9999"/>
        </patternFill>
      </fill>
    </dxf>
    <dxf>
      <fill>
        <patternFill>
          <bgColor theme="6"/>
        </patternFill>
      </fill>
    </dxf>
    <dxf>
      <fill>
        <patternFill>
          <bgColor rgb="FFFFC7CE"/>
        </patternFill>
      </fill>
    </dxf>
    <dxf>
      <font>
        <color rgb="FF9C0006"/>
      </font>
      <fill>
        <patternFill>
          <bgColor rgb="FFFF9999"/>
        </patternFill>
      </fill>
    </dxf>
    <dxf>
      <fill>
        <patternFill>
          <bgColor rgb="FF9BBB59"/>
        </patternFill>
      </fill>
    </dxf>
    <dxf>
      <fill>
        <patternFill>
          <bgColor theme="6"/>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patternType="none">
          <bgColor auto="1"/>
        </patternFill>
      </fill>
    </dxf>
    <dxf>
      <fill>
        <patternFill>
          <bgColor theme="6"/>
        </patternFill>
      </fill>
    </dxf>
    <dxf>
      <fill>
        <patternFill>
          <bgColor theme="6"/>
        </patternFill>
      </fill>
    </dxf>
    <dxf>
      <fill>
        <patternFill>
          <bgColor rgb="FFFFC7CE"/>
        </patternFill>
      </fill>
    </dxf>
    <dxf>
      <fill>
        <patternFill>
          <bgColor theme="6"/>
        </patternFill>
      </fill>
    </dxf>
    <dxf>
      <fill>
        <patternFill>
          <bgColor rgb="FFFFC7CE"/>
        </patternFill>
      </fill>
    </dxf>
    <dxf>
      <fill>
        <patternFill>
          <bgColor theme="6"/>
        </patternFill>
      </fill>
    </dxf>
    <dxf>
      <fill>
        <patternFill>
          <bgColor rgb="FFFFC7CE"/>
        </patternFill>
      </fill>
    </dxf>
    <dxf>
      <font>
        <color rgb="FF9C0006"/>
      </font>
      <fill>
        <patternFill>
          <bgColor rgb="FFFF9999"/>
        </patternFill>
      </fill>
    </dxf>
    <dxf>
      <font>
        <color rgb="FF9C0006"/>
      </font>
      <fill>
        <patternFill>
          <bgColor rgb="FFFF9999"/>
        </patternFill>
      </fill>
    </dxf>
    <dxf>
      <font>
        <color rgb="FF006100"/>
      </font>
      <fill>
        <patternFill>
          <bgColor theme="6"/>
        </patternFill>
      </fill>
    </dxf>
    <dxf>
      <font>
        <color rgb="FF9C0006"/>
      </font>
      <fill>
        <patternFill>
          <bgColor rgb="FFFFC7CE"/>
        </patternFill>
      </fill>
    </dxf>
    <dxf>
      <font>
        <color rgb="FF006100"/>
      </font>
      <fill>
        <patternFill>
          <bgColor theme="6"/>
        </patternFill>
      </fill>
    </dxf>
    <dxf>
      <font>
        <color rgb="FF9C0006"/>
      </font>
      <fill>
        <patternFill>
          <bgColor rgb="FFFFC7CE"/>
        </patternFill>
      </fill>
    </dxf>
    <dxf>
      <fill>
        <patternFill>
          <bgColor theme="6"/>
        </patternFill>
      </fill>
    </dxf>
    <dxf>
      <fill>
        <patternFill>
          <bgColor rgb="FFFFC7CE"/>
        </patternFill>
      </fill>
    </dxf>
    <dxf>
      <fill>
        <patternFill>
          <bgColor theme="6"/>
        </patternFill>
      </fill>
    </dxf>
    <dxf>
      <fill>
        <patternFill>
          <bgColor rgb="FFFFC7CE"/>
        </patternFill>
      </fill>
    </dxf>
    <dxf>
      <font>
        <color rgb="FF9C0006"/>
      </font>
      <fill>
        <patternFill>
          <bgColor rgb="FFFF9999"/>
        </patternFill>
      </fill>
    </dxf>
    <dxf>
      <fill>
        <patternFill>
          <bgColor rgb="FF9BBB59"/>
        </patternFill>
      </fill>
    </dxf>
    <dxf>
      <fill>
        <patternFill>
          <bgColor rgb="FFFFC7CE"/>
        </patternFill>
      </fill>
    </dxf>
    <dxf>
      <fill>
        <patternFill>
          <bgColor theme="6"/>
        </patternFill>
      </fill>
    </dxf>
    <dxf>
      <fill>
        <patternFill>
          <bgColor rgb="FFFFC7CE"/>
        </patternFill>
      </fill>
    </dxf>
    <dxf>
      <fill>
        <patternFill>
          <bgColor theme="6" tint="0.39994506668294322"/>
        </patternFill>
      </fill>
    </dxf>
    <dxf>
      <fill>
        <patternFill>
          <bgColor theme="0"/>
        </patternFill>
      </fill>
    </dxf>
    <dxf>
      <fill>
        <patternFill>
          <bgColor theme="5" tint="0.39994506668294322"/>
        </patternFill>
      </fill>
    </dxf>
    <dxf>
      <font>
        <color theme="0"/>
      </font>
    </dxf>
    <dxf>
      <font>
        <b val="0"/>
        <i val="0"/>
        <color theme="0"/>
      </font>
    </dxf>
    <dxf>
      <fill>
        <patternFill>
          <bgColor theme="6"/>
        </patternFill>
      </fill>
    </dxf>
    <dxf>
      <fill>
        <patternFill>
          <bgColor rgb="FFC00000"/>
        </patternFill>
      </fill>
    </dxf>
    <dxf>
      <fill>
        <patternFill>
          <bgColor theme="6"/>
        </patternFill>
      </fill>
    </dxf>
    <dxf>
      <fill>
        <patternFill>
          <bgColor rgb="FFC00000"/>
        </patternFill>
      </fill>
    </dxf>
    <dxf>
      <fill>
        <patternFill>
          <bgColor rgb="FFFFC7CE"/>
        </patternFill>
      </fill>
    </dxf>
    <dxf>
      <fill>
        <patternFill>
          <bgColor rgb="FFFFC7CE"/>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theme="5" tint="0.79998168889431442"/>
        </patternFill>
      </fill>
    </dxf>
    <dxf>
      <fill>
        <patternFill>
          <bgColor theme="6" tint="0.79998168889431442"/>
        </patternFill>
      </fill>
    </dxf>
    <dxf>
      <fill>
        <patternFill>
          <bgColor rgb="FFFFC7CE"/>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theme="5" tint="0.79998168889431442"/>
        </patternFill>
      </fill>
    </dxf>
    <dxf>
      <fill>
        <patternFill>
          <bgColor theme="6" tint="0.79998168889431442"/>
        </patternFill>
      </fill>
    </dxf>
    <dxf>
      <fill>
        <patternFill patternType="solid">
          <fgColor indexed="64"/>
          <bgColor theme="1"/>
        </patternFill>
      </fill>
      <border diagonalUp="0" diagonalDown="0" outline="0">
        <left style="thin">
          <color indexed="64"/>
        </left>
        <right/>
        <top style="thin">
          <color indexed="64"/>
        </top>
        <bottom style="thin">
          <color indexed="64"/>
        </bottom>
      </border>
    </dxf>
    <dxf>
      <font>
        <color auto="1"/>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color theme="0"/>
      </font>
      <numFmt numFmtId="14" formatCode="0.00%"/>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numFmt numFmtId="34" formatCode="_(&quot;$&quot;* #,##0.00_);_(&quot;$&quot;* \(#,##0.00\);_(&quot;$&quot;* &quot;-&quot;??_);_(@_)"/>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numFmt numFmtId="34" formatCode="_(&quot;$&quot;* #,##0.00_);_(&quot;$&quot;* \(#,##0.00\);_(&quot;$&quot;* &quot;-&quot;??_);_(@_)"/>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fill>
        <patternFill patternType="solid">
          <fgColor indexed="64"/>
          <bgColor theme="0"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numFmt numFmtId="35" formatCode="_(* #,##0.00_);_(* \(#,##0.00\);_(* &quot;-&quot;??_);_(@_)"/>
      <fill>
        <patternFill patternType="solid">
          <fgColor indexed="64"/>
          <bgColor theme="1" tint="0.49998474074526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numFmt numFmtId="0" formatCode="General"/>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68" formatCode="0.0%"/>
      <fill>
        <patternFill patternType="solid">
          <fgColor indexed="64"/>
          <bgColor theme="0" tint="-0.49998474074526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style="thin">
          <color indexed="64"/>
        </left>
        <right style="thin">
          <color indexed="64"/>
        </right>
        <top style="thin">
          <color indexed="64"/>
        </top>
        <bottom style="thin">
          <color indexed="64"/>
        </bottom>
      </border>
    </dxf>
    <dxf>
      <numFmt numFmtId="164"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outline="0">
        <left style="thin">
          <color indexed="64"/>
        </left>
        <right style="thin">
          <color indexed="64"/>
        </right>
        <top style="thin">
          <color indexed="64"/>
        </top>
        <bottom style="thin">
          <color indexed="64"/>
        </bottom>
      </border>
    </dxf>
    <dxf>
      <numFmt numFmtId="165" formatCode="_(* #,##0_);_(* \(#,##0\);_(* &quot;-&quot;??_);_(@_)"/>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4" formatCode="_(&quot;$&quot;* #,##0_);_(&quot;$&quot;* \(#,##0\);_(&quot;$&quot;*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9" formatCode="_([$$-409]* #,##0.00_);_([$$-409]* \(#,##0.00\);_([$$-409]*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center" vertical="center" textRotation="0" wrapText="1"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color auto="1"/>
      </font>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249977111117893"/>
        </patternFill>
      </fill>
      <alignment horizontal="center" vertical="bottom" textRotation="0" wrapText="0" indent="0" justifyLastLine="0" shrinkToFit="0" readingOrder="0"/>
    </dxf>
    <dxf>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fill>
        <patternFill patternType="none">
          <fgColor indexed="64"/>
          <bgColor indexed="65"/>
        </patternFill>
      </fill>
      <alignment horizontal="center" vertical="bottom" textRotation="0" wrapText="1"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dxf>
    <dxf>
      <alignment horizontal="center" vertical="center" textRotation="0" wrapText="0"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9BBB59"/>
      <color rgb="FFFFC7CE"/>
      <color rgb="FFF79646"/>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2041072</xdr:colOff>
      <xdr:row>46</xdr:row>
      <xdr:rowOff>1215572</xdr:rowOff>
    </xdr:from>
    <xdr:to>
      <xdr:col>1</xdr:col>
      <xdr:colOff>3655877</xdr:colOff>
      <xdr:row>46</xdr:row>
      <xdr:rowOff>2053772</xdr:rowOff>
    </xdr:to>
    <xdr:pic>
      <xdr:nvPicPr>
        <xdr:cNvPr id="6" name="Picture 5" descr="Text&#10;&#10;Description automatically generated">
          <a:extLst>
            <a:ext uri="{FF2B5EF4-FFF2-40B4-BE49-F238E27FC236}">
              <a16:creationId xmlns:a16="http://schemas.microsoft.com/office/drawing/2014/main" id="{95E61F94-5E7E-53E7-928A-4DCE15DA4D4F}"/>
            </a:ext>
          </a:extLst>
        </xdr:cNvPr>
        <xdr:cNvPicPr>
          <a:picLocks noChangeAspect="1"/>
        </xdr:cNvPicPr>
      </xdr:nvPicPr>
      <xdr:blipFill>
        <a:blip xmlns:r="http://schemas.openxmlformats.org/officeDocument/2006/relationships" r:embed="rId1"/>
        <a:stretch>
          <a:fillRect/>
        </a:stretch>
      </xdr:blipFill>
      <xdr:spPr>
        <a:xfrm>
          <a:off x="4998358" y="45275501"/>
          <a:ext cx="1608455" cy="828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ilit.sharepoint.com/Megan/RI%20Governor/MA%20TME%20APM%202019%20Template%20with%20calculations.xlsm" TargetMode="External"/><Relationship Id="rId1" Type="http://schemas.openxmlformats.org/officeDocument/2006/relationships/externalLinkPath" Target="/Megan/RI%20Governor/MA%20TME%20APM%202019%20Template%20with%20calcul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afGo8Zh5UKynTOQLzvznZyqeBz4Sv1OhyBQULY9lIsG-Yxob63XQ5y40XtgQkaX" itemId="01EAYU7ECS4BIVFCCLRZDJOQAIGEOQEQFR">
      <xxl21:absoluteUrl r:id="rId2"/>
    </xxl21:alternateUrls>
    <sheetNames>
      <sheetName val="System Data"/>
      <sheetName val="Contents"/>
      <sheetName val="A. Front Page"/>
      <sheetName val="B. Zip Code"/>
      <sheetName val="C. Physician Group"/>
      <sheetName val="D.1 Summary"/>
      <sheetName val="D.2 Summary Trends"/>
      <sheetName val="Reference Tables"/>
      <sheetName val="Payer Name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E84299-F9EF-4868-9F09-A2C590F8840F}" name="InsurerFilingSchedule" displayName="InsurerFilingSchedule" ref="A4:B10" totalsRowShown="0" headerRowDxfId="475" dataDxfId="474">
  <autoFilter ref="A4:B10" xr:uid="{8B86219A-D80A-4537-937F-4E9F3EF6919E}"/>
  <tableColumns count="2">
    <tableColumn id="1" xr3:uid="{3370217B-A4B3-48B7-A19A-C883EC32629F}" name="Insurers' TME Filing Schedule Date" dataDxfId="473"/>
    <tableColumn id="2" xr3:uid="{6F847357-AB38-462F-82E4-3701AF91DB40}" name="Files Due" dataDxfId="47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074A1B8-1B10-4E88-AB95-0D29BBB5D189}" name="HDTME_BY" displayName="HDTME_BY" ref="A10:E11" totalsRowShown="0" headerRowDxfId="442" dataDxfId="440" headerRowBorderDxfId="441" tableBorderDxfId="439" totalsRowBorderDxfId="438">
  <tableColumns count="5">
    <tableColumn id="1" xr3:uid="{757005CB-3142-4704-BA3E-B371C52F3E68}" name="Insurer Carrier Org ID" dataDxfId="437"/>
    <tableColumn id="2" xr3:uid="{DA888885-D1E4-45B0-8E8A-4713BF097911}" name="Period Beginning Date" dataDxfId="436"/>
    <tableColumn id="3" xr3:uid="{3E80D15B-48AF-4AF3-B38C-346AF4FE29DF}" name="Period Ending Date" dataDxfId="435"/>
    <tableColumn id="4" xr3:uid="{904DCBD0-6F15-4FCF-A22E-A7D3D76DFBA5}" name="Insurer Comments" dataDxfId="434"/>
    <tableColumn id="8" xr3:uid="{469F210A-BC85-46A3-948C-C46D2F11BF83}" name="&quot;Doing Business As&quot;" dataDxfId="43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C7E5A69-A7AE-42D5-88EA-62AD0252D126}" name="HDTME_PY" displayName="HDTME_PY" ref="A10:E11" totalsRowShown="0" headerRowDxfId="432" dataDxfId="430" headerRowBorderDxfId="431" tableBorderDxfId="429" totalsRowBorderDxfId="428">
  <tableColumns count="5">
    <tableColumn id="1" xr3:uid="{1EFC7E8F-4C0D-4670-ADAA-CE632F9B9663}" name="Insurer Carrier Org ID" dataDxfId="427"/>
    <tableColumn id="2" xr3:uid="{01820B11-781A-4177-96BB-2AB768BBAEE0}" name="Period Beginning Date" dataDxfId="426"/>
    <tableColumn id="3" xr3:uid="{879B9BEC-243E-4F36-BC7B-EAECBDDB4F25}" name="Period Ending Date" dataDxfId="425"/>
    <tableColumn id="4" xr3:uid="{8075FDC8-F732-47C2-9F14-22A645B5EBEB}" name="Insurer Comments" dataDxfId="424"/>
    <tableColumn id="8" xr3:uid="{E496E3B8-4BD1-4627-8AA8-EB234B66BA42}" name="&quot;Doing Business As&quot;" dataDxfId="42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162CE2A-BC1D-4A25-B3D9-F6FE54CFE20D}" name="AN_TME_BY" displayName="AN_TME_BY" ref="A10:AD200" totalsRowShown="0" headerRowDxfId="422" dataDxfId="420" headerRowBorderDxfId="421" tableBorderDxfId="419" totalsRowBorderDxfId="418" dataCellStyle="Currency">
  <autoFilter ref="A10:AD200" xr:uid="{E162CE2A-BC1D-4A25-B3D9-F6FE54CFE20D}"/>
  <tableColumns count="30">
    <tableColumn id="1" xr3:uid="{5A6EFACE-CB57-4ACD-8BB7-BECF9D768D0E}" name="Advanced Network/Insurance Carrier Org ID" dataDxfId="417"/>
    <tableColumn id="2" xr3:uid="{F7D05234-5730-40FB-8CF1-082859665C69}" name="Insurance Category Code" dataDxfId="416"/>
    <tableColumn id="32" xr3:uid="{55ED64D4-6298-4F92-97DE-6833E0305BDD}" name="Attribution Hierarchy Code" dataDxfId="415"/>
    <tableColumn id="3" xr3:uid="{659289D3-4CAB-4D11-9B7C-8CBC7A48B714}" name="Member Months" dataDxfId="414"/>
    <tableColumn id="5" xr3:uid="{6CA578F2-D255-41EB-857F-3AE051710805}" name="Claims: Hospital Inpatient" dataDxfId="413" dataCellStyle="Currency"/>
    <tableColumn id="6" xr3:uid="{D7B548A3-B0CD-44EA-9DC2-0B2767C5E8AA}" name="Claims: Hospital Outpatient" dataDxfId="412" dataCellStyle="Currency"/>
    <tableColumn id="7" xr3:uid="{EB8E7E15-AA8C-4827-B3CD-5E0F98A98734}" name="Claims: Professional, Primary Care" dataDxfId="411" dataCellStyle="Currency"/>
    <tableColumn id="8" xr3:uid="{56AE1FB7-63AB-4558-9FCF-38D51322AAF1}" name="Claims: Professional, Primary Care (for Monitoring Purposes)" dataDxfId="410" dataCellStyle="Currency"/>
    <tableColumn id="9" xr3:uid="{7F717624-FFED-41E3-8D9A-C6B645244A0A}" name="Claims: Professional, Specialty" dataDxfId="409" dataCellStyle="Currency"/>
    <tableColumn id="10" xr3:uid="{881CAC17-5AF3-40AE-8C56-6D459D534F6B}" name="Claims: Professional Other" dataDxfId="408" dataCellStyle="Currency"/>
    <tableColumn id="11" xr3:uid="{8A34132A-7C39-4787-B402-7F8E6C95C35E}" name="Claims: Pharmacy" dataDxfId="407" dataCellStyle="Currency"/>
    <tableColumn id="12" xr3:uid="{3F88466C-D7B4-4E22-920D-1FE3E484CC7E}" name="Claims: Long-Term Care" dataDxfId="406" dataCellStyle="Currency"/>
    <tableColumn id="13" xr3:uid="{69FA7A5F-1714-40F0-ABEE-499D27A51DEC}" name="Claims: Other" dataDxfId="405" dataCellStyle="Currency"/>
    <tableColumn id="14" xr3:uid="{D9A65174-7FE4-4E02-B847-B93B40EAB48C}" name="Non-Claims: Payments to Support Population Health and Practice Infrastructure" dataDxfId="404" dataCellStyle="Currency"/>
    <tableColumn id="15" xr3:uid="{7BD0AF75-5851-452F-A797-C036BA17ECF0}" name="Non-Claims: Performance Payments" dataDxfId="403" dataCellStyle="Currency"/>
    <tableColumn id="16" xr3:uid="{9DC533B0-4280-4650-B1E2-A61E42E56064}" name="Non-Claims: Shared Savings and Shared Risk Settlements" dataDxfId="402" dataCellStyle="Currency"/>
    <tableColumn id="17" xr3:uid="{E7119B95-B8E6-42B8-8333-CCC5392AD8CB}" name="Non-Claims: Capitation and Full Risk Payments" dataDxfId="401" dataCellStyle="Currency"/>
    <tableColumn id="27" xr3:uid="{3908A1F8-4C01-4B65-B854-2E8CABB3EECB}" name="Non-Claims: Other" dataDxfId="400" dataCellStyle="Currency"/>
    <tableColumn id="19" xr3:uid="{AE4ED714-C00E-4D2C-9452-C31356B81F71}" name="Non-Claims: Total Primary Care Non-Claims-Based Payments" dataDxfId="399" dataCellStyle="Currency"/>
    <tableColumn id="29" xr3:uid="{7D84BBD1-0629-4284-9A7E-98DEC9058FC8}" name="Total Claims Excluded because of Truncation" dataDxfId="398" dataCellStyle="Currency"/>
    <tableColumn id="28" xr3:uid="{4E3B714E-9B93-4382-AC29-D0F29EB1DB9A}" name="Count of Members with Claims Truncated" dataDxfId="397" dataCellStyle="Comma"/>
    <tableColumn id="20" xr3:uid="{7DB8D7A8-1B30-4533-9802-0591AF1CF83A}" name="TOTAL Non-Truncated Unadjusted Claims Expenses" dataDxfId="396" dataCellStyle="Currency">
      <calculatedColumnFormula>SUM(E11:G11)+SUM(I11:M11)</calculatedColumnFormula>
    </tableColumn>
    <tableColumn id="21" xr3:uid="{8D399C3B-06FA-45E1-A2A3-F4A7532BEF1F}" name="TOTAL Truncated Unadjusted Claims Expenses (A21 -A19)" dataDxfId="395" dataCellStyle="Currency">
      <calculatedColumnFormula>AN_TME_BY[[#This Row],[TOTAL Non-Truncated Unadjusted Claims Expenses]]-AN_TME_BY[[#This Row],[Total Claims Excluded because of Truncation]]</calculatedColumnFormula>
    </tableColumn>
    <tableColumn id="22" xr3:uid="{5917CF4F-C9C2-4FDE-AE40-6440A99AD5A4}" name="TOTAL Non-Claims Expenses" dataDxfId="394" dataCellStyle="Currency">
      <calculatedColumnFormula>SUM(N11:R11)</calculatedColumnFormula>
    </tableColumn>
    <tableColumn id="25" xr3:uid="{737BAF19-BC80-4D25-A562-45508FE908E1}" name="TOTAL Non-Truncated Unadjusted Expenses (A21 + A23)" dataDxfId="393" dataCellStyle="Currency">
      <calculatedColumnFormula>AN_TME_BY[[#This Row],[TOTAL Non-Truncated Unadjusted Claims Expenses]]+AN_TME_BY[[#This Row],[TOTAL Non-Claims Expenses]]</calculatedColumnFormula>
    </tableColumn>
    <tableColumn id="30" xr3:uid="{D3AEF83F-1B9D-4C86-9CA4-6244CBCF6F2B}" name="TOTAL Truncated Unadjusted Expenses (A22 + A23)" dataDxfId="392" dataCellStyle="Currency">
      <calculatedColumnFormula>AN_TME_BY[[#This Row],[TOTAL Truncated Unadjusted Claims Expenses (A21 -A19)]]+AN_TME_BY[[#This Row],[TOTAL Non-Claims Expenses]]</calculatedColumnFormula>
    </tableColumn>
    <tableColumn id="23" xr3:uid="{5610B621-F7BB-4403-9D55-66B1DE34BD48}" name="Non-Truncated Unadjusted TME (PMPM) (A24 / A1)" dataDxfId="391" dataCellStyle="Comma">
      <calculatedColumnFormula>IFERROR(AN_TME_BY[[#This Row],[TOTAL Non-Truncated Unadjusted Expenses (A21 + A23)]]/AN_TME_BY[[#This Row],[Member Months]],0)</calculatedColumnFormula>
    </tableColumn>
    <tableColumn id="26" xr3:uid="{4C712E45-7A2C-4B20-A66C-B8859CB2793F}" name="Truncated Unadjusted TME (PMPM) (A25 / A1)" dataDxfId="390" dataCellStyle="Comma">
      <calculatedColumnFormula>IFERROR(AN_TME_BY[[#This Row],[TOTAL Truncated Unadjusted Expenses (A22 + A23)]]/AN_TME_BY[[#This Row],[Member Months]],0)</calculatedColumnFormula>
    </tableColumn>
    <tableColumn id="31" xr3:uid="{9CA4691E-5D2E-4C06-9EEA-E3DC4E577556}" name="Average Claims Truncated Per Member" dataDxfId="389" dataCellStyle="Comma">
      <calculatedColumnFormula>IFERROR(AN_TME_BY[[#This Row],[Total Claims Excluded because of Truncation]]/AN_TME_BY[[#This Row],[Count of Members with Claims Truncated]], 0)</calculatedColumnFormula>
    </tableColumn>
    <tableColumn id="24" xr3:uid="{9CC87E55-87E8-4275-81C4-C74A18FEBDE4}" name="Total Claims Excluded (A19)/Total Non-Truncated Claims Expenses (A21)" dataDxfId="388" dataCellStyle="Currency">
      <calculatedColumnFormula>IFERROR(AN_TME_BY[[#This Row],[Total Claims Excluded because of Truncation]]/AN_TME_BY[[#This Row],[TOTAL Non-Truncated Unadjusted Claims Expenses]], 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DA91E24-01FF-4184-B27B-33D156298320}" name="AN_TME_PY" displayName="AN_TME_PY" ref="A10:AD200" totalsRowShown="0" headerRowDxfId="387" dataDxfId="385" headerRowBorderDxfId="386" tableBorderDxfId="384" totalsRowBorderDxfId="383" dataCellStyle="Currency">
  <autoFilter ref="A10:AD200" xr:uid="{7EAEA293-1E72-499F-9FE1-477D513A5A8A}"/>
  <tableColumns count="30">
    <tableColumn id="1" xr3:uid="{8FF2E1AE-7EE4-4838-8F3D-AD9D2CFA4978}" name="Advanced Network/Insurance Carrier Org ID" dataDxfId="382"/>
    <tableColumn id="2" xr3:uid="{7BFBA54F-B6AF-457A-B372-B45546BB4D9E}" name="Insurance Category Code" dataDxfId="381"/>
    <tableColumn id="32" xr3:uid="{3C83EC3B-E609-4D76-A458-74A4FEB6630A}" name="Attribution Hierarchy Code" dataDxfId="380"/>
    <tableColumn id="3" xr3:uid="{99925550-A389-4CE2-8C93-9FB4390D785A}" name="Member Months" dataDxfId="379"/>
    <tableColumn id="5" xr3:uid="{E339E7A5-E641-4C70-9AC0-62F6F4B1E64A}" name="Claims: Hospital Inpatient" dataDxfId="378" dataCellStyle="Currency"/>
    <tableColumn id="6" xr3:uid="{A4DF115A-8D5C-48B2-AABF-0CB26B70E289}" name="Claims: Hospital Outpatient" dataDxfId="377" dataCellStyle="Currency"/>
    <tableColumn id="7" xr3:uid="{C2F13FE9-A72E-4086-9287-C9120F23FB23}" name="Claims: Professional, Primary Care" dataDxfId="376" dataCellStyle="Currency"/>
    <tableColumn id="8" xr3:uid="{0E47E018-9354-4D27-A274-4C667B92B82A}" name="Claims: Professional, Primary Care (for Monitoring Purposes)" dataDxfId="375" dataCellStyle="Currency"/>
    <tableColumn id="9" xr3:uid="{B97EFE88-C4D0-4DB1-B717-65113E1CE98B}" name="Claims: Professional, Specialty" dataDxfId="374" dataCellStyle="Currency"/>
    <tableColumn id="10" xr3:uid="{A72B4A0B-B9EA-4CAD-BA63-C9C5FD16D5F4}" name="Claims: Professional Other" dataDxfId="373" dataCellStyle="Currency"/>
    <tableColumn id="11" xr3:uid="{62B3FB68-2F99-44AA-9B12-15F8326E4CCF}" name="Claims: Pharmacy" dataDxfId="372" dataCellStyle="Currency"/>
    <tableColumn id="12" xr3:uid="{53C26B93-1E7A-4C73-8248-0092178EB320}" name="Claims: Long-Term Care" dataDxfId="371" dataCellStyle="Currency"/>
    <tableColumn id="13" xr3:uid="{423F5DC3-BD1E-4484-8E3A-0B6964CAEF4D}" name="Claims: Other" dataDxfId="370" dataCellStyle="Currency"/>
    <tableColumn id="14" xr3:uid="{73A8528A-824F-4798-86B4-1E61F3184267}" name="Non-Claims: Payments to Support Population Health and Practice Infrastructure" dataDxfId="369" dataCellStyle="Currency"/>
    <tableColumn id="15" xr3:uid="{8F7FF294-8609-43F9-B722-81ACC21607D7}" name="Non-Claims: Performance Payments" dataDxfId="368" dataCellStyle="Currency"/>
    <tableColumn id="16" xr3:uid="{AA719EA1-66C2-4E6B-A768-7E4819536E73}" name="Non-Claims: Shared Savings and Shared Risk Settlements" dataDxfId="367" dataCellStyle="Currency"/>
    <tableColumn id="17" xr3:uid="{48B3CDEA-4548-4CF6-A099-EFA1C142599F}" name="Non-Claims: Capitation and Full Risk Payments" dataDxfId="366" dataCellStyle="Currency"/>
    <tableColumn id="27" xr3:uid="{C78D3872-561F-4EA1-994A-AF0C02EB6128}" name="Non-Claims: Other" dataDxfId="365" dataCellStyle="Currency"/>
    <tableColumn id="19" xr3:uid="{34949747-9E44-431A-929B-4839D5432128}" name="Non-Claims: Total Primary Care Non-Claims-Based Payments" dataDxfId="364" dataCellStyle="Currency"/>
    <tableColumn id="29" xr3:uid="{D4974DFC-F5B3-48FC-A23B-9B76C5CF1A12}" name="Total Claims Excluded because of Truncation" dataDxfId="363" dataCellStyle="Currency"/>
    <tableColumn id="28" xr3:uid="{C2D55DED-D0FA-410C-9092-C30A5972C3EE}" name="Count of Members with Claims Truncated" dataDxfId="362" dataCellStyle="Currency"/>
    <tableColumn id="20" xr3:uid="{184C45A2-A6CE-4B10-AD1C-5C4E4006EC49}" name="TOTAL Non-Truncated Unadjusted Claims Expenses" dataDxfId="361" dataCellStyle="Currency">
      <calculatedColumnFormula>SUM(E11:G11)+SUM(I11:M11)</calculatedColumnFormula>
    </tableColumn>
    <tableColumn id="21" xr3:uid="{3D0F3673-324A-485D-93D1-D8961F25757F}" name="TOTAL Truncated Unadjusted Claims Expenses (A21 -A19)" dataDxfId="360" dataCellStyle="Currency">
      <calculatedColumnFormula>AN_TME_PY[[#This Row],[TOTAL Non-Truncated Unadjusted Claims Expenses]]-AN_TME_PY[[#This Row],[Total Claims Excluded because of Truncation]]</calculatedColumnFormula>
    </tableColumn>
    <tableColumn id="22" xr3:uid="{440EE0C2-8702-4ED7-8868-6C36BEF19E5C}" name="TOTAL Non-Claims Expenses" dataDxfId="359" dataCellStyle="Currency">
      <calculatedColumnFormula>SUM(N11:R11)</calculatedColumnFormula>
    </tableColumn>
    <tableColumn id="25" xr3:uid="{4F06C5BB-1F17-495A-B2EE-B3A1486A7D71}" name="TOTAL Non-Truncated Unadjusted Expenses (A21 + A23)" dataDxfId="358" dataCellStyle="Currency">
      <calculatedColumnFormula>AN_TME_PY[[#This Row],[TOTAL Non-Truncated Unadjusted Claims Expenses]]+AN_TME_PY[[#This Row],[TOTAL Non-Claims Expenses]]</calculatedColumnFormula>
    </tableColumn>
    <tableColumn id="30" xr3:uid="{02ECBF35-EED4-4446-B8EF-7E984F322DA6}" name="TOTAL Truncated Unadjusted Expenses (A22 + A23)" dataDxfId="357" dataCellStyle="Currency">
      <calculatedColumnFormula>AN_TME_PY[[#This Row],[TOTAL Truncated Unadjusted Claims Expenses (A21 -A19)]]+AN_TME_PY[[#This Row],[TOTAL Non-Claims Expenses]]</calculatedColumnFormula>
    </tableColumn>
    <tableColumn id="23" xr3:uid="{F829B3BB-22FF-4864-83A2-13EFF30BD082}" name="Non-Truncated Unadjusted TME (PMPM) (A24 / A1)" dataDxfId="356" dataCellStyle="Comma">
      <calculatedColumnFormula>IFERROR(AN_TME_PY[[#This Row],[TOTAL Non-Truncated Unadjusted Expenses (A21 + A23)]]/AN_TME_PY[[#This Row],[Member Months]],0)</calculatedColumnFormula>
    </tableColumn>
    <tableColumn id="26" xr3:uid="{38825454-82E0-43C0-80A6-96631C1EEAFF}" name="Truncated Unadjusted TME (PMPM) (A25 / A1)" dataDxfId="355" dataCellStyle="Comma">
      <calculatedColumnFormula>IFERROR(AN_TME_PY[[#This Row],[TOTAL Truncated Unadjusted Expenses (A22 + A23)]]/AN_TME_PY[[#This Row],[Member Months]],0)</calculatedColumnFormula>
    </tableColumn>
    <tableColumn id="24" xr3:uid="{482AF8FA-9A7B-484B-9861-8446C5BBACEF}" name="Average Claims Truncated Per Member" dataDxfId="354" dataCellStyle="Currency">
      <calculatedColumnFormula>IFERROR(AN_TME_PY[[#This Row],[Total Claims Excluded because of Truncation]]/AN_TME_PY[[#This Row],[Count of Members with Claims Truncated]], 0)</calculatedColumnFormula>
    </tableColumn>
    <tableColumn id="31" xr3:uid="{E4BDB1D1-EAEB-448D-9761-BD6DD5E95BDD}" name="Total Claims Excluded (A19)/Total Non-Truncated Claims Expenses (A21)" dataDxfId="353" dataCellStyle="Currency">
      <calculatedColumnFormula>IFERROR(AN_TME_PY[[#This Row],[Total Claims Excluded because of Truncation]]/AN_TME_PY[[#This Row],[TOTAL Non-Truncated Unadjusted Claims Expenses]], 0)</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600357-29CD-4134-AD66-CC85DFAA7D20}" name="RX_REBATES_BY" displayName="RX_REBATES_BY" ref="A10:D17" totalsRowShown="0" headerRowDxfId="352" headerRowBorderDxfId="351" tableBorderDxfId="350" totalsRowBorderDxfId="349">
  <autoFilter ref="A10:D17" xr:uid="{09306306-9EC2-4D64-899F-4177F3C275C5}"/>
  <tableColumns count="4">
    <tableColumn id="1" xr3:uid="{1174DB7B-63EF-4F4B-A258-A91E288E8645}" name="Insurance Category Code" dataDxfId="348"/>
    <tableColumn id="6" xr3:uid="{2CA69363-13E1-44C2-8B5E-0AC452C86269}" name="Retail Pharmacy Rebates" dataDxfId="347" dataCellStyle="Currency"/>
    <tableColumn id="5" xr3:uid="{FBA6DB4C-FE89-4DAD-A966-23919B907450}" name="Medical Pharmacy Rebates" dataDxfId="346" dataCellStyle="Currency"/>
    <tableColumn id="2" xr3:uid="{5E292E25-AF0B-4A6E-8784-465E608C66E3}" name="Total Pharmacy Rebates" dataDxfId="345" dataCellStyle="Currency">
      <calculatedColumnFormula>RX_REBATES_BY[[#This Row],[Retail Pharmacy Rebates]]+RX_REBATES_BY[[#This Row],[Medical Pharmacy Rebates]]</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CE7ED61-66C1-4CF3-AA0E-82AD4D9DF229}" name="RX_REBATES_PY" displayName="RX_REBATES_PY" ref="A10:D17" totalsRowShown="0" headerRowDxfId="344" headerRowBorderDxfId="343" tableBorderDxfId="342" totalsRowBorderDxfId="341">
  <autoFilter ref="A10:D17" xr:uid="{09306306-9EC2-4D64-899F-4177F3C275C5}"/>
  <tableColumns count="4">
    <tableColumn id="1" xr3:uid="{856C6877-176A-4ACA-995B-3EC8F8C10940}" name="Insurance Category Code" dataDxfId="340"/>
    <tableColumn id="6" xr3:uid="{1F998C5E-A356-4171-BABA-62F987494FD5}" name="Retail Pharmacy Rebates" dataDxfId="339" dataCellStyle="Currency"/>
    <tableColumn id="5" xr3:uid="{891EFC06-1CE3-4AAC-90C5-77C994EA8C4F}" name="Medical Pharmacy Rebates" dataDxfId="338" dataCellStyle="Currency"/>
    <tableColumn id="2" xr3:uid="{DAE02794-D2E0-4081-B702-5BDBCF5B6DCD}" name="Total Pharmacy Rebates" dataDxfId="337" dataCellStyle="Currency">
      <calculatedColumnFormula>RX_REBATES_PY[[#This Row],[Retail Pharmacy Rebates]]+RX_REBATES_PY[[#This Row],[Medical Pharmacy Rebates]]</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175777-FB4C-40ED-983E-3B582C53683B}" name="LOB_ENROLL" displayName="LOB_ENROLL" ref="A10:C18" totalsRowShown="0" headerRowDxfId="336" dataDxfId="334" headerRowBorderDxfId="335" tableBorderDxfId="333" totalsRowBorderDxfId="332">
  <autoFilter ref="A10:C18" xr:uid="{4C069C62-AC96-4B6C-A8D5-7D0C27B03B1A}"/>
  <tableColumns count="3">
    <tableColumn id="1" xr3:uid="{DFF7681B-F057-4EE6-9F53-099C0D73BCBC}" name="Line of Business Enrollment Category Code" dataDxfId="331"/>
    <tableColumn id="2" xr3:uid="{CB9527D1-36D0-4263-8308-22FB55D9AA6D}" name="2023 Member Months" dataDxfId="330" dataCellStyle="Comma"/>
    <tableColumn id="4" xr3:uid="{F40BBF16-E8DF-4D56-A095-0D220946E06A}" name="2024 Member Months" dataDxfId="329"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036AA82-677A-4B63-BE40-429996453C84}" name="INC_FEES" displayName="INC_FEES" ref="E10:G11" totalsRowShown="0" headerRowDxfId="328" dataDxfId="326" headerRowBorderDxfId="327" tableBorderDxfId="325">
  <autoFilter ref="E10:G11" xr:uid="{03C12976-0667-4859-BB65-CC08E5515EEE}"/>
  <tableColumns count="3">
    <tableColumn id="1" xr3:uid="{A840EA0A-746E-43BF-A17F-5D596B324FC2}" name="Line of Business Enrollment Category Code" dataDxfId="324"/>
    <tableColumn id="4" xr3:uid="{ABCAD3CC-E68C-419E-AADB-90D09D71E64D}" name="2023 Income from Fees of Uninsured Plans" dataDxfId="323" dataCellStyle="Currency"/>
    <tableColumn id="3" xr3:uid="{A163DD47-8E84-4AF3-845F-0416B627742A}" name="2024 Income from Fees of Uninsured Plans" dataDxfId="322" dataCellStyle="Currency"/>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B7B7CAC-CEC6-452B-BAF0-A3FD1540F1C3}" name="StandardDeviation_BY" displayName="StandardDeviation_BY" ref="A10:E120" totalsRowShown="0" headerRowDxfId="321" headerRowBorderDxfId="320" tableBorderDxfId="319" totalsRowBorderDxfId="318">
  <autoFilter ref="A10:E120" xr:uid="{F8ADE3CC-78B4-4C8B-BA53-2F852D150525}"/>
  <tableColumns count="5">
    <tableColumn id="1" xr3:uid="{2889C983-F580-4DD5-AAE8-818BC4271EC3}" name="Advanced Network/Insurance Carrier Org ID" dataDxfId="317"/>
    <tableColumn id="2" xr3:uid="{C9824833-3E49-4BDB-AC1B-5D4DDB176FA1}" name="Market ID" dataDxfId="316"/>
    <tableColumn id="4" xr3:uid="{845F48D5-0EB7-4EA8-B155-7DC4246CCD39}" name="Member Months" dataDxfId="315"/>
    <tableColumn id="5" xr3:uid="{CFB6DDCD-4472-4C7C-8148-DE650C544B39}" name="Total Spending After Truncation" dataDxfId="314"/>
    <tableColumn id="3" xr3:uid="{516EF6DA-A832-4AF9-B24B-4660BAA7485F}" name="Standard Deviation PMPM" dataDxfId="31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F56E8C4-DA38-4628-816B-52074E372CFC}" name="StandardDeviation_PY" displayName="StandardDeviation_PY" ref="A10:E120" totalsRowShown="0" headerRowDxfId="312" headerRowBorderDxfId="311" tableBorderDxfId="310" totalsRowBorderDxfId="309">
  <autoFilter ref="A10:E120" xr:uid="{F8ADE3CC-78B4-4C8B-BA53-2F852D150525}"/>
  <tableColumns count="5">
    <tableColumn id="1" xr3:uid="{9FCABB89-CE97-44B2-BFC0-DAE578EF00FC}" name="Advanced Network/Insurance Carrier Org ID" dataDxfId="308"/>
    <tableColumn id="2" xr3:uid="{F3D17D6C-D337-4990-A66D-71A9B77DE204}" name="Market ID" dataDxfId="307"/>
    <tableColumn id="4" xr3:uid="{DD748F04-031C-4CC9-AF06-724E9AEB90B4}" name="Member Months" dataDxfId="306"/>
    <tableColumn id="5" xr3:uid="{6C590BD7-F8DC-4BAE-B3CC-450E6608DC11}" name="Total Spending After Truncation" dataDxfId="305"/>
    <tableColumn id="3" xr3:uid="{A288D4EA-74C2-48DB-9AFB-AC20939E4944}" name="Standard Deviation PMPM" dataDxfId="3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10AD14-5CAA-47E7-B5CA-A6381EC8AA07}" name="LgProvEntOrgIDs" displayName="LgProvEntOrgIDs" ref="A12:B48" totalsRowShown="0" headerRowDxfId="471">
  <autoFilter ref="A12:B48" xr:uid="{19C57F37-6DCB-4E55-B9EA-731B1B98821B}"/>
  <tableColumns count="2">
    <tableColumn id="1" xr3:uid="{0AE0FBE8-2C06-4459-90AE-6EDF809C8E46}" name="Advanced Network/Insurer Carrier Org ID" dataDxfId="470"/>
    <tableColumn id="2" xr3:uid="{06DA5646-4AAB-4AF2-ACBB-642B3DBF1D63}" name="Advanced Network/Insurance Carrier Overall" dataDxfId="46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3E593E-F882-40C0-B5BA-826FFBC79AC6}" name="Age_Sex_BY" displayName="Age_Sex_BY" ref="A10:J2010" totalsRowShown="0" headerRowDxfId="303" dataDxfId="301" headerRowBorderDxfId="302" tableBorderDxfId="300" totalsRowBorderDxfId="299" dataCellStyle="Currency">
  <autoFilter ref="A10:J2010" xr:uid="{A23E593E-F882-40C0-B5BA-826FFBC79AC6}"/>
  <tableColumns count="10">
    <tableColumn id="1" xr3:uid="{9289629D-AD12-45E4-8871-583B646E7D7B}" name="Advanced Network ID" dataDxfId="298"/>
    <tableColumn id="2" xr3:uid="{62B8C90B-1C2C-4792-8B7E-FE74C8410E05}" name="Insurance Category Code" dataDxfId="297"/>
    <tableColumn id="3" xr3:uid="{F44FB3CC-1EAB-4CD5-8D3F-208F3AA48936}" name="Age Band Code" dataDxfId="296"/>
    <tableColumn id="4" xr3:uid="{0784D10E-C557-4199-A613-631C76B6F50D}" name="Sex Band Code" dataDxfId="295"/>
    <tableColumn id="5" xr3:uid="{26DBBB9B-0FAA-4B9C-8B4F-2C79F404980B}" name="Total Member Months by Age/Sex Band" dataDxfId="294" dataCellStyle="Currency"/>
    <tableColumn id="6" xr3:uid="{3DF141CF-D414-4654-8469-FD8786F1FD2F}" name="Total Spending before Truncation is Applied" dataDxfId="293" dataCellStyle="Currency"/>
    <tableColumn id="7" xr3:uid="{F96886A8-7633-40F7-BA63-94173D429093}" name="Count of Members whose Spending was Truncated" dataDxfId="292" dataCellStyle="Comma"/>
    <tableColumn id="8" xr3:uid="{D82236AC-F9C1-4F82-98D2-C926D83957B2}" name="Total Spending After Applying Truncation at the Member Level" dataDxfId="291" dataCellStyle="Currency"/>
    <tableColumn id="9" xr3:uid="{E7519996-EFA6-424F-916E-40C3748DA0CE}" name="Total Dollars Excluded from Spending After Applying Truncation at the Member Level" dataDxfId="290" dataCellStyle="Currency"/>
    <tableColumn id="10" xr3:uid="{AEBE62C3-1F2B-4256-8CE0-8CC72293EBE8}" name="Truncated Spending + Dollars Excluded = Total Spending before Truncation is Applied?" dataDxfId="289" dataCellStyle="Currency">
      <calculatedColumnFormula>Age_Sex_BY[[#This Row],[Total Spending After Applying Truncation at the Member Level]]+Age_Sex_BY[[#This Row],[Total Dollars Excluded from Spending After Applying Truncation at the Member Level]]=Age_Sex_BY[[#This Row],[Total Spending before Truncation is Applied]]</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786EC5-CDA5-47BC-AF03-D2E6A671A3E3}" name="Age_Sex_PY" displayName="Age_Sex_PY" ref="A10:J2010" totalsRowShown="0" headerRowDxfId="288" dataDxfId="286" headerRowBorderDxfId="287" tableBorderDxfId="285" totalsRowBorderDxfId="284" dataCellStyle="Currency">
  <autoFilter ref="A10:J2010" xr:uid="{C7786EC5-CDA5-47BC-AF03-D2E6A671A3E3}"/>
  <tableColumns count="10">
    <tableColumn id="1" xr3:uid="{1DD80D46-C4BB-4DD6-8D0C-935EA87F33E9}" name="Advanced Network ID" dataDxfId="283"/>
    <tableColumn id="2" xr3:uid="{4F4F4250-B44F-4C99-94BF-D7A6FCC5B885}" name="Insurance Category Code" dataDxfId="282"/>
    <tableColumn id="3" xr3:uid="{37A70620-61FE-44BA-B937-49D20373BC35}" name="Age Band Code" dataDxfId="281"/>
    <tableColumn id="4" xr3:uid="{E95AA020-E089-4402-B19F-59702E6F5DA5}" name="Sex Band Code" dataDxfId="280"/>
    <tableColumn id="5" xr3:uid="{54D3E311-3188-4E0B-84B1-EBD196B7DF01}" name="Total Member Months by Age/Sex Band" dataDxfId="279" dataCellStyle="Currency"/>
    <tableColumn id="6" xr3:uid="{7CE007F1-DB40-45A1-B2F0-A6DB22C9D411}" name="Total Spending before Truncation is Applied" dataDxfId="278" dataCellStyle="Currency"/>
    <tableColumn id="7" xr3:uid="{886DC988-EE07-4325-9EBC-734B88622526}" name="Count of Members whose Spending was Truncated" dataDxfId="277" dataCellStyle="Comma"/>
    <tableColumn id="8" xr3:uid="{86E7C18C-F50C-47CA-BF0A-792A85762A36}" name="Total Spending After Applying Truncation at the Member Level" dataDxfId="276" dataCellStyle="Currency"/>
    <tableColumn id="9" xr3:uid="{29F3D9D6-B58D-4FB3-B737-1F56DF695BCF}" name="Total Dollars Excluded from Spending After Applying Truncation at the Member Level" dataDxfId="275" dataCellStyle="Currency"/>
    <tableColumn id="10" xr3:uid="{8063D115-BE7A-48C4-922D-23B0212E5D01}" name="Truncated Spending + Dollars Excluded = Total Spending before Truncation is Applied?" dataDxfId="274" dataCellStyle="Currency">
      <calculatedColumnFormula>Age_Sex_PY[[#This Row],[Total Spending After Applying Truncation at the Member Level]]+Age_Sex_PY[[#This Row],[Total Dollars Excluded from Spending After Applying Truncation at the Member Level]]=Age_Sex_PY[[#This Row],[Total Spending before Truncation is Applied]]</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172A0C-3C63-4690-945A-C16BBDE6FA2D}" name="MMbyMkt" displayName="MMbyMkt" ref="B6:E14" totalsRowShown="0" headerRowDxfId="273" headerRowBorderDxfId="272" tableBorderDxfId="271" totalsRowBorderDxfId="270">
  <tableColumns count="4">
    <tableColumn id="1" xr3:uid="{CAB1A30A-CBDC-4D93-8F04-B49C3023267A}" name="Market" dataDxfId="269"/>
    <tableColumn id="3" xr3:uid="{99AE4CBD-0701-42E3-8DE0-407E24A37047}" name="2023" dataDxfId="268" dataCellStyle="Comma"/>
    <tableColumn id="6" xr3:uid="{2E6AA1BC-B99D-4DBC-BF6A-3D36D76A4FC3}" name="2024" dataDxfId="267" dataCellStyle="Comma"/>
    <tableColumn id="8" xr3:uid="{F95269AA-0816-499B-A7A5-D5BC491787B0}" name="2023-2024 Trend" dataDxfId="266" dataCellStyle="Percent">
      <calculatedColumnFormula>IFERROR(MMbyMkt[[#This Row],[2024]]/MMbyMkt[[#This Row],[2023]]-1,"NA")</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C8A7256-0E80-4D2C-AD8D-EC03D3C2CA56}" name="TMEbyMkt" displayName="TMEbyMkt" ref="B17:E25" totalsRowShown="0" headerRowDxfId="265" headerRowBorderDxfId="264" tableBorderDxfId="263" totalsRowBorderDxfId="262">
  <tableColumns count="4">
    <tableColumn id="1" xr3:uid="{56BBCCB1-8110-4050-AAF9-933E705C164C}" name="Market" dataDxfId="261"/>
    <tableColumn id="3" xr3:uid="{E8D5F693-8DE0-4A96-B243-AA1200C303F2}" name="2023" dataDxfId="260" dataCellStyle="Currency"/>
    <tableColumn id="5" xr3:uid="{2325D394-74D5-4600-97A0-8781C4676366}" name="2024" dataDxfId="259" dataCellStyle="Currency"/>
    <tableColumn id="6" xr3:uid="{ADE40CA6-5349-43C9-89C6-8F37AAF0B009}" name="2023-2024 Trend" dataDxfId="258" dataCellStyle="Percent">
      <calculatedColumnFormula>IFERROR(TMEbyMkt[[#This Row],[2024]]/TMEbyMkt[[#This Row],[2023]]-1,"NA")</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B5ED463-693F-4F10-B465-E0C5109E788A}" name="ComTotTME" displayName="ComTotTME" ref="B40:E65" totalsRowShown="0" headerRowDxfId="257" dataDxfId="255" headerRowBorderDxfId="256" tableBorderDxfId="254" totalsRowBorderDxfId="253">
  <tableColumns count="4">
    <tableColumn id="1" xr3:uid="{B348ABA0-C8C5-42E8-BC53-D62A51A3AF16}" name="Service Category" dataDxfId="252"/>
    <tableColumn id="3" xr3:uid="{0E3BBB76-216E-48FA-A593-B650038D3678}" name="2023" dataDxfId="251" dataCellStyle="Currency"/>
    <tableColumn id="6" xr3:uid="{5CE52A6C-0297-4D4D-8765-B1024DD3583D}" name="2024" dataDxfId="250" dataCellStyle="Currency"/>
    <tableColumn id="4" xr3:uid="{423C9EC5-4CFB-4DA0-984D-6735D25A9DE0}" name="2023-2024 Trend" dataDxfId="249" dataCellStyle="Percent">
      <calculatedColumnFormula>IFERROR(ComTotTME[[#This Row],[2024]]/ComTotTME[[#This Row],[2023]]-1,"NA")</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59A510-29DD-4A37-9E5F-6105D84A52DF}" name="ICC3TME" displayName="ICC3TME" ref="G40:J65" totalsRowShown="0" headerRowDxfId="248" headerRowBorderDxfId="247" tableBorderDxfId="246" totalsRowBorderDxfId="245">
  <tableColumns count="4">
    <tableColumn id="1" xr3:uid="{92D11A4B-3EFA-4CCA-883E-AA6D3A781F9C}" name="Service Category" dataDxfId="244"/>
    <tableColumn id="3" xr3:uid="{1A7C560C-169B-4109-B45B-34AE45210E5B}" name="2023" dataDxfId="243" dataCellStyle="Currency"/>
    <tableColumn id="6" xr3:uid="{08A7EC16-9102-43B0-B913-7B47BE9DCDD2}" name="2024" dataDxfId="242" dataCellStyle="Currency"/>
    <tableColumn id="4" xr3:uid="{7C943E37-9C12-46F8-B639-081D5C290968}" name="2023-2024 Trend" dataDxfId="241" dataCellStyle="Percent">
      <calculatedColumnFormula>IFERROR(ICC3TME[[#This Row],[2024]]/ICC3TME[[#This Row],[2023]]-1,"NA")</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BA709B4-3C8D-4EE0-84CC-799BDAEFC4BB}" name="ICC4TME" displayName="ICC4TME" ref="L40:O65" totalsRowShown="0" headerRowDxfId="240" dataDxfId="238" headerRowBorderDxfId="239" tableBorderDxfId="237" totalsRowBorderDxfId="236">
  <tableColumns count="4">
    <tableColumn id="1" xr3:uid="{732A6DF4-D9EA-4648-898C-23A3FF9E6AAD}" name="Service Category" dataDxfId="235"/>
    <tableColumn id="3" xr3:uid="{501C3263-A223-48F4-A389-FA9E43FA138C}" name="2023" dataDxfId="234" dataCellStyle="Currency"/>
    <tableColumn id="6" xr3:uid="{69A7A913-4D59-43AF-8051-5344E1BF3924}" name="2024" dataDxfId="233" dataCellStyle="Currency"/>
    <tableColumn id="4" xr3:uid="{9A279DF3-2F19-4F43-B98A-5446978A8492}" name="2023-2024 Trend" dataDxfId="232" dataCellStyle="Percent">
      <calculatedColumnFormula>IFERROR(ICC4TME[[#This Row],[2024]]/ICC4TME[[#This Row],[2023]]-1,"NA")</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FFF164C-723F-44DD-9015-F75211FAACFA}" name="MCareTotTME" displayName="MCareTotTME" ref="B69:E94" totalsRowShown="0" headerRowDxfId="231" dataDxfId="229" headerRowBorderDxfId="230" tableBorderDxfId="228" totalsRowBorderDxfId="227">
  <tableColumns count="4">
    <tableColumn id="1" xr3:uid="{30D428FB-B795-4292-B18C-4DC498EA5C87}" name="Service Category" dataDxfId="226"/>
    <tableColumn id="3" xr3:uid="{D3910952-F591-42FB-AAAC-094189FAD29C}" name="2023" dataDxfId="225" dataCellStyle="Currency"/>
    <tableColumn id="6" xr3:uid="{BD4F1850-7CC8-49AC-9B5E-E625B9C53C6B}" name="2024" dataDxfId="224" dataCellStyle="Currency"/>
    <tableColumn id="4" xr3:uid="{E4E876DE-AAA6-45A0-BE88-AC3EB59A90E7}" name="2023-2024 Trend" dataDxfId="223" dataCellStyle="Percent">
      <calculatedColumnFormula>IFERROR(MCareTotTME[[#This Row],[2024]]/MCareTotTME[[#This Row],[2023]]-1,"NA")</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D0A03A1-CFA0-4C01-81C9-AE71256C1C17}" name="ICC5TME" displayName="ICC5TME" ref="L69:O94" totalsRowShown="0" headerRowDxfId="222" dataDxfId="220" headerRowBorderDxfId="221" tableBorderDxfId="219" totalsRowBorderDxfId="218">
  <tableColumns count="4">
    <tableColumn id="1" xr3:uid="{AF6B2F6F-3A7A-47C9-ACF9-48C56D4825A6}" name="Service Category" dataDxfId="217"/>
    <tableColumn id="3" xr3:uid="{DBC366C5-B664-406F-AE38-AC934FF6C01B}" name="2023" dataDxfId="216" dataCellStyle="Currency"/>
    <tableColumn id="6" xr3:uid="{E70337AA-DDE6-4A46-97D7-55F446E245F4}" name="2024" dataDxfId="215" dataCellStyle="Currency"/>
    <tableColumn id="4" xr3:uid="{9E812AA8-B0EB-4DFC-B22B-633BC961FE67}" name="2023-2024 Trend" dataDxfId="214" dataCellStyle="Percent">
      <calculatedColumnFormula>IFERROR(ICC5TME[[#This Row],[2024]]/ICC5TME[[#This Row],[2023]]-1,"NA")</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5F10042-BBB5-4666-936C-12EC2F56B95D}" name="ICC7TME" displayName="ICC7TME" ref="B98:E123" totalsRowShown="0" headerRowDxfId="213" dataDxfId="211" headerRowBorderDxfId="212" tableBorderDxfId="210" totalsRowBorderDxfId="209">
  <tableColumns count="4">
    <tableColumn id="1" xr3:uid="{73D42A39-F193-40EB-8DF9-71890F04C71E}" name="Service Category" dataDxfId="208"/>
    <tableColumn id="3" xr3:uid="{AEDF9181-F20F-4FBE-9720-F3E955B4BB91}" name="2023" dataDxfId="207" dataCellStyle="Currency"/>
    <tableColumn id="5" xr3:uid="{72657816-2340-4049-B31C-8087C67F3196}" name="2024" dataDxfId="206" dataCellStyle="Currency"/>
    <tableColumn id="6" xr3:uid="{11EDD83E-5A30-44DA-9929-18793664EC24}" name="2023-2024 Trend" dataDxfId="205" dataCellStyle="Percent">
      <calculatedColumnFormula>IFERROR(ICC7TME[[#This Row],[2024]]/ICC7TME[[#This Row],[2023]]-1,"NA")</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27678-7AF3-4DA1-AB01-26E3BB44502F}" name="InsCarrierOrgIDs" displayName="InsCarrierOrgIDs" ref="A50:B57" totalsRowShown="0" headerRowDxfId="468" dataDxfId="467">
  <autoFilter ref="A50:B57" xr:uid="{D2341DF6-4E5D-4606-8D68-1C4370E7AF79}"/>
  <tableColumns count="2">
    <tableColumn id="1" xr3:uid="{0DDDB29F-D2EC-4BEA-91CD-5D84C7371D33}" name="Insurance Carrier Organizational ID" dataDxfId="466"/>
    <tableColumn id="2" xr3:uid="{D955FA7D-DB4C-4921-B37D-497B9D2BC4CE}" name="Insurer" dataDxfId="465"/>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94B868E-1F9C-4D33-9159-115CDB8DB970}" name="TMEPMPMbyMkt" displayName="TMEPMPMbyMkt" ref="G17:J25" totalsRowShown="0" headerRowDxfId="204" headerRowBorderDxfId="203" tableBorderDxfId="202" totalsRowBorderDxfId="201">
  <tableColumns count="4">
    <tableColumn id="1" xr3:uid="{9C52447F-A510-4FEA-8594-4B07B64E9FD0}" name="Market"/>
    <tableColumn id="3" xr3:uid="{7C1E30EF-0840-4847-8D32-9C50BA468E97}" name="2023" dataDxfId="200" dataCellStyle="Currency">
      <calculatedColumnFormula>IFERROR(TMEbyMkt[[#This Row],[2023]]/C7,"NA")</calculatedColumnFormula>
    </tableColumn>
    <tableColumn id="5" xr3:uid="{23E1FED3-4580-4CB7-A32A-2DA6F6180E11}" name="2024" dataDxfId="199" dataCellStyle="Currency">
      <calculatedColumnFormula>IFERROR(TMEbyMkt[[#This Row],[2024]]/D7,"NA")</calculatedColumnFormula>
    </tableColumn>
    <tableColumn id="6" xr3:uid="{41C4770C-61D8-4FB9-B08C-7A41BA16A52D}" name="2023-2024 Trend" dataDxfId="198" dataCellStyle="Percent">
      <calculatedColumnFormula>IFERROR(TMEPMPMbyMkt[[#This Row],[2024]]/TMEPMPMbyMkt[[#This Row],[2023]]-1,"NA")</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6BDBF44-B372-4D9D-8FA0-88BF6922F0C6}" name="RATMEbyMkt" displayName="RATMEbyMkt" ref="B28:E36" totalsRowShown="0" headerRowDxfId="197" headerRowBorderDxfId="196" tableBorderDxfId="195" totalsRowBorderDxfId="194">
  <tableColumns count="4">
    <tableColumn id="1" xr3:uid="{0B7112A5-2C0E-4822-ABE0-CA456A8B637A}" name="Market"/>
    <tableColumn id="3" xr3:uid="{71ACB1C6-C9C8-4469-9050-0AC82EF20AB9}" name="2023" dataDxfId="193" dataCellStyle="Currency"/>
    <tableColumn id="5" xr3:uid="{243D045B-56CC-4F45-8413-B66CBEB23F33}" name="2024" dataDxfId="192" dataCellStyle="Currency"/>
    <tableColumn id="6" xr3:uid="{BEDD2846-AD2A-4466-BE76-9C4109787CCF}" name="2023-2024 Trend" dataDxfId="191" dataCellStyle="Percent">
      <calculatedColumnFormula>IFERROR(RATMEbyMkt[[#This Row],[2024]]/RATMEbyMkt[[#This Row],[2023]]-1,"NA")</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AD0A186-11D7-4298-B7B9-F58F287386AE}" name="RATMEPMPMbyMkt" displayName="RATMEPMPMbyMkt" ref="G28:J36" totalsRowShown="0" headerRowDxfId="190" headerRowBorderDxfId="189" tableBorderDxfId="188" totalsRowBorderDxfId="187">
  <tableColumns count="4">
    <tableColumn id="1" xr3:uid="{F6B043E4-AF21-4F40-A072-B38C904AD482}" name="Market"/>
    <tableColumn id="3" xr3:uid="{526C619F-B707-4F4B-9C37-6CD58C72AC76}" name="2023" dataDxfId="186" dataCellStyle="Currency">
      <calculatedColumnFormula>IFERROR(RATMEbyMkt[[#This Row],[2023]]/C7,"NA")</calculatedColumnFormula>
    </tableColumn>
    <tableColumn id="5" xr3:uid="{9F7F58C1-7721-4F70-8B5D-B20802214E85}" name="2024" dataDxfId="185" dataCellStyle="Currency">
      <calculatedColumnFormula>IFERROR(RATMEbyMkt[[#This Row],[2024]]/D7,"NA")</calculatedColumnFormula>
    </tableColumn>
    <tableColumn id="6" xr3:uid="{8951AED1-D359-4ACA-A407-A080DF9D635E}" name="2023-2024 Trend" dataDxfId="184" dataCellStyle="Percent">
      <calculatedColumnFormula>IFERROR(RATMEPMPMbyMkt[[#This Row],[2024]]/RATMEPMPMbyMkt[[#This Row],[2023]]-1,"NA")</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2ABFE95-8D93-4E25-AB66-059FBEA398DA}" name="ICC1TME" displayName="ICC1TME" ref="G69:J94" totalsRowShown="0" headerRowDxfId="183" dataDxfId="181" headerRowBorderDxfId="182" tableBorderDxfId="180" totalsRowBorderDxfId="179">
  <tableColumns count="4">
    <tableColumn id="1" xr3:uid="{80BB2C78-DBB7-4089-B5A1-489BD32B1F18}" name="Service Category" dataDxfId="178"/>
    <tableColumn id="3" xr3:uid="{E7107820-4126-4CBE-985E-1302B550A794}" name="2023" dataDxfId="177" dataCellStyle="Currency"/>
    <tableColumn id="6" xr3:uid="{7F32B562-B9DE-4E61-87B0-E829000B6061}" name="2024" dataDxfId="176" dataCellStyle="Currency"/>
    <tableColumn id="4" xr3:uid="{810389FA-6434-4F8A-B727-43FF8E7C3CAB}" name="2023-2024 Trend" dataDxfId="175" dataCellStyle="Percent">
      <calculatedColumnFormula>IFERROR(ICC1TME[[#This Row],[2024]]/ICC1TME[[#This Row],[2023]]-1,"NA")</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89812-4C0A-4769-9FAC-1F773C548E00}" name="ExpectedICC" displayName="ExpectedICC" ref="A4:H11" totalsRowShown="0" headerRowDxfId="174" dataDxfId="172" headerRowBorderDxfId="173" tableBorderDxfId="171" totalsRowBorderDxfId="170">
  <autoFilter ref="A4:H11" xr:uid="{DF7F4EC6-2F97-4225-B3D3-1F8A33792275}"/>
  <tableColumns count="8">
    <tableColumn id="1" xr3:uid="{80E2D06D-4166-46FD-A9D8-1812314A6C5B}" name="Insurer" dataDxfId="169"/>
    <tableColumn id="2" xr3:uid="{2C956982-5F96-4066-A8EC-8092BC8A1C9F}" name="Medicare Managed Care" dataDxfId="168"/>
    <tableColumn id="3" xr3:uid="{752FEFAD-B37E-47B2-B965-FD6A777747D8}" name="Medicaid Managed Care" dataDxfId="167"/>
    <tableColumn id="4" xr3:uid="{0C6A36A8-1AF3-4B7C-A0B1-3B5D7593CE0C}" name="Commercial Full Claims" dataDxfId="166"/>
    <tableColumn id="5" xr3:uid="{FD65149A-7977-49A7-8766-2446E9811647}" name="Commercial Partial Claims" dataDxfId="165"/>
    <tableColumn id="6" xr3:uid="{C5C454F2-D4D3-4DBD-B73C-0AC67494FACD}" name="Medicare Exp. Duals" dataDxfId="164"/>
    <tableColumn id="7" xr3:uid="{B2AC31DA-1CD3-4948-B690-489B8C7D05AB}" name="Medicaid Exp. Duals" dataDxfId="163"/>
    <tableColumn id="8" xr3:uid="{BA985DD9-650F-4DB7-9484-40A6D64064F5}" name="Other" dataDxfId="162"/>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448F20-9666-4074-911F-2DEBDFF7472F}" name="PublicData22" displayName="PublicData22" ref="A14:B20" totalsRowShown="0" headerRowDxfId="161" dataDxfId="159" headerRowBorderDxfId="160" tableBorderDxfId="158" totalsRowBorderDxfId="157">
  <autoFilter ref="A14:B20" xr:uid="{AC7ED5CE-95F6-4001-9A0C-741AE00B309D}"/>
  <tableColumns count="2">
    <tableColumn id="1" xr3:uid="{6945F25C-D2C6-4DE2-BF99-636490C9593A}" name="2023" dataDxfId="156"/>
    <tableColumn id="2" xr3:uid="{4237B78B-FEA0-44DC-A2BC-630FDAB640B4}" name="Medicare Managed Care Enrollment by State/County/Contract _x000a_X 12" dataDxfId="155"/>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E785662-3774-4443-8588-C32E8F8A8D84}" name="PublicData23" displayName="PublicData23" ref="D14:E20" totalsRowShown="0" headerRowDxfId="154" dataDxfId="152" headerRowBorderDxfId="153" tableBorderDxfId="151" totalsRowBorderDxfId="150">
  <autoFilter ref="D14:E20" xr:uid="{DE785662-3774-4443-8588-C32E8F8A8D84}"/>
  <tableColumns count="2">
    <tableColumn id="1" xr3:uid="{FF529C3F-A4A3-489B-A2B4-39DC9C8C39ED}" name="2024" dataDxfId="149"/>
    <tableColumn id="2" xr3:uid="{6FA5BB2D-4B14-4617-BA3B-E1B28342402C}" name="Medicare Managed Care Enrollment by State/County/Contract _x000a_X 12" dataDxfId="148"/>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9B522C9-D89B-49AC-B865-341DCBA48DE7}" name="MandatoryQ" displayName="MandatoryQ" ref="A23:B50" totalsRowShown="0" headerRowDxfId="147" headerRowBorderDxfId="146" tableBorderDxfId="145" totalsRowBorderDxfId="144">
  <autoFilter ref="A23:B50" xr:uid="{49B522C9-D89B-49AC-B865-341DCBA48DE7}"/>
  <tableColumns count="2">
    <tableColumn id="1" xr3:uid="{B792FC8C-E6DE-4701-9649-C1668712FE15}" name="Question" dataDxfId="143"/>
    <tableColumn id="2" xr3:uid="{D0C2FD04-E757-4D4C-8B0C-A01514025833}" name="Expected Answer" dataDxfId="14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C10FD5-7887-4ADB-9632-00EA490730BF}" name="InsuranceCatCodes" displayName="InsuranceCatCodes" ref="A59:B66" totalsRowShown="0" headerRowDxfId="464" dataDxfId="463">
  <autoFilter ref="A59:B66" xr:uid="{A619587B-D6D0-48B0-9B4C-4C41F33EFB5A}"/>
  <tableColumns count="2">
    <tableColumn id="1" xr3:uid="{C275CB2E-9EC4-478D-BC26-D0007BA014BC}" name="Insurance Category Code" dataDxfId="462"/>
    <tableColumn id="2" xr3:uid="{A60DAD8F-9F4C-43F0-8B55-8BB2646C3B68}" name="Definition" dataDxfId="46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CD8CD6-DBC5-4246-9E8A-F02FE7DD7FE9}" name="LOBEnrollCatCodes" displayName="LOBEnrollCatCodes" ref="A68:B76" totalsRowShown="0" headerRowDxfId="460" dataDxfId="459">
  <autoFilter ref="A68:B76" xr:uid="{A58078EE-5396-4975-9937-441FFAA73145}"/>
  <tableColumns count="2">
    <tableColumn id="1" xr3:uid="{9AA78217-19DA-4578-937F-6DDCE92627B2}" name="Line of Business Enrollment Category Code" dataDxfId="458"/>
    <tableColumn id="2" xr3:uid="{8D3E2BD4-BDCF-4A8A-9CD1-3C4C06C54549}" name="Definition" dataDxfId="45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E4C990-E584-4F6B-902B-8F7ADEE03D92}" name="MarketCodes" displayName="MarketCodes" ref="A78:B81" totalsRowShown="0" tableBorderDxfId="456">
  <autoFilter ref="A78:B81" xr:uid="{3DE4C990-E584-4F6B-902B-8F7ADEE03D92}"/>
  <tableColumns count="2">
    <tableColumn id="1" xr3:uid="{D6A026E6-5FC5-4A67-8D27-F93474644DAD}" name="Market Code" dataDxfId="455"/>
    <tableColumn id="2" xr3:uid="{5AAD7437-1064-4604-AB3A-E7AA65A1DE40}" name="Definition" dataDxfId="45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2BF1549-25D5-42ED-BEA3-989DE2F2307D}" name="AgeBandCodes" displayName="AgeBandCodes" ref="A83:B91" totalsRowShown="0" tableBorderDxfId="453">
  <autoFilter ref="A83:B91" xr:uid="{62BF1549-25D5-42ED-BEA3-989DE2F2307D}"/>
  <tableColumns count="2">
    <tableColumn id="1" xr3:uid="{CC1DC3D4-2A2F-49F4-BD72-EC8FE73F3D4E}" name="Age Band Code" dataDxfId="452"/>
    <tableColumn id="2" xr3:uid="{A122D0F2-11B9-4478-B44F-5F87E3F0EF20}" name="Definition" dataDxfId="45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69D5859-494C-4769-9C33-CAC36C094D3C}" name="SexCodes" displayName="SexCodes" ref="A93:B95" totalsRowShown="0" dataDxfId="450" tableBorderDxfId="449">
  <autoFilter ref="A93:B95" xr:uid="{169D5859-494C-4769-9C33-CAC36C094D3C}"/>
  <tableColumns count="2">
    <tableColumn id="1" xr3:uid="{431E9207-A632-4A70-9AB2-EB93099D7AA4}" name="Sex Code" dataDxfId="448"/>
    <tableColumn id="2" xr3:uid="{5211E66D-1AD2-4E31-B9D7-7B2FE74E5546}" name="Definition" dataDxfId="44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4F04519-98DF-45FC-9D7F-F1EFEC8BF70B}" name="HierarchyCodes" displayName="HierarchyCodes" ref="A97:B102" totalsRowShown="0" headerRowDxfId="446" dataDxfId="445">
  <autoFilter ref="A97:B102" xr:uid="{24F04519-98DF-45FC-9D7F-F1EFEC8BF70B}"/>
  <tableColumns count="2">
    <tableColumn id="1" xr3:uid="{E7E80616-0CDE-4657-82C1-94F63469A58F}" name="Attribution Hierarchy Code" dataDxfId="444"/>
    <tableColumn id="2" xr3:uid="{542BA8DF-E09F-4AC5-BA77-7726103714E5}" name="Definition" dataDxfId="44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8" Type="http://schemas.openxmlformats.org/officeDocument/2006/relationships/table" Target="../tables/table28.xml"/><Relationship Id="rId13" Type="http://schemas.openxmlformats.org/officeDocument/2006/relationships/table" Target="../tables/table33.xml"/><Relationship Id="rId3" Type="http://schemas.openxmlformats.org/officeDocument/2006/relationships/table" Target="../tables/table23.xml"/><Relationship Id="rId7" Type="http://schemas.openxmlformats.org/officeDocument/2006/relationships/table" Target="../tables/table27.xml"/><Relationship Id="rId12" Type="http://schemas.openxmlformats.org/officeDocument/2006/relationships/table" Target="../tables/table32.xml"/><Relationship Id="rId2" Type="http://schemas.openxmlformats.org/officeDocument/2006/relationships/table" Target="../tables/table22.xml"/><Relationship Id="rId1" Type="http://schemas.openxmlformats.org/officeDocument/2006/relationships/printerSettings" Target="../printerSettings/printerSettings10.bin"/><Relationship Id="rId6" Type="http://schemas.openxmlformats.org/officeDocument/2006/relationships/table" Target="../tables/table26.xml"/><Relationship Id="rId11" Type="http://schemas.openxmlformats.org/officeDocument/2006/relationships/table" Target="../tables/table31.xml"/><Relationship Id="rId5" Type="http://schemas.openxmlformats.org/officeDocument/2006/relationships/table" Target="../tables/table25.xml"/><Relationship Id="rId10" Type="http://schemas.openxmlformats.org/officeDocument/2006/relationships/table" Target="../tables/table30.xml"/><Relationship Id="rId4" Type="http://schemas.openxmlformats.org/officeDocument/2006/relationships/table" Target="../tables/table24.xml"/><Relationship Id="rId9" Type="http://schemas.openxmlformats.org/officeDocument/2006/relationships/table" Target="../tables/table2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table" Target="../tables/table34.xml"/><Relationship Id="rId4"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97E7-E538-414B-AB63-691B20B7DF09}">
  <sheetPr codeName="Sheet3">
    <tabColor theme="0" tint="-0.249977111117893"/>
  </sheetPr>
  <dimension ref="B2:D16"/>
  <sheetViews>
    <sheetView tabSelected="1" zoomScaleNormal="100" workbookViewId="0"/>
  </sheetViews>
  <sheetFormatPr defaultRowHeight="15" x14ac:dyDescent="0.25"/>
  <cols>
    <col min="1" max="1" width="3.85546875" customWidth="1"/>
    <col min="2" max="2" width="55.85546875" bestFit="1" customWidth="1"/>
    <col min="3" max="3" width="28.42578125" bestFit="1" customWidth="1"/>
    <col min="4" max="4" width="83.5703125" customWidth="1"/>
  </cols>
  <sheetData>
    <row r="2" spans="2:4" x14ac:dyDescent="0.25">
      <c r="B2" s="1" t="s">
        <v>0</v>
      </c>
      <c r="C2" s="1"/>
    </row>
    <row r="4" spans="2:4" x14ac:dyDescent="0.25">
      <c r="B4" s="121" t="s">
        <v>1</v>
      </c>
      <c r="C4" s="121" t="s">
        <v>2</v>
      </c>
      <c r="D4" s="121" t="s">
        <v>3</v>
      </c>
    </row>
    <row r="5" spans="2:4" ht="75" x14ac:dyDescent="0.25">
      <c r="B5" s="154" t="s">
        <v>4</v>
      </c>
      <c r="C5" s="155" t="s">
        <v>5</v>
      </c>
      <c r="D5" s="10" t="s">
        <v>6</v>
      </c>
    </row>
    <row r="6" spans="2:4" ht="75" x14ac:dyDescent="0.25">
      <c r="B6" s="154" t="s">
        <v>7</v>
      </c>
      <c r="C6" s="155" t="s">
        <v>5</v>
      </c>
      <c r="D6" s="10" t="s">
        <v>8</v>
      </c>
    </row>
    <row r="7" spans="2:4" ht="45" x14ac:dyDescent="0.25">
      <c r="B7" s="154" t="s">
        <v>9</v>
      </c>
      <c r="C7" s="155" t="s">
        <v>10</v>
      </c>
      <c r="D7" s="10" t="s">
        <v>11</v>
      </c>
    </row>
    <row r="8" spans="2:4" ht="45" x14ac:dyDescent="0.25">
      <c r="B8" s="154" t="s">
        <v>12</v>
      </c>
      <c r="C8" s="155" t="s">
        <v>10</v>
      </c>
      <c r="D8" s="10" t="s">
        <v>13</v>
      </c>
    </row>
    <row r="9" spans="2:4" ht="30" x14ac:dyDescent="0.25">
      <c r="B9" s="154" t="s">
        <v>14</v>
      </c>
      <c r="C9" s="155" t="s">
        <v>10</v>
      </c>
      <c r="D9" s="10" t="s">
        <v>15</v>
      </c>
    </row>
    <row r="10" spans="2:4" ht="60" x14ac:dyDescent="0.25">
      <c r="B10" s="154" t="s">
        <v>16</v>
      </c>
      <c r="C10" s="155" t="s">
        <v>10</v>
      </c>
      <c r="D10" s="10" t="s">
        <v>17</v>
      </c>
    </row>
    <row r="11" spans="2:4" ht="45" x14ac:dyDescent="0.25">
      <c r="B11" s="154" t="s">
        <v>18</v>
      </c>
      <c r="C11" s="155" t="s">
        <v>10</v>
      </c>
      <c r="D11" s="10" t="s">
        <v>19</v>
      </c>
    </row>
    <row r="12" spans="2:4" ht="30" x14ac:dyDescent="0.25">
      <c r="B12" s="154" t="s">
        <v>20</v>
      </c>
      <c r="C12" s="182" t="s">
        <v>10</v>
      </c>
      <c r="D12" s="10" t="s">
        <v>21</v>
      </c>
    </row>
    <row r="13" spans="2:4" ht="30" x14ac:dyDescent="0.25">
      <c r="B13" s="154" t="s">
        <v>22</v>
      </c>
      <c r="C13" s="155" t="s">
        <v>10</v>
      </c>
      <c r="D13" s="10" t="s">
        <v>23</v>
      </c>
    </row>
    <row r="14" spans="2:4" ht="90" x14ac:dyDescent="0.25">
      <c r="B14" s="409" t="s">
        <v>24</v>
      </c>
      <c r="C14" s="410" t="s">
        <v>5</v>
      </c>
      <c r="D14" s="411" t="s">
        <v>25</v>
      </c>
    </row>
    <row r="15" spans="2:4" ht="90" x14ac:dyDescent="0.25">
      <c r="B15" s="406" t="s">
        <v>26</v>
      </c>
      <c r="C15" s="407" t="s">
        <v>5</v>
      </c>
      <c r="D15" s="408" t="s">
        <v>27</v>
      </c>
    </row>
    <row r="16" spans="2:4" ht="105" x14ac:dyDescent="0.25">
      <c r="B16" s="406" t="s">
        <v>28</v>
      </c>
      <c r="C16" s="407" t="s">
        <v>5</v>
      </c>
      <c r="D16" s="412" t="s">
        <v>29</v>
      </c>
    </row>
  </sheetData>
  <sheetProtection algorithmName="SHA-512" hashValue="NrNTemuLzSAVQYHimWEBCXNfLNhYu9ANkznKSH4BsiehUH6mYLc1cokL6/Ms5KYJgOXyDmuJuPrGdj35vErIlA==" saltValue="8/AoB69gz3RTUbiFDrcKx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F955-CA2A-4794-B4D9-6F63F496C241}">
  <sheetPr codeName="Sheet12">
    <tabColor theme="3"/>
  </sheetPr>
  <dimension ref="A1:G18"/>
  <sheetViews>
    <sheetView zoomScaleNormal="100" workbookViewId="0"/>
  </sheetViews>
  <sheetFormatPr defaultColWidth="9.140625" defaultRowHeight="15" x14ac:dyDescent="0.25"/>
  <cols>
    <col min="1" max="1" width="33.140625" customWidth="1"/>
    <col min="2" max="3" width="24" customWidth="1"/>
    <col min="4" max="4" width="39.140625" customWidth="1"/>
    <col min="5" max="5" width="23.42578125" customWidth="1"/>
    <col min="6" max="6" width="27.5703125" customWidth="1"/>
    <col min="7" max="7" width="26.5703125" customWidth="1"/>
  </cols>
  <sheetData>
    <row r="1" spans="1:7" x14ac:dyDescent="0.25">
      <c r="A1" s="1" t="s">
        <v>162</v>
      </c>
    </row>
    <row r="2" spans="1:7" x14ac:dyDescent="0.25">
      <c r="A2" s="1" t="s">
        <v>230</v>
      </c>
    </row>
    <row r="3" spans="1:7" ht="15" customHeight="1" x14ac:dyDescent="0.25">
      <c r="E3" s="553" t="s">
        <v>231</v>
      </c>
      <c r="F3" s="553"/>
      <c r="G3" s="553"/>
    </row>
    <row r="4" spans="1:7" x14ac:dyDescent="0.25">
      <c r="A4" t="s">
        <v>164</v>
      </c>
      <c r="E4" s="553"/>
      <c r="F4" s="553"/>
      <c r="G4" s="553"/>
    </row>
    <row r="5" spans="1:7" ht="15" customHeight="1" x14ac:dyDescent="0.25">
      <c r="E5" s="553"/>
      <c r="F5" s="553"/>
      <c r="G5" s="553"/>
    </row>
    <row r="6" spans="1:7" ht="15" customHeight="1" x14ac:dyDescent="0.25">
      <c r="A6" s="555" t="s">
        <v>232</v>
      </c>
      <c r="B6" s="555"/>
      <c r="C6" s="555"/>
      <c r="E6" s="553"/>
      <c r="F6" s="553"/>
      <c r="G6" s="553"/>
    </row>
    <row r="7" spans="1:7" ht="15" customHeight="1" x14ac:dyDescent="0.25">
      <c r="A7" s="555"/>
      <c r="B7" s="555"/>
      <c r="C7" s="555"/>
      <c r="E7" s="553"/>
      <c r="F7" s="553"/>
      <c r="G7" s="553"/>
    </row>
    <row r="8" spans="1:7" ht="40.35" customHeight="1" x14ac:dyDescent="0.25">
      <c r="E8" s="554"/>
      <c r="F8" s="554"/>
      <c r="G8" s="554"/>
    </row>
    <row r="9" spans="1:7" x14ac:dyDescent="0.25">
      <c r="A9" s="4" t="s">
        <v>184</v>
      </c>
      <c r="B9" s="4" t="s">
        <v>185</v>
      </c>
      <c r="C9" s="4" t="s">
        <v>186</v>
      </c>
      <c r="E9" s="4" t="s">
        <v>233</v>
      </c>
      <c r="F9" s="4" t="s">
        <v>234</v>
      </c>
      <c r="G9" s="4" t="s">
        <v>235</v>
      </c>
    </row>
    <row r="10" spans="1:7" s="165" customFormat="1" ht="45" x14ac:dyDescent="0.25">
      <c r="A10" s="163" t="s">
        <v>89</v>
      </c>
      <c r="B10" s="166" t="s">
        <v>236</v>
      </c>
      <c r="C10" s="166" t="s">
        <v>237</v>
      </c>
      <c r="E10" s="157" t="s">
        <v>89</v>
      </c>
      <c r="F10" s="157" t="s">
        <v>238</v>
      </c>
      <c r="G10" s="157" t="s">
        <v>239</v>
      </c>
    </row>
    <row r="11" spans="1:7" x14ac:dyDescent="0.25">
      <c r="A11" s="339"/>
      <c r="B11" s="348"/>
      <c r="C11" s="349"/>
      <c r="E11" s="387"/>
      <c r="F11" s="206"/>
      <c r="G11" s="206"/>
    </row>
    <row r="12" spans="1:7" x14ac:dyDescent="0.25">
      <c r="A12" s="342"/>
      <c r="B12" s="110"/>
      <c r="C12" s="350"/>
    </row>
    <row r="13" spans="1:7" x14ac:dyDescent="0.25">
      <c r="A13" s="339"/>
      <c r="B13" s="348"/>
      <c r="C13" s="349"/>
    </row>
    <row r="14" spans="1:7" x14ac:dyDescent="0.25">
      <c r="A14" s="342"/>
      <c r="B14" s="110"/>
      <c r="C14" s="350"/>
    </row>
    <row r="15" spans="1:7" x14ac:dyDescent="0.25">
      <c r="A15" s="339"/>
      <c r="B15" s="348"/>
      <c r="C15" s="349"/>
    </row>
    <row r="16" spans="1:7" x14ac:dyDescent="0.25">
      <c r="A16" s="342"/>
      <c r="B16" s="110"/>
      <c r="C16" s="350"/>
    </row>
    <row r="17" spans="1:3" x14ac:dyDescent="0.25">
      <c r="A17" s="339"/>
      <c r="B17" s="348"/>
      <c r="C17" s="349"/>
    </row>
    <row r="18" spans="1:3" x14ac:dyDescent="0.25">
      <c r="A18" s="351"/>
      <c r="B18" s="352"/>
      <c r="C18" s="353"/>
    </row>
  </sheetData>
  <sheetProtection algorithmName="SHA-512" hashValue="N4NbmPcgaJ1WKidytlU0L4viWiGHYaODvI3SbED1nJnqunuA4jsx71/5BIKqnySyGQHT2d25+5vY7z7aIum4Dg==" saltValue="X92h7BOmqWMj+B8GLBAyhQ==" spinCount="100000" sheet="1" objects="1" scenarios="1"/>
  <protectedRanges>
    <protectedRange sqref="E11:G11" name="Range2"/>
    <protectedRange sqref="A11:C18" name="Range1"/>
  </protectedRanges>
  <mergeCells count="2">
    <mergeCell ref="E3:G8"/>
    <mergeCell ref="A6:C7"/>
  </mergeCells>
  <dataValidations count="3">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1 = Individual_x000a_902 = Large group, fully insured_x000a_903 = Small group, full insured_x000a_904 = Self-insured_x000a_905 = Student market_x000a_906 = Medicare managed care_x000a_907 = Medicaid/CHIP managed care_x000a_908 = Medicare/Medicaid duals" sqref="A11:A18" xr:uid="{963EF0D4-AC46-4FE1-BDB4-94C1AB15818E}">
      <formula1>901</formula1>
      <formula2>908</formula2>
    </dataValidation>
    <dataValidation type="decimal" operator="greaterThan" allowBlank="1" showInputMessage="1" showErrorMessage="1" error="See Definitions tab." prompt="See Definitions tab." sqref="B11:C18" xr:uid="{EC72DC3A-E98A-40FC-ACCD-872394E01B6A}">
      <formula1>0</formula1>
    </dataValidation>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4 = Self-insured" sqref="E11" xr:uid="{C3DCA4AA-D09B-44B7-BA36-E2E3FDBA1D63}">
      <formula1>901</formula1>
      <formula2>908</formula2>
    </dataValidation>
  </dataValidation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C3848-A909-4FFC-BB87-33176D081FBD}">
  <sheetPr codeName="Sheet13">
    <tabColor theme="4"/>
  </sheetPr>
  <dimension ref="A1:E120"/>
  <sheetViews>
    <sheetView zoomScaleNormal="100" workbookViewId="0"/>
  </sheetViews>
  <sheetFormatPr defaultColWidth="9.140625" defaultRowHeight="15" x14ac:dyDescent="0.25"/>
  <cols>
    <col min="1" max="1" width="43.5703125" customWidth="1"/>
    <col min="2" max="2" width="25" customWidth="1"/>
    <col min="3" max="3" width="26" customWidth="1"/>
    <col min="4" max="5" width="22" customWidth="1"/>
  </cols>
  <sheetData>
    <row r="1" spans="1:5" x14ac:dyDescent="0.25">
      <c r="A1" s="1" t="s">
        <v>162</v>
      </c>
      <c r="B1" s="1"/>
    </row>
    <row r="2" spans="1:5" ht="26.45" customHeight="1" x14ac:dyDescent="0.25">
      <c r="A2" s="1" t="s">
        <v>240</v>
      </c>
      <c r="B2" s="1"/>
      <c r="D2" s="550" t="s">
        <v>241</v>
      </c>
      <c r="E2" s="550"/>
    </row>
    <row r="3" spans="1:5" x14ac:dyDescent="0.25">
      <c r="D3" s="556" t="str">
        <f>IF(AND(A11&lt;&gt;"", OR('Data Validation'!C21&gt;0,'Data Validation'!D21&gt;0,'Data Validation'!E21&gt;0)), "PLEASE REVIEW - Misalignment of truncated spending for 2022. Check Data Validation tab.", "Good")</f>
        <v>Good</v>
      </c>
      <c r="E3" s="556"/>
    </row>
    <row r="4" spans="1:5" x14ac:dyDescent="0.25">
      <c r="A4" t="s">
        <v>164</v>
      </c>
      <c r="D4" s="556"/>
      <c r="E4" s="556"/>
    </row>
    <row r="5" spans="1:5" x14ac:dyDescent="0.25">
      <c r="D5" s="556"/>
      <c r="E5" s="556"/>
    </row>
    <row r="6" spans="1:5" ht="15" customHeight="1" x14ac:dyDescent="0.25">
      <c r="B6" s="546" t="s">
        <v>165</v>
      </c>
      <c r="C6" s="546"/>
    </row>
    <row r="7" spans="1:5" ht="15" customHeight="1" x14ac:dyDescent="0.25">
      <c r="B7" s="546"/>
      <c r="C7" s="546"/>
    </row>
    <row r="8" spans="1:5" x14ac:dyDescent="0.25">
      <c r="A8" s="29"/>
      <c r="B8" s="29"/>
    </row>
    <row r="9" spans="1:5" x14ac:dyDescent="0.25">
      <c r="B9" s="146" t="s">
        <v>88</v>
      </c>
      <c r="C9" s="4" t="s">
        <v>184</v>
      </c>
      <c r="D9" s="4" t="s">
        <v>185</v>
      </c>
      <c r="E9" s="4" t="s">
        <v>186</v>
      </c>
    </row>
    <row r="10" spans="1:5" s="165" customFormat="1" ht="30" x14ac:dyDescent="0.25">
      <c r="A10" s="160" t="s">
        <v>211</v>
      </c>
      <c r="B10" s="167" t="s">
        <v>242</v>
      </c>
      <c r="C10" s="164" t="s">
        <v>212</v>
      </c>
      <c r="D10" s="164" t="s">
        <v>243</v>
      </c>
      <c r="E10" s="164" t="s">
        <v>244</v>
      </c>
    </row>
    <row r="11" spans="1:5" x14ac:dyDescent="0.25">
      <c r="A11" s="339"/>
      <c r="B11" s="270"/>
      <c r="C11" s="271"/>
      <c r="D11" s="354"/>
      <c r="E11" s="355"/>
    </row>
    <row r="12" spans="1:5" x14ac:dyDescent="0.25">
      <c r="A12" s="342"/>
      <c r="B12" s="4"/>
      <c r="C12" s="16"/>
      <c r="D12" s="356"/>
      <c r="E12" s="357"/>
    </row>
    <row r="13" spans="1:5" x14ac:dyDescent="0.25">
      <c r="A13" s="339"/>
      <c r="B13" s="270"/>
      <c r="C13" s="271"/>
      <c r="D13" s="354"/>
      <c r="E13" s="355"/>
    </row>
    <row r="14" spans="1:5" x14ac:dyDescent="0.25">
      <c r="A14" s="342"/>
      <c r="B14" s="4"/>
      <c r="C14" s="16"/>
      <c r="D14" s="356"/>
      <c r="E14" s="357"/>
    </row>
    <row r="15" spans="1:5" x14ac:dyDescent="0.25">
      <c r="A15" s="339"/>
      <c r="B15" s="270"/>
      <c r="C15" s="271"/>
      <c r="D15" s="354"/>
      <c r="E15" s="355"/>
    </row>
    <row r="16" spans="1:5" x14ac:dyDescent="0.25">
      <c r="A16" s="342"/>
      <c r="B16" s="4"/>
      <c r="C16" s="16"/>
      <c r="D16" s="356"/>
      <c r="E16" s="357"/>
    </row>
    <row r="17" spans="1:5" x14ac:dyDescent="0.25">
      <c r="A17" s="339"/>
      <c r="B17" s="270"/>
      <c r="C17" s="271"/>
      <c r="D17" s="354"/>
      <c r="E17" s="355"/>
    </row>
    <row r="18" spans="1:5" x14ac:dyDescent="0.25">
      <c r="A18" s="342"/>
      <c r="B18" s="4"/>
      <c r="C18" s="16"/>
      <c r="D18" s="356"/>
      <c r="E18" s="357"/>
    </row>
    <row r="19" spans="1:5" x14ac:dyDescent="0.25">
      <c r="A19" s="339"/>
      <c r="B19" s="270"/>
      <c r="C19" s="271"/>
      <c r="D19" s="354"/>
      <c r="E19" s="355"/>
    </row>
    <row r="20" spans="1:5" x14ac:dyDescent="0.25">
      <c r="A20" s="342"/>
      <c r="B20" s="4"/>
      <c r="C20" s="16"/>
      <c r="D20" s="356"/>
      <c r="E20" s="357"/>
    </row>
    <row r="21" spans="1:5" x14ac:dyDescent="0.25">
      <c r="A21" s="339"/>
      <c r="B21" s="270"/>
      <c r="C21" s="271"/>
      <c r="D21" s="354"/>
      <c r="E21" s="355"/>
    </row>
    <row r="22" spans="1:5" x14ac:dyDescent="0.25">
      <c r="A22" s="342"/>
      <c r="B22" s="4"/>
      <c r="C22" s="16"/>
      <c r="D22" s="356"/>
      <c r="E22" s="357"/>
    </row>
    <row r="23" spans="1:5" x14ac:dyDescent="0.25">
      <c r="A23" s="339"/>
      <c r="B23" s="270"/>
      <c r="C23" s="271"/>
      <c r="D23" s="354"/>
      <c r="E23" s="355"/>
    </row>
    <row r="24" spans="1:5" x14ac:dyDescent="0.25">
      <c r="A24" s="342"/>
      <c r="B24" s="4"/>
      <c r="C24" s="16"/>
      <c r="D24" s="356"/>
      <c r="E24" s="357"/>
    </row>
    <row r="25" spans="1:5" x14ac:dyDescent="0.25">
      <c r="A25" s="339"/>
      <c r="B25" s="270"/>
      <c r="C25" s="271"/>
      <c r="D25" s="354"/>
      <c r="E25" s="355"/>
    </row>
    <row r="26" spans="1:5" x14ac:dyDescent="0.25">
      <c r="A26" s="342"/>
      <c r="B26" s="4"/>
      <c r="C26" s="16"/>
      <c r="D26" s="356"/>
      <c r="E26" s="357"/>
    </row>
    <row r="27" spans="1:5" x14ac:dyDescent="0.25">
      <c r="A27" s="339"/>
      <c r="B27" s="270"/>
      <c r="C27" s="271"/>
      <c r="D27" s="354"/>
      <c r="E27" s="355"/>
    </row>
    <row r="28" spans="1:5" x14ac:dyDescent="0.25">
      <c r="A28" s="342"/>
      <c r="B28" s="4"/>
      <c r="C28" s="16"/>
      <c r="D28" s="356"/>
      <c r="E28" s="357"/>
    </row>
    <row r="29" spans="1:5" x14ac:dyDescent="0.25">
      <c r="A29" s="339"/>
      <c r="B29" s="270"/>
      <c r="C29" s="271"/>
      <c r="D29" s="354"/>
      <c r="E29" s="355"/>
    </row>
    <row r="30" spans="1:5" x14ac:dyDescent="0.25">
      <c r="A30" s="342"/>
      <c r="B30" s="4"/>
      <c r="C30" s="16"/>
      <c r="D30" s="356"/>
      <c r="E30" s="357"/>
    </row>
    <row r="31" spans="1:5" x14ac:dyDescent="0.25">
      <c r="A31" s="339"/>
      <c r="B31" s="270"/>
      <c r="C31" s="271"/>
      <c r="D31" s="360"/>
      <c r="E31" s="355"/>
    </row>
    <row r="32" spans="1:5" x14ac:dyDescent="0.25">
      <c r="A32" s="342"/>
      <c r="B32" s="4"/>
      <c r="C32" s="16"/>
      <c r="D32" s="361"/>
      <c r="E32" s="357"/>
    </row>
    <row r="33" spans="1:5" x14ac:dyDescent="0.25">
      <c r="A33" s="339"/>
      <c r="B33" s="270"/>
      <c r="C33" s="271"/>
      <c r="D33" s="360"/>
      <c r="E33" s="355"/>
    </row>
    <row r="34" spans="1:5" x14ac:dyDescent="0.25">
      <c r="A34" s="342"/>
      <c r="B34" s="4"/>
      <c r="C34" s="16"/>
      <c r="D34" s="361"/>
      <c r="E34" s="357"/>
    </row>
    <row r="35" spans="1:5" x14ac:dyDescent="0.25">
      <c r="A35" s="339"/>
      <c r="B35" s="270"/>
      <c r="C35" s="271"/>
      <c r="D35" s="360"/>
      <c r="E35" s="355"/>
    </row>
    <row r="36" spans="1:5" x14ac:dyDescent="0.25">
      <c r="A36" s="342"/>
      <c r="B36" s="4"/>
      <c r="C36" s="16"/>
      <c r="D36" s="361"/>
      <c r="E36" s="357"/>
    </row>
    <row r="37" spans="1:5" x14ac:dyDescent="0.25">
      <c r="A37" s="339"/>
      <c r="B37" s="270"/>
      <c r="C37" s="271"/>
      <c r="D37" s="360"/>
      <c r="E37" s="355"/>
    </row>
    <row r="38" spans="1:5" x14ac:dyDescent="0.25">
      <c r="A38" s="342"/>
      <c r="B38" s="4"/>
      <c r="C38" s="16"/>
      <c r="D38" s="361"/>
      <c r="E38" s="357"/>
    </row>
    <row r="39" spans="1:5" x14ac:dyDescent="0.25">
      <c r="A39" s="339"/>
      <c r="B39" s="270"/>
      <c r="C39" s="271"/>
      <c r="D39" s="360"/>
      <c r="E39" s="355"/>
    </row>
    <row r="40" spans="1:5" x14ac:dyDescent="0.25">
      <c r="A40" s="342"/>
      <c r="B40" s="4"/>
      <c r="C40" s="16"/>
      <c r="D40" s="361"/>
      <c r="E40" s="357"/>
    </row>
    <row r="41" spans="1:5" x14ac:dyDescent="0.25">
      <c r="A41" s="339"/>
      <c r="B41" s="270"/>
      <c r="C41" s="271"/>
      <c r="D41" s="360"/>
      <c r="E41" s="355"/>
    </row>
    <row r="42" spans="1:5" x14ac:dyDescent="0.25">
      <c r="A42" s="342"/>
      <c r="B42" s="4"/>
      <c r="C42" s="16"/>
      <c r="D42" s="361"/>
      <c r="E42" s="357"/>
    </row>
    <row r="43" spans="1:5" x14ac:dyDescent="0.25">
      <c r="A43" s="339"/>
      <c r="B43" s="270"/>
      <c r="C43" s="271"/>
      <c r="D43" s="360"/>
      <c r="E43" s="355"/>
    </row>
    <row r="44" spans="1:5" x14ac:dyDescent="0.25">
      <c r="A44" s="342"/>
      <c r="B44" s="4"/>
      <c r="C44" s="16"/>
      <c r="D44" s="361"/>
      <c r="E44" s="357"/>
    </row>
    <row r="45" spans="1:5" x14ac:dyDescent="0.25">
      <c r="A45" s="339"/>
      <c r="B45" s="270"/>
      <c r="C45" s="271"/>
      <c r="D45" s="360"/>
      <c r="E45" s="355"/>
    </row>
    <row r="46" spans="1:5" x14ac:dyDescent="0.25">
      <c r="A46" s="342"/>
      <c r="B46" s="4"/>
      <c r="C46" s="16"/>
      <c r="D46" s="361"/>
      <c r="E46" s="357"/>
    </row>
    <row r="47" spans="1:5" x14ac:dyDescent="0.25">
      <c r="A47" s="339"/>
      <c r="B47" s="270"/>
      <c r="C47" s="271"/>
      <c r="D47" s="360"/>
      <c r="E47" s="355"/>
    </row>
    <row r="48" spans="1:5" x14ac:dyDescent="0.25">
      <c r="A48" s="342"/>
      <c r="B48" s="4"/>
      <c r="C48" s="16"/>
      <c r="D48" s="361"/>
      <c r="E48" s="357"/>
    </row>
    <row r="49" spans="1:5" x14ac:dyDescent="0.25">
      <c r="A49" s="339"/>
      <c r="B49" s="270"/>
      <c r="C49" s="271"/>
      <c r="D49" s="360"/>
      <c r="E49" s="355"/>
    </row>
    <row r="50" spans="1:5" x14ac:dyDescent="0.25">
      <c r="A50" s="342"/>
      <c r="B50" s="4"/>
      <c r="C50" s="16"/>
      <c r="D50" s="361"/>
      <c r="E50" s="357"/>
    </row>
    <row r="51" spans="1:5" x14ac:dyDescent="0.25">
      <c r="A51" s="339"/>
      <c r="B51" s="270"/>
      <c r="C51" s="271"/>
      <c r="D51" s="360"/>
      <c r="E51" s="355"/>
    </row>
    <row r="52" spans="1:5" x14ac:dyDescent="0.25">
      <c r="A52" s="342"/>
      <c r="B52" s="4"/>
      <c r="C52" s="16"/>
      <c r="D52" s="361"/>
      <c r="E52" s="357"/>
    </row>
    <row r="53" spans="1:5" x14ac:dyDescent="0.25">
      <c r="A53" s="339"/>
      <c r="B53" s="270"/>
      <c r="C53" s="271"/>
      <c r="D53" s="360"/>
      <c r="E53" s="355"/>
    </row>
    <row r="54" spans="1:5" x14ac:dyDescent="0.25">
      <c r="A54" s="342"/>
      <c r="B54" s="4"/>
      <c r="C54" s="16"/>
      <c r="D54" s="361"/>
      <c r="E54" s="357"/>
    </row>
    <row r="55" spans="1:5" x14ac:dyDescent="0.25">
      <c r="A55" s="339"/>
      <c r="B55" s="270"/>
      <c r="C55" s="271"/>
      <c r="D55" s="360"/>
      <c r="E55" s="355"/>
    </row>
    <row r="56" spans="1:5" x14ac:dyDescent="0.25">
      <c r="A56" s="342"/>
      <c r="B56" s="4"/>
      <c r="C56" s="16"/>
      <c r="D56" s="361"/>
      <c r="E56" s="357"/>
    </row>
    <row r="57" spans="1:5" x14ac:dyDescent="0.25">
      <c r="A57" s="339"/>
      <c r="B57" s="270"/>
      <c r="C57" s="271"/>
      <c r="D57" s="360"/>
      <c r="E57" s="355"/>
    </row>
    <row r="58" spans="1:5" x14ac:dyDescent="0.25">
      <c r="A58" s="342"/>
      <c r="B58" s="4"/>
      <c r="C58" s="16"/>
      <c r="D58" s="361"/>
      <c r="E58" s="357"/>
    </row>
    <row r="59" spans="1:5" x14ac:dyDescent="0.25">
      <c r="A59" s="339"/>
      <c r="B59" s="270"/>
      <c r="C59" s="271"/>
      <c r="D59" s="360"/>
      <c r="E59" s="355"/>
    </row>
    <row r="60" spans="1:5" x14ac:dyDescent="0.25">
      <c r="A60" s="342"/>
      <c r="B60" s="4"/>
      <c r="C60" s="16"/>
      <c r="D60" s="361"/>
      <c r="E60" s="357"/>
    </row>
    <row r="61" spans="1:5" x14ac:dyDescent="0.25">
      <c r="A61" s="339"/>
      <c r="B61" s="270"/>
      <c r="C61" s="271"/>
      <c r="D61" s="354"/>
      <c r="E61" s="355"/>
    </row>
    <row r="62" spans="1:5" x14ac:dyDescent="0.25">
      <c r="A62" s="342"/>
      <c r="B62" s="4"/>
      <c r="C62" s="16"/>
      <c r="D62" s="356"/>
      <c r="E62" s="357"/>
    </row>
    <row r="63" spans="1:5" x14ac:dyDescent="0.25">
      <c r="A63" s="339"/>
      <c r="B63" s="270"/>
      <c r="C63" s="271"/>
      <c r="D63" s="354"/>
      <c r="E63" s="355"/>
    </row>
    <row r="64" spans="1:5" x14ac:dyDescent="0.25">
      <c r="A64" s="342"/>
      <c r="B64" s="4"/>
      <c r="C64" s="16"/>
      <c r="D64" s="356"/>
      <c r="E64" s="357"/>
    </row>
    <row r="65" spans="1:5" x14ac:dyDescent="0.25">
      <c r="A65" s="339"/>
      <c r="B65" s="270"/>
      <c r="C65" s="271"/>
      <c r="D65" s="354"/>
      <c r="E65" s="355"/>
    </row>
    <row r="66" spans="1:5" x14ac:dyDescent="0.25">
      <c r="A66" s="342"/>
      <c r="B66" s="4"/>
      <c r="C66" s="16"/>
      <c r="D66" s="356"/>
      <c r="E66" s="357"/>
    </row>
    <row r="67" spans="1:5" x14ac:dyDescent="0.25">
      <c r="A67" s="339"/>
      <c r="B67" s="270"/>
      <c r="C67" s="271"/>
      <c r="D67" s="354"/>
      <c r="E67" s="355"/>
    </row>
    <row r="68" spans="1:5" x14ac:dyDescent="0.25">
      <c r="A68" s="342"/>
      <c r="B68" s="4"/>
      <c r="C68" s="16"/>
      <c r="D68" s="356"/>
      <c r="E68" s="357"/>
    </row>
    <row r="69" spans="1:5" x14ac:dyDescent="0.25">
      <c r="A69" s="339"/>
      <c r="B69" s="270"/>
      <c r="C69" s="271"/>
      <c r="D69" s="354"/>
      <c r="E69" s="355"/>
    </row>
    <row r="70" spans="1:5" x14ac:dyDescent="0.25">
      <c r="A70" s="342"/>
      <c r="B70" s="4"/>
      <c r="C70" s="16"/>
      <c r="D70" s="356"/>
      <c r="E70" s="357"/>
    </row>
    <row r="71" spans="1:5" x14ac:dyDescent="0.25">
      <c r="A71" s="339"/>
      <c r="B71" s="270"/>
      <c r="C71" s="271"/>
      <c r="D71" s="354"/>
      <c r="E71" s="355"/>
    </row>
    <row r="72" spans="1:5" x14ac:dyDescent="0.25">
      <c r="A72" s="342"/>
      <c r="B72" s="4"/>
      <c r="C72" s="16"/>
      <c r="D72" s="356"/>
      <c r="E72" s="357"/>
    </row>
    <row r="73" spans="1:5" x14ac:dyDescent="0.25">
      <c r="A73" s="339"/>
      <c r="B73" s="270"/>
      <c r="C73" s="271"/>
      <c r="D73" s="354"/>
      <c r="E73" s="355"/>
    </row>
    <row r="74" spans="1:5" x14ac:dyDescent="0.25">
      <c r="A74" s="342"/>
      <c r="B74" s="4"/>
      <c r="C74" s="16"/>
      <c r="D74" s="356"/>
      <c r="E74" s="357"/>
    </row>
    <row r="75" spans="1:5" x14ac:dyDescent="0.25">
      <c r="A75" s="339"/>
      <c r="B75" s="270"/>
      <c r="C75" s="271"/>
      <c r="D75" s="354"/>
      <c r="E75" s="355"/>
    </row>
    <row r="76" spans="1:5" x14ac:dyDescent="0.25">
      <c r="A76" s="342"/>
      <c r="B76" s="4"/>
      <c r="C76" s="16"/>
      <c r="D76" s="356"/>
      <c r="E76" s="357"/>
    </row>
    <row r="77" spans="1:5" x14ac:dyDescent="0.25">
      <c r="A77" s="339"/>
      <c r="B77" s="270"/>
      <c r="C77" s="271"/>
      <c r="D77" s="354"/>
      <c r="E77" s="355"/>
    </row>
    <row r="78" spans="1:5" x14ac:dyDescent="0.25">
      <c r="A78" s="342"/>
      <c r="B78" s="4"/>
      <c r="C78" s="16"/>
      <c r="D78" s="356"/>
      <c r="E78" s="357"/>
    </row>
    <row r="79" spans="1:5" x14ac:dyDescent="0.25">
      <c r="A79" s="339"/>
      <c r="B79" s="270"/>
      <c r="C79" s="271"/>
      <c r="D79" s="354"/>
      <c r="E79" s="355"/>
    </row>
    <row r="80" spans="1:5" x14ac:dyDescent="0.25">
      <c r="A80" s="342"/>
      <c r="B80" s="4"/>
      <c r="C80" s="16"/>
      <c r="D80" s="356"/>
      <c r="E80" s="357"/>
    </row>
    <row r="81" spans="1:5" x14ac:dyDescent="0.25">
      <c r="A81" s="339"/>
      <c r="B81" s="270"/>
      <c r="C81" s="271"/>
      <c r="D81" s="354"/>
      <c r="E81" s="355"/>
    </row>
    <row r="82" spans="1:5" x14ac:dyDescent="0.25">
      <c r="A82" s="342"/>
      <c r="B82" s="4"/>
      <c r="C82" s="16"/>
      <c r="D82" s="356"/>
      <c r="E82" s="357"/>
    </row>
    <row r="83" spans="1:5" x14ac:dyDescent="0.25">
      <c r="A83" s="339"/>
      <c r="B83" s="270"/>
      <c r="C83" s="271"/>
      <c r="D83" s="354"/>
      <c r="E83" s="355"/>
    </row>
    <row r="84" spans="1:5" x14ac:dyDescent="0.25">
      <c r="A84" s="342"/>
      <c r="B84" s="4"/>
      <c r="C84" s="16"/>
      <c r="D84" s="356"/>
      <c r="E84" s="357"/>
    </row>
    <row r="85" spans="1:5" x14ac:dyDescent="0.25">
      <c r="A85" s="339"/>
      <c r="B85" s="270"/>
      <c r="C85" s="271"/>
      <c r="D85" s="354"/>
      <c r="E85" s="355"/>
    </row>
    <row r="86" spans="1:5" x14ac:dyDescent="0.25">
      <c r="A86" s="342"/>
      <c r="B86" s="4"/>
      <c r="C86" s="16"/>
      <c r="D86" s="356"/>
      <c r="E86" s="357"/>
    </row>
    <row r="87" spans="1:5" x14ac:dyDescent="0.25">
      <c r="A87" s="339"/>
      <c r="B87" s="270"/>
      <c r="C87" s="271"/>
      <c r="D87" s="354"/>
      <c r="E87" s="355"/>
    </row>
    <row r="88" spans="1:5" x14ac:dyDescent="0.25">
      <c r="A88" s="342"/>
      <c r="B88" s="4"/>
      <c r="C88" s="16"/>
      <c r="D88" s="356"/>
      <c r="E88" s="357"/>
    </row>
    <row r="89" spans="1:5" x14ac:dyDescent="0.25">
      <c r="A89" s="339"/>
      <c r="B89" s="270"/>
      <c r="C89" s="271"/>
      <c r="D89" s="354"/>
      <c r="E89" s="355"/>
    </row>
    <row r="90" spans="1:5" x14ac:dyDescent="0.25">
      <c r="A90" s="351"/>
      <c r="B90" s="337"/>
      <c r="C90" s="338"/>
      <c r="D90" s="358"/>
      <c r="E90" s="359"/>
    </row>
    <row r="91" spans="1:5" x14ac:dyDescent="0.25">
      <c r="A91" s="339"/>
      <c r="B91" s="270"/>
      <c r="C91" s="271"/>
      <c r="D91" s="354"/>
      <c r="E91" s="355"/>
    </row>
    <row r="92" spans="1:5" x14ac:dyDescent="0.25">
      <c r="A92" s="351"/>
      <c r="B92" s="337"/>
      <c r="C92" s="338"/>
      <c r="D92" s="358"/>
      <c r="E92" s="359"/>
    </row>
    <row r="93" spans="1:5" x14ac:dyDescent="0.25">
      <c r="A93" s="339"/>
      <c r="B93" s="270"/>
      <c r="C93" s="271"/>
      <c r="D93" s="354"/>
      <c r="E93" s="355"/>
    </row>
    <row r="94" spans="1:5" x14ac:dyDescent="0.25">
      <c r="A94" s="351"/>
      <c r="B94" s="337"/>
      <c r="C94" s="338"/>
      <c r="D94" s="358"/>
      <c r="E94" s="359"/>
    </row>
    <row r="95" spans="1:5" x14ac:dyDescent="0.25">
      <c r="A95" s="339"/>
      <c r="B95" s="270"/>
      <c r="C95" s="271"/>
      <c r="D95" s="354"/>
      <c r="E95" s="355"/>
    </row>
    <row r="96" spans="1:5" x14ac:dyDescent="0.25">
      <c r="A96" s="351"/>
      <c r="B96" s="337"/>
      <c r="C96" s="338"/>
      <c r="D96" s="358"/>
      <c r="E96" s="359"/>
    </row>
    <row r="97" spans="1:5" x14ac:dyDescent="0.25">
      <c r="A97" s="339"/>
      <c r="B97" s="270"/>
      <c r="C97" s="271"/>
      <c r="D97" s="354"/>
      <c r="E97" s="355"/>
    </row>
    <row r="98" spans="1:5" x14ac:dyDescent="0.25">
      <c r="A98" s="351"/>
      <c r="B98" s="337"/>
      <c r="C98" s="338"/>
      <c r="D98" s="358"/>
      <c r="E98" s="359"/>
    </row>
    <row r="99" spans="1:5" x14ac:dyDescent="0.25">
      <c r="A99" s="339"/>
      <c r="B99" s="270"/>
      <c r="C99" s="271"/>
      <c r="D99" s="354"/>
      <c r="E99" s="355"/>
    </row>
    <row r="100" spans="1:5" x14ac:dyDescent="0.25">
      <c r="A100" s="351"/>
      <c r="B100" s="337"/>
      <c r="C100" s="338"/>
      <c r="D100" s="358"/>
      <c r="E100" s="359"/>
    </row>
    <row r="101" spans="1:5" x14ac:dyDescent="0.25">
      <c r="A101" s="339"/>
      <c r="B101" s="270"/>
      <c r="C101" s="271"/>
      <c r="D101" s="354"/>
      <c r="E101" s="355"/>
    </row>
    <row r="102" spans="1:5" x14ac:dyDescent="0.25">
      <c r="A102" s="351"/>
      <c r="B102" s="337"/>
      <c r="C102" s="338"/>
      <c r="D102" s="358"/>
      <c r="E102" s="359"/>
    </row>
    <row r="103" spans="1:5" x14ac:dyDescent="0.25">
      <c r="A103" s="339"/>
      <c r="B103" s="270"/>
      <c r="C103" s="271"/>
      <c r="D103" s="354"/>
      <c r="E103" s="355"/>
    </row>
    <row r="104" spans="1:5" x14ac:dyDescent="0.25">
      <c r="A104" s="351"/>
      <c r="B104" s="337"/>
      <c r="C104" s="338"/>
      <c r="D104" s="358"/>
      <c r="E104" s="359"/>
    </row>
    <row r="105" spans="1:5" x14ac:dyDescent="0.25">
      <c r="A105" s="339"/>
      <c r="B105" s="270"/>
      <c r="C105" s="271"/>
      <c r="D105" s="354"/>
      <c r="E105" s="355"/>
    </row>
    <row r="106" spans="1:5" x14ac:dyDescent="0.25">
      <c r="A106" s="351"/>
      <c r="B106" s="337"/>
      <c r="C106" s="338"/>
      <c r="D106" s="358"/>
      <c r="E106" s="359"/>
    </row>
    <row r="107" spans="1:5" x14ac:dyDescent="0.25">
      <c r="A107" s="339"/>
      <c r="B107" s="270"/>
      <c r="C107" s="271"/>
      <c r="D107" s="354"/>
      <c r="E107" s="355"/>
    </row>
    <row r="108" spans="1:5" x14ac:dyDescent="0.25">
      <c r="A108" s="351"/>
      <c r="B108" s="337"/>
      <c r="C108" s="338"/>
      <c r="D108" s="358"/>
      <c r="E108" s="359"/>
    </row>
    <row r="109" spans="1:5" x14ac:dyDescent="0.25">
      <c r="A109" s="339"/>
      <c r="B109" s="270"/>
      <c r="C109" s="271"/>
      <c r="D109" s="354"/>
      <c r="E109" s="355"/>
    </row>
    <row r="110" spans="1:5" x14ac:dyDescent="0.25">
      <c r="A110" s="351"/>
      <c r="B110" s="337"/>
      <c r="C110" s="338"/>
      <c r="D110" s="358"/>
      <c r="E110" s="359"/>
    </row>
    <row r="111" spans="1:5" x14ac:dyDescent="0.25">
      <c r="A111" s="339"/>
      <c r="B111" s="270"/>
      <c r="C111" s="271"/>
      <c r="D111" s="354"/>
      <c r="E111" s="355"/>
    </row>
    <row r="112" spans="1:5" x14ac:dyDescent="0.25">
      <c r="A112" s="351"/>
      <c r="B112" s="337"/>
      <c r="C112" s="338"/>
      <c r="D112" s="358"/>
      <c r="E112" s="359"/>
    </row>
    <row r="113" spans="1:5" x14ac:dyDescent="0.25">
      <c r="A113" s="339"/>
      <c r="B113" s="270"/>
      <c r="C113" s="271"/>
      <c r="D113" s="354"/>
      <c r="E113" s="355"/>
    </row>
    <row r="114" spans="1:5" x14ac:dyDescent="0.25">
      <c r="A114" s="351"/>
      <c r="B114" s="337"/>
      <c r="C114" s="338"/>
      <c r="D114" s="358"/>
      <c r="E114" s="359"/>
    </row>
    <row r="115" spans="1:5" x14ac:dyDescent="0.25">
      <c r="A115" s="339"/>
      <c r="B115" s="270"/>
      <c r="C115" s="271"/>
      <c r="D115" s="354"/>
      <c r="E115" s="355"/>
    </row>
    <row r="116" spans="1:5" x14ac:dyDescent="0.25">
      <c r="A116" s="351"/>
      <c r="B116" s="337"/>
      <c r="C116" s="338"/>
      <c r="D116" s="358"/>
      <c r="E116" s="359"/>
    </row>
    <row r="117" spans="1:5" x14ac:dyDescent="0.25">
      <c r="A117" s="339"/>
      <c r="B117" s="270"/>
      <c r="C117" s="271"/>
      <c r="D117" s="354"/>
      <c r="E117" s="355"/>
    </row>
    <row r="118" spans="1:5" x14ac:dyDescent="0.25">
      <c r="A118" s="351"/>
      <c r="B118" s="337"/>
      <c r="C118" s="338"/>
      <c r="D118" s="358"/>
      <c r="E118" s="359"/>
    </row>
    <row r="119" spans="1:5" x14ac:dyDescent="0.25">
      <c r="A119" s="339"/>
      <c r="B119" s="270"/>
      <c r="C119" s="271"/>
      <c r="D119" s="354"/>
      <c r="E119" s="355"/>
    </row>
    <row r="120" spans="1:5" x14ac:dyDescent="0.25">
      <c r="A120" s="351"/>
      <c r="B120" s="337"/>
      <c r="C120" s="338"/>
      <c r="D120" s="358"/>
      <c r="E120" s="359"/>
    </row>
  </sheetData>
  <sheetProtection algorithmName="SHA-512" hashValue="uIzVKIn6g9dlQrSbfQEYx7nuO+wymxVLMe7GxkUi4BRYAQYj/lKnuHzcyV+NVJM+ddi9aXH98DYZNRzVSB/4Ww==" saltValue="W4n+DPBJ7gthc5xBX8MgBg==" spinCount="100000" sheet="1" insertRows="0" sort="0" autoFilter="0"/>
  <protectedRanges>
    <protectedRange sqref="A11:E120" name="Range1"/>
  </protectedRanges>
  <mergeCells count="3">
    <mergeCell ref="D3:E5"/>
    <mergeCell ref="D2:E2"/>
    <mergeCell ref="B6:C7"/>
  </mergeCells>
  <conditionalFormatting sqref="D3:E5">
    <cfRule type="notContainsText" dxfId="122" priority="1" operator="notContains" text="Good">
      <formula>ISERROR(SEARCH("Good",D3))</formula>
    </cfRule>
    <cfRule type="containsText" dxfId="121" priority="2" operator="containsText" text="Good">
      <formula>NOT(ISERROR(SEARCH("Good",D3)))</formula>
    </cfRule>
  </conditionalFormatting>
  <dataValidations xWindow="228" yWindow="654" count="4">
    <dataValidation allowBlank="1" showInputMessage="1" showErrorMessage="1" error="See Definitions tab." prompt="See Definitions tab." sqref="D11:E120" xr:uid="{FB08230F-11B1-493D-B38A-9DF4F852D2BF}"/>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FDE5FF0C-633E-4ECF-AEF1-BE1D7BEC6B1C}">
      <formula1>100</formula1>
      <formula2>999</formula2>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ED72999B-7D11-448A-95F1-0A1BF4345939}">
      <formula1>1</formula1>
      <formula2>3</formula2>
    </dataValidation>
    <dataValidation type="decimal" operator="greaterThan" allowBlank="1" showInputMessage="1" showErrorMessage="1" prompt="The number of unique members participating in a plan each month with a medical benefit, regardless of whether the member has any paid claims._x000a_" sqref="C11:C120" xr:uid="{11137EE2-1A4E-4BA1-858F-DA468A99F099}">
      <formula1>0</formula1>
    </dataValidation>
  </dataValidations>
  <hyperlinks>
    <hyperlink ref="D2:E2" location="'Data Validation'!B20" display="Check for alignment of truncated spending by market" xr:uid="{094C5F72-0F5E-48D8-9F17-6272CA1BDA13}"/>
  </hyperlinks>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83B0-593A-470A-897C-6D58A92D4F1A}">
  <sheetPr codeName="Sheet14">
    <tabColor theme="3"/>
  </sheetPr>
  <dimension ref="A1:E120"/>
  <sheetViews>
    <sheetView zoomScaleNormal="100" workbookViewId="0"/>
  </sheetViews>
  <sheetFormatPr defaultColWidth="9.140625" defaultRowHeight="15" x14ac:dyDescent="0.25"/>
  <cols>
    <col min="1" max="1" width="43.5703125" customWidth="1"/>
    <col min="2" max="2" width="25" customWidth="1"/>
    <col min="3" max="3" width="23.5703125" customWidth="1"/>
    <col min="4" max="5" width="22" customWidth="1"/>
  </cols>
  <sheetData>
    <row r="1" spans="1:5" x14ac:dyDescent="0.25">
      <c r="A1" s="1" t="s">
        <v>162</v>
      </c>
      <c r="B1" s="1"/>
    </row>
    <row r="2" spans="1:5" ht="32.1" customHeight="1" x14ac:dyDescent="0.25">
      <c r="A2" s="1" t="s">
        <v>245</v>
      </c>
      <c r="B2" s="1"/>
      <c r="D2" s="550" t="s">
        <v>241</v>
      </c>
      <c r="E2" s="550"/>
    </row>
    <row r="3" spans="1:5" x14ac:dyDescent="0.25">
      <c r="D3" s="556" t="str">
        <f>IF(AND(A11&lt;&gt;"", OR('Data Validation'!F21&gt;0,'Data Validation'!G21&gt;0,'Data Validation'!H21&gt;0)), "PLEASE REVIEW - Misalignment of truncated spending for 2023. Check Data Validation tab.", "Good")</f>
        <v>Good</v>
      </c>
      <c r="E3" s="556"/>
    </row>
    <row r="4" spans="1:5" x14ac:dyDescent="0.25">
      <c r="A4" t="s">
        <v>164</v>
      </c>
      <c r="D4" s="556"/>
      <c r="E4" s="556"/>
    </row>
    <row r="5" spans="1:5" x14ac:dyDescent="0.25">
      <c r="D5" s="556"/>
      <c r="E5" s="556"/>
    </row>
    <row r="6" spans="1:5" x14ac:dyDescent="0.25">
      <c r="B6" s="548" t="s">
        <v>177</v>
      </c>
      <c r="C6" s="548"/>
    </row>
    <row r="7" spans="1:5" x14ac:dyDescent="0.25">
      <c r="B7" s="548"/>
      <c r="C7" s="548"/>
    </row>
    <row r="9" spans="1:5" x14ac:dyDescent="0.25">
      <c r="B9" s="146" t="s">
        <v>88</v>
      </c>
      <c r="C9" s="4" t="s">
        <v>184</v>
      </c>
      <c r="D9" s="4" t="s">
        <v>185</v>
      </c>
      <c r="E9" s="4" t="s">
        <v>186</v>
      </c>
    </row>
    <row r="10" spans="1:5" s="165" customFormat="1" ht="30" x14ac:dyDescent="0.25">
      <c r="A10" s="160" t="s">
        <v>211</v>
      </c>
      <c r="B10" s="166" t="s">
        <v>242</v>
      </c>
      <c r="C10" s="164" t="s">
        <v>212</v>
      </c>
      <c r="D10" s="164" t="s">
        <v>243</v>
      </c>
      <c r="E10" s="164" t="s">
        <v>244</v>
      </c>
    </row>
    <row r="11" spans="1:5" x14ac:dyDescent="0.25">
      <c r="A11" s="339"/>
      <c r="B11" s="386"/>
      <c r="C11" s="271"/>
      <c r="D11" s="354"/>
      <c r="E11" s="355"/>
    </row>
    <row r="12" spans="1:5" x14ac:dyDescent="0.25">
      <c r="A12" s="342"/>
      <c r="B12" s="9"/>
      <c r="C12" s="16"/>
      <c r="D12" s="356"/>
      <c r="E12" s="357"/>
    </row>
    <row r="13" spans="1:5" x14ac:dyDescent="0.25">
      <c r="A13" s="339"/>
      <c r="B13" s="386"/>
      <c r="C13" s="271"/>
      <c r="D13" s="354"/>
      <c r="E13" s="355"/>
    </row>
    <row r="14" spans="1:5" x14ac:dyDescent="0.25">
      <c r="A14" s="342"/>
      <c r="B14" s="9"/>
      <c r="C14" s="16"/>
      <c r="D14" s="356"/>
      <c r="E14" s="357"/>
    </row>
    <row r="15" spans="1:5" x14ac:dyDescent="0.25">
      <c r="A15" s="339"/>
      <c r="B15" s="386"/>
      <c r="C15" s="271"/>
      <c r="D15" s="354"/>
      <c r="E15" s="355"/>
    </row>
    <row r="16" spans="1:5" x14ac:dyDescent="0.25">
      <c r="A16" s="342"/>
      <c r="B16" s="9"/>
      <c r="C16" s="16"/>
      <c r="D16" s="356"/>
      <c r="E16" s="357"/>
    </row>
    <row r="17" spans="1:5" x14ac:dyDescent="0.25">
      <c r="A17" s="339"/>
      <c r="B17" s="386"/>
      <c r="C17" s="271"/>
      <c r="D17" s="354"/>
      <c r="E17" s="355"/>
    </row>
    <row r="18" spans="1:5" x14ac:dyDescent="0.25">
      <c r="A18" s="342"/>
      <c r="B18" s="9"/>
      <c r="C18" s="16"/>
      <c r="D18" s="356"/>
      <c r="E18" s="357"/>
    </row>
    <row r="19" spans="1:5" x14ac:dyDescent="0.25">
      <c r="A19" s="339"/>
      <c r="B19" s="386"/>
      <c r="C19" s="271"/>
      <c r="D19" s="354"/>
      <c r="E19" s="355"/>
    </row>
    <row r="20" spans="1:5" x14ac:dyDescent="0.25">
      <c r="A20" s="342"/>
      <c r="B20" s="9"/>
      <c r="C20" s="16"/>
      <c r="D20" s="356"/>
      <c r="E20" s="357"/>
    </row>
    <row r="21" spans="1:5" x14ac:dyDescent="0.25">
      <c r="A21" s="339"/>
      <c r="B21" s="386"/>
      <c r="C21" s="271"/>
      <c r="D21" s="354"/>
      <c r="E21" s="355"/>
    </row>
    <row r="22" spans="1:5" x14ac:dyDescent="0.25">
      <c r="A22" s="342"/>
      <c r="B22" s="9"/>
      <c r="C22" s="16"/>
      <c r="D22" s="356"/>
      <c r="E22" s="357"/>
    </row>
    <row r="23" spans="1:5" x14ac:dyDescent="0.25">
      <c r="A23" s="339"/>
      <c r="B23" s="386"/>
      <c r="C23" s="271"/>
      <c r="D23" s="354"/>
      <c r="E23" s="355"/>
    </row>
    <row r="24" spans="1:5" x14ac:dyDescent="0.25">
      <c r="A24" s="342"/>
      <c r="B24" s="9"/>
      <c r="C24" s="16"/>
      <c r="D24" s="356"/>
      <c r="E24" s="357"/>
    </row>
    <row r="25" spans="1:5" x14ac:dyDescent="0.25">
      <c r="A25" s="339"/>
      <c r="B25" s="386"/>
      <c r="C25" s="271"/>
      <c r="D25" s="354"/>
      <c r="E25" s="355"/>
    </row>
    <row r="26" spans="1:5" x14ac:dyDescent="0.25">
      <c r="A26" s="342"/>
      <c r="B26" s="9"/>
      <c r="C26" s="16"/>
      <c r="D26" s="356"/>
      <c r="E26" s="357"/>
    </row>
    <row r="27" spans="1:5" x14ac:dyDescent="0.25">
      <c r="A27" s="339"/>
      <c r="B27" s="386"/>
      <c r="C27" s="271"/>
      <c r="D27" s="354"/>
      <c r="E27" s="355"/>
    </row>
    <row r="28" spans="1:5" x14ac:dyDescent="0.25">
      <c r="A28" s="342"/>
      <c r="B28" s="9"/>
      <c r="C28" s="16"/>
      <c r="D28" s="356"/>
      <c r="E28" s="357"/>
    </row>
    <row r="29" spans="1:5" x14ac:dyDescent="0.25">
      <c r="A29" s="339"/>
      <c r="B29" s="386"/>
      <c r="C29" s="271"/>
      <c r="D29" s="354"/>
      <c r="E29" s="355"/>
    </row>
    <row r="30" spans="1:5" x14ac:dyDescent="0.25">
      <c r="A30" s="342"/>
      <c r="B30" s="9"/>
      <c r="C30" s="16"/>
      <c r="D30" s="356"/>
      <c r="E30" s="357"/>
    </row>
    <row r="31" spans="1:5" x14ac:dyDescent="0.25">
      <c r="A31" s="339"/>
      <c r="B31" s="386"/>
      <c r="C31" s="271"/>
      <c r="D31" s="360"/>
      <c r="E31" s="355"/>
    </row>
    <row r="32" spans="1:5" x14ac:dyDescent="0.25">
      <c r="A32" s="342"/>
      <c r="B32" s="9"/>
      <c r="C32" s="16"/>
      <c r="D32" s="361"/>
      <c r="E32" s="357"/>
    </row>
    <row r="33" spans="1:5" x14ac:dyDescent="0.25">
      <c r="A33" s="339"/>
      <c r="B33" s="386"/>
      <c r="C33" s="271"/>
      <c r="D33" s="360"/>
      <c r="E33" s="355"/>
    </row>
    <row r="34" spans="1:5" x14ac:dyDescent="0.25">
      <c r="A34" s="342"/>
      <c r="B34" s="9"/>
      <c r="C34" s="16"/>
      <c r="D34" s="361"/>
      <c r="E34" s="357"/>
    </row>
    <row r="35" spans="1:5" x14ac:dyDescent="0.25">
      <c r="A35" s="339"/>
      <c r="B35" s="386"/>
      <c r="C35" s="271"/>
      <c r="D35" s="360"/>
      <c r="E35" s="355"/>
    </row>
    <row r="36" spans="1:5" x14ac:dyDescent="0.25">
      <c r="A36" s="342"/>
      <c r="B36" s="9"/>
      <c r="C36" s="16"/>
      <c r="D36" s="361"/>
      <c r="E36" s="357"/>
    </row>
    <row r="37" spans="1:5" x14ac:dyDescent="0.25">
      <c r="A37" s="339"/>
      <c r="B37" s="386"/>
      <c r="C37" s="271"/>
      <c r="D37" s="360"/>
      <c r="E37" s="355"/>
    </row>
    <row r="38" spans="1:5" x14ac:dyDescent="0.25">
      <c r="A38" s="342"/>
      <c r="B38" s="9"/>
      <c r="C38" s="16"/>
      <c r="D38" s="361"/>
      <c r="E38" s="357"/>
    </row>
    <row r="39" spans="1:5" x14ac:dyDescent="0.25">
      <c r="A39" s="339"/>
      <c r="B39" s="386"/>
      <c r="C39" s="271"/>
      <c r="D39" s="360"/>
      <c r="E39" s="355"/>
    </row>
    <row r="40" spans="1:5" x14ac:dyDescent="0.25">
      <c r="A40" s="342"/>
      <c r="B40" s="9"/>
      <c r="C40" s="16"/>
      <c r="D40" s="361"/>
      <c r="E40" s="357"/>
    </row>
    <row r="41" spans="1:5" x14ac:dyDescent="0.25">
      <c r="A41" s="339"/>
      <c r="B41" s="386"/>
      <c r="C41" s="271"/>
      <c r="D41" s="360"/>
      <c r="E41" s="355"/>
    </row>
    <row r="42" spans="1:5" x14ac:dyDescent="0.25">
      <c r="A42" s="342"/>
      <c r="B42" s="9"/>
      <c r="C42" s="16"/>
      <c r="D42" s="361"/>
      <c r="E42" s="357"/>
    </row>
    <row r="43" spans="1:5" x14ac:dyDescent="0.25">
      <c r="A43" s="339"/>
      <c r="B43" s="386"/>
      <c r="C43" s="271"/>
      <c r="D43" s="360"/>
      <c r="E43" s="355"/>
    </row>
    <row r="44" spans="1:5" x14ac:dyDescent="0.25">
      <c r="A44" s="342"/>
      <c r="B44" s="9"/>
      <c r="C44" s="16"/>
      <c r="D44" s="361"/>
      <c r="E44" s="357"/>
    </row>
    <row r="45" spans="1:5" x14ac:dyDescent="0.25">
      <c r="A45" s="339"/>
      <c r="B45" s="386"/>
      <c r="C45" s="271"/>
      <c r="D45" s="360"/>
      <c r="E45" s="355"/>
    </row>
    <row r="46" spans="1:5" x14ac:dyDescent="0.25">
      <c r="A46" s="342"/>
      <c r="B46" s="9"/>
      <c r="C46" s="16"/>
      <c r="D46" s="361"/>
      <c r="E46" s="357"/>
    </row>
    <row r="47" spans="1:5" x14ac:dyDescent="0.25">
      <c r="A47" s="339"/>
      <c r="B47" s="386"/>
      <c r="C47" s="271"/>
      <c r="D47" s="360"/>
      <c r="E47" s="355"/>
    </row>
    <row r="48" spans="1:5" x14ac:dyDescent="0.25">
      <c r="A48" s="342"/>
      <c r="B48" s="9"/>
      <c r="C48" s="16"/>
      <c r="D48" s="361"/>
      <c r="E48" s="357"/>
    </row>
    <row r="49" spans="1:5" x14ac:dyDescent="0.25">
      <c r="A49" s="339"/>
      <c r="B49" s="386"/>
      <c r="C49" s="271"/>
      <c r="D49" s="360"/>
      <c r="E49" s="355"/>
    </row>
    <row r="50" spans="1:5" x14ac:dyDescent="0.25">
      <c r="A50" s="342"/>
      <c r="B50" s="9"/>
      <c r="C50" s="16"/>
      <c r="D50" s="361"/>
      <c r="E50" s="357"/>
    </row>
    <row r="51" spans="1:5" x14ac:dyDescent="0.25">
      <c r="A51" s="339"/>
      <c r="B51" s="386"/>
      <c r="C51" s="271"/>
      <c r="D51" s="360"/>
      <c r="E51" s="355"/>
    </row>
    <row r="52" spans="1:5" x14ac:dyDescent="0.25">
      <c r="A52" s="342"/>
      <c r="B52" s="9"/>
      <c r="C52" s="16"/>
      <c r="D52" s="361"/>
      <c r="E52" s="357"/>
    </row>
    <row r="53" spans="1:5" x14ac:dyDescent="0.25">
      <c r="A53" s="339"/>
      <c r="B53" s="386"/>
      <c r="C53" s="271"/>
      <c r="D53" s="360"/>
      <c r="E53" s="355"/>
    </row>
    <row r="54" spans="1:5" x14ac:dyDescent="0.25">
      <c r="A54" s="342"/>
      <c r="B54" s="9"/>
      <c r="C54" s="16"/>
      <c r="D54" s="361"/>
      <c r="E54" s="357"/>
    </row>
    <row r="55" spans="1:5" x14ac:dyDescent="0.25">
      <c r="A55" s="339"/>
      <c r="B55" s="386"/>
      <c r="C55" s="271"/>
      <c r="D55" s="360"/>
      <c r="E55" s="355"/>
    </row>
    <row r="56" spans="1:5" x14ac:dyDescent="0.25">
      <c r="A56" s="342"/>
      <c r="B56" s="9"/>
      <c r="C56" s="16"/>
      <c r="D56" s="361"/>
      <c r="E56" s="357"/>
    </row>
    <row r="57" spans="1:5" x14ac:dyDescent="0.25">
      <c r="A57" s="339"/>
      <c r="B57" s="386"/>
      <c r="C57" s="271"/>
      <c r="D57" s="360"/>
      <c r="E57" s="355"/>
    </row>
    <row r="58" spans="1:5" x14ac:dyDescent="0.25">
      <c r="A58" s="342"/>
      <c r="B58" s="9"/>
      <c r="C58" s="16"/>
      <c r="D58" s="361"/>
      <c r="E58" s="357"/>
    </row>
    <row r="59" spans="1:5" x14ac:dyDescent="0.25">
      <c r="A59" s="339"/>
      <c r="B59" s="386"/>
      <c r="C59" s="271"/>
      <c r="D59" s="360"/>
      <c r="E59" s="355"/>
    </row>
    <row r="60" spans="1:5" x14ac:dyDescent="0.25">
      <c r="A60" s="342"/>
      <c r="B60" s="9"/>
      <c r="C60" s="16"/>
      <c r="D60" s="361"/>
      <c r="E60" s="357"/>
    </row>
    <row r="61" spans="1:5" x14ac:dyDescent="0.25">
      <c r="A61" s="339"/>
      <c r="B61" s="386"/>
      <c r="C61" s="271"/>
      <c r="D61" s="354"/>
      <c r="E61" s="355"/>
    </row>
    <row r="62" spans="1:5" x14ac:dyDescent="0.25">
      <c r="A62" s="342"/>
      <c r="B62" s="9"/>
      <c r="C62" s="16"/>
      <c r="D62" s="356"/>
      <c r="E62" s="357"/>
    </row>
    <row r="63" spans="1:5" x14ac:dyDescent="0.25">
      <c r="A63" s="339"/>
      <c r="B63" s="386"/>
      <c r="C63" s="271"/>
      <c r="D63" s="354"/>
      <c r="E63" s="355"/>
    </row>
    <row r="64" spans="1:5" x14ac:dyDescent="0.25">
      <c r="A64" s="342"/>
      <c r="B64" s="9"/>
      <c r="C64" s="16"/>
      <c r="D64" s="356"/>
      <c r="E64" s="357"/>
    </row>
    <row r="65" spans="1:5" x14ac:dyDescent="0.25">
      <c r="A65" s="339"/>
      <c r="B65" s="386"/>
      <c r="C65" s="271"/>
      <c r="D65" s="354"/>
      <c r="E65" s="355"/>
    </row>
    <row r="66" spans="1:5" x14ac:dyDescent="0.25">
      <c r="A66" s="342"/>
      <c r="B66" s="9"/>
      <c r="C66" s="16"/>
      <c r="D66" s="356"/>
      <c r="E66" s="357"/>
    </row>
    <row r="67" spans="1:5" x14ac:dyDescent="0.25">
      <c r="A67" s="339"/>
      <c r="B67" s="386"/>
      <c r="C67" s="271"/>
      <c r="D67" s="354"/>
      <c r="E67" s="355"/>
    </row>
    <row r="68" spans="1:5" x14ac:dyDescent="0.25">
      <c r="A68" s="342"/>
      <c r="B68" s="9"/>
      <c r="C68" s="16"/>
      <c r="D68" s="356"/>
      <c r="E68" s="357"/>
    </row>
    <row r="69" spans="1:5" x14ac:dyDescent="0.25">
      <c r="A69" s="339"/>
      <c r="B69" s="386"/>
      <c r="C69" s="271"/>
      <c r="D69" s="354"/>
      <c r="E69" s="355"/>
    </row>
    <row r="70" spans="1:5" x14ac:dyDescent="0.25">
      <c r="A70" s="342"/>
      <c r="B70" s="9"/>
      <c r="C70" s="16"/>
      <c r="D70" s="356"/>
      <c r="E70" s="357"/>
    </row>
    <row r="71" spans="1:5" x14ac:dyDescent="0.25">
      <c r="A71" s="339"/>
      <c r="B71" s="386"/>
      <c r="C71" s="271"/>
      <c r="D71" s="354"/>
      <c r="E71" s="355"/>
    </row>
    <row r="72" spans="1:5" x14ac:dyDescent="0.25">
      <c r="A72" s="342"/>
      <c r="B72" s="4"/>
      <c r="C72" s="16"/>
      <c r="D72" s="356"/>
      <c r="E72" s="357"/>
    </row>
    <row r="73" spans="1:5" x14ac:dyDescent="0.25">
      <c r="A73" s="339"/>
      <c r="B73" s="270"/>
      <c r="C73" s="271"/>
      <c r="D73" s="354"/>
      <c r="E73" s="355"/>
    </row>
    <row r="74" spans="1:5" x14ac:dyDescent="0.25">
      <c r="A74" s="342"/>
      <c r="B74" s="4"/>
      <c r="C74" s="16"/>
      <c r="D74" s="356"/>
      <c r="E74" s="357"/>
    </row>
    <row r="75" spans="1:5" x14ac:dyDescent="0.25">
      <c r="A75" s="339"/>
      <c r="B75" s="270"/>
      <c r="C75" s="271"/>
      <c r="D75" s="354"/>
      <c r="E75" s="355"/>
    </row>
    <row r="76" spans="1:5" x14ac:dyDescent="0.25">
      <c r="A76" s="342"/>
      <c r="B76" s="4"/>
      <c r="C76" s="16"/>
      <c r="D76" s="356"/>
      <c r="E76" s="357"/>
    </row>
    <row r="77" spans="1:5" x14ac:dyDescent="0.25">
      <c r="A77" s="339"/>
      <c r="B77" s="270"/>
      <c r="C77" s="271"/>
      <c r="D77" s="354"/>
      <c r="E77" s="355"/>
    </row>
    <row r="78" spans="1:5" x14ac:dyDescent="0.25">
      <c r="A78" s="342"/>
      <c r="B78" s="4"/>
      <c r="C78" s="16"/>
      <c r="D78" s="356"/>
      <c r="E78" s="357"/>
    </row>
    <row r="79" spans="1:5" x14ac:dyDescent="0.25">
      <c r="A79" s="339"/>
      <c r="B79" s="270"/>
      <c r="C79" s="271"/>
      <c r="D79" s="354"/>
      <c r="E79" s="355"/>
    </row>
    <row r="80" spans="1:5" x14ac:dyDescent="0.25">
      <c r="A80" s="342"/>
      <c r="B80" s="4"/>
      <c r="C80" s="16"/>
      <c r="D80" s="356"/>
      <c r="E80" s="357"/>
    </row>
    <row r="81" spans="1:5" x14ac:dyDescent="0.25">
      <c r="A81" s="339"/>
      <c r="B81" s="270"/>
      <c r="C81" s="271"/>
      <c r="D81" s="354"/>
      <c r="E81" s="355"/>
    </row>
    <row r="82" spans="1:5" x14ac:dyDescent="0.25">
      <c r="A82" s="342"/>
      <c r="B82" s="4"/>
      <c r="C82" s="16"/>
      <c r="D82" s="356"/>
      <c r="E82" s="357"/>
    </row>
    <row r="83" spans="1:5" x14ac:dyDescent="0.25">
      <c r="A83" s="339"/>
      <c r="B83" s="270"/>
      <c r="C83" s="271"/>
      <c r="D83" s="354"/>
      <c r="E83" s="355"/>
    </row>
    <row r="84" spans="1:5" x14ac:dyDescent="0.25">
      <c r="A84" s="342"/>
      <c r="B84" s="4"/>
      <c r="C84" s="16"/>
      <c r="D84" s="356"/>
      <c r="E84" s="357"/>
    </row>
    <row r="85" spans="1:5" x14ac:dyDescent="0.25">
      <c r="A85" s="339"/>
      <c r="B85" s="270"/>
      <c r="C85" s="271"/>
      <c r="D85" s="354"/>
      <c r="E85" s="355"/>
    </row>
    <row r="86" spans="1:5" x14ac:dyDescent="0.25">
      <c r="A86" s="342"/>
      <c r="B86" s="4"/>
      <c r="C86" s="16"/>
      <c r="D86" s="356"/>
      <c r="E86" s="357"/>
    </row>
    <row r="87" spans="1:5" x14ac:dyDescent="0.25">
      <c r="A87" s="339"/>
      <c r="B87" s="270"/>
      <c r="C87" s="271"/>
      <c r="D87" s="354"/>
      <c r="E87" s="355"/>
    </row>
    <row r="88" spans="1:5" x14ac:dyDescent="0.25">
      <c r="A88" s="342"/>
      <c r="B88" s="4"/>
      <c r="C88" s="16"/>
      <c r="D88" s="356"/>
      <c r="E88" s="357"/>
    </row>
    <row r="89" spans="1:5" x14ac:dyDescent="0.25">
      <c r="A89" s="339"/>
      <c r="B89" s="270"/>
      <c r="C89" s="271"/>
      <c r="D89" s="354"/>
      <c r="E89" s="355"/>
    </row>
    <row r="90" spans="1:5" x14ac:dyDescent="0.25">
      <c r="A90" s="351"/>
      <c r="B90" s="4"/>
      <c r="C90" s="338"/>
      <c r="D90" s="358"/>
      <c r="E90" s="359"/>
    </row>
    <row r="91" spans="1:5" x14ac:dyDescent="0.25">
      <c r="A91" s="339"/>
      <c r="B91" s="270"/>
      <c r="C91" s="271"/>
      <c r="D91" s="354"/>
      <c r="E91" s="355"/>
    </row>
    <row r="92" spans="1:5" x14ac:dyDescent="0.25">
      <c r="A92" s="351"/>
      <c r="B92" s="4"/>
      <c r="C92" s="338"/>
      <c r="D92" s="358"/>
      <c r="E92" s="359"/>
    </row>
    <row r="93" spans="1:5" x14ac:dyDescent="0.25">
      <c r="A93" s="339"/>
      <c r="B93" s="270"/>
      <c r="C93" s="271"/>
      <c r="D93" s="354"/>
      <c r="E93" s="355"/>
    </row>
    <row r="94" spans="1:5" x14ac:dyDescent="0.25">
      <c r="A94" s="351"/>
      <c r="B94" s="4"/>
      <c r="C94" s="338"/>
      <c r="D94" s="358"/>
      <c r="E94" s="359"/>
    </row>
    <row r="95" spans="1:5" x14ac:dyDescent="0.25">
      <c r="A95" s="339"/>
      <c r="B95" s="270"/>
      <c r="C95" s="271"/>
      <c r="D95" s="354"/>
      <c r="E95" s="355"/>
    </row>
    <row r="96" spans="1:5" x14ac:dyDescent="0.25">
      <c r="A96" s="351"/>
      <c r="B96" s="4"/>
      <c r="C96" s="338"/>
      <c r="D96" s="358"/>
      <c r="E96" s="359"/>
    </row>
    <row r="97" spans="1:5" x14ac:dyDescent="0.25">
      <c r="A97" s="339"/>
      <c r="B97" s="270"/>
      <c r="C97" s="271"/>
      <c r="D97" s="354"/>
      <c r="E97" s="355"/>
    </row>
    <row r="98" spans="1:5" x14ac:dyDescent="0.25">
      <c r="A98" s="351"/>
      <c r="B98" s="4"/>
      <c r="C98" s="338"/>
      <c r="D98" s="358"/>
      <c r="E98" s="359"/>
    </row>
    <row r="99" spans="1:5" x14ac:dyDescent="0.25">
      <c r="A99" s="339"/>
      <c r="B99" s="270"/>
      <c r="C99" s="271"/>
      <c r="D99" s="354"/>
      <c r="E99" s="355"/>
    </row>
    <row r="100" spans="1:5" x14ac:dyDescent="0.25">
      <c r="A100" s="351"/>
      <c r="B100" s="4"/>
      <c r="C100" s="338"/>
      <c r="D100" s="358"/>
      <c r="E100" s="359"/>
    </row>
    <row r="101" spans="1:5" x14ac:dyDescent="0.25">
      <c r="A101" s="339"/>
      <c r="B101" s="270"/>
      <c r="C101" s="271"/>
      <c r="D101" s="354"/>
      <c r="E101" s="355"/>
    </row>
    <row r="102" spans="1:5" x14ac:dyDescent="0.25">
      <c r="A102" s="351"/>
      <c r="B102" s="4"/>
      <c r="C102" s="338"/>
      <c r="D102" s="358"/>
      <c r="E102" s="359"/>
    </row>
    <row r="103" spans="1:5" x14ac:dyDescent="0.25">
      <c r="A103" s="339"/>
      <c r="B103" s="270"/>
      <c r="C103" s="271"/>
      <c r="D103" s="354"/>
      <c r="E103" s="355"/>
    </row>
    <row r="104" spans="1:5" x14ac:dyDescent="0.25">
      <c r="A104" s="351"/>
      <c r="B104" s="4"/>
      <c r="C104" s="338"/>
      <c r="D104" s="358"/>
      <c r="E104" s="359"/>
    </row>
    <row r="105" spans="1:5" x14ac:dyDescent="0.25">
      <c r="A105" s="339"/>
      <c r="B105" s="270"/>
      <c r="C105" s="271"/>
      <c r="D105" s="354"/>
      <c r="E105" s="355"/>
    </row>
    <row r="106" spans="1:5" x14ac:dyDescent="0.25">
      <c r="A106" s="351"/>
      <c r="B106" s="4"/>
      <c r="C106" s="338"/>
      <c r="D106" s="358"/>
      <c r="E106" s="359"/>
    </row>
    <row r="107" spans="1:5" x14ac:dyDescent="0.25">
      <c r="A107" s="339"/>
      <c r="B107" s="270"/>
      <c r="C107" s="271"/>
      <c r="D107" s="354"/>
      <c r="E107" s="355"/>
    </row>
    <row r="108" spans="1:5" x14ac:dyDescent="0.25">
      <c r="A108" s="351"/>
      <c r="B108" s="4"/>
      <c r="C108" s="338"/>
      <c r="D108" s="358"/>
      <c r="E108" s="359"/>
    </row>
    <row r="109" spans="1:5" x14ac:dyDescent="0.25">
      <c r="A109" s="339"/>
      <c r="B109" s="270"/>
      <c r="C109" s="271"/>
      <c r="D109" s="354"/>
      <c r="E109" s="355"/>
    </row>
    <row r="110" spans="1:5" x14ac:dyDescent="0.25">
      <c r="A110" s="351"/>
      <c r="B110" s="4"/>
      <c r="C110" s="338"/>
      <c r="D110" s="358"/>
      <c r="E110" s="359"/>
    </row>
    <row r="111" spans="1:5" x14ac:dyDescent="0.25">
      <c r="A111" s="339"/>
      <c r="B111" s="270"/>
      <c r="C111" s="271"/>
      <c r="D111" s="354"/>
      <c r="E111" s="355"/>
    </row>
    <row r="112" spans="1:5" x14ac:dyDescent="0.25">
      <c r="A112" s="351"/>
      <c r="B112" s="4"/>
      <c r="C112" s="338"/>
      <c r="D112" s="358"/>
      <c r="E112" s="359"/>
    </row>
    <row r="113" spans="1:5" x14ac:dyDescent="0.25">
      <c r="A113" s="339"/>
      <c r="B113" s="270"/>
      <c r="C113" s="271"/>
      <c r="D113" s="354"/>
      <c r="E113" s="355"/>
    </row>
    <row r="114" spans="1:5" x14ac:dyDescent="0.25">
      <c r="A114" s="351"/>
      <c r="B114" s="4"/>
      <c r="C114" s="338"/>
      <c r="D114" s="358"/>
      <c r="E114" s="359"/>
    </row>
    <row r="115" spans="1:5" x14ac:dyDescent="0.25">
      <c r="A115" s="339"/>
      <c r="B115" s="270"/>
      <c r="C115" s="271"/>
      <c r="D115" s="354"/>
      <c r="E115" s="355"/>
    </row>
    <row r="116" spans="1:5" x14ac:dyDescent="0.25">
      <c r="A116" s="351"/>
      <c r="B116" s="4"/>
      <c r="C116" s="338"/>
      <c r="D116" s="358"/>
      <c r="E116" s="359"/>
    </row>
    <row r="117" spans="1:5" x14ac:dyDescent="0.25">
      <c r="A117" s="339"/>
      <c r="B117" s="270"/>
      <c r="C117" s="271"/>
      <c r="D117" s="354"/>
      <c r="E117" s="355"/>
    </row>
    <row r="118" spans="1:5" x14ac:dyDescent="0.25">
      <c r="A118" s="351"/>
      <c r="B118" s="4"/>
      <c r="C118" s="338"/>
      <c r="D118" s="358"/>
      <c r="E118" s="359"/>
    </row>
    <row r="119" spans="1:5" x14ac:dyDescent="0.25">
      <c r="A119" s="339"/>
      <c r="B119" s="270"/>
      <c r="C119" s="271"/>
      <c r="D119" s="354"/>
      <c r="E119" s="355"/>
    </row>
    <row r="120" spans="1:5" x14ac:dyDescent="0.25">
      <c r="A120" s="351"/>
      <c r="B120" s="4"/>
      <c r="C120" s="338"/>
      <c r="D120" s="358"/>
      <c r="E120" s="359"/>
    </row>
  </sheetData>
  <sheetProtection algorithmName="SHA-512" hashValue="/iZKvX1YTxgv4p9alWFBBXBypTu1GGTCQeS68B9pdphIW5tTxDG1ZihV0QmC2JCO2ObWLf9LZf9CJyYvfZyrog==" saltValue="Of70I7zSTTbw9hHI7yP5uw==" spinCount="100000" sheet="1" insertRows="0" sort="0" autoFilter="0"/>
  <protectedRanges>
    <protectedRange sqref="A11:E120" name="Range1"/>
  </protectedRanges>
  <mergeCells count="3">
    <mergeCell ref="D2:E2"/>
    <mergeCell ref="D3:E5"/>
    <mergeCell ref="B6:C7"/>
  </mergeCells>
  <conditionalFormatting sqref="D3:E5">
    <cfRule type="notContainsText" dxfId="120" priority="1" operator="notContains" text="Good">
      <formula>ISERROR(SEARCH("Good",D3))</formula>
    </cfRule>
    <cfRule type="containsText" dxfId="119" priority="2" operator="containsText" text="Good">
      <formula>NOT(ISERROR(SEARCH("Good",D3)))</formula>
    </cfRule>
  </conditionalFormatting>
  <dataValidations count="4">
    <dataValidation allowBlank="1" showInputMessage="1" showErrorMessage="1" error="See Definitions tab." prompt="See Definitions tab." sqref="D11:E120" xr:uid="{6E605E1B-9AAE-4DE2-8034-3CF258E7CE38}"/>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7B6B9ED2-2DA1-4054-AA05-02AA8B3C905D}">
      <formula1>100</formula1>
      <formula2>999</formula2>
    </dataValidation>
    <dataValidation type="decimal" operator="greaterThan" allowBlank="1" showInputMessage="1" showErrorMessage="1" error="See Definitions tab." prompt="The number of unique members participating in a plan each month with a medical benefit, regardless of whether the member has any paid claims._x000a_" sqref="C11:C120" xr:uid="{6AFA3A47-B6A8-444A-B166-0083CFC05436}">
      <formula1>0</formula1>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024097E8-1264-4790-A79B-A637EF7B9F8D}">
      <formula1>1</formula1>
      <formula2>3</formula2>
    </dataValidation>
  </dataValidations>
  <hyperlinks>
    <hyperlink ref="D2:E2" location="'Data Validation'!B4:B20" display="Check for alignment of truncated spending by market" xr:uid="{74089D6C-5963-41C6-830A-B1AD6888A4AD}"/>
  </hyperlinks>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1404-4EB6-45F8-8DDF-29D044AFAF37}">
  <sheetPr codeName="Sheet15">
    <tabColor theme="4"/>
  </sheetPr>
  <dimension ref="A1:J2010"/>
  <sheetViews>
    <sheetView zoomScaleNormal="100" workbookViewId="0">
      <selection activeCell="A11" sqref="A11"/>
    </sheetView>
  </sheetViews>
  <sheetFormatPr defaultRowHeight="15" x14ac:dyDescent="0.25"/>
  <cols>
    <col min="1" max="1" width="25.5703125" customWidth="1"/>
    <col min="2" max="9" width="28.5703125" customWidth="1"/>
    <col min="10" max="10" width="29.5703125" customWidth="1"/>
  </cols>
  <sheetData>
    <row r="1" spans="1:10" x14ac:dyDescent="0.25">
      <c r="A1" s="1" t="s">
        <v>162</v>
      </c>
    </row>
    <row r="2" spans="1:10" x14ac:dyDescent="0.25">
      <c r="A2" s="1" t="s">
        <v>246</v>
      </c>
    </row>
    <row r="3" spans="1:10" ht="15" customHeight="1" x14ac:dyDescent="0.25">
      <c r="C3" s="546" t="s">
        <v>165</v>
      </c>
      <c r="D3" s="546"/>
    </row>
    <row r="4" spans="1:10" ht="15" customHeight="1" x14ac:dyDescent="0.25">
      <c r="A4" t="s">
        <v>164</v>
      </c>
      <c r="C4" s="546"/>
      <c r="D4" s="546"/>
    </row>
    <row r="5" spans="1:10" x14ac:dyDescent="0.25">
      <c r="A5" s="158"/>
    </row>
    <row r="9" spans="1:10" x14ac:dyDescent="0.25">
      <c r="C9" s="4" t="s">
        <v>184</v>
      </c>
      <c r="D9" s="4" t="s">
        <v>185</v>
      </c>
      <c r="E9" s="4" t="s">
        <v>186</v>
      </c>
      <c r="F9" s="4" t="s">
        <v>187</v>
      </c>
      <c r="G9" s="4" t="s">
        <v>188</v>
      </c>
      <c r="H9" s="4" t="s">
        <v>189</v>
      </c>
      <c r="I9" s="4" t="s">
        <v>190</v>
      </c>
      <c r="J9" s="4" t="s">
        <v>191</v>
      </c>
    </row>
    <row r="10" spans="1:10" ht="60" x14ac:dyDescent="0.25">
      <c r="A10" s="160" t="s">
        <v>247</v>
      </c>
      <c r="B10" s="161" t="s">
        <v>80</v>
      </c>
      <c r="C10" s="161" t="s">
        <v>102</v>
      </c>
      <c r="D10" s="161" t="s">
        <v>154</v>
      </c>
      <c r="E10" s="161" t="s">
        <v>156</v>
      </c>
      <c r="F10" s="161" t="s">
        <v>157</v>
      </c>
      <c r="G10" s="161" t="s">
        <v>158</v>
      </c>
      <c r="H10" s="161" t="s">
        <v>159</v>
      </c>
      <c r="I10" s="161" t="s">
        <v>248</v>
      </c>
      <c r="J10" s="381" t="s">
        <v>249</v>
      </c>
    </row>
    <row r="11" spans="1:10" x14ac:dyDescent="0.25">
      <c r="A11" s="339"/>
      <c r="B11" s="270"/>
      <c r="C11" s="271"/>
      <c r="D11" s="456"/>
      <c r="E11" s="362"/>
      <c r="F11" s="272"/>
      <c r="G11" s="460"/>
      <c r="H11" s="272"/>
      <c r="I11" s="399"/>
      <c r="J11" s="241" t="b">
        <f>Age_Sex_BY[[#This Row],[Total Spending After Applying Truncation at the Member Level]]+Age_Sex_BY[[#This Row],[Total Dollars Excluded from Spending After Applying Truncation at the Member Level]]=Age_Sex_BY[[#This Row],[Total Spending before Truncation is Applied]]</f>
        <v>1</v>
      </c>
    </row>
    <row r="12" spans="1:10" x14ac:dyDescent="0.25">
      <c r="A12" s="342"/>
      <c r="B12" s="4"/>
      <c r="C12" s="16"/>
      <c r="D12" s="457"/>
      <c r="E12" s="363"/>
      <c r="F12" s="273"/>
      <c r="G12" s="226"/>
      <c r="H12" s="273"/>
      <c r="I12" s="400"/>
      <c r="J12" s="241" t="b">
        <f>Age_Sex_BY[[#This Row],[Total Spending After Applying Truncation at the Member Level]]+Age_Sex_BY[[#This Row],[Total Dollars Excluded from Spending After Applying Truncation at the Member Level]]=Age_Sex_BY[[#This Row],[Total Spending before Truncation is Applied]]</f>
        <v>1</v>
      </c>
    </row>
    <row r="13" spans="1:10" x14ac:dyDescent="0.25">
      <c r="A13" s="339"/>
      <c r="B13" s="270"/>
      <c r="C13" s="271"/>
      <c r="D13" s="456"/>
      <c r="E13" s="362"/>
      <c r="F13" s="272"/>
      <c r="G13" s="460"/>
      <c r="H13" s="272"/>
      <c r="I13" s="399"/>
      <c r="J13" s="241" t="b">
        <f>Age_Sex_BY[[#This Row],[Total Spending After Applying Truncation at the Member Level]]+Age_Sex_BY[[#This Row],[Total Dollars Excluded from Spending After Applying Truncation at the Member Level]]=Age_Sex_BY[[#This Row],[Total Spending before Truncation is Applied]]</f>
        <v>1</v>
      </c>
    </row>
    <row r="14" spans="1:10" x14ac:dyDescent="0.25">
      <c r="A14" s="342"/>
      <c r="B14" s="4"/>
      <c r="C14" s="16"/>
      <c r="D14" s="457"/>
      <c r="E14" s="363"/>
      <c r="F14" s="273"/>
      <c r="G14" s="226"/>
      <c r="H14" s="273"/>
      <c r="I14" s="400"/>
      <c r="J14" s="241" t="b">
        <f>Age_Sex_BY[[#This Row],[Total Spending After Applying Truncation at the Member Level]]+Age_Sex_BY[[#This Row],[Total Dollars Excluded from Spending After Applying Truncation at the Member Level]]=Age_Sex_BY[[#This Row],[Total Spending before Truncation is Applied]]</f>
        <v>1</v>
      </c>
    </row>
    <row r="15" spans="1:10" x14ac:dyDescent="0.25">
      <c r="A15" s="339"/>
      <c r="B15" s="270"/>
      <c r="C15" s="271"/>
      <c r="D15" s="456"/>
      <c r="E15" s="362"/>
      <c r="F15" s="272"/>
      <c r="G15" s="460"/>
      <c r="H15" s="272"/>
      <c r="I15" s="399"/>
      <c r="J15" s="241" t="b">
        <f>Age_Sex_BY[[#This Row],[Total Spending After Applying Truncation at the Member Level]]+Age_Sex_BY[[#This Row],[Total Dollars Excluded from Spending After Applying Truncation at the Member Level]]=Age_Sex_BY[[#This Row],[Total Spending before Truncation is Applied]]</f>
        <v>1</v>
      </c>
    </row>
    <row r="16" spans="1:10" x14ac:dyDescent="0.25">
      <c r="A16" s="342"/>
      <c r="B16" s="4"/>
      <c r="C16" s="16"/>
      <c r="D16" s="457"/>
      <c r="E16" s="363"/>
      <c r="F16" s="273"/>
      <c r="G16" s="226"/>
      <c r="H16" s="273"/>
      <c r="I16" s="400"/>
      <c r="J16" s="241" t="b">
        <f>Age_Sex_BY[[#This Row],[Total Spending After Applying Truncation at the Member Level]]+Age_Sex_BY[[#This Row],[Total Dollars Excluded from Spending After Applying Truncation at the Member Level]]=Age_Sex_BY[[#This Row],[Total Spending before Truncation is Applied]]</f>
        <v>1</v>
      </c>
    </row>
    <row r="17" spans="1:10" x14ac:dyDescent="0.25">
      <c r="A17" s="339"/>
      <c r="B17" s="270"/>
      <c r="C17" s="271"/>
      <c r="D17" s="456"/>
      <c r="E17" s="362"/>
      <c r="F17" s="272"/>
      <c r="G17" s="460"/>
      <c r="H17" s="272"/>
      <c r="I17" s="399"/>
      <c r="J17" s="241" t="b">
        <f>Age_Sex_BY[[#This Row],[Total Spending After Applying Truncation at the Member Level]]+Age_Sex_BY[[#This Row],[Total Dollars Excluded from Spending After Applying Truncation at the Member Level]]=Age_Sex_BY[[#This Row],[Total Spending before Truncation is Applied]]</f>
        <v>1</v>
      </c>
    </row>
    <row r="18" spans="1:10" x14ac:dyDescent="0.25">
      <c r="A18" s="342"/>
      <c r="B18" s="4"/>
      <c r="C18" s="16"/>
      <c r="D18" s="457"/>
      <c r="E18" s="363"/>
      <c r="F18" s="273"/>
      <c r="G18" s="226"/>
      <c r="H18" s="273"/>
      <c r="I18" s="400"/>
      <c r="J18" s="241" t="b">
        <f>Age_Sex_BY[[#This Row],[Total Spending After Applying Truncation at the Member Level]]+Age_Sex_BY[[#This Row],[Total Dollars Excluded from Spending After Applying Truncation at the Member Level]]=Age_Sex_BY[[#This Row],[Total Spending before Truncation is Applied]]</f>
        <v>1</v>
      </c>
    </row>
    <row r="19" spans="1:10" x14ac:dyDescent="0.25">
      <c r="A19" s="339"/>
      <c r="B19" s="270"/>
      <c r="C19" s="271"/>
      <c r="D19" s="456"/>
      <c r="E19" s="362"/>
      <c r="F19" s="272"/>
      <c r="G19" s="460"/>
      <c r="H19" s="272"/>
      <c r="I19" s="399"/>
      <c r="J19" s="241" t="b">
        <f>Age_Sex_BY[[#This Row],[Total Spending After Applying Truncation at the Member Level]]+Age_Sex_BY[[#This Row],[Total Dollars Excluded from Spending After Applying Truncation at the Member Level]]=Age_Sex_BY[[#This Row],[Total Spending before Truncation is Applied]]</f>
        <v>1</v>
      </c>
    </row>
    <row r="20" spans="1:10" x14ac:dyDescent="0.25">
      <c r="A20" s="342"/>
      <c r="B20" s="4"/>
      <c r="C20" s="16"/>
      <c r="D20" s="457"/>
      <c r="E20" s="363"/>
      <c r="F20" s="273"/>
      <c r="G20" s="226"/>
      <c r="H20" s="273"/>
      <c r="I20" s="400"/>
      <c r="J20" s="241" t="b">
        <f>Age_Sex_BY[[#This Row],[Total Spending After Applying Truncation at the Member Level]]+Age_Sex_BY[[#This Row],[Total Dollars Excluded from Spending After Applying Truncation at the Member Level]]=Age_Sex_BY[[#This Row],[Total Spending before Truncation is Applied]]</f>
        <v>1</v>
      </c>
    </row>
    <row r="21" spans="1:10" x14ac:dyDescent="0.25">
      <c r="A21" s="339"/>
      <c r="B21" s="270"/>
      <c r="C21" s="271"/>
      <c r="D21" s="456"/>
      <c r="E21" s="362"/>
      <c r="F21" s="272"/>
      <c r="G21" s="460"/>
      <c r="H21" s="272"/>
      <c r="I21" s="399"/>
      <c r="J21" s="241" t="b">
        <f>Age_Sex_BY[[#This Row],[Total Spending After Applying Truncation at the Member Level]]+Age_Sex_BY[[#This Row],[Total Dollars Excluded from Spending After Applying Truncation at the Member Level]]=Age_Sex_BY[[#This Row],[Total Spending before Truncation is Applied]]</f>
        <v>1</v>
      </c>
    </row>
    <row r="22" spans="1:10" x14ac:dyDescent="0.25">
      <c r="A22" s="342"/>
      <c r="B22" s="4"/>
      <c r="C22" s="16"/>
      <c r="D22" s="457"/>
      <c r="E22" s="363"/>
      <c r="F22" s="273"/>
      <c r="G22" s="226"/>
      <c r="H22" s="273"/>
      <c r="I22" s="400"/>
      <c r="J22" s="241" t="b">
        <f>Age_Sex_BY[[#This Row],[Total Spending After Applying Truncation at the Member Level]]+Age_Sex_BY[[#This Row],[Total Dollars Excluded from Spending After Applying Truncation at the Member Level]]=Age_Sex_BY[[#This Row],[Total Spending before Truncation is Applied]]</f>
        <v>1</v>
      </c>
    </row>
    <row r="23" spans="1:10" x14ac:dyDescent="0.25">
      <c r="A23" s="339"/>
      <c r="B23" s="270"/>
      <c r="C23" s="271"/>
      <c r="D23" s="456"/>
      <c r="E23" s="362"/>
      <c r="F23" s="272"/>
      <c r="G23" s="460"/>
      <c r="H23" s="272"/>
      <c r="I23" s="399"/>
      <c r="J23" s="241" t="b">
        <f>Age_Sex_BY[[#This Row],[Total Spending After Applying Truncation at the Member Level]]+Age_Sex_BY[[#This Row],[Total Dollars Excluded from Spending After Applying Truncation at the Member Level]]=Age_Sex_BY[[#This Row],[Total Spending before Truncation is Applied]]</f>
        <v>1</v>
      </c>
    </row>
    <row r="24" spans="1:10" x14ac:dyDescent="0.25">
      <c r="A24" s="342"/>
      <c r="B24" s="4"/>
      <c r="C24" s="16"/>
      <c r="D24" s="457"/>
      <c r="E24" s="363"/>
      <c r="F24" s="273"/>
      <c r="G24" s="226"/>
      <c r="H24" s="273"/>
      <c r="I24" s="400"/>
      <c r="J24" s="241" t="b">
        <f>Age_Sex_BY[[#This Row],[Total Spending After Applying Truncation at the Member Level]]+Age_Sex_BY[[#This Row],[Total Dollars Excluded from Spending After Applying Truncation at the Member Level]]=Age_Sex_BY[[#This Row],[Total Spending before Truncation is Applied]]</f>
        <v>1</v>
      </c>
    </row>
    <row r="25" spans="1:10" x14ac:dyDescent="0.25">
      <c r="A25" s="339"/>
      <c r="B25" s="270"/>
      <c r="C25" s="271"/>
      <c r="D25" s="456"/>
      <c r="E25" s="362"/>
      <c r="F25" s="272"/>
      <c r="G25" s="460"/>
      <c r="H25" s="272"/>
      <c r="I25" s="399"/>
      <c r="J25" s="241" t="b">
        <f>Age_Sex_BY[[#This Row],[Total Spending After Applying Truncation at the Member Level]]+Age_Sex_BY[[#This Row],[Total Dollars Excluded from Spending After Applying Truncation at the Member Level]]=Age_Sex_BY[[#This Row],[Total Spending before Truncation is Applied]]</f>
        <v>1</v>
      </c>
    </row>
    <row r="26" spans="1:10" x14ac:dyDescent="0.25">
      <c r="A26" s="342"/>
      <c r="B26" s="4"/>
      <c r="C26" s="16"/>
      <c r="D26" s="457"/>
      <c r="E26" s="363"/>
      <c r="F26" s="273"/>
      <c r="G26" s="226"/>
      <c r="H26" s="273"/>
      <c r="I26" s="400"/>
      <c r="J26" s="241" t="b">
        <f>Age_Sex_BY[[#This Row],[Total Spending After Applying Truncation at the Member Level]]+Age_Sex_BY[[#This Row],[Total Dollars Excluded from Spending After Applying Truncation at the Member Level]]=Age_Sex_BY[[#This Row],[Total Spending before Truncation is Applied]]</f>
        <v>1</v>
      </c>
    </row>
    <row r="27" spans="1:10" x14ac:dyDescent="0.25">
      <c r="A27" s="339"/>
      <c r="B27" s="270"/>
      <c r="C27" s="271"/>
      <c r="D27" s="456"/>
      <c r="E27" s="362"/>
      <c r="F27" s="272"/>
      <c r="G27" s="460"/>
      <c r="H27" s="272"/>
      <c r="I27" s="399"/>
      <c r="J27" s="241" t="b">
        <f>Age_Sex_BY[[#This Row],[Total Spending After Applying Truncation at the Member Level]]+Age_Sex_BY[[#This Row],[Total Dollars Excluded from Spending After Applying Truncation at the Member Level]]=Age_Sex_BY[[#This Row],[Total Spending before Truncation is Applied]]</f>
        <v>1</v>
      </c>
    </row>
    <row r="28" spans="1:10" x14ac:dyDescent="0.25">
      <c r="A28" s="342"/>
      <c r="B28" s="4"/>
      <c r="C28" s="16"/>
      <c r="D28" s="457"/>
      <c r="E28" s="363"/>
      <c r="F28" s="273"/>
      <c r="G28" s="226"/>
      <c r="H28" s="273"/>
      <c r="I28" s="400"/>
      <c r="J28" s="241" t="b">
        <f>Age_Sex_BY[[#This Row],[Total Spending After Applying Truncation at the Member Level]]+Age_Sex_BY[[#This Row],[Total Dollars Excluded from Spending After Applying Truncation at the Member Level]]=Age_Sex_BY[[#This Row],[Total Spending before Truncation is Applied]]</f>
        <v>1</v>
      </c>
    </row>
    <row r="29" spans="1:10" x14ac:dyDescent="0.25">
      <c r="A29" s="339"/>
      <c r="B29" s="270"/>
      <c r="C29" s="271"/>
      <c r="D29" s="456"/>
      <c r="E29" s="362"/>
      <c r="F29" s="272"/>
      <c r="G29" s="460"/>
      <c r="H29" s="272"/>
      <c r="I29" s="399"/>
      <c r="J29" s="241" t="b">
        <f>Age_Sex_BY[[#This Row],[Total Spending After Applying Truncation at the Member Level]]+Age_Sex_BY[[#This Row],[Total Dollars Excluded from Spending After Applying Truncation at the Member Level]]=Age_Sex_BY[[#This Row],[Total Spending before Truncation is Applied]]</f>
        <v>1</v>
      </c>
    </row>
    <row r="30" spans="1:10" x14ac:dyDescent="0.25">
      <c r="A30" s="342"/>
      <c r="B30" s="4"/>
      <c r="C30" s="16"/>
      <c r="D30" s="457"/>
      <c r="E30" s="363"/>
      <c r="F30" s="273"/>
      <c r="G30" s="226"/>
      <c r="H30" s="273"/>
      <c r="I30" s="400"/>
      <c r="J30" s="241" t="b">
        <f>Age_Sex_BY[[#This Row],[Total Spending After Applying Truncation at the Member Level]]+Age_Sex_BY[[#This Row],[Total Dollars Excluded from Spending After Applying Truncation at the Member Level]]=Age_Sex_BY[[#This Row],[Total Spending before Truncation is Applied]]</f>
        <v>1</v>
      </c>
    </row>
    <row r="31" spans="1:10" x14ac:dyDescent="0.25">
      <c r="A31" s="339"/>
      <c r="B31" s="270"/>
      <c r="C31" s="271"/>
      <c r="D31" s="456"/>
      <c r="E31" s="362"/>
      <c r="F31" s="272"/>
      <c r="G31" s="460"/>
      <c r="H31" s="272"/>
      <c r="I31" s="399"/>
      <c r="J31" s="241" t="b">
        <f>Age_Sex_BY[[#This Row],[Total Spending After Applying Truncation at the Member Level]]+Age_Sex_BY[[#This Row],[Total Dollars Excluded from Spending After Applying Truncation at the Member Level]]=Age_Sex_BY[[#This Row],[Total Spending before Truncation is Applied]]</f>
        <v>1</v>
      </c>
    </row>
    <row r="32" spans="1:10" x14ac:dyDescent="0.25">
      <c r="A32" s="342"/>
      <c r="B32" s="4"/>
      <c r="C32" s="16"/>
      <c r="D32" s="457"/>
      <c r="E32" s="363"/>
      <c r="F32" s="273"/>
      <c r="G32" s="226"/>
      <c r="H32" s="273"/>
      <c r="I32" s="400"/>
      <c r="J32" s="241" t="b">
        <f>Age_Sex_BY[[#This Row],[Total Spending After Applying Truncation at the Member Level]]+Age_Sex_BY[[#This Row],[Total Dollars Excluded from Spending After Applying Truncation at the Member Level]]=Age_Sex_BY[[#This Row],[Total Spending before Truncation is Applied]]</f>
        <v>1</v>
      </c>
    </row>
    <row r="33" spans="1:10" x14ac:dyDescent="0.25">
      <c r="A33" s="339"/>
      <c r="B33" s="270"/>
      <c r="C33" s="271"/>
      <c r="D33" s="456"/>
      <c r="E33" s="362"/>
      <c r="F33" s="272"/>
      <c r="G33" s="460"/>
      <c r="H33" s="272"/>
      <c r="I33" s="399"/>
      <c r="J33" s="241" t="b">
        <f>Age_Sex_BY[[#This Row],[Total Spending After Applying Truncation at the Member Level]]+Age_Sex_BY[[#This Row],[Total Dollars Excluded from Spending After Applying Truncation at the Member Level]]=Age_Sex_BY[[#This Row],[Total Spending before Truncation is Applied]]</f>
        <v>1</v>
      </c>
    </row>
    <row r="34" spans="1:10" x14ac:dyDescent="0.25">
      <c r="A34" s="342"/>
      <c r="B34" s="4"/>
      <c r="C34" s="16"/>
      <c r="D34" s="457"/>
      <c r="E34" s="363"/>
      <c r="F34" s="273"/>
      <c r="G34" s="226"/>
      <c r="H34" s="273"/>
      <c r="I34" s="400"/>
      <c r="J34" s="241" t="b">
        <f>Age_Sex_BY[[#This Row],[Total Spending After Applying Truncation at the Member Level]]+Age_Sex_BY[[#This Row],[Total Dollars Excluded from Spending After Applying Truncation at the Member Level]]=Age_Sex_BY[[#This Row],[Total Spending before Truncation is Applied]]</f>
        <v>1</v>
      </c>
    </row>
    <row r="35" spans="1:10" x14ac:dyDescent="0.25">
      <c r="A35" s="339"/>
      <c r="B35" s="270"/>
      <c r="C35" s="271"/>
      <c r="D35" s="456"/>
      <c r="E35" s="362"/>
      <c r="F35" s="272"/>
      <c r="G35" s="460"/>
      <c r="H35" s="272"/>
      <c r="I35" s="399"/>
      <c r="J35" s="241" t="b">
        <f>Age_Sex_BY[[#This Row],[Total Spending After Applying Truncation at the Member Level]]+Age_Sex_BY[[#This Row],[Total Dollars Excluded from Spending After Applying Truncation at the Member Level]]=Age_Sex_BY[[#This Row],[Total Spending before Truncation is Applied]]</f>
        <v>1</v>
      </c>
    </row>
    <row r="36" spans="1:10" x14ac:dyDescent="0.25">
      <c r="A36" s="342"/>
      <c r="B36" s="4"/>
      <c r="C36" s="16"/>
      <c r="D36" s="457"/>
      <c r="E36" s="363"/>
      <c r="F36" s="273"/>
      <c r="G36" s="226"/>
      <c r="H36" s="273"/>
      <c r="I36" s="400"/>
      <c r="J36" s="241" t="b">
        <f>Age_Sex_BY[[#This Row],[Total Spending After Applying Truncation at the Member Level]]+Age_Sex_BY[[#This Row],[Total Dollars Excluded from Spending After Applying Truncation at the Member Level]]=Age_Sex_BY[[#This Row],[Total Spending before Truncation is Applied]]</f>
        <v>1</v>
      </c>
    </row>
    <row r="37" spans="1:10" x14ac:dyDescent="0.25">
      <c r="A37" s="339"/>
      <c r="B37" s="270"/>
      <c r="C37" s="271"/>
      <c r="D37" s="456"/>
      <c r="E37" s="362"/>
      <c r="F37" s="272"/>
      <c r="G37" s="460"/>
      <c r="H37" s="272"/>
      <c r="I37" s="399"/>
      <c r="J37" s="241" t="b">
        <f>Age_Sex_BY[[#This Row],[Total Spending After Applying Truncation at the Member Level]]+Age_Sex_BY[[#This Row],[Total Dollars Excluded from Spending After Applying Truncation at the Member Level]]=Age_Sex_BY[[#This Row],[Total Spending before Truncation is Applied]]</f>
        <v>1</v>
      </c>
    </row>
    <row r="38" spans="1:10" x14ac:dyDescent="0.25">
      <c r="A38" s="342"/>
      <c r="B38" s="4"/>
      <c r="C38" s="16"/>
      <c r="D38" s="457"/>
      <c r="E38" s="363"/>
      <c r="F38" s="273"/>
      <c r="G38" s="226"/>
      <c r="H38" s="273"/>
      <c r="I38" s="400"/>
      <c r="J38" s="241" t="b">
        <f>Age_Sex_BY[[#This Row],[Total Spending After Applying Truncation at the Member Level]]+Age_Sex_BY[[#This Row],[Total Dollars Excluded from Spending After Applying Truncation at the Member Level]]=Age_Sex_BY[[#This Row],[Total Spending before Truncation is Applied]]</f>
        <v>1</v>
      </c>
    </row>
    <row r="39" spans="1:10" x14ac:dyDescent="0.25">
      <c r="A39" s="339"/>
      <c r="B39" s="270"/>
      <c r="C39" s="271"/>
      <c r="D39" s="456"/>
      <c r="E39" s="362"/>
      <c r="F39" s="272"/>
      <c r="G39" s="460"/>
      <c r="H39" s="272"/>
      <c r="I39" s="399"/>
      <c r="J39" s="241" t="b">
        <f>Age_Sex_BY[[#This Row],[Total Spending After Applying Truncation at the Member Level]]+Age_Sex_BY[[#This Row],[Total Dollars Excluded from Spending After Applying Truncation at the Member Level]]=Age_Sex_BY[[#This Row],[Total Spending before Truncation is Applied]]</f>
        <v>1</v>
      </c>
    </row>
    <row r="40" spans="1:10" x14ac:dyDescent="0.25">
      <c r="A40" s="342"/>
      <c r="B40" s="4"/>
      <c r="C40" s="16"/>
      <c r="D40" s="457"/>
      <c r="E40" s="363"/>
      <c r="F40" s="273"/>
      <c r="G40" s="226"/>
      <c r="H40" s="273"/>
      <c r="I40" s="400"/>
      <c r="J40" s="241" t="b">
        <f>Age_Sex_BY[[#This Row],[Total Spending After Applying Truncation at the Member Level]]+Age_Sex_BY[[#This Row],[Total Dollars Excluded from Spending After Applying Truncation at the Member Level]]=Age_Sex_BY[[#This Row],[Total Spending before Truncation is Applied]]</f>
        <v>1</v>
      </c>
    </row>
    <row r="41" spans="1:10" x14ac:dyDescent="0.25">
      <c r="A41" s="339"/>
      <c r="B41" s="270"/>
      <c r="C41" s="271"/>
      <c r="D41" s="456"/>
      <c r="E41" s="362"/>
      <c r="F41" s="272"/>
      <c r="G41" s="460"/>
      <c r="H41" s="272"/>
      <c r="I41" s="399"/>
      <c r="J41" s="241" t="b">
        <f>Age_Sex_BY[[#This Row],[Total Spending After Applying Truncation at the Member Level]]+Age_Sex_BY[[#This Row],[Total Dollars Excluded from Spending After Applying Truncation at the Member Level]]=Age_Sex_BY[[#This Row],[Total Spending before Truncation is Applied]]</f>
        <v>1</v>
      </c>
    </row>
    <row r="42" spans="1:10" x14ac:dyDescent="0.25">
      <c r="A42" s="342"/>
      <c r="B42" s="4"/>
      <c r="C42" s="16"/>
      <c r="D42" s="457"/>
      <c r="E42" s="363"/>
      <c r="F42" s="273"/>
      <c r="G42" s="226"/>
      <c r="H42" s="273"/>
      <c r="I42" s="400"/>
      <c r="J42" s="241" t="b">
        <f>Age_Sex_BY[[#This Row],[Total Spending After Applying Truncation at the Member Level]]+Age_Sex_BY[[#This Row],[Total Dollars Excluded from Spending After Applying Truncation at the Member Level]]=Age_Sex_BY[[#This Row],[Total Spending before Truncation is Applied]]</f>
        <v>1</v>
      </c>
    </row>
    <row r="43" spans="1:10" x14ac:dyDescent="0.25">
      <c r="A43" s="339"/>
      <c r="B43" s="270"/>
      <c r="C43" s="271"/>
      <c r="D43" s="456"/>
      <c r="E43" s="362"/>
      <c r="F43" s="272"/>
      <c r="G43" s="460"/>
      <c r="H43" s="272"/>
      <c r="I43" s="399"/>
      <c r="J43" s="241" t="b">
        <f>Age_Sex_BY[[#This Row],[Total Spending After Applying Truncation at the Member Level]]+Age_Sex_BY[[#This Row],[Total Dollars Excluded from Spending After Applying Truncation at the Member Level]]=Age_Sex_BY[[#This Row],[Total Spending before Truncation is Applied]]</f>
        <v>1</v>
      </c>
    </row>
    <row r="44" spans="1:10" x14ac:dyDescent="0.25">
      <c r="A44" s="342"/>
      <c r="B44" s="4"/>
      <c r="C44" s="16"/>
      <c r="D44" s="457"/>
      <c r="E44" s="363"/>
      <c r="F44" s="273"/>
      <c r="G44" s="226"/>
      <c r="H44" s="273"/>
      <c r="I44" s="400"/>
      <c r="J44" s="241" t="b">
        <f>Age_Sex_BY[[#This Row],[Total Spending After Applying Truncation at the Member Level]]+Age_Sex_BY[[#This Row],[Total Dollars Excluded from Spending After Applying Truncation at the Member Level]]=Age_Sex_BY[[#This Row],[Total Spending before Truncation is Applied]]</f>
        <v>1</v>
      </c>
    </row>
    <row r="45" spans="1:10" x14ac:dyDescent="0.25">
      <c r="A45" s="339"/>
      <c r="B45" s="270"/>
      <c r="C45" s="271"/>
      <c r="D45" s="456"/>
      <c r="E45" s="362"/>
      <c r="F45" s="272"/>
      <c r="G45" s="460"/>
      <c r="H45" s="272"/>
      <c r="I45" s="399"/>
      <c r="J45" s="241" t="b">
        <f>Age_Sex_BY[[#This Row],[Total Spending After Applying Truncation at the Member Level]]+Age_Sex_BY[[#This Row],[Total Dollars Excluded from Spending After Applying Truncation at the Member Level]]=Age_Sex_BY[[#This Row],[Total Spending before Truncation is Applied]]</f>
        <v>1</v>
      </c>
    </row>
    <row r="46" spans="1:10" x14ac:dyDescent="0.25">
      <c r="A46" s="342"/>
      <c r="B46" s="4"/>
      <c r="C46" s="16"/>
      <c r="D46" s="457"/>
      <c r="E46" s="363"/>
      <c r="F46" s="273"/>
      <c r="G46" s="226"/>
      <c r="H46" s="273"/>
      <c r="I46" s="400"/>
      <c r="J46" s="241" t="b">
        <f>Age_Sex_BY[[#This Row],[Total Spending After Applying Truncation at the Member Level]]+Age_Sex_BY[[#This Row],[Total Dollars Excluded from Spending After Applying Truncation at the Member Level]]=Age_Sex_BY[[#This Row],[Total Spending before Truncation is Applied]]</f>
        <v>1</v>
      </c>
    </row>
    <row r="47" spans="1:10" x14ac:dyDescent="0.25">
      <c r="A47" s="339"/>
      <c r="B47" s="270"/>
      <c r="C47" s="271"/>
      <c r="D47" s="456"/>
      <c r="E47" s="362"/>
      <c r="F47" s="272"/>
      <c r="G47" s="460"/>
      <c r="H47" s="272"/>
      <c r="I47" s="399"/>
      <c r="J47" s="241" t="b">
        <f>Age_Sex_BY[[#This Row],[Total Spending After Applying Truncation at the Member Level]]+Age_Sex_BY[[#This Row],[Total Dollars Excluded from Spending After Applying Truncation at the Member Level]]=Age_Sex_BY[[#This Row],[Total Spending before Truncation is Applied]]</f>
        <v>1</v>
      </c>
    </row>
    <row r="48" spans="1:10" x14ac:dyDescent="0.25">
      <c r="A48" s="342"/>
      <c r="B48" s="4"/>
      <c r="C48" s="16"/>
      <c r="D48" s="457"/>
      <c r="E48" s="363"/>
      <c r="F48" s="273"/>
      <c r="G48" s="226"/>
      <c r="H48" s="273"/>
      <c r="I48" s="400"/>
      <c r="J48" s="241" t="b">
        <f>Age_Sex_BY[[#This Row],[Total Spending After Applying Truncation at the Member Level]]+Age_Sex_BY[[#This Row],[Total Dollars Excluded from Spending After Applying Truncation at the Member Level]]=Age_Sex_BY[[#This Row],[Total Spending before Truncation is Applied]]</f>
        <v>1</v>
      </c>
    </row>
    <row r="49" spans="1:10" x14ac:dyDescent="0.25">
      <c r="A49" s="339"/>
      <c r="B49" s="270"/>
      <c r="C49" s="271"/>
      <c r="D49" s="456"/>
      <c r="E49" s="362"/>
      <c r="F49" s="272"/>
      <c r="G49" s="460"/>
      <c r="H49" s="272"/>
      <c r="I49" s="399"/>
      <c r="J49" s="241" t="b">
        <f>Age_Sex_BY[[#This Row],[Total Spending After Applying Truncation at the Member Level]]+Age_Sex_BY[[#This Row],[Total Dollars Excluded from Spending After Applying Truncation at the Member Level]]=Age_Sex_BY[[#This Row],[Total Spending before Truncation is Applied]]</f>
        <v>1</v>
      </c>
    </row>
    <row r="50" spans="1:10" x14ac:dyDescent="0.25">
      <c r="A50" s="342"/>
      <c r="B50" s="4"/>
      <c r="C50" s="16"/>
      <c r="D50" s="457"/>
      <c r="E50" s="363"/>
      <c r="F50" s="273"/>
      <c r="G50" s="226"/>
      <c r="H50" s="273"/>
      <c r="I50" s="400"/>
      <c r="J50" s="241" t="b">
        <f>Age_Sex_BY[[#This Row],[Total Spending After Applying Truncation at the Member Level]]+Age_Sex_BY[[#This Row],[Total Dollars Excluded from Spending After Applying Truncation at the Member Level]]=Age_Sex_BY[[#This Row],[Total Spending before Truncation is Applied]]</f>
        <v>1</v>
      </c>
    </row>
    <row r="51" spans="1:10" x14ac:dyDescent="0.25">
      <c r="A51" s="339"/>
      <c r="B51" s="270"/>
      <c r="C51" s="271"/>
      <c r="D51" s="456"/>
      <c r="E51" s="362"/>
      <c r="F51" s="272"/>
      <c r="G51" s="460"/>
      <c r="H51" s="272"/>
      <c r="I51" s="399"/>
      <c r="J51" s="241" t="b">
        <f>Age_Sex_BY[[#This Row],[Total Spending After Applying Truncation at the Member Level]]+Age_Sex_BY[[#This Row],[Total Dollars Excluded from Spending After Applying Truncation at the Member Level]]=Age_Sex_BY[[#This Row],[Total Spending before Truncation is Applied]]</f>
        <v>1</v>
      </c>
    </row>
    <row r="52" spans="1:10" x14ac:dyDescent="0.25">
      <c r="A52" s="342"/>
      <c r="B52" s="4"/>
      <c r="C52" s="16"/>
      <c r="D52" s="457"/>
      <c r="E52" s="363"/>
      <c r="F52" s="273"/>
      <c r="G52" s="226"/>
      <c r="H52" s="273"/>
      <c r="I52" s="400"/>
      <c r="J52" s="241" t="b">
        <f>Age_Sex_BY[[#This Row],[Total Spending After Applying Truncation at the Member Level]]+Age_Sex_BY[[#This Row],[Total Dollars Excluded from Spending After Applying Truncation at the Member Level]]=Age_Sex_BY[[#This Row],[Total Spending before Truncation is Applied]]</f>
        <v>1</v>
      </c>
    </row>
    <row r="53" spans="1:10" x14ac:dyDescent="0.25">
      <c r="A53" s="339"/>
      <c r="B53" s="270"/>
      <c r="C53" s="271"/>
      <c r="D53" s="456"/>
      <c r="E53" s="362"/>
      <c r="F53" s="272"/>
      <c r="G53" s="460"/>
      <c r="H53" s="272"/>
      <c r="I53" s="399"/>
      <c r="J53" s="241" t="b">
        <f>Age_Sex_BY[[#This Row],[Total Spending After Applying Truncation at the Member Level]]+Age_Sex_BY[[#This Row],[Total Dollars Excluded from Spending After Applying Truncation at the Member Level]]=Age_Sex_BY[[#This Row],[Total Spending before Truncation is Applied]]</f>
        <v>1</v>
      </c>
    </row>
    <row r="54" spans="1:10" x14ac:dyDescent="0.25">
      <c r="A54" s="342"/>
      <c r="B54" s="4"/>
      <c r="C54" s="16"/>
      <c r="D54" s="457"/>
      <c r="E54" s="363"/>
      <c r="F54" s="273"/>
      <c r="G54" s="226"/>
      <c r="H54" s="273"/>
      <c r="I54" s="400"/>
      <c r="J54" s="241" t="b">
        <f>Age_Sex_BY[[#This Row],[Total Spending After Applying Truncation at the Member Level]]+Age_Sex_BY[[#This Row],[Total Dollars Excluded from Spending After Applying Truncation at the Member Level]]=Age_Sex_BY[[#This Row],[Total Spending before Truncation is Applied]]</f>
        <v>1</v>
      </c>
    </row>
    <row r="55" spans="1:10" x14ac:dyDescent="0.25">
      <c r="A55" s="339"/>
      <c r="B55" s="270"/>
      <c r="C55" s="271"/>
      <c r="D55" s="456"/>
      <c r="E55" s="362"/>
      <c r="F55" s="272"/>
      <c r="G55" s="460"/>
      <c r="H55" s="272"/>
      <c r="I55" s="399"/>
      <c r="J55" s="241" t="b">
        <f>Age_Sex_BY[[#This Row],[Total Spending After Applying Truncation at the Member Level]]+Age_Sex_BY[[#This Row],[Total Dollars Excluded from Spending After Applying Truncation at the Member Level]]=Age_Sex_BY[[#This Row],[Total Spending before Truncation is Applied]]</f>
        <v>1</v>
      </c>
    </row>
    <row r="56" spans="1:10" x14ac:dyDescent="0.25">
      <c r="A56" s="342"/>
      <c r="B56" s="4"/>
      <c r="C56" s="16"/>
      <c r="D56" s="457"/>
      <c r="E56" s="363"/>
      <c r="F56" s="273"/>
      <c r="G56" s="226"/>
      <c r="H56" s="273"/>
      <c r="I56" s="400"/>
      <c r="J56" s="241" t="b">
        <f>Age_Sex_BY[[#This Row],[Total Spending After Applying Truncation at the Member Level]]+Age_Sex_BY[[#This Row],[Total Dollars Excluded from Spending After Applying Truncation at the Member Level]]=Age_Sex_BY[[#This Row],[Total Spending before Truncation is Applied]]</f>
        <v>1</v>
      </c>
    </row>
    <row r="57" spans="1:10" x14ac:dyDescent="0.25">
      <c r="A57" s="339"/>
      <c r="B57" s="270"/>
      <c r="C57" s="271"/>
      <c r="D57" s="456"/>
      <c r="E57" s="362"/>
      <c r="F57" s="272"/>
      <c r="G57" s="460"/>
      <c r="H57" s="272"/>
      <c r="I57" s="399"/>
      <c r="J57" s="241" t="b">
        <f>Age_Sex_BY[[#This Row],[Total Spending After Applying Truncation at the Member Level]]+Age_Sex_BY[[#This Row],[Total Dollars Excluded from Spending After Applying Truncation at the Member Level]]=Age_Sex_BY[[#This Row],[Total Spending before Truncation is Applied]]</f>
        <v>1</v>
      </c>
    </row>
    <row r="58" spans="1:10" x14ac:dyDescent="0.25">
      <c r="A58" s="342"/>
      <c r="B58" s="4"/>
      <c r="C58" s="16"/>
      <c r="D58" s="457"/>
      <c r="E58" s="363"/>
      <c r="F58" s="273"/>
      <c r="G58" s="226"/>
      <c r="H58" s="273"/>
      <c r="I58" s="400"/>
      <c r="J58" s="241" t="b">
        <f>Age_Sex_BY[[#This Row],[Total Spending After Applying Truncation at the Member Level]]+Age_Sex_BY[[#This Row],[Total Dollars Excluded from Spending After Applying Truncation at the Member Level]]=Age_Sex_BY[[#This Row],[Total Spending before Truncation is Applied]]</f>
        <v>1</v>
      </c>
    </row>
    <row r="59" spans="1:10" x14ac:dyDescent="0.25">
      <c r="A59" s="339"/>
      <c r="B59" s="270"/>
      <c r="C59" s="271"/>
      <c r="D59" s="456"/>
      <c r="E59" s="362"/>
      <c r="F59" s="272"/>
      <c r="G59" s="460"/>
      <c r="H59" s="272"/>
      <c r="I59" s="399"/>
      <c r="J59" s="241" t="b">
        <f>Age_Sex_BY[[#This Row],[Total Spending After Applying Truncation at the Member Level]]+Age_Sex_BY[[#This Row],[Total Dollars Excluded from Spending After Applying Truncation at the Member Level]]=Age_Sex_BY[[#This Row],[Total Spending before Truncation is Applied]]</f>
        <v>1</v>
      </c>
    </row>
    <row r="60" spans="1:10" x14ac:dyDescent="0.25">
      <c r="A60" s="342"/>
      <c r="B60" s="4"/>
      <c r="C60" s="16"/>
      <c r="D60" s="457"/>
      <c r="E60" s="363"/>
      <c r="F60" s="273"/>
      <c r="G60" s="226"/>
      <c r="H60" s="273"/>
      <c r="I60" s="400"/>
      <c r="J60" s="241" t="b">
        <f>Age_Sex_BY[[#This Row],[Total Spending After Applying Truncation at the Member Level]]+Age_Sex_BY[[#This Row],[Total Dollars Excluded from Spending After Applying Truncation at the Member Level]]=Age_Sex_BY[[#This Row],[Total Spending before Truncation is Applied]]</f>
        <v>1</v>
      </c>
    </row>
    <row r="61" spans="1:10" x14ac:dyDescent="0.25">
      <c r="A61" s="339"/>
      <c r="B61" s="270"/>
      <c r="C61" s="271"/>
      <c r="D61" s="456"/>
      <c r="E61" s="362"/>
      <c r="F61" s="272"/>
      <c r="G61" s="460"/>
      <c r="H61" s="272"/>
      <c r="I61" s="399"/>
      <c r="J61" s="241" t="b">
        <f>Age_Sex_BY[[#This Row],[Total Spending After Applying Truncation at the Member Level]]+Age_Sex_BY[[#This Row],[Total Dollars Excluded from Spending After Applying Truncation at the Member Level]]=Age_Sex_BY[[#This Row],[Total Spending before Truncation is Applied]]</f>
        <v>1</v>
      </c>
    </row>
    <row r="62" spans="1:10" x14ac:dyDescent="0.25">
      <c r="A62" s="342"/>
      <c r="B62" s="4"/>
      <c r="C62" s="16"/>
      <c r="D62" s="457"/>
      <c r="E62" s="363"/>
      <c r="F62" s="273"/>
      <c r="G62" s="226"/>
      <c r="H62" s="273"/>
      <c r="I62" s="400"/>
      <c r="J62" s="241" t="b">
        <f>Age_Sex_BY[[#This Row],[Total Spending After Applying Truncation at the Member Level]]+Age_Sex_BY[[#This Row],[Total Dollars Excluded from Spending After Applying Truncation at the Member Level]]=Age_Sex_BY[[#This Row],[Total Spending before Truncation is Applied]]</f>
        <v>1</v>
      </c>
    </row>
    <row r="63" spans="1:10" x14ac:dyDescent="0.25">
      <c r="A63" s="339"/>
      <c r="B63" s="270"/>
      <c r="C63" s="271"/>
      <c r="D63" s="456"/>
      <c r="E63" s="362"/>
      <c r="F63" s="272"/>
      <c r="G63" s="460"/>
      <c r="H63" s="272"/>
      <c r="I63" s="399"/>
      <c r="J63" s="241" t="b">
        <f>Age_Sex_BY[[#This Row],[Total Spending After Applying Truncation at the Member Level]]+Age_Sex_BY[[#This Row],[Total Dollars Excluded from Spending After Applying Truncation at the Member Level]]=Age_Sex_BY[[#This Row],[Total Spending before Truncation is Applied]]</f>
        <v>1</v>
      </c>
    </row>
    <row r="64" spans="1:10" x14ac:dyDescent="0.25">
      <c r="A64" s="342"/>
      <c r="B64" s="4"/>
      <c r="C64" s="16"/>
      <c r="D64" s="457"/>
      <c r="E64" s="363"/>
      <c r="F64" s="273"/>
      <c r="G64" s="226"/>
      <c r="H64" s="273"/>
      <c r="I64" s="400"/>
      <c r="J64" s="241" t="b">
        <f>Age_Sex_BY[[#This Row],[Total Spending After Applying Truncation at the Member Level]]+Age_Sex_BY[[#This Row],[Total Dollars Excluded from Spending After Applying Truncation at the Member Level]]=Age_Sex_BY[[#This Row],[Total Spending before Truncation is Applied]]</f>
        <v>1</v>
      </c>
    </row>
    <row r="65" spans="1:10" x14ac:dyDescent="0.25">
      <c r="A65" s="339"/>
      <c r="B65" s="270"/>
      <c r="C65" s="271"/>
      <c r="D65" s="456"/>
      <c r="E65" s="362"/>
      <c r="F65" s="272"/>
      <c r="G65" s="460"/>
      <c r="H65" s="272"/>
      <c r="I65" s="399"/>
      <c r="J65" s="241" t="b">
        <f>Age_Sex_BY[[#This Row],[Total Spending After Applying Truncation at the Member Level]]+Age_Sex_BY[[#This Row],[Total Dollars Excluded from Spending After Applying Truncation at the Member Level]]=Age_Sex_BY[[#This Row],[Total Spending before Truncation is Applied]]</f>
        <v>1</v>
      </c>
    </row>
    <row r="66" spans="1:10" x14ac:dyDescent="0.25">
      <c r="A66" s="342"/>
      <c r="B66" s="4"/>
      <c r="C66" s="16"/>
      <c r="D66" s="457"/>
      <c r="E66" s="363"/>
      <c r="F66" s="273"/>
      <c r="G66" s="226"/>
      <c r="H66" s="273"/>
      <c r="I66" s="400"/>
      <c r="J66" s="241" t="b">
        <f>Age_Sex_BY[[#This Row],[Total Spending After Applying Truncation at the Member Level]]+Age_Sex_BY[[#This Row],[Total Dollars Excluded from Spending After Applying Truncation at the Member Level]]=Age_Sex_BY[[#This Row],[Total Spending before Truncation is Applied]]</f>
        <v>1</v>
      </c>
    </row>
    <row r="67" spans="1:10" x14ac:dyDescent="0.25">
      <c r="A67" s="339"/>
      <c r="B67" s="270"/>
      <c r="C67" s="271"/>
      <c r="D67" s="456"/>
      <c r="E67" s="362"/>
      <c r="F67" s="272"/>
      <c r="G67" s="460"/>
      <c r="H67" s="272"/>
      <c r="I67" s="399"/>
      <c r="J67" s="241" t="b">
        <f>Age_Sex_BY[[#This Row],[Total Spending After Applying Truncation at the Member Level]]+Age_Sex_BY[[#This Row],[Total Dollars Excluded from Spending After Applying Truncation at the Member Level]]=Age_Sex_BY[[#This Row],[Total Spending before Truncation is Applied]]</f>
        <v>1</v>
      </c>
    </row>
    <row r="68" spans="1:10" x14ac:dyDescent="0.25">
      <c r="A68" s="342"/>
      <c r="B68" s="4"/>
      <c r="C68" s="16"/>
      <c r="D68" s="457"/>
      <c r="E68" s="363"/>
      <c r="F68" s="273"/>
      <c r="G68" s="226"/>
      <c r="H68" s="273"/>
      <c r="I68" s="400"/>
      <c r="J68" s="241" t="b">
        <f>Age_Sex_BY[[#This Row],[Total Spending After Applying Truncation at the Member Level]]+Age_Sex_BY[[#This Row],[Total Dollars Excluded from Spending After Applying Truncation at the Member Level]]=Age_Sex_BY[[#This Row],[Total Spending before Truncation is Applied]]</f>
        <v>1</v>
      </c>
    </row>
    <row r="69" spans="1:10" x14ac:dyDescent="0.25">
      <c r="A69" s="339"/>
      <c r="B69" s="270"/>
      <c r="C69" s="271"/>
      <c r="D69" s="456"/>
      <c r="E69" s="362"/>
      <c r="F69" s="272"/>
      <c r="G69" s="460"/>
      <c r="H69" s="272"/>
      <c r="I69" s="399"/>
      <c r="J69" s="241" t="b">
        <f>Age_Sex_BY[[#This Row],[Total Spending After Applying Truncation at the Member Level]]+Age_Sex_BY[[#This Row],[Total Dollars Excluded from Spending After Applying Truncation at the Member Level]]=Age_Sex_BY[[#This Row],[Total Spending before Truncation is Applied]]</f>
        <v>1</v>
      </c>
    </row>
    <row r="70" spans="1:10" x14ac:dyDescent="0.25">
      <c r="A70" s="342"/>
      <c r="B70" s="4"/>
      <c r="C70" s="16"/>
      <c r="D70" s="457"/>
      <c r="E70" s="363"/>
      <c r="F70" s="273"/>
      <c r="G70" s="226"/>
      <c r="H70" s="273"/>
      <c r="I70" s="400"/>
      <c r="J70" s="241" t="b">
        <f>Age_Sex_BY[[#This Row],[Total Spending After Applying Truncation at the Member Level]]+Age_Sex_BY[[#This Row],[Total Dollars Excluded from Spending After Applying Truncation at the Member Level]]=Age_Sex_BY[[#This Row],[Total Spending before Truncation is Applied]]</f>
        <v>1</v>
      </c>
    </row>
    <row r="71" spans="1:10" x14ac:dyDescent="0.25">
      <c r="A71" s="339"/>
      <c r="B71" s="270"/>
      <c r="C71" s="271"/>
      <c r="D71" s="456"/>
      <c r="E71" s="362"/>
      <c r="F71" s="272"/>
      <c r="G71" s="460"/>
      <c r="H71" s="272"/>
      <c r="I71" s="399"/>
      <c r="J71" s="241" t="b">
        <f>Age_Sex_BY[[#This Row],[Total Spending After Applying Truncation at the Member Level]]+Age_Sex_BY[[#This Row],[Total Dollars Excluded from Spending After Applying Truncation at the Member Level]]=Age_Sex_BY[[#This Row],[Total Spending before Truncation is Applied]]</f>
        <v>1</v>
      </c>
    </row>
    <row r="72" spans="1:10" x14ac:dyDescent="0.25">
      <c r="A72" s="342"/>
      <c r="B72" s="4"/>
      <c r="C72" s="16"/>
      <c r="D72" s="457"/>
      <c r="E72" s="363"/>
      <c r="F72" s="273"/>
      <c r="G72" s="226"/>
      <c r="H72" s="273"/>
      <c r="I72" s="400"/>
      <c r="J72" s="241" t="b">
        <f>Age_Sex_BY[[#This Row],[Total Spending After Applying Truncation at the Member Level]]+Age_Sex_BY[[#This Row],[Total Dollars Excluded from Spending After Applying Truncation at the Member Level]]=Age_Sex_BY[[#This Row],[Total Spending before Truncation is Applied]]</f>
        <v>1</v>
      </c>
    </row>
    <row r="73" spans="1:10" x14ac:dyDescent="0.25">
      <c r="A73" s="339"/>
      <c r="B73" s="270"/>
      <c r="C73" s="271"/>
      <c r="D73" s="456"/>
      <c r="E73" s="362"/>
      <c r="F73" s="272"/>
      <c r="G73" s="460"/>
      <c r="H73" s="272"/>
      <c r="I73" s="399"/>
      <c r="J73" s="241" t="b">
        <f>Age_Sex_BY[[#This Row],[Total Spending After Applying Truncation at the Member Level]]+Age_Sex_BY[[#This Row],[Total Dollars Excluded from Spending After Applying Truncation at the Member Level]]=Age_Sex_BY[[#This Row],[Total Spending before Truncation is Applied]]</f>
        <v>1</v>
      </c>
    </row>
    <row r="74" spans="1:10" x14ac:dyDescent="0.25">
      <c r="A74" s="342"/>
      <c r="B74" s="4"/>
      <c r="C74" s="16"/>
      <c r="D74" s="457"/>
      <c r="E74" s="363"/>
      <c r="F74" s="273"/>
      <c r="G74" s="226"/>
      <c r="H74" s="273"/>
      <c r="I74" s="400"/>
      <c r="J74" s="241" t="b">
        <f>Age_Sex_BY[[#This Row],[Total Spending After Applying Truncation at the Member Level]]+Age_Sex_BY[[#This Row],[Total Dollars Excluded from Spending After Applying Truncation at the Member Level]]=Age_Sex_BY[[#This Row],[Total Spending before Truncation is Applied]]</f>
        <v>1</v>
      </c>
    </row>
    <row r="75" spans="1:10" x14ac:dyDescent="0.25">
      <c r="A75" s="339"/>
      <c r="B75" s="270"/>
      <c r="C75" s="271"/>
      <c r="D75" s="456"/>
      <c r="E75" s="362"/>
      <c r="F75" s="272"/>
      <c r="G75" s="460"/>
      <c r="H75" s="272"/>
      <c r="I75" s="399"/>
      <c r="J75" s="241" t="b">
        <f>Age_Sex_BY[[#This Row],[Total Spending After Applying Truncation at the Member Level]]+Age_Sex_BY[[#This Row],[Total Dollars Excluded from Spending After Applying Truncation at the Member Level]]=Age_Sex_BY[[#This Row],[Total Spending before Truncation is Applied]]</f>
        <v>1</v>
      </c>
    </row>
    <row r="76" spans="1:10" x14ac:dyDescent="0.25">
      <c r="A76" s="342"/>
      <c r="B76" s="4"/>
      <c r="C76" s="16"/>
      <c r="D76" s="457"/>
      <c r="E76" s="363"/>
      <c r="F76" s="273"/>
      <c r="G76" s="226"/>
      <c r="H76" s="273"/>
      <c r="I76" s="400"/>
      <c r="J76" s="241" t="b">
        <f>Age_Sex_BY[[#This Row],[Total Spending After Applying Truncation at the Member Level]]+Age_Sex_BY[[#This Row],[Total Dollars Excluded from Spending After Applying Truncation at the Member Level]]=Age_Sex_BY[[#This Row],[Total Spending before Truncation is Applied]]</f>
        <v>1</v>
      </c>
    </row>
    <row r="77" spans="1:10" x14ac:dyDescent="0.25">
      <c r="A77" s="339"/>
      <c r="B77" s="270"/>
      <c r="C77" s="271"/>
      <c r="D77" s="456"/>
      <c r="E77" s="362"/>
      <c r="F77" s="272"/>
      <c r="G77" s="460"/>
      <c r="H77" s="272"/>
      <c r="I77" s="399"/>
      <c r="J77" s="241" t="b">
        <f>Age_Sex_BY[[#This Row],[Total Spending After Applying Truncation at the Member Level]]+Age_Sex_BY[[#This Row],[Total Dollars Excluded from Spending After Applying Truncation at the Member Level]]=Age_Sex_BY[[#This Row],[Total Spending before Truncation is Applied]]</f>
        <v>1</v>
      </c>
    </row>
    <row r="78" spans="1:10" x14ac:dyDescent="0.25">
      <c r="A78" s="342"/>
      <c r="B78" s="4"/>
      <c r="C78" s="16"/>
      <c r="D78" s="457"/>
      <c r="E78" s="363"/>
      <c r="F78" s="273"/>
      <c r="G78" s="226"/>
      <c r="H78" s="273"/>
      <c r="I78" s="400"/>
      <c r="J78" s="241" t="b">
        <f>Age_Sex_BY[[#This Row],[Total Spending After Applying Truncation at the Member Level]]+Age_Sex_BY[[#This Row],[Total Dollars Excluded from Spending After Applying Truncation at the Member Level]]=Age_Sex_BY[[#This Row],[Total Spending before Truncation is Applied]]</f>
        <v>1</v>
      </c>
    </row>
    <row r="79" spans="1:10" x14ac:dyDescent="0.25">
      <c r="A79" s="339"/>
      <c r="B79" s="270"/>
      <c r="C79" s="271"/>
      <c r="D79" s="456"/>
      <c r="E79" s="362"/>
      <c r="F79" s="272"/>
      <c r="G79" s="460"/>
      <c r="H79" s="272"/>
      <c r="I79" s="399"/>
      <c r="J79" s="241" t="b">
        <f>Age_Sex_BY[[#This Row],[Total Spending After Applying Truncation at the Member Level]]+Age_Sex_BY[[#This Row],[Total Dollars Excluded from Spending After Applying Truncation at the Member Level]]=Age_Sex_BY[[#This Row],[Total Spending before Truncation is Applied]]</f>
        <v>1</v>
      </c>
    </row>
    <row r="80" spans="1:10" x14ac:dyDescent="0.25">
      <c r="A80" s="342"/>
      <c r="B80" s="4"/>
      <c r="C80" s="16"/>
      <c r="D80" s="457"/>
      <c r="E80" s="363"/>
      <c r="F80" s="273"/>
      <c r="G80" s="226"/>
      <c r="H80" s="273"/>
      <c r="I80" s="400"/>
      <c r="J80" s="241" t="b">
        <f>Age_Sex_BY[[#This Row],[Total Spending After Applying Truncation at the Member Level]]+Age_Sex_BY[[#This Row],[Total Dollars Excluded from Spending After Applying Truncation at the Member Level]]=Age_Sex_BY[[#This Row],[Total Spending before Truncation is Applied]]</f>
        <v>1</v>
      </c>
    </row>
    <row r="81" spans="1:10" x14ac:dyDescent="0.25">
      <c r="A81" s="339"/>
      <c r="B81" s="270"/>
      <c r="C81" s="271"/>
      <c r="D81" s="456"/>
      <c r="E81" s="362"/>
      <c r="F81" s="272"/>
      <c r="G81" s="460"/>
      <c r="H81" s="272"/>
      <c r="I81" s="399"/>
      <c r="J81" s="241" t="b">
        <f>Age_Sex_BY[[#This Row],[Total Spending After Applying Truncation at the Member Level]]+Age_Sex_BY[[#This Row],[Total Dollars Excluded from Spending After Applying Truncation at the Member Level]]=Age_Sex_BY[[#This Row],[Total Spending before Truncation is Applied]]</f>
        <v>1</v>
      </c>
    </row>
    <row r="82" spans="1:10" x14ac:dyDescent="0.25">
      <c r="A82" s="342"/>
      <c r="B82" s="4"/>
      <c r="C82" s="16"/>
      <c r="D82" s="457"/>
      <c r="E82" s="363"/>
      <c r="F82" s="273"/>
      <c r="G82" s="226"/>
      <c r="H82" s="273"/>
      <c r="I82" s="400"/>
      <c r="J82" s="241" t="b">
        <f>Age_Sex_BY[[#This Row],[Total Spending After Applying Truncation at the Member Level]]+Age_Sex_BY[[#This Row],[Total Dollars Excluded from Spending After Applying Truncation at the Member Level]]=Age_Sex_BY[[#This Row],[Total Spending before Truncation is Applied]]</f>
        <v>1</v>
      </c>
    </row>
    <row r="83" spans="1:10" x14ac:dyDescent="0.25">
      <c r="A83" s="339"/>
      <c r="B83" s="270"/>
      <c r="C83" s="271"/>
      <c r="D83" s="456"/>
      <c r="E83" s="362"/>
      <c r="F83" s="272"/>
      <c r="G83" s="460"/>
      <c r="H83" s="272"/>
      <c r="I83" s="399"/>
      <c r="J83" s="241" t="b">
        <f>Age_Sex_BY[[#This Row],[Total Spending After Applying Truncation at the Member Level]]+Age_Sex_BY[[#This Row],[Total Dollars Excluded from Spending After Applying Truncation at the Member Level]]=Age_Sex_BY[[#This Row],[Total Spending before Truncation is Applied]]</f>
        <v>1</v>
      </c>
    </row>
    <row r="84" spans="1:10" x14ac:dyDescent="0.25">
      <c r="A84" s="342"/>
      <c r="B84" s="4"/>
      <c r="C84" s="16"/>
      <c r="D84" s="457"/>
      <c r="E84" s="363"/>
      <c r="F84" s="273"/>
      <c r="G84" s="226"/>
      <c r="H84" s="273"/>
      <c r="I84" s="400"/>
      <c r="J84" s="241" t="b">
        <f>Age_Sex_BY[[#This Row],[Total Spending After Applying Truncation at the Member Level]]+Age_Sex_BY[[#This Row],[Total Dollars Excluded from Spending After Applying Truncation at the Member Level]]=Age_Sex_BY[[#This Row],[Total Spending before Truncation is Applied]]</f>
        <v>1</v>
      </c>
    </row>
    <row r="85" spans="1:10" x14ac:dyDescent="0.25">
      <c r="A85" s="339"/>
      <c r="B85" s="270"/>
      <c r="C85" s="271"/>
      <c r="D85" s="456"/>
      <c r="E85" s="362"/>
      <c r="F85" s="272"/>
      <c r="G85" s="460"/>
      <c r="H85" s="272"/>
      <c r="I85" s="399"/>
      <c r="J85" s="241" t="b">
        <f>Age_Sex_BY[[#This Row],[Total Spending After Applying Truncation at the Member Level]]+Age_Sex_BY[[#This Row],[Total Dollars Excluded from Spending After Applying Truncation at the Member Level]]=Age_Sex_BY[[#This Row],[Total Spending before Truncation is Applied]]</f>
        <v>1</v>
      </c>
    </row>
    <row r="86" spans="1:10" x14ac:dyDescent="0.25">
      <c r="A86" s="342"/>
      <c r="B86" s="4"/>
      <c r="C86" s="16"/>
      <c r="D86" s="457"/>
      <c r="E86" s="363"/>
      <c r="F86" s="273"/>
      <c r="G86" s="226"/>
      <c r="H86" s="273"/>
      <c r="I86" s="400"/>
      <c r="J86" s="241" t="b">
        <f>Age_Sex_BY[[#This Row],[Total Spending After Applying Truncation at the Member Level]]+Age_Sex_BY[[#This Row],[Total Dollars Excluded from Spending After Applying Truncation at the Member Level]]=Age_Sex_BY[[#This Row],[Total Spending before Truncation is Applied]]</f>
        <v>1</v>
      </c>
    </row>
    <row r="87" spans="1:10" x14ac:dyDescent="0.25">
      <c r="A87" s="339"/>
      <c r="B87" s="270"/>
      <c r="C87" s="271"/>
      <c r="D87" s="456"/>
      <c r="E87" s="362"/>
      <c r="F87" s="272"/>
      <c r="G87" s="460"/>
      <c r="H87" s="272"/>
      <c r="I87" s="399"/>
      <c r="J87" s="241" t="b">
        <f>Age_Sex_BY[[#This Row],[Total Spending After Applying Truncation at the Member Level]]+Age_Sex_BY[[#This Row],[Total Dollars Excluded from Spending After Applying Truncation at the Member Level]]=Age_Sex_BY[[#This Row],[Total Spending before Truncation is Applied]]</f>
        <v>1</v>
      </c>
    </row>
    <row r="88" spans="1:10" x14ac:dyDescent="0.25">
      <c r="A88" s="342"/>
      <c r="B88" s="4"/>
      <c r="C88" s="16"/>
      <c r="D88" s="457"/>
      <c r="E88" s="363"/>
      <c r="F88" s="273"/>
      <c r="G88" s="226"/>
      <c r="H88" s="273"/>
      <c r="I88" s="400"/>
      <c r="J88" s="241" t="b">
        <f>Age_Sex_BY[[#This Row],[Total Spending After Applying Truncation at the Member Level]]+Age_Sex_BY[[#This Row],[Total Dollars Excluded from Spending After Applying Truncation at the Member Level]]=Age_Sex_BY[[#This Row],[Total Spending before Truncation is Applied]]</f>
        <v>1</v>
      </c>
    </row>
    <row r="89" spans="1:10" x14ac:dyDescent="0.25">
      <c r="A89" s="339"/>
      <c r="B89" s="270"/>
      <c r="C89" s="271"/>
      <c r="D89" s="456"/>
      <c r="E89" s="362"/>
      <c r="F89" s="272"/>
      <c r="G89" s="460"/>
      <c r="H89" s="272"/>
      <c r="I89" s="399"/>
      <c r="J89" s="241" t="b">
        <f>Age_Sex_BY[[#This Row],[Total Spending After Applying Truncation at the Member Level]]+Age_Sex_BY[[#This Row],[Total Dollars Excluded from Spending After Applying Truncation at the Member Level]]=Age_Sex_BY[[#This Row],[Total Spending before Truncation is Applied]]</f>
        <v>1</v>
      </c>
    </row>
    <row r="90" spans="1:10" x14ac:dyDescent="0.25">
      <c r="A90" s="342"/>
      <c r="B90" s="4"/>
      <c r="C90" s="16"/>
      <c r="D90" s="457"/>
      <c r="E90" s="363"/>
      <c r="F90" s="273"/>
      <c r="G90" s="226"/>
      <c r="H90" s="273"/>
      <c r="I90" s="400"/>
      <c r="J90" s="241" t="b">
        <f>Age_Sex_BY[[#This Row],[Total Spending After Applying Truncation at the Member Level]]+Age_Sex_BY[[#This Row],[Total Dollars Excluded from Spending After Applying Truncation at the Member Level]]=Age_Sex_BY[[#This Row],[Total Spending before Truncation is Applied]]</f>
        <v>1</v>
      </c>
    </row>
    <row r="91" spans="1:10" x14ac:dyDescent="0.25">
      <c r="A91" s="339"/>
      <c r="B91" s="270"/>
      <c r="C91" s="271"/>
      <c r="D91" s="456"/>
      <c r="E91" s="362"/>
      <c r="F91" s="272"/>
      <c r="G91" s="460"/>
      <c r="H91" s="272"/>
      <c r="I91" s="399"/>
      <c r="J91" s="241" t="b">
        <f>Age_Sex_BY[[#This Row],[Total Spending After Applying Truncation at the Member Level]]+Age_Sex_BY[[#This Row],[Total Dollars Excluded from Spending After Applying Truncation at the Member Level]]=Age_Sex_BY[[#This Row],[Total Spending before Truncation is Applied]]</f>
        <v>1</v>
      </c>
    </row>
    <row r="92" spans="1:10" x14ac:dyDescent="0.25">
      <c r="A92" s="342"/>
      <c r="B92" s="4"/>
      <c r="C92" s="16"/>
      <c r="D92" s="457"/>
      <c r="E92" s="363"/>
      <c r="F92" s="273"/>
      <c r="G92" s="226"/>
      <c r="H92" s="273"/>
      <c r="I92" s="400"/>
      <c r="J92" s="241" t="b">
        <f>Age_Sex_BY[[#This Row],[Total Spending After Applying Truncation at the Member Level]]+Age_Sex_BY[[#This Row],[Total Dollars Excluded from Spending After Applying Truncation at the Member Level]]=Age_Sex_BY[[#This Row],[Total Spending before Truncation is Applied]]</f>
        <v>1</v>
      </c>
    </row>
    <row r="93" spans="1:10" x14ac:dyDescent="0.25">
      <c r="A93" s="339"/>
      <c r="B93" s="270"/>
      <c r="C93" s="271"/>
      <c r="D93" s="456"/>
      <c r="E93" s="362"/>
      <c r="F93" s="272"/>
      <c r="G93" s="460"/>
      <c r="H93" s="272"/>
      <c r="I93" s="399"/>
      <c r="J93" s="241" t="b">
        <f>Age_Sex_BY[[#This Row],[Total Spending After Applying Truncation at the Member Level]]+Age_Sex_BY[[#This Row],[Total Dollars Excluded from Spending After Applying Truncation at the Member Level]]=Age_Sex_BY[[#This Row],[Total Spending before Truncation is Applied]]</f>
        <v>1</v>
      </c>
    </row>
    <row r="94" spans="1:10" x14ac:dyDescent="0.25">
      <c r="A94" s="342"/>
      <c r="B94" s="4"/>
      <c r="C94" s="16"/>
      <c r="D94" s="457"/>
      <c r="E94" s="363"/>
      <c r="F94" s="273"/>
      <c r="G94" s="226"/>
      <c r="H94" s="273"/>
      <c r="I94" s="400"/>
      <c r="J94" s="241" t="b">
        <f>Age_Sex_BY[[#This Row],[Total Spending After Applying Truncation at the Member Level]]+Age_Sex_BY[[#This Row],[Total Dollars Excluded from Spending After Applying Truncation at the Member Level]]=Age_Sex_BY[[#This Row],[Total Spending before Truncation is Applied]]</f>
        <v>1</v>
      </c>
    </row>
    <row r="95" spans="1:10" x14ac:dyDescent="0.25">
      <c r="A95" s="339"/>
      <c r="B95" s="270"/>
      <c r="C95" s="271"/>
      <c r="D95" s="456"/>
      <c r="E95" s="362"/>
      <c r="F95" s="272"/>
      <c r="G95" s="460"/>
      <c r="H95" s="272"/>
      <c r="I95" s="399"/>
      <c r="J95" s="241" t="b">
        <f>Age_Sex_BY[[#This Row],[Total Spending After Applying Truncation at the Member Level]]+Age_Sex_BY[[#This Row],[Total Dollars Excluded from Spending After Applying Truncation at the Member Level]]=Age_Sex_BY[[#This Row],[Total Spending before Truncation is Applied]]</f>
        <v>1</v>
      </c>
    </row>
    <row r="96" spans="1:10" x14ac:dyDescent="0.25">
      <c r="A96" s="342"/>
      <c r="B96" s="4"/>
      <c r="C96" s="16"/>
      <c r="D96" s="457"/>
      <c r="E96" s="363"/>
      <c r="F96" s="273"/>
      <c r="G96" s="226"/>
      <c r="H96" s="273"/>
      <c r="I96" s="400"/>
      <c r="J96" s="241" t="b">
        <f>Age_Sex_BY[[#This Row],[Total Spending After Applying Truncation at the Member Level]]+Age_Sex_BY[[#This Row],[Total Dollars Excluded from Spending After Applying Truncation at the Member Level]]=Age_Sex_BY[[#This Row],[Total Spending before Truncation is Applied]]</f>
        <v>1</v>
      </c>
    </row>
    <row r="97" spans="1:10" x14ac:dyDescent="0.25">
      <c r="A97" s="339"/>
      <c r="B97" s="270"/>
      <c r="C97" s="271"/>
      <c r="D97" s="456"/>
      <c r="E97" s="362"/>
      <c r="F97" s="272"/>
      <c r="G97" s="460"/>
      <c r="H97" s="272"/>
      <c r="I97" s="399"/>
      <c r="J97" s="241" t="b">
        <f>Age_Sex_BY[[#This Row],[Total Spending After Applying Truncation at the Member Level]]+Age_Sex_BY[[#This Row],[Total Dollars Excluded from Spending After Applying Truncation at the Member Level]]=Age_Sex_BY[[#This Row],[Total Spending before Truncation is Applied]]</f>
        <v>1</v>
      </c>
    </row>
    <row r="98" spans="1:10" x14ac:dyDescent="0.25">
      <c r="A98" s="342"/>
      <c r="B98" s="4"/>
      <c r="C98" s="16"/>
      <c r="D98" s="457"/>
      <c r="E98" s="363"/>
      <c r="F98" s="273"/>
      <c r="G98" s="226"/>
      <c r="H98" s="273"/>
      <c r="I98" s="400"/>
      <c r="J98" s="241" t="b">
        <f>Age_Sex_BY[[#This Row],[Total Spending After Applying Truncation at the Member Level]]+Age_Sex_BY[[#This Row],[Total Dollars Excluded from Spending After Applying Truncation at the Member Level]]=Age_Sex_BY[[#This Row],[Total Spending before Truncation is Applied]]</f>
        <v>1</v>
      </c>
    </row>
    <row r="99" spans="1:10" x14ac:dyDescent="0.25">
      <c r="A99" s="339"/>
      <c r="B99" s="270"/>
      <c r="C99" s="271"/>
      <c r="D99" s="456"/>
      <c r="E99" s="362"/>
      <c r="F99" s="272"/>
      <c r="G99" s="460"/>
      <c r="H99" s="272"/>
      <c r="I99" s="399"/>
      <c r="J99" s="241" t="b">
        <f>Age_Sex_BY[[#This Row],[Total Spending After Applying Truncation at the Member Level]]+Age_Sex_BY[[#This Row],[Total Dollars Excluded from Spending After Applying Truncation at the Member Level]]=Age_Sex_BY[[#This Row],[Total Spending before Truncation is Applied]]</f>
        <v>1</v>
      </c>
    </row>
    <row r="100" spans="1:10" x14ac:dyDescent="0.25">
      <c r="A100" s="342"/>
      <c r="B100" s="4"/>
      <c r="C100" s="16"/>
      <c r="D100" s="457"/>
      <c r="E100" s="363"/>
      <c r="F100" s="273"/>
      <c r="G100" s="226"/>
      <c r="H100" s="273"/>
      <c r="I100" s="400"/>
      <c r="J100" s="241" t="b">
        <f>Age_Sex_BY[[#This Row],[Total Spending After Applying Truncation at the Member Level]]+Age_Sex_BY[[#This Row],[Total Dollars Excluded from Spending After Applying Truncation at the Member Level]]=Age_Sex_BY[[#This Row],[Total Spending before Truncation is Applied]]</f>
        <v>1</v>
      </c>
    </row>
    <row r="101" spans="1:10" x14ac:dyDescent="0.25">
      <c r="A101" s="339"/>
      <c r="B101" s="270"/>
      <c r="C101" s="271"/>
      <c r="D101" s="456"/>
      <c r="E101" s="362"/>
      <c r="F101" s="272"/>
      <c r="G101" s="460"/>
      <c r="H101" s="272"/>
      <c r="I101" s="399"/>
      <c r="J101" s="241" t="b">
        <f>Age_Sex_BY[[#This Row],[Total Spending After Applying Truncation at the Member Level]]+Age_Sex_BY[[#This Row],[Total Dollars Excluded from Spending After Applying Truncation at the Member Level]]=Age_Sex_BY[[#This Row],[Total Spending before Truncation is Applied]]</f>
        <v>1</v>
      </c>
    </row>
    <row r="102" spans="1:10" x14ac:dyDescent="0.25">
      <c r="A102" s="342"/>
      <c r="B102" s="4"/>
      <c r="C102" s="16"/>
      <c r="D102" s="457"/>
      <c r="E102" s="363"/>
      <c r="F102" s="273"/>
      <c r="G102" s="226"/>
      <c r="H102" s="273"/>
      <c r="I102" s="400"/>
      <c r="J102" s="241" t="b">
        <f>Age_Sex_BY[[#This Row],[Total Spending After Applying Truncation at the Member Level]]+Age_Sex_BY[[#This Row],[Total Dollars Excluded from Spending After Applying Truncation at the Member Level]]=Age_Sex_BY[[#This Row],[Total Spending before Truncation is Applied]]</f>
        <v>1</v>
      </c>
    </row>
    <row r="103" spans="1:10" x14ac:dyDescent="0.25">
      <c r="A103" s="339"/>
      <c r="B103" s="270"/>
      <c r="C103" s="271"/>
      <c r="D103" s="456"/>
      <c r="E103" s="362"/>
      <c r="F103" s="272"/>
      <c r="G103" s="460"/>
      <c r="H103" s="272"/>
      <c r="I103" s="399"/>
      <c r="J103" s="241" t="b">
        <f>Age_Sex_BY[[#This Row],[Total Spending After Applying Truncation at the Member Level]]+Age_Sex_BY[[#This Row],[Total Dollars Excluded from Spending After Applying Truncation at the Member Level]]=Age_Sex_BY[[#This Row],[Total Spending before Truncation is Applied]]</f>
        <v>1</v>
      </c>
    </row>
    <row r="104" spans="1:10" x14ac:dyDescent="0.25">
      <c r="A104" s="342"/>
      <c r="B104" s="4"/>
      <c r="C104" s="16"/>
      <c r="D104" s="457"/>
      <c r="E104" s="363"/>
      <c r="F104" s="273"/>
      <c r="G104" s="226"/>
      <c r="H104" s="273"/>
      <c r="I104" s="400"/>
      <c r="J104" s="241" t="b">
        <f>Age_Sex_BY[[#This Row],[Total Spending After Applying Truncation at the Member Level]]+Age_Sex_BY[[#This Row],[Total Dollars Excluded from Spending After Applying Truncation at the Member Level]]=Age_Sex_BY[[#This Row],[Total Spending before Truncation is Applied]]</f>
        <v>1</v>
      </c>
    </row>
    <row r="105" spans="1:10" x14ac:dyDescent="0.25">
      <c r="A105" s="339"/>
      <c r="B105" s="270"/>
      <c r="C105" s="271"/>
      <c r="D105" s="456"/>
      <c r="E105" s="362"/>
      <c r="F105" s="272"/>
      <c r="G105" s="460"/>
      <c r="H105" s="272"/>
      <c r="I105" s="399"/>
      <c r="J105" s="241" t="b">
        <f>Age_Sex_BY[[#This Row],[Total Spending After Applying Truncation at the Member Level]]+Age_Sex_BY[[#This Row],[Total Dollars Excluded from Spending After Applying Truncation at the Member Level]]=Age_Sex_BY[[#This Row],[Total Spending before Truncation is Applied]]</f>
        <v>1</v>
      </c>
    </row>
    <row r="106" spans="1:10" x14ac:dyDescent="0.25">
      <c r="A106" s="342"/>
      <c r="B106" s="4"/>
      <c r="C106" s="16"/>
      <c r="D106" s="457"/>
      <c r="E106" s="363"/>
      <c r="F106" s="273"/>
      <c r="G106" s="226"/>
      <c r="H106" s="273"/>
      <c r="I106" s="400"/>
      <c r="J106" s="241" t="b">
        <f>Age_Sex_BY[[#This Row],[Total Spending After Applying Truncation at the Member Level]]+Age_Sex_BY[[#This Row],[Total Dollars Excluded from Spending After Applying Truncation at the Member Level]]=Age_Sex_BY[[#This Row],[Total Spending before Truncation is Applied]]</f>
        <v>1</v>
      </c>
    </row>
    <row r="107" spans="1:10" x14ac:dyDescent="0.25">
      <c r="A107" s="339"/>
      <c r="B107" s="270"/>
      <c r="C107" s="271"/>
      <c r="D107" s="456"/>
      <c r="E107" s="362"/>
      <c r="F107" s="272"/>
      <c r="G107" s="460"/>
      <c r="H107" s="272"/>
      <c r="I107" s="399"/>
      <c r="J107" s="241" t="b">
        <f>Age_Sex_BY[[#This Row],[Total Spending After Applying Truncation at the Member Level]]+Age_Sex_BY[[#This Row],[Total Dollars Excluded from Spending After Applying Truncation at the Member Level]]=Age_Sex_BY[[#This Row],[Total Spending before Truncation is Applied]]</f>
        <v>1</v>
      </c>
    </row>
    <row r="108" spans="1:10" x14ac:dyDescent="0.25">
      <c r="A108" s="342"/>
      <c r="B108" s="4"/>
      <c r="C108" s="16"/>
      <c r="D108" s="457"/>
      <c r="E108" s="363"/>
      <c r="F108" s="273"/>
      <c r="G108" s="226"/>
      <c r="H108" s="273"/>
      <c r="I108" s="400"/>
      <c r="J108" s="241" t="b">
        <f>Age_Sex_BY[[#This Row],[Total Spending After Applying Truncation at the Member Level]]+Age_Sex_BY[[#This Row],[Total Dollars Excluded from Spending After Applying Truncation at the Member Level]]=Age_Sex_BY[[#This Row],[Total Spending before Truncation is Applied]]</f>
        <v>1</v>
      </c>
    </row>
    <row r="109" spans="1:10" x14ac:dyDescent="0.25">
      <c r="A109" s="339"/>
      <c r="B109" s="270"/>
      <c r="C109" s="271"/>
      <c r="D109" s="456"/>
      <c r="E109" s="362"/>
      <c r="F109" s="272"/>
      <c r="G109" s="460"/>
      <c r="H109" s="272"/>
      <c r="I109" s="399"/>
      <c r="J109" s="241" t="b">
        <f>Age_Sex_BY[[#This Row],[Total Spending After Applying Truncation at the Member Level]]+Age_Sex_BY[[#This Row],[Total Dollars Excluded from Spending After Applying Truncation at the Member Level]]=Age_Sex_BY[[#This Row],[Total Spending before Truncation is Applied]]</f>
        <v>1</v>
      </c>
    </row>
    <row r="110" spans="1:10" x14ac:dyDescent="0.25">
      <c r="A110" s="342"/>
      <c r="B110" s="4"/>
      <c r="C110" s="16"/>
      <c r="D110" s="457"/>
      <c r="E110" s="363"/>
      <c r="F110" s="273"/>
      <c r="G110" s="226"/>
      <c r="H110" s="273"/>
      <c r="I110" s="400"/>
      <c r="J110" s="241" t="b">
        <f>Age_Sex_BY[[#This Row],[Total Spending After Applying Truncation at the Member Level]]+Age_Sex_BY[[#This Row],[Total Dollars Excluded from Spending After Applying Truncation at the Member Level]]=Age_Sex_BY[[#This Row],[Total Spending before Truncation is Applied]]</f>
        <v>1</v>
      </c>
    </row>
    <row r="111" spans="1:10" x14ac:dyDescent="0.25">
      <c r="A111" s="339"/>
      <c r="B111" s="270"/>
      <c r="C111" s="271"/>
      <c r="D111" s="456"/>
      <c r="E111" s="362"/>
      <c r="F111" s="272"/>
      <c r="G111" s="460"/>
      <c r="H111" s="272"/>
      <c r="I111" s="399"/>
      <c r="J111" s="241" t="b">
        <f>Age_Sex_BY[[#This Row],[Total Spending After Applying Truncation at the Member Level]]+Age_Sex_BY[[#This Row],[Total Dollars Excluded from Spending After Applying Truncation at the Member Level]]=Age_Sex_BY[[#This Row],[Total Spending before Truncation is Applied]]</f>
        <v>1</v>
      </c>
    </row>
    <row r="112" spans="1:10" x14ac:dyDescent="0.25">
      <c r="A112" s="342"/>
      <c r="B112" s="4"/>
      <c r="C112" s="16"/>
      <c r="D112" s="457"/>
      <c r="E112" s="363"/>
      <c r="F112" s="273"/>
      <c r="G112" s="226"/>
      <c r="H112" s="273"/>
      <c r="I112" s="400"/>
      <c r="J112" s="241" t="b">
        <f>Age_Sex_BY[[#This Row],[Total Spending After Applying Truncation at the Member Level]]+Age_Sex_BY[[#This Row],[Total Dollars Excluded from Spending After Applying Truncation at the Member Level]]=Age_Sex_BY[[#This Row],[Total Spending before Truncation is Applied]]</f>
        <v>1</v>
      </c>
    </row>
    <row r="113" spans="1:10" x14ac:dyDescent="0.25">
      <c r="A113" s="339"/>
      <c r="B113" s="270"/>
      <c r="C113" s="271"/>
      <c r="D113" s="456"/>
      <c r="E113" s="362"/>
      <c r="F113" s="272"/>
      <c r="G113" s="460"/>
      <c r="H113" s="272"/>
      <c r="I113" s="399"/>
      <c r="J113" s="241" t="b">
        <f>Age_Sex_BY[[#This Row],[Total Spending After Applying Truncation at the Member Level]]+Age_Sex_BY[[#This Row],[Total Dollars Excluded from Spending After Applying Truncation at the Member Level]]=Age_Sex_BY[[#This Row],[Total Spending before Truncation is Applied]]</f>
        <v>1</v>
      </c>
    </row>
    <row r="114" spans="1:10" x14ac:dyDescent="0.25">
      <c r="A114" s="342"/>
      <c r="B114" s="4"/>
      <c r="C114" s="16"/>
      <c r="D114" s="457"/>
      <c r="E114" s="363"/>
      <c r="F114" s="273"/>
      <c r="G114" s="226"/>
      <c r="H114" s="273"/>
      <c r="I114" s="400"/>
      <c r="J114" s="241" t="b">
        <f>Age_Sex_BY[[#This Row],[Total Spending After Applying Truncation at the Member Level]]+Age_Sex_BY[[#This Row],[Total Dollars Excluded from Spending After Applying Truncation at the Member Level]]=Age_Sex_BY[[#This Row],[Total Spending before Truncation is Applied]]</f>
        <v>1</v>
      </c>
    </row>
    <row r="115" spans="1:10" x14ac:dyDescent="0.25">
      <c r="A115" s="339"/>
      <c r="B115" s="270"/>
      <c r="C115" s="271"/>
      <c r="D115" s="456"/>
      <c r="E115" s="362"/>
      <c r="F115" s="272"/>
      <c r="G115" s="460"/>
      <c r="H115" s="272"/>
      <c r="I115" s="399"/>
      <c r="J115" s="241" t="b">
        <f>Age_Sex_BY[[#This Row],[Total Spending After Applying Truncation at the Member Level]]+Age_Sex_BY[[#This Row],[Total Dollars Excluded from Spending After Applying Truncation at the Member Level]]=Age_Sex_BY[[#This Row],[Total Spending before Truncation is Applied]]</f>
        <v>1</v>
      </c>
    </row>
    <row r="116" spans="1:10" x14ac:dyDescent="0.25">
      <c r="A116" s="342"/>
      <c r="B116" s="4"/>
      <c r="C116" s="16"/>
      <c r="D116" s="457"/>
      <c r="E116" s="363"/>
      <c r="F116" s="273"/>
      <c r="G116" s="226"/>
      <c r="H116" s="273"/>
      <c r="I116" s="400"/>
      <c r="J116" s="241" t="b">
        <f>Age_Sex_BY[[#This Row],[Total Spending After Applying Truncation at the Member Level]]+Age_Sex_BY[[#This Row],[Total Dollars Excluded from Spending After Applying Truncation at the Member Level]]=Age_Sex_BY[[#This Row],[Total Spending before Truncation is Applied]]</f>
        <v>1</v>
      </c>
    </row>
    <row r="117" spans="1:10" x14ac:dyDescent="0.25">
      <c r="A117" s="339"/>
      <c r="B117" s="270"/>
      <c r="C117" s="271"/>
      <c r="D117" s="456"/>
      <c r="E117" s="362"/>
      <c r="F117" s="272"/>
      <c r="G117" s="460"/>
      <c r="H117" s="272"/>
      <c r="I117" s="399"/>
      <c r="J117" s="241" t="b">
        <f>Age_Sex_BY[[#This Row],[Total Spending After Applying Truncation at the Member Level]]+Age_Sex_BY[[#This Row],[Total Dollars Excluded from Spending After Applying Truncation at the Member Level]]=Age_Sex_BY[[#This Row],[Total Spending before Truncation is Applied]]</f>
        <v>1</v>
      </c>
    </row>
    <row r="118" spans="1:10" x14ac:dyDescent="0.25">
      <c r="A118" s="342"/>
      <c r="B118" s="4"/>
      <c r="C118" s="16"/>
      <c r="D118" s="457"/>
      <c r="E118" s="363"/>
      <c r="F118" s="273"/>
      <c r="G118" s="226"/>
      <c r="H118" s="273"/>
      <c r="I118" s="400"/>
      <c r="J118" s="241" t="b">
        <f>Age_Sex_BY[[#This Row],[Total Spending After Applying Truncation at the Member Level]]+Age_Sex_BY[[#This Row],[Total Dollars Excluded from Spending After Applying Truncation at the Member Level]]=Age_Sex_BY[[#This Row],[Total Spending before Truncation is Applied]]</f>
        <v>1</v>
      </c>
    </row>
    <row r="119" spans="1:10" x14ac:dyDescent="0.25">
      <c r="A119" s="339"/>
      <c r="B119" s="270"/>
      <c r="C119" s="271"/>
      <c r="D119" s="456"/>
      <c r="E119" s="362"/>
      <c r="F119" s="272"/>
      <c r="G119" s="460"/>
      <c r="H119" s="272"/>
      <c r="I119" s="399"/>
      <c r="J119" s="241" t="b">
        <f>Age_Sex_BY[[#This Row],[Total Spending After Applying Truncation at the Member Level]]+Age_Sex_BY[[#This Row],[Total Dollars Excluded from Spending After Applying Truncation at the Member Level]]=Age_Sex_BY[[#This Row],[Total Spending before Truncation is Applied]]</f>
        <v>1</v>
      </c>
    </row>
    <row r="120" spans="1:10" x14ac:dyDescent="0.25">
      <c r="A120" s="342"/>
      <c r="B120" s="4"/>
      <c r="C120" s="16"/>
      <c r="D120" s="457"/>
      <c r="E120" s="363"/>
      <c r="F120" s="273"/>
      <c r="G120" s="226"/>
      <c r="H120" s="273"/>
      <c r="I120" s="400"/>
      <c r="J120" s="241" t="b">
        <f>Age_Sex_BY[[#This Row],[Total Spending After Applying Truncation at the Member Level]]+Age_Sex_BY[[#This Row],[Total Dollars Excluded from Spending After Applying Truncation at the Member Level]]=Age_Sex_BY[[#This Row],[Total Spending before Truncation is Applied]]</f>
        <v>1</v>
      </c>
    </row>
    <row r="121" spans="1:10" x14ac:dyDescent="0.25">
      <c r="A121" s="339"/>
      <c r="B121" s="270"/>
      <c r="C121" s="271"/>
      <c r="D121" s="456"/>
      <c r="E121" s="362"/>
      <c r="F121" s="272"/>
      <c r="G121" s="460"/>
      <c r="H121" s="272"/>
      <c r="I121" s="399"/>
      <c r="J121" s="241" t="b">
        <f>Age_Sex_BY[[#This Row],[Total Spending After Applying Truncation at the Member Level]]+Age_Sex_BY[[#This Row],[Total Dollars Excluded from Spending After Applying Truncation at the Member Level]]=Age_Sex_BY[[#This Row],[Total Spending before Truncation is Applied]]</f>
        <v>1</v>
      </c>
    </row>
    <row r="122" spans="1:10" x14ac:dyDescent="0.25">
      <c r="A122" s="342"/>
      <c r="B122" s="4"/>
      <c r="C122" s="16"/>
      <c r="D122" s="457"/>
      <c r="E122" s="363"/>
      <c r="F122" s="273"/>
      <c r="G122" s="226"/>
      <c r="H122" s="273"/>
      <c r="I122" s="400"/>
      <c r="J122" s="241" t="b">
        <f>Age_Sex_BY[[#This Row],[Total Spending After Applying Truncation at the Member Level]]+Age_Sex_BY[[#This Row],[Total Dollars Excluded from Spending After Applying Truncation at the Member Level]]=Age_Sex_BY[[#This Row],[Total Spending before Truncation is Applied]]</f>
        <v>1</v>
      </c>
    </row>
    <row r="123" spans="1:10" x14ac:dyDescent="0.25">
      <c r="A123" s="339"/>
      <c r="B123" s="270"/>
      <c r="C123" s="271"/>
      <c r="D123" s="456"/>
      <c r="E123" s="362"/>
      <c r="F123" s="272"/>
      <c r="G123" s="460"/>
      <c r="H123" s="272"/>
      <c r="I123" s="399"/>
      <c r="J123" s="241" t="b">
        <f>Age_Sex_BY[[#This Row],[Total Spending After Applying Truncation at the Member Level]]+Age_Sex_BY[[#This Row],[Total Dollars Excluded from Spending After Applying Truncation at the Member Level]]=Age_Sex_BY[[#This Row],[Total Spending before Truncation is Applied]]</f>
        <v>1</v>
      </c>
    </row>
    <row r="124" spans="1:10" x14ac:dyDescent="0.25">
      <c r="A124" s="342"/>
      <c r="B124" s="4"/>
      <c r="C124" s="16"/>
      <c r="D124" s="457"/>
      <c r="E124" s="363"/>
      <c r="F124" s="273"/>
      <c r="G124" s="226"/>
      <c r="H124" s="273"/>
      <c r="I124" s="400"/>
      <c r="J124" s="241" t="b">
        <f>Age_Sex_BY[[#This Row],[Total Spending After Applying Truncation at the Member Level]]+Age_Sex_BY[[#This Row],[Total Dollars Excluded from Spending After Applying Truncation at the Member Level]]=Age_Sex_BY[[#This Row],[Total Spending before Truncation is Applied]]</f>
        <v>1</v>
      </c>
    </row>
    <row r="125" spans="1:10" x14ac:dyDescent="0.25">
      <c r="A125" s="339"/>
      <c r="B125" s="270"/>
      <c r="C125" s="271"/>
      <c r="D125" s="456"/>
      <c r="E125" s="362"/>
      <c r="F125" s="272"/>
      <c r="G125" s="460"/>
      <c r="H125" s="272"/>
      <c r="I125" s="399"/>
      <c r="J125" s="241" t="b">
        <f>Age_Sex_BY[[#This Row],[Total Spending After Applying Truncation at the Member Level]]+Age_Sex_BY[[#This Row],[Total Dollars Excluded from Spending After Applying Truncation at the Member Level]]=Age_Sex_BY[[#This Row],[Total Spending before Truncation is Applied]]</f>
        <v>1</v>
      </c>
    </row>
    <row r="126" spans="1:10" x14ac:dyDescent="0.25">
      <c r="A126" s="342"/>
      <c r="B126" s="4"/>
      <c r="C126" s="16"/>
      <c r="D126" s="457"/>
      <c r="E126" s="363"/>
      <c r="F126" s="273"/>
      <c r="G126" s="226"/>
      <c r="H126" s="273"/>
      <c r="I126" s="400"/>
      <c r="J126" s="241" t="b">
        <f>Age_Sex_BY[[#This Row],[Total Spending After Applying Truncation at the Member Level]]+Age_Sex_BY[[#This Row],[Total Dollars Excluded from Spending After Applying Truncation at the Member Level]]=Age_Sex_BY[[#This Row],[Total Spending before Truncation is Applied]]</f>
        <v>1</v>
      </c>
    </row>
    <row r="127" spans="1:10" x14ac:dyDescent="0.25">
      <c r="A127" s="339"/>
      <c r="B127" s="270"/>
      <c r="C127" s="271"/>
      <c r="D127" s="456"/>
      <c r="E127" s="362"/>
      <c r="F127" s="272"/>
      <c r="G127" s="460"/>
      <c r="H127" s="272"/>
      <c r="I127" s="399"/>
      <c r="J127" s="241" t="b">
        <f>Age_Sex_BY[[#This Row],[Total Spending After Applying Truncation at the Member Level]]+Age_Sex_BY[[#This Row],[Total Dollars Excluded from Spending After Applying Truncation at the Member Level]]=Age_Sex_BY[[#This Row],[Total Spending before Truncation is Applied]]</f>
        <v>1</v>
      </c>
    </row>
    <row r="128" spans="1:10" x14ac:dyDescent="0.25">
      <c r="A128" s="342"/>
      <c r="B128" s="4"/>
      <c r="C128" s="16"/>
      <c r="D128" s="457"/>
      <c r="E128" s="363"/>
      <c r="F128" s="273"/>
      <c r="G128" s="226"/>
      <c r="H128" s="273"/>
      <c r="I128" s="400"/>
      <c r="J128" s="241" t="b">
        <f>Age_Sex_BY[[#This Row],[Total Spending After Applying Truncation at the Member Level]]+Age_Sex_BY[[#This Row],[Total Dollars Excluded from Spending After Applying Truncation at the Member Level]]=Age_Sex_BY[[#This Row],[Total Spending before Truncation is Applied]]</f>
        <v>1</v>
      </c>
    </row>
    <row r="129" spans="1:10" x14ac:dyDescent="0.25">
      <c r="A129" s="339"/>
      <c r="B129" s="270"/>
      <c r="C129" s="271"/>
      <c r="D129" s="456"/>
      <c r="E129" s="362"/>
      <c r="F129" s="272"/>
      <c r="G129" s="460"/>
      <c r="H129" s="272"/>
      <c r="I129" s="399"/>
      <c r="J129" s="241" t="b">
        <f>Age_Sex_BY[[#This Row],[Total Spending After Applying Truncation at the Member Level]]+Age_Sex_BY[[#This Row],[Total Dollars Excluded from Spending After Applying Truncation at the Member Level]]=Age_Sex_BY[[#This Row],[Total Spending before Truncation is Applied]]</f>
        <v>1</v>
      </c>
    </row>
    <row r="130" spans="1:10" x14ac:dyDescent="0.25">
      <c r="A130" s="342"/>
      <c r="B130" s="4"/>
      <c r="C130" s="16"/>
      <c r="D130" s="457"/>
      <c r="E130" s="363"/>
      <c r="F130" s="273"/>
      <c r="G130" s="226"/>
      <c r="H130" s="273"/>
      <c r="I130" s="400"/>
      <c r="J130" s="241" t="b">
        <f>Age_Sex_BY[[#This Row],[Total Spending After Applying Truncation at the Member Level]]+Age_Sex_BY[[#This Row],[Total Dollars Excluded from Spending After Applying Truncation at the Member Level]]=Age_Sex_BY[[#This Row],[Total Spending before Truncation is Applied]]</f>
        <v>1</v>
      </c>
    </row>
    <row r="131" spans="1:10" x14ac:dyDescent="0.25">
      <c r="A131" s="339"/>
      <c r="B131" s="270"/>
      <c r="C131" s="271"/>
      <c r="D131" s="456"/>
      <c r="E131" s="362"/>
      <c r="F131" s="272"/>
      <c r="G131" s="460"/>
      <c r="H131" s="272"/>
      <c r="I131" s="399"/>
      <c r="J131" s="241" t="b">
        <f>Age_Sex_BY[[#This Row],[Total Spending After Applying Truncation at the Member Level]]+Age_Sex_BY[[#This Row],[Total Dollars Excluded from Spending After Applying Truncation at the Member Level]]=Age_Sex_BY[[#This Row],[Total Spending before Truncation is Applied]]</f>
        <v>1</v>
      </c>
    </row>
    <row r="132" spans="1:10" x14ac:dyDescent="0.25">
      <c r="A132" s="342"/>
      <c r="B132" s="4"/>
      <c r="C132" s="16"/>
      <c r="D132" s="457"/>
      <c r="E132" s="363"/>
      <c r="F132" s="273"/>
      <c r="G132" s="226"/>
      <c r="H132" s="273"/>
      <c r="I132" s="400"/>
      <c r="J132" s="241" t="b">
        <f>Age_Sex_BY[[#This Row],[Total Spending After Applying Truncation at the Member Level]]+Age_Sex_BY[[#This Row],[Total Dollars Excluded from Spending After Applying Truncation at the Member Level]]=Age_Sex_BY[[#This Row],[Total Spending before Truncation is Applied]]</f>
        <v>1</v>
      </c>
    </row>
    <row r="133" spans="1:10" x14ac:dyDescent="0.25">
      <c r="A133" s="339"/>
      <c r="B133" s="270"/>
      <c r="C133" s="271"/>
      <c r="D133" s="456"/>
      <c r="E133" s="362"/>
      <c r="F133" s="272"/>
      <c r="G133" s="460"/>
      <c r="H133" s="272"/>
      <c r="I133" s="399"/>
      <c r="J133" s="241" t="b">
        <f>Age_Sex_BY[[#This Row],[Total Spending After Applying Truncation at the Member Level]]+Age_Sex_BY[[#This Row],[Total Dollars Excluded from Spending After Applying Truncation at the Member Level]]=Age_Sex_BY[[#This Row],[Total Spending before Truncation is Applied]]</f>
        <v>1</v>
      </c>
    </row>
    <row r="134" spans="1:10" x14ac:dyDescent="0.25">
      <c r="A134" s="342"/>
      <c r="B134" s="4"/>
      <c r="C134" s="16"/>
      <c r="D134" s="457"/>
      <c r="E134" s="363"/>
      <c r="F134" s="273"/>
      <c r="G134" s="226"/>
      <c r="H134" s="273"/>
      <c r="I134" s="400"/>
      <c r="J134" s="241" t="b">
        <f>Age_Sex_BY[[#This Row],[Total Spending After Applying Truncation at the Member Level]]+Age_Sex_BY[[#This Row],[Total Dollars Excluded from Spending After Applying Truncation at the Member Level]]=Age_Sex_BY[[#This Row],[Total Spending before Truncation is Applied]]</f>
        <v>1</v>
      </c>
    </row>
    <row r="135" spans="1:10" x14ac:dyDescent="0.25">
      <c r="A135" s="339"/>
      <c r="B135" s="270"/>
      <c r="C135" s="271"/>
      <c r="D135" s="456"/>
      <c r="E135" s="362"/>
      <c r="F135" s="272"/>
      <c r="G135" s="460"/>
      <c r="H135" s="272"/>
      <c r="I135" s="399"/>
      <c r="J135" s="241" t="b">
        <f>Age_Sex_BY[[#This Row],[Total Spending After Applying Truncation at the Member Level]]+Age_Sex_BY[[#This Row],[Total Dollars Excluded from Spending After Applying Truncation at the Member Level]]=Age_Sex_BY[[#This Row],[Total Spending before Truncation is Applied]]</f>
        <v>1</v>
      </c>
    </row>
    <row r="136" spans="1:10" x14ac:dyDescent="0.25">
      <c r="A136" s="342"/>
      <c r="B136" s="4"/>
      <c r="C136" s="16"/>
      <c r="D136" s="457"/>
      <c r="E136" s="363"/>
      <c r="F136" s="273"/>
      <c r="G136" s="226"/>
      <c r="H136" s="273"/>
      <c r="I136" s="400"/>
      <c r="J136" s="241" t="b">
        <f>Age_Sex_BY[[#This Row],[Total Spending After Applying Truncation at the Member Level]]+Age_Sex_BY[[#This Row],[Total Dollars Excluded from Spending After Applying Truncation at the Member Level]]=Age_Sex_BY[[#This Row],[Total Spending before Truncation is Applied]]</f>
        <v>1</v>
      </c>
    </row>
    <row r="137" spans="1:10" x14ac:dyDescent="0.25">
      <c r="A137" s="339"/>
      <c r="B137" s="270"/>
      <c r="C137" s="271"/>
      <c r="D137" s="456"/>
      <c r="E137" s="362"/>
      <c r="F137" s="272"/>
      <c r="G137" s="460"/>
      <c r="H137" s="272"/>
      <c r="I137" s="399"/>
      <c r="J137" s="241" t="b">
        <f>Age_Sex_BY[[#This Row],[Total Spending After Applying Truncation at the Member Level]]+Age_Sex_BY[[#This Row],[Total Dollars Excluded from Spending After Applying Truncation at the Member Level]]=Age_Sex_BY[[#This Row],[Total Spending before Truncation is Applied]]</f>
        <v>1</v>
      </c>
    </row>
    <row r="138" spans="1:10" x14ac:dyDescent="0.25">
      <c r="A138" s="342"/>
      <c r="B138" s="4"/>
      <c r="C138" s="16"/>
      <c r="D138" s="457"/>
      <c r="E138" s="363"/>
      <c r="F138" s="273"/>
      <c r="G138" s="226"/>
      <c r="H138" s="273"/>
      <c r="I138" s="400"/>
      <c r="J138" s="241" t="b">
        <f>Age_Sex_BY[[#This Row],[Total Spending After Applying Truncation at the Member Level]]+Age_Sex_BY[[#This Row],[Total Dollars Excluded from Spending After Applying Truncation at the Member Level]]=Age_Sex_BY[[#This Row],[Total Spending before Truncation is Applied]]</f>
        <v>1</v>
      </c>
    </row>
    <row r="139" spans="1:10" x14ac:dyDescent="0.25">
      <c r="A139" s="339"/>
      <c r="B139" s="270"/>
      <c r="C139" s="271"/>
      <c r="D139" s="456"/>
      <c r="E139" s="362"/>
      <c r="F139" s="272"/>
      <c r="G139" s="460"/>
      <c r="H139" s="272"/>
      <c r="I139" s="399"/>
      <c r="J139" s="241" t="b">
        <f>Age_Sex_BY[[#This Row],[Total Spending After Applying Truncation at the Member Level]]+Age_Sex_BY[[#This Row],[Total Dollars Excluded from Spending After Applying Truncation at the Member Level]]=Age_Sex_BY[[#This Row],[Total Spending before Truncation is Applied]]</f>
        <v>1</v>
      </c>
    </row>
    <row r="140" spans="1:10" x14ac:dyDescent="0.25">
      <c r="A140" s="342"/>
      <c r="B140" s="4"/>
      <c r="C140" s="16"/>
      <c r="D140" s="457"/>
      <c r="E140" s="363"/>
      <c r="F140" s="273"/>
      <c r="G140" s="226"/>
      <c r="H140" s="273"/>
      <c r="I140" s="400"/>
      <c r="J140" s="241" t="b">
        <f>Age_Sex_BY[[#This Row],[Total Spending After Applying Truncation at the Member Level]]+Age_Sex_BY[[#This Row],[Total Dollars Excluded from Spending After Applying Truncation at the Member Level]]=Age_Sex_BY[[#This Row],[Total Spending before Truncation is Applied]]</f>
        <v>1</v>
      </c>
    </row>
    <row r="141" spans="1:10" x14ac:dyDescent="0.25">
      <c r="A141" s="339"/>
      <c r="B141" s="270"/>
      <c r="C141" s="271"/>
      <c r="D141" s="456"/>
      <c r="E141" s="362"/>
      <c r="F141" s="272"/>
      <c r="G141" s="460"/>
      <c r="H141" s="272"/>
      <c r="I141" s="399"/>
      <c r="J141" s="241" t="b">
        <f>Age_Sex_BY[[#This Row],[Total Spending After Applying Truncation at the Member Level]]+Age_Sex_BY[[#This Row],[Total Dollars Excluded from Spending After Applying Truncation at the Member Level]]=Age_Sex_BY[[#This Row],[Total Spending before Truncation is Applied]]</f>
        <v>1</v>
      </c>
    </row>
    <row r="142" spans="1:10" x14ac:dyDescent="0.25">
      <c r="A142" s="342"/>
      <c r="B142" s="4"/>
      <c r="C142" s="16"/>
      <c r="D142" s="457"/>
      <c r="E142" s="363"/>
      <c r="F142" s="273"/>
      <c r="G142" s="226"/>
      <c r="H142" s="273"/>
      <c r="I142" s="400"/>
      <c r="J142" s="241" t="b">
        <f>Age_Sex_BY[[#This Row],[Total Spending After Applying Truncation at the Member Level]]+Age_Sex_BY[[#This Row],[Total Dollars Excluded from Spending After Applying Truncation at the Member Level]]=Age_Sex_BY[[#This Row],[Total Spending before Truncation is Applied]]</f>
        <v>1</v>
      </c>
    </row>
    <row r="143" spans="1:10" x14ac:dyDescent="0.25">
      <c r="A143" s="339"/>
      <c r="B143" s="270"/>
      <c r="C143" s="271"/>
      <c r="D143" s="456"/>
      <c r="E143" s="362"/>
      <c r="F143" s="272"/>
      <c r="G143" s="460"/>
      <c r="H143" s="272"/>
      <c r="I143" s="399"/>
      <c r="J143" s="241" t="b">
        <f>Age_Sex_BY[[#This Row],[Total Spending After Applying Truncation at the Member Level]]+Age_Sex_BY[[#This Row],[Total Dollars Excluded from Spending After Applying Truncation at the Member Level]]=Age_Sex_BY[[#This Row],[Total Spending before Truncation is Applied]]</f>
        <v>1</v>
      </c>
    </row>
    <row r="144" spans="1:10" x14ac:dyDescent="0.25">
      <c r="A144" s="342"/>
      <c r="B144" s="4"/>
      <c r="C144" s="16"/>
      <c r="D144" s="457"/>
      <c r="E144" s="363"/>
      <c r="F144" s="273"/>
      <c r="G144" s="226"/>
      <c r="H144" s="273"/>
      <c r="I144" s="400"/>
      <c r="J144" s="241" t="b">
        <f>Age_Sex_BY[[#This Row],[Total Spending After Applying Truncation at the Member Level]]+Age_Sex_BY[[#This Row],[Total Dollars Excluded from Spending After Applying Truncation at the Member Level]]=Age_Sex_BY[[#This Row],[Total Spending before Truncation is Applied]]</f>
        <v>1</v>
      </c>
    </row>
    <row r="145" spans="1:10" x14ac:dyDescent="0.25">
      <c r="A145" s="339"/>
      <c r="B145" s="270"/>
      <c r="C145" s="271"/>
      <c r="D145" s="456"/>
      <c r="E145" s="362"/>
      <c r="F145" s="272"/>
      <c r="G145" s="460"/>
      <c r="H145" s="272"/>
      <c r="I145" s="399"/>
      <c r="J145" s="241" t="b">
        <f>Age_Sex_BY[[#This Row],[Total Spending After Applying Truncation at the Member Level]]+Age_Sex_BY[[#This Row],[Total Dollars Excluded from Spending After Applying Truncation at the Member Level]]=Age_Sex_BY[[#This Row],[Total Spending before Truncation is Applied]]</f>
        <v>1</v>
      </c>
    </row>
    <row r="146" spans="1:10" x14ac:dyDescent="0.25">
      <c r="A146" s="342"/>
      <c r="B146" s="4"/>
      <c r="C146" s="16"/>
      <c r="D146" s="457"/>
      <c r="E146" s="363"/>
      <c r="F146" s="273"/>
      <c r="G146" s="226"/>
      <c r="H146" s="273"/>
      <c r="I146" s="400"/>
      <c r="J146" s="241" t="b">
        <f>Age_Sex_BY[[#This Row],[Total Spending After Applying Truncation at the Member Level]]+Age_Sex_BY[[#This Row],[Total Dollars Excluded from Spending After Applying Truncation at the Member Level]]=Age_Sex_BY[[#This Row],[Total Spending before Truncation is Applied]]</f>
        <v>1</v>
      </c>
    </row>
    <row r="147" spans="1:10" x14ac:dyDescent="0.25">
      <c r="A147" s="339"/>
      <c r="B147" s="270"/>
      <c r="C147" s="271"/>
      <c r="D147" s="456"/>
      <c r="E147" s="362"/>
      <c r="F147" s="272"/>
      <c r="G147" s="460"/>
      <c r="H147" s="272"/>
      <c r="I147" s="399"/>
      <c r="J147" s="241" t="b">
        <f>Age_Sex_BY[[#This Row],[Total Spending After Applying Truncation at the Member Level]]+Age_Sex_BY[[#This Row],[Total Dollars Excluded from Spending After Applying Truncation at the Member Level]]=Age_Sex_BY[[#This Row],[Total Spending before Truncation is Applied]]</f>
        <v>1</v>
      </c>
    </row>
    <row r="148" spans="1:10" x14ac:dyDescent="0.25">
      <c r="A148" s="342"/>
      <c r="B148" s="4"/>
      <c r="C148" s="16"/>
      <c r="D148" s="457"/>
      <c r="E148" s="363"/>
      <c r="F148" s="273"/>
      <c r="G148" s="226"/>
      <c r="H148" s="273"/>
      <c r="I148" s="400"/>
      <c r="J148" s="241" t="b">
        <f>Age_Sex_BY[[#This Row],[Total Spending After Applying Truncation at the Member Level]]+Age_Sex_BY[[#This Row],[Total Dollars Excluded from Spending After Applying Truncation at the Member Level]]=Age_Sex_BY[[#This Row],[Total Spending before Truncation is Applied]]</f>
        <v>1</v>
      </c>
    </row>
    <row r="149" spans="1:10" x14ac:dyDescent="0.25">
      <c r="A149" s="339"/>
      <c r="B149" s="270"/>
      <c r="C149" s="271"/>
      <c r="D149" s="456"/>
      <c r="E149" s="362"/>
      <c r="F149" s="272"/>
      <c r="G149" s="460"/>
      <c r="H149" s="272"/>
      <c r="I149" s="399"/>
      <c r="J149" s="241" t="b">
        <f>Age_Sex_BY[[#This Row],[Total Spending After Applying Truncation at the Member Level]]+Age_Sex_BY[[#This Row],[Total Dollars Excluded from Spending After Applying Truncation at the Member Level]]=Age_Sex_BY[[#This Row],[Total Spending before Truncation is Applied]]</f>
        <v>1</v>
      </c>
    </row>
    <row r="150" spans="1:10" x14ac:dyDescent="0.25">
      <c r="A150" s="342"/>
      <c r="B150" s="4"/>
      <c r="C150" s="16"/>
      <c r="D150" s="457"/>
      <c r="E150" s="363"/>
      <c r="F150" s="273"/>
      <c r="G150" s="226"/>
      <c r="H150" s="273"/>
      <c r="I150" s="400"/>
      <c r="J150" s="241" t="b">
        <f>Age_Sex_BY[[#This Row],[Total Spending After Applying Truncation at the Member Level]]+Age_Sex_BY[[#This Row],[Total Dollars Excluded from Spending After Applying Truncation at the Member Level]]=Age_Sex_BY[[#This Row],[Total Spending before Truncation is Applied]]</f>
        <v>1</v>
      </c>
    </row>
    <row r="151" spans="1:10" x14ac:dyDescent="0.25">
      <c r="A151" s="339"/>
      <c r="B151" s="270"/>
      <c r="C151" s="271"/>
      <c r="D151" s="456"/>
      <c r="E151" s="362"/>
      <c r="F151" s="272"/>
      <c r="G151" s="460"/>
      <c r="H151" s="272"/>
      <c r="I151" s="399"/>
      <c r="J151" s="241" t="b">
        <f>Age_Sex_BY[[#This Row],[Total Spending After Applying Truncation at the Member Level]]+Age_Sex_BY[[#This Row],[Total Dollars Excluded from Spending After Applying Truncation at the Member Level]]=Age_Sex_BY[[#This Row],[Total Spending before Truncation is Applied]]</f>
        <v>1</v>
      </c>
    </row>
    <row r="152" spans="1:10" x14ac:dyDescent="0.25">
      <c r="A152" s="342"/>
      <c r="B152" s="4"/>
      <c r="C152" s="16"/>
      <c r="D152" s="457"/>
      <c r="E152" s="363"/>
      <c r="F152" s="273"/>
      <c r="G152" s="226"/>
      <c r="H152" s="273"/>
      <c r="I152" s="400"/>
      <c r="J152" s="241" t="b">
        <f>Age_Sex_BY[[#This Row],[Total Spending After Applying Truncation at the Member Level]]+Age_Sex_BY[[#This Row],[Total Dollars Excluded from Spending After Applying Truncation at the Member Level]]=Age_Sex_BY[[#This Row],[Total Spending before Truncation is Applied]]</f>
        <v>1</v>
      </c>
    </row>
    <row r="153" spans="1:10" x14ac:dyDescent="0.25">
      <c r="A153" s="339"/>
      <c r="B153" s="270"/>
      <c r="C153" s="271"/>
      <c r="D153" s="456"/>
      <c r="E153" s="362"/>
      <c r="F153" s="272"/>
      <c r="G153" s="460"/>
      <c r="H153" s="272"/>
      <c r="I153" s="399"/>
      <c r="J153" s="241" t="b">
        <f>Age_Sex_BY[[#This Row],[Total Spending After Applying Truncation at the Member Level]]+Age_Sex_BY[[#This Row],[Total Dollars Excluded from Spending After Applying Truncation at the Member Level]]=Age_Sex_BY[[#This Row],[Total Spending before Truncation is Applied]]</f>
        <v>1</v>
      </c>
    </row>
    <row r="154" spans="1:10" x14ac:dyDescent="0.25">
      <c r="A154" s="342"/>
      <c r="B154" s="4"/>
      <c r="C154" s="16"/>
      <c r="D154" s="457"/>
      <c r="E154" s="363"/>
      <c r="F154" s="273"/>
      <c r="G154" s="226"/>
      <c r="H154" s="273"/>
      <c r="I154" s="400"/>
      <c r="J154" s="241" t="b">
        <f>Age_Sex_BY[[#This Row],[Total Spending After Applying Truncation at the Member Level]]+Age_Sex_BY[[#This Row],[Total Dollars Excluded from Spending After Applying Truncation at the Member Level]]=Age_Sex_BY[[#This Row],[Total Spending before Truncation is Applied]]</f>
        <v>1</v>
      </c>
    </row>
    <row r="155" spans="1:10" x14ac:dyDescent="0.25">
      <c r="A155" s="339"/>
      <c r="B155" s="270"/>
      <c r="C155" s="271"/>
      <c r="D155" s="456"/>
      <c r="E155" s="362"/>
      <c r="F155" s="272"/>
      <c r="G155" s="460"/>
      <c r="H155" s="272"/>
      <c r="I155" s="399"/>
      <c r="J155" s="241" t="b">
        <f>Age_Sex_BY[[#This Row],[Total Spending After Applying Truncation at the Member Level]]+Age_Sex_BY[[#This Row],[Total Dollars Excluded from Spending After Applying Truncation at the Member Level]]=Age_Sex_BY[[#This Row],[Total Spending before Truncation is Applied]]</f>
        <v>1</v>
      </c>
    </row>
    <row r="156" spans="1:10" x14ac:dyDescent="0.25">
      <c r="A156" s="342"/>
      <c r="B156" s="4"/>
      <c r="C156" s="16"/>
      <c r="D156" s="457"/>
      <c r="E156" s="363"/>
      <c r="F156" s="273"/>
      <c r="G156" s="226"/>
      <c r="H156" s="273"/>
      <c r="I156" s="400"/>
      <c r="J156" s="241" t="b">
        <f>Age_Sex_BY[[#This Row],[Total Spending After Applying Truncation at the Member Level]]+Age_Sex_BY[[#This Row],[Total Dollars Excluded from Spending After Applying Truncation at the Member Level]]=Age_Sex_BY[[#This Row],[Total Spending before Truncation is Applied]]</f>
        <v>1</v>
      </c>
    </row>
    <row r="157" spans="1:10" x14ac:dyDescent="0.25">
      <c r="A157" s="339"/>
      <c r="B157" s="270"/>
      <c r="C157" s="271"/>
      <c r="D157" s="456"/>
      <c r="E157" s="362"/>
      <c r="F157" s="272"/>
      <c r="G157" s="460"/>
      <c r="H157" s="272"/>
      <c r="I157" s="399"/>
      <c r="J157" s="241" t="b">
        <f>Age_Sex_BY[[#This Row],[Total Spending After Applying Truncation at the Member Level]]+Age_Sex_BY[[#This Row],[Total Dollars Excluded from Spending After Applying Truncation at the Member Level]]=Age_Sex_BY[[#This Row],[Total Spending before Truncation is Applied]]</f>
        <v>1</v>
      </c>
    </row>
    <row r="158" spans="1:10" x14ac:dyDescent="0.25">
      <c r="A158" s="342"/>
      <c r="B158" s="4"/>
      <c r="C158" s="16"/>
      <c r="D158" s="457"/>
      <c r="E158" s="363"/>
      <c r="F158" s="273"/>
      <c r="G158" s="226"/>
      <c r="H158" s="273"/>
      <c r="I158" s="400"/>
      <c r="J158" s="241" t="b">
        <f>Age_Sex_BY[[#This Row],[Total Spending After Applying Truncation at the Member Level]]+Age_Sex_BY[[#This Row],[Total Dollars Excluded from Spending After Applying Truncation at the Member Level]]=Age_Sex_BY[[#This Row],[Total Spending before Truncation is Applied]]</f>
        <v>1</v>
      </c>
    </row>
    <row r="159" spans="1:10" x14ac:dyDescent="0.25">
      <c r="A159" s="339"/>
      <c r="B159" s="270"/>
      <c r="C159" s="271"/>
      <c r="D159" s="456"/>
      <c r="E159" s="362"/>
      <c r="F159" s="272"/>
      <c r="G159" s="460"/>
      <c r="H159" s="272"/>
      <c r="I159" s="399"/>
      <c r="J159" s="241" t="b">
        <f>Age_Sex_BY[[#This Row],[Total Spending After Applying Truncation at the Member Level]]+Age_Sex_BY[[#This Row],[Total Dollars Excluded from Spending After Applying Truncation at the Member Level]]=Age_Sex_BY[[#This Row],[Total Spending before Truncation is Applied]]</f>
        <v>1</v>
      </c>
    </row>
    <row r="160" spans="1:10" x14ac:dyDescent="0.25">
      <c r="A160" s="342"/>
      <c r="B160" s="4"/>
      <c r="C160" s="16"/>
      <c r="D160" s="457"/>
      <c r="E160" s="363"/>
      <c r="F160" s="273"/>
      <c r="G160" s="226"/>
      <c r="H160" s="273"/>
      <c r="I160" s="400"/>
      <c r="J160" s="241" t="b">
        <f>Age_Sex_BY[[#This Row],[Total Spending After Applying Truncation at the Member Level]]+Age_Sex_BY[[#This Row],[Total Dollars Excluded from Spending After Applying Truncation at the Member Level]]=Age_Sex_BY[[#This Row],[Total Spending before Truncation is Applied]]</f>
        <v>1</v>
      </c>
    </row>
    <row r="161" spans="1:10" x14ac:dyDescent="0.25">
      <c r="A161" s="339"/>
      <c r="B161" s="270"/>
      <c r="C161" s="271"/>
      <c r="D161" s="456"/>
      <c r="E161" s="362"/>
      <c r="F161" s="272"/>
      <c r="G161" s="460"/>
      <c r="H161" s="272"/>
      <c r="I161" s="399"/>
      <c r="J161" s="241" t="b">
        <f>Age_Sex_BY[[#This Row],[Total Spending After Applying Truncation at the Member Level]]+Age_Sex_BY[[#This Row],[Total Dollars Excluded from Spending After Applying Truncation at the Member Level]]=Age_Sex_BY[[#This Row],[Total Spending before Truncation is Applied]]</f>
        <v>1</v>
      </c>
    </row>
    <row r="162" spans="1:10" x14ac:dyDescent="0.25">
      <c r="A162" s="342"/>
      <c r="B162" s="4"/>
      <c r="C162" s="16"/>
      <c r="D162" s="457"/>
      <c r="E162" s="363"/>
      <c r="F162" s="273"/>
      <c r="G162" s="226"/>
      <c r="H162" s="273"/>
      <c r="I162" s="400"/>
      <c r="J162" s="241" t="b">
        <f>Age_Sex_BY[[#This Row],[Total Spending After Applying Truncation at the Member Level]]+Age_Sex_BY[[#This Row],[Total Dollars Excluded from Spending After Applying Truncation at the Member Level]]=Age_Sex_BY[[#This Row],[Total Spending before Truncation is Applied]]</f>
        <v>1</v>
      </c>
    </row>
    <row r="163" spans="1:10" x14ac:dyDescent="0.25">
      <c r="A163" s="339"/>
      <c r="B163" s="270"/>
      <c r="C163" s="271"/>
      <c r="D163" s="456"/>
      <c r="E163" s="362"/>
      <c r="F163" s="272"/>
      <c r="G163" s="460"/>
      <c r="H163" s="272"/>
      <c r="I163" s="399"/>
      <c r="J163" s="241" t="b">
        <f>Age_Sex_BY[[#This Row],[Total Spending After Applying Truncation at the Member Level]]+Age_Sex_BY[[#This Row],[Total Dollars Excluded from Spending After Applying Truncation at the Member Level]]=Age_Sex_BY[[#This Row],[Total Spending before Truncation is Applied]]</f>
        <v>1</v>
      </c>
    </row>
    <row r="164" spans="1:10" x14ac:dyDescent="0.25">
      <c r="A164" s="342"/>
      <c r="B164" s="4"/>
      <c r="C164" s="16"/>
      <c r="D164" s="457"/>
      <c r="E164" s="363"/>
      <c r="F164" s="273"/>
      <c r="G164" s="226"/>
      <c r="H164" s="273"/>
      <c r="I164" s="400"/>
      <c r="J164" s="241" t="b">
        <f>Age_Sex_BY[[#This Row],[Total Spending After Applying Truncation at the Member Level]]+Age_Sex_BY[[#This Row],[Total Dollars Excluded from Spending After Applying Truncation at the Member Level]]=Age_Sex_BY[[#This Row],[Total Spending before Truncation is Applied]]</f>
        <v>1</v>
      </c>
    </row>
    <row r="165" spans="1:10" x14ac:dyDescent="0.25">
      <c r="A165" s="339"/>
      <c r="B165" s="270"/>
      <c r="C165" s="271"/>
      <c r="D165" s="456"/>
      <c r="E165" s="362"/>
      <c r="F165" s="272"/>
      <c r="G165" s="460"/>
      <c r="H165" s="272"/>
      <c r="I165" s="399"/>
      <c r="J165" s="241" t="b">
        <f>Age_Sex_BY[[#This Row],[Total Spending After Applying Truncation at the Member Level]]+Age_Sex_BY[[#This Row],[Total Dollars Excluded from Spending After Applying Truncation at the Member Level]]=Age_Sex_BY[[#This Row],[Total Spending before Truncation is Applied]]</f>
        <v>1</v>
      </c>
    </row>
    <row r="166" spans="1:10" x14ac:dyDescent="0.25">
      <c r="A166" s="342"/>
      <c r="B166" s="4"/>
      <c r="C166" s="16"/>
      <c r="D166" s="457"/>
      <c r="E166" s="363"/>
      <c r="F166" s="273"/>
      <c r="G166" s="226"/>
      <c r="H166" s="273"/>
      <c r="I166" s="400"/>
      <c r="J166" s="241" t="b">
        <f>Age_Sex_BY[[#This Row],[Total Spending After Applying Truncation at the Member Level]]+Age_Sex_BY[[#This Row],[Total Dollars Excluded from Spending After Applying Truncation at the Member Level]]=Age_Sex_BY[[#This Row],[Total Spending before Truncation is Applied]]</f>
        <v>1</v>
      </c>
    </row>
    <row r="167" spans="1:10" x14ac:dyDescent="0.25">
      <c r="A167" s="339"/>
      <c r="B167" s="270"/>
      <c r="C167" s="271"/>
      <c r="D167" s="456"/>
      <c r="E167" s="362"/>
      <c r="F167" s="272"/>
      <c r="G167" s="460"/>
      <c r="H167" s="272"/>
      <c r="I167" s="399"/>
      <c r="J167" s="241" t="b">
        <f>Age_Sex_BY[[#This Row],[Total Spending After Applying Truncation at the Member Level]]+Age_Sex_BY[[#This Row],[Total Dollars Excluded from Spending After Applying Truncation at the Member Level]]=Age_Sex_BY[[#This Row],[Total Spending before Truncation is Applied]]</f>
        <v>1</v>
      </c>
    </row>
    <row r="168" spans="1:10" x14ac:dyDescent="0.25">
      <c r="A168" s="342"/>
      <c r="B168" s="4"/>
      <c r="C168" s="16"/>
      <c r="D168" s="457"/>
      <c r="E168" s="363"/>
      <c r="F168" s="273"/>
      <c r="G168" s="226"/>
      <c r="H168" s="273"/>
      <c r="I168" s="400"/>
      <c r="J168" s="241" t="b">
        <f>Age_Sex_BY[[#This Row],[Total Spending After Applying Truncation at the Member Level]]+Age_Sex_BY[[#This Row],[Total Dollars Excluded from Spending After Applying Truncation at the Member Level]]=Age_Sex_BY[[#This Row],[Total Spending before Truncation is Applied]]</f>
        <v>1</v>
      </c>
    </row>
    <row r="169" spans="1:10" x14ac:dyDescent="0.25">
      <c r="A169" s="339"/>
      <c r="B169" s="270"/>
      <c r="C169" s="271"/>
      <c r="D169" s="456"/>
      <c r="E169" s="362"/>
      <c r="F169" s="272"/>
      <c r="G169" s="460"/>
      <c r="H169" s="272"/>
      <c r="I169" s="399"/>
      <c r="J169" s="241" t="b">
        <f>Age_Sex_BY[[#This Row],[Total Spending After Applying Truncation at the Member Level]]+Age_Sex_BY[[#This Row],[Total Dollars Excluded from Spending After Applying Truncation at the Member Level]]=Age_Sex_BY[[#This Row],[Total Spending before Truncation is Applied]]</f>
        <v>1</v>
      </c>
    </row>
    <row r="170" spans="1:10" x14ac:dyDescent="0.25">
      <c r="A170" s="342"/>
      <c r="B170" s="4"/>
      <c r="C170" s="16"/>
      <c r="D170" s="457"/>
      <c r="E170" s="363"/>
      <c r="F170" s="273"/>
      <c r="G170" s="226"/>
      <c r="H170" s="273"/>
      <c r="I170" s="400"/>
      <c r="J170" s="241" t="b">
        <f>Age_Sex_BY[[#This Row],[Total Spending After Applying Truncation at the Member Level]]+Age_Sex_BY[[#This Row],[Total Dollars Excluded from Spending After Applying Truncation at the Member Level]]=Age_Sex_BY[[#This Row],[Total Spending before Truncation is Applied]]</f>
        <v>1</v>
      </c>
    </row>
    <row r="171" spans="1:10" x14ac:dyDescent="0.25">
      <c r="A171" s="339"/>
      <c r="B171" s="270"/>
      <c r="C171" s="271"/>
      <c r="D171" s="456"/>
      <c r="E171" s="362"/>
      <c r="F171" s="272"/>
      <c r="G171" s="460"/>
      <c r="H171" s="272"/>
      <c r="I171" s="399"/>
      <c r="J171" s="241" t="b">
        <f>Age_Sex_BY[[#This Row],[Total Spending After Applying Truncation at the Member Level]]+Age_Sex_BY[[#This Row],[Total Dollars Excluded from Spending After Applying Truncation at the Member Level]]=Age_Sex_BY[[#This Row],[Total Spending before Truncation is Applied]]</f>
        <v>1</v>
      </c>
    </row>
    <row r="172" spans="1:10" x14ac:dyDescent="0.25">
      <c r="A172" s="342"/>
      <c r="B172" s="4"/>
      <c r="C172" s="16"/>
      <c r="D172" s="457"/>
      <c r="E172" s="363"/>
      <c r="F172" s="273"/>
      <c r="G172" s="226"/>
      <c r="H172" s="273"/>
      <c r="I172" s="400"/>
      <c r="J172" s="241" t="b">
        <f>Age_Sex_BY[[#This Row],[Total Spending After Applying Truncation at the Member Level]]+Age_Sex_BY[[#This Row],[Total Dollars Excluded from Spending After Applying Truncation at the Member Level]]=Age_Sex_BY[[#This Row],[Total Spending before Truncation is Applied]]</f>
        <v>1</v>
      </c>
    </row>
    <row r="173" spans="1:10" x14ac:dyDescent="0.25">
      <c r="A173" s="339"/>
      <c r="B173" s="270"/>
      <c r="C173" s="271"/>
      <c r="D173" s="456"/>
      <c r="E173" s="362"/>
      <c r="F173" s="272"/>
      <c r="G173" s="460"/>
      <c r="H173" s="272"/>
      <c r="I173" s="399"/>
      <c r="J173" s="241" t="b">
        <f>Age_Sex_BY[[#This Row],[Total Spending After Applying Truncation at the Member Level]]+Age_Sex_BY[[#This Row],[Total Dollars Excluded from Spending After Applying Truncation at the Member Level]]=Age_Sex_BY[[#This Row],[Total Spending before Truncation is Applied]]</f>
        <v>1</v>
      </c>
    </row>
    <row r="174" spans="1:10" x14ac:dyDescent="0.25">
      <c r="A174" s="342"/>
      <c r="B174" s="4"/>
      <c r="C174" s="16"/>
      <c r="D174" s="457"/>
      <c r="E174" s="363"/>
      <c r="F174" s="273"/>
      <c r="G174" s="226"/>
      <c r="H174" s="273"/>
      <c r="I174" s="400"/>
      <c r="J174" s="241" t="b">
        <f>Age_Sex_BY[[#This Row],[Total Spending After Applying Truncation at the Member Level]]+Age_Sex_BY[[#This Row],[Total Dollars Excluded from Spending After Applying Truncation at the Member Level]]=Age_Sex_BY[[#This Row],[Total Spending before Truncation is Applied]]</f>
        <v>1</v>
      </c>
    </row>
    <row r="175" spans="1:10" x14ac:dyDescent="0.25">
      <c r="A175" s="339"/>
      <c r="B175" s="270"/>
      <c r="C175" s="271"/>
      <c r="D175" s="456"/>
      <c r="E175" s="362"/>
      <c r="F175" s="272"/>
      <c r="G175" s="460"/>
      <c r="H175" s="272"/>
      <c r="I175" s="399"/>
      <c r="J175" s="241" t="b">
        <f>Age_Sex_BY[[#This Row],[Total Spending After Applying Truncation at the Member Level]]+Age_Sex_BY[[#This Row],[Total Dollars Excluded from Spending After Applying Truncation at the Member Level]]=Age_Sex_BY[[#This Row],[Total Spending before Truncation is Applied]]</f>
        <v>1</v>
      </c>
    </row>
    <row r="176" spans="1:10" x14ac:dyDescent="0.25">
      <c r="A176" s="342"/>
      <c r="B176" s="4"/>
      <c r="C176" s="16"/>
      <c r="D176" s="457"/>
      <c r="E176" s="363"/>
      <c r="F176" s="273"/>
      <c r="G176" s="226"/>
      <c r="H176" s="273"/>
      <c r="I176" s="400"/>
      <c r="J176" s="241" t="b">
        <f>Age_Sex_BY[[#This Row],[Total Spending After Applying Truncation at the Member Level]]+Age_Sex_BY[[#This Row],[Total Dollars Excluded from Spending After Applying Truncation at the Member Level]]=Age_Sex_BY[[#This Row],[Total Spending before Truncation is Applied]]</f>
        <v>1</v>
      </c>
    </row>
    <row r="177" spans="1:10" x14ac:dyDescent="0.25">
      <c r="A177" s="339"/>
      <c r="B177" s="270"/>
      <c r="C177" s="271"/>
      <c r="D177" s="456"/>
      <c r="E177" s="362"/>
      <c r="F177" s="272"/>
      <c r="G177" s="460"/>
      <c r="H177" s="272"/>
      <c r="I177" s="399"/>
      <c r="J177" s="241" t="b">
        <f>Age_Sex_BY[[#This Row],[Total Spending After Applying Truncation at the Member Level]]+Age_Sex_BY[[#This Row],[Total Dollars Excluded from Spending After Applying Truncation at the Member Level]]=Age_Sex_BY[[#This Row],[Total Spending before Truncation is Applied]]</f>
        <v>1</v>
      </c>
    </row>
    <row r="178" spans="1:10" x14ac:dyDescent="0.25">
      <c r="A178" s="342"/>
      <c r="B178" s="4"/>
      <c r="C178" s="16"/>
      <c r="D178" s="457"/>
      <c r="E178" s="363"/>
      <c r="F178" s="273"/>
      <c r="G178" s="226"/>
      <c r="H178" s="273"/>
      <c r="I178" s="400"/>
      <c r="J178" s="241" t="b">
        <f>Age_Sex_BY[[#This Row],[Total Spending After Applying Truncation at the Member Level]]+Age_Sex_BY[[#This Row],[Total Dollars Excluded from Spending After Applying Truncation at the Member Level]]=Age_Sex_BY[[#This Row],[Total Spending before Truncation is Applied]]</f>
        <v>1</v>
      </c>
    </row>
    <row r="179" spans="1:10" x14ac:dyDescent="0.25">
      <c r="A179" s="339"/>
      <c r="B179" s="270"/>
      <c r="C179" s="271"/>
      <c r="D179" s="456"/>
      <c r="E179" s="362"/>
      <c r="F179" s="272"/>
      <c r="G179" s="460"/>
      <c r="H179" s="272"/>
      <c r="I179" s="399"/>
      <c r="J179" s="241" t="b">
        <f>Age_Sex_BY[[#This Row],[Total Spending After Applying Truncation at the Member Level]]+Age_Sex_BY[[#This Row],[Total Dollars Excluded from Spending After Applying Truncation at the Member Level]]=Age_Sex_BY[[#This Row],[Total Spending before Truncation is Applied]]</f>
        <v>1</v>
      </c>
    </row>
    <row r="180" spans="1:10" x14ac:dyDescent="0.25">
      <c r="A180" s="342"/>
      <c r="B180" s="4"/>
      <c r="C180" s="16"/>
      <c r="D180" s="457"/>
      <c r="E180" s="363"/>
      <c r="F180" s="273"/>
      <c r="G180" s="226"/>
      <c r="H180" s="273"/>
      <c r="I180" s="400"/>
      <c r="J180" s="241" t="b">
        <f>Age_Sex_BY[[#This Row],[Total Spending After Applying Truncation at the Member Level]]+Age_Sex_BY[[#This Row],[Total Dollars Excluded from Spending After Applying Truncation at the Member Level]]=Age_Sex_BY[[#This Row],[Total Spending before Truncation is Applied]]</f>
        <v>1</v>
      </c>
    </row>
    <row r="181" spans="1:10" x14ac:dyDescent="0.25">
      <c r="A181" s="339"/>
      <c r="B181" s="270"/>
      <c r="C181" s="271"/>
      <c r="D181" s="456"/>
      <c r="E181" s="362"/>
      <c r="F181" s="272"/>
      <c r="G181" s="460"/>
      <c r="H181" s="272"/>
      <c r="I181" s="399"/>
      <c r="J181" s="241" t="b">
        <f>Age_Sex_BY[[#This Row],[Total Spending After Applying Truncation at the Member Level]]+Age_Sex_BY[[#This Row],[Total Dollars Excluded from Spending After Applying Truncation at the Member Level]]=Age_Sex_BY[[#This Row],[Total Spending before Truncation is Applied]]</f>
        <v>1</v>
      </c>
    </row>
    <row r="182" spans="1:10" x14ac:dyDescent="0.25">
      <c r="A182" s="342"/>
      <c r="B182" s="4"/>
      <c r="C182" s="16"/>
      <c r="D182" s="457"/>
      <c r="E182" s="363"/>
      <c r="F182" s="273"/>
      <c r="G182" s="226"/>
      <c r="H182" s="273"/>
      <c r="I182" s="400"/>
      <c r="J182" s="241" t="b">
        <f>Age_Sex_BY[[#This Row],[Total Spending After Applying Truncation at the Member Level]]+Age_Sex_BY[[#This Row],[Total Dollars Excluded from Spending After Applying Truncation at the Member Level]]=Age_Sex_BY[[#This Row],[Total Spending before Truncation is Applied]]</f>
        <v>1</v>
      </c>
    </row>
    <row r="183" spans="1:10" x14ac:dyDescent="0.25">
      <c r="A183" s="339"/>
      <c r="B183" s="270"/>
      <c r="C183" s="271"/>
      <c r="D183" s="456"/>
      <c r="E183" s="362"/>
      <c r="F183" s="272"/>
      <c r="G183" s="460"/>
      <c r="H183" s="272"/>
      <c r="I183" s="399"/>
      <c r="J183" s="241" t="b">
        <f>Age_Sex_BY[[#This Row],[Total Spending After Applying Truncation at the Member Level]]+Age_Sex_BY[[#This Row],[Total Dollars Excluded from Spending After Applying Truncation at the Member Level]]=Age_Sex_BY[[#This Row],[Total Spending before Truncation is Applied]]</f>
        <v>1</v>
      </c>
    </row>
    <row r="184" spans="1:10" x14ac:dyDescent="0.25">
      <c r="A184" s="342"/>
      <c r="B184" s="4"/>
      <c r="C184" s="16"/>
      <c r="D184" s="457"/>
      <c r="E184" s="363"/>
      <c r="F184" s="273"/>
      <c r="G184" s="226"/>
      <c r="H184" s="273"/>
      <c r="I184" s="400"/>
      <c r="J184" s="241" t="b">
        <f>Age_Sex_BY[[#This Row],[Total Spending After Applying Truncation at the Member Level]]+Age_Sex_BY[[#This Row],[Total Dollars Excluded from Spending After Applying Truncation at the Member Level]]=Age_Sex_BY[[#This Row],[Total Spending before Truncation is Applied]]</f>
        <v>1</v>
      </c>
    </row>
    <row r="185" spans="1:10" x14ac:dyDescent="0.25">
      <c r="A185" s="339"/>
      <c r="B185" s="270"/>
      <c r="C185" s="271"/>
      <c r="D185" s="456"/>
      <c r="E185" s="362"/>
      <c r="F185" s="272"/>
      <c r="G185" s="460"/>
      <c r="H185" s="272"/>
      <c r="I185" s="399"/>
      <c r="J185" s="241" t="b">
        <f>Age_Sex_BY[[#This Row],[Total Spending After Applying Truncation at the Member Level]]+Age_Sex_BY[[#This Row],[Total Dollars Excluded from Spending After Applying Truncation at the Member Level]]=Age_Sex_BY[[#This Row],[Total Spending before Truncation is Applied]]</f>
        <v>1</v>
      </c>
    </row>
    <row r="186" spans="1:10" x14ac:dyDescent="0.25">
      <c r="A186" s="342"/>
      <c r="B186" s="4"/>
      <c r="C186" s="16"/>
      <c r="D186" s="457"/>
      <c r="E186" s="363"/>
      <c r="F186" s="273"/>
      <c r="G186" s="226"/>
      <c r="H186" s="273"/>
      <c r="I186" s="400"/>
      <c r="J186" s="241" t="b">
        <f>Age_Sex_BY[[#This Row],[Total Spending After Applying Truncation at the Member Level]]+Age_Sex_BY[[#This Row],[Total Dollars Excluded from Spending After Applying Truncation at the Member Level]]=Age_Sex_BY[[#This Row],[Total Spending before Truncation is Applied]]</f>
        <v>1</v>
      </c>
    </row>
    <row r="187" spans="1:10" x14ac:dyDescent="0.25">
      <c r="A187" s="339"/>
      <c r="B187" s="270"/>
      <c r="C187" s="271"/>
      <c r="D187" s="456"/>
      <c r="E187" s="362"/>
      <c r="F187" s="272"/>
      <c r="G187" s="460"/>
      <c r="H187" s="272"/>
      <c r="I187" s="399"/>
      <c r="J187" s="241" t="b">
        <f>Age_Sex_BY[[#This Row],[Total Spending After Applying Truncation at the Member Level]]+Age_Sex_BY[[#This Row],[Total Dollars Excluded from Spending After Applying Truncation at the Member Level]]=Age_Sex_BY[[#This Row],[Total Spending before Truncation is Applied]]</f>
        <v>1</v>
      </c>
    </row>
    <row r="188" spans="1:10" x14ac:dyDescent="0.25">
      <c r="A188" s="342"/>
      <c r="B188" s="4"/>
      <c r="C188" s="16"/>
      <c r="D188" s="457"/>
      <c r="E188" s="363"/>
      <c r="F188" s="273"/>
      <c r="G188" s="226"/>
      <c r="H188" s="273"/>
      <c r="I188" s="400"/>
      <c r="J188" s="241" t="b">
        <f>Age_Sex_BY[[#This Row],[Total Spending After Applying Truncation at the Member Level]]+Age_Sex_BY[[#This Row],[Total Dollars Excluded from Spending After Applying Truncation at the Member Level]]=Age_Sex_BY[[#This Row],[Total Spending before Truncation is Applied]]</f>
        <v>1</v>
      </c>
    </row>
    <row r="189" spans="1:10" x14ac:dyDescent="0.25">
      <c r="A189" s="339"/>
      <c r="B189" s="270"/>
      <c r="C189" s="271"/>
      <c r="D189" s="456"/>
      <c r="E189" s="362"/>
      <c r="F189" s="272"/>
      <c r="G189" s="460"/>
      <c r="H189" s="272"/>
      <c r="I189" s="399"/>
      <c r="J189" s="241" t="b">
        <f>Age_Sex_BY[[#This Row],[Total Spending After Applying Truncation at the Member Level]]+Age_Sex_BY[[#This Row],[Total Dollars Excluded from Spending After Applying Truncation at the Member Level]]=Age_Sex_BY[[#This Row],[Total Spending before Truncation is Applied]]</f>
        <v>1</v>
      </c>
    </row>
    <row r="190" spans="1:10" x14ac:dyDescent="0.25">
      <c r="A190" s="342"/>
      <c r="B190" s="4"/>
      <c r="C190" s="16"/>
      <c r="D190" s="457"/>
      <c r="E190" s="363"/>
      <c r="F190" s="273"/>
      <c r="G190" s="226"/>
      <c r="H190" s="273"/>
      <c r="I190" s="400"/>
      <c r="J190" s="241" t="b">
        <f>Age_Sex_BY[[#This Row],[Total Spending After Applying Truncation at the Member Level]]+Age_Sex_BY[[#This Row],[Total Dollars Excluded from Spending After Applying Truncation at the Member Level]]=Age_Sex_BY[[#This Row],[Total Spending before Truncation is Applied]]</f>
        <v>1</v>
      </c>
    </row>
    <row r="191" spans="1:10" x14ac:dyDescent="0.25">
      <c r="A191" s="339"/>
      <c r="B191" s="270"/>
      <c r="C191" s="271"/>
      <c r="D191" s="456"/>
      <c r="E191" s="362"/>
      <c r="F191" s="272"/>
      <c r="G191" s="460"/>
      <c r="H191" s="272"/>
      <c r="I191" s="399"/>
      <c r="J191" s="241" t="b">
        <f>Age_Sex_BY[[#This Row],[Total Spending After Applying Truncation at the Member Level]]+Age_Sex_BY[[#This Row],[Total Dollars Excluded from Spending After Applying Truncation at the Member Level]]=Age_Sex_BY[[#This Row],[Total Spending before Truncation is Applied]]</f>
        <v>1</v>
      </c>
    </row>
    <row r="192" spans="1:10" x14ac:dyDescent="0.25">
      <c r="A192" s="342"/>
      <c r="B192" s="4"/>
      <c r="C192" s="16"/>
      <c r="D192" s="457"/>
      <c r="E192" s="363"/>
      <c r="F192" s="273"/>
      <c r="G192" s="226"/>
      <c r="H192" s="273"/>
      <c r="I192" s="400"/>
      <c r="J192" s="241" t="b">
        <f>Age_Sex_BY[[#This Row],[Total Spending After Applying Truncation at the Member Level]]+Age_Sex_BY[[#This Row],[Total Dollars Excluded from Spending After Applying Truncation at the Member Level]]=Age_Sex_BY[[#This Row],[Total Spending before Truncation is Applied]]</f>
        <v>1</v>
      </c>
    </row>
    <row r="193" spans="1:10" x14ac:dyDescent="0.25">
      <c r="A193" s="339"/>
      <c r="B193" s="270"/>
      <c r="C193" s="271"/>
      <c r="D193" s="456"/>
      <c r="E193" s="362"/>
      <c r="F193" s="272"/>
      <c r="G193" s="460"/>
      <c r="H193" s="272"/>
      <c r="I193" s="399"/>
      <c r="J193" s="241" t="b">
        <f>Age_Sex_BY[[#This Row],[Total Spending After Applying Truncation at the Member Level]]+Age_Sex_BY[[#This Row],[Total Dollars Excluded from Spending After Applying Truncation at the Member Level]]=Age_Sex_BY[[#This Row],[Total Spending before Truncation is Applied]]</f>
        <v>1</v>
      </c>
    </row>
    <row r="194" spans="1:10" x14ac:dyDescent="0.25">
      <c r="A194" s="342"/>
      <c r="B194" s="4"/>
      <c r="C194" s="16"/>
      <c r="D194" s="457"/>
      <c r="E194" s="363"/>
      <c r="F194" s="273"/>
      <c r="G194" s="226"/>
      <c r="H194" s="273"/>
      <c r="I194" s="400"/>
      <c r="J194" s="241" t="b">
        <f>Age_Sex_BY[[#This Row],[Total Spending After Applying Truncation at the Member Level]]+Age_Sex_BY[[#This Row],[Total Dollars Excluded from Spending After Applying Truncation at the Member Level]]=Age_Sex_BY[[#This Row],[Total Spending before Truncation is Applied]]</f>
        <v>1</v>
      </c>
    </row>
    <row r="195" spans="1:10" x14ac:dyDescent="0.25">
      <c r="A195" s="339"/>
      <c r="B195" s="270"/>
      <c r="C195" s="271"/>
      <c r="D195" s="456"/>
      <c r="E195" s="362"/>
      <c r="F195" s="272"/>
      <c r="G195" s="460"/>
      <c r="H195" s="272"/>
      <c r="I195" s="399"/>
      <c r="J195" s="241" t="b">
        <f>Age_Sex_BY[[#This Row],[Total Spending After Applying Truncation at the Member Level]]+Age_Sex_BY[[#This Row],[Total Dollars Excluded from Spending After Applying Truncation at the Member Level]]=Age_Sex_BY[[#This Row],[Total Spending before Truncation is Applied]]</f>
        <v>1</v>
      </c>
    </row>
    <row r="196" spans="1:10" x14ac:dyDescent="0.25">
      <c r="A196" s="342"/>
      <c r="B196" s="4"/>
      <c r="C196" s="16"/>
      <c r="D196" s="457"/>
      <c r="E196" s="363"/>
      <c r="F196" s="273"/>
      <c r="G196" s="226"/>
      <c r="H196" s="273"/>
      <c r="I196" s="400"/>
      <c r="J196" s="241" t="b">
        <f>Age_Sex_BY[[#This Row],[Total Spending After Applying Truncation at the Member Level]]+Age_Sex_BY[[#This Row],[Total Dollars Excluded from Spending After Applying Truncation at the Member Level]]=Age_Sex_BY[[#This Row],[Total Spending before Truncation is Applied]]</f>
        <v>1</v>
      </c>
    </row>
    <row r="197" spans="1:10" x14ac:dyDescent="0.25">
      <c r="A197" s="339"/>
      <c r="B197" s="270"/>
      <c r="C197" s="271"/>
      <c r="D197" s="456"/>
      <c r="E197" s="362"/>
      <c r="F197" s="272"/>
      <c r="G197" s="460"/>
      <c r="H197" s="272"/>
      <c r="I197" s="399"/>
      <c r="J197" s="241" t="b">
        <f>Age_Sex_BY[[#This Row],[Total Spending After Applying Truncation at the Member Level]]+Age_Sex_BY[[#This Row],[Total Dollars Excluded from Spending After Applying Truncation at the Member Level]]=Age_Sex_BY[[#This Row],[Total Spending before Truncation is Applied]]</f>
        <v>1</v>
      </c>
    </row>
    <row r="198" spans="1:10" x14ac:dyDescent="0.25">
      <c r="A198" s="342"/>
      <c r="B198" s="4"/>
      <c r="C198" s="16"/>
      <c r="D198" s="457"/>
      <c r="E198" s="363"/>
      <c r="F198" s="273"/>
      <c r="G198" s="226"/>
      <c r="H198" s="273"/>
      <c r="I198" s="400"/>
      <c r="J198" s="241" t="b">
        <f>Age_Sex_BY[[#This Row],[Total Spending After Applying Truncation at the Member Level]]+Age_Sex_BY[[#This Row],[Total Dollars Excluded from Spending After Applying Truncation at the Member Level]]=Age_Sex_BY[[#This Row],[Total Spending before Truncation is Applied]]</f>
        <v>1</v>
      </c>
    </row>
    <row r="199" spans="1:10" x14ac:dyDescent="0.25">
      <c r="A199" s="339"/>
      <c r="B199" s="270"/>
      <c r="C199" s="271"/>
      <c r="D199" s="456"/>
      <c r="E199" s="362"/>
      <c r="F199" s="272"/>
      <c r="G199" s="460"/>
      <c r="H199" s="272"/>
      <c r="I199" s="399"/>
      <c r="J199" s="241" t="b">
        <f>Age_Sex_BY[[#This Row],[Total Spending After Applying Truncation at the Member Level]]+Age_Sex_BY[[#This Row],[Total Dollars Excluded from Spending After Applying Truncation at the Member Level]]=Age_Sex_BY[[#This Row],[Total Spending before Truncation is Applied]]</f>
        <v>1</v>
      </c>
    </row>
    <row r="200" spans="1:10" x14ac:dyDescent="0.25">
      <c r="A200" s="342"/>
      <c r="B200" s="4"/>
      <c r="C200" s="16"/>
      <c r="D200" s="457"/>
      <c r="E200" s="363"/>
      <c r="F200" s="273"/>
      <c r="G200" s="226"/>
      <c r="H200" s="273"/>
      <c r="I200" s="400"/>
      <c r="J200" s="241" t="b">
        <f>Age_Sex_BY[[#This Row],[Total Spending After Applying Truncation at the Member Level]]+Age_Sex_BY[[#This Row],[Total Dollars Excluded from Spending After Applying Truncation at the Member Level]]=Age_Sex_BY[[#This Row],[Total Spending before Truncation is Applied]]</f>
        <v>1</v>
      </c>
    </row>
    <row r="201" spans="1:10" x14ac:dyDescent="0.25">
      <c r="A201" s="339"/>
      <c r="B201" s="270"/>
      <c r="C201" s="271"/>
      <c r="D201" s="456"/>
      <c r="E201" s="362"/>
      <c r="F201" s="272"/>
      <c r="G201" s="460"/>
      <c r="H201" s="272"/>
      <c r="I201" s="399"/>
      <c r="J201" s="241" t="b">
        <f>Age_Sex_BY[[#This Row],[Total Spending After Applying Truncation at the Member Level]]+Age_Sex_BY[[#This Row],[Total Dollars Excluded from Spending After Applying Truncation at the Member Level]]=Age_Sex_BY[[#This Row],[Total Spending before Truncation is Applied]]</f>
        <v>1</v>
      </c>
    </row>
    <row r="202" spans="1:10" x14ac:dyDescent="0.25">
      <c r="A202" s="342"/>
      <c r="B202" s="4"/>
      <c r="C202" s="16"/>
      <c r="D202" s="457"/>
      <c r="E202" s="363"/>
      <c r="F202" s="273"/>
      <c r="G202" s="226"/>
      <c r="H202" s="273"/>
      <c r="I202" s="400"/>
      <c r="J202" s="241" t="b">
        <f>Age_Sex_BY[[#This Row],[Total Spending After Applying Truncation at the Member Level]]+Age_Sex_BY[[#This Row],[Total Dollars Excluded from Spending After Applying Truncation at the Member Level]]=Age_Sex_BY[[#This Row],[Total Spending before Truncation is Applied]]</f>
        <v>1</v>
      </c>
    </row>
    <row r="203" spans="1:10" x14ac:dyDescent="0.25">
      <c r="A203" s="339"/>
      <c r="B203" s="270"/>
      <c r="C203" s="271"/>
      <c r="D203" s="456"/>
      <c r="E203" s="362"/>
      <c r="F203" s="272"/>
      <c r="G203" s="460"/>
      <c r="H203" s="272"/>
      <c r="I203" s="399"/>
      <c r="J203" s="241" t="b">
        <f>Age_Sex_BY[[#This Row],[Total Spending After Applying Truncation at the Member Level]]+Age_Sex_BY[[#This Row],[Total Dollars Excluded from Spending After Applying Truncation at the Member Level]]=Age_Sex_BY[[#This Row],[Total Spending before Truncation is Applied]]</f>
        <v>1</v>
      </c>
    </row>
    <row r="204" spans="1:10" x14ac:dyDescent="0.25">
      <c r="A204" s="342"/>
      <c r="B204" s="4"/>
      <c r="C204" s="16"/>
      <c r="D204" s="457"/>
      <c r="E204" s="363"/>
      <c r="F204" s="273"/>
      <c r="G204" s="226"/>
      <c r="H204" s="273"/>
      <c r="I204" s="400"/>
      <c r="J204" s="241" t="b">
        <f>Age_Sex_BY[[#This Row],[Total Spending After Applying Truncation at the Member Level]]+Age_Sex_BY[[#This Row],[Total Dollars Excluded from Spending After Applying Truncation at the Member Level]]=Age_Sex_BY[[#This Row],[Total Spending before Truncation is Applied]]</f>
        <v>1</v>
      </c>
    </row>
    <row r="205" spans="1:10" x14ac:dyDescent="0.25">
      <c r="A205" s="339"/>
      <c r="B205" s="270"/>
      <c r="C205" s="271"/>
      <c r="D205" s="456"/>
      <c r="E205" s="362"/>
      <c r="F205" s="272"/>
      <c r="G205" s="460"/>
      <c r="H205" s="272"/>
      <c r="I205" s="399"/>
      <c r="J205" s="241" t="b">
        <f>Age_Sex_BY[[#This Row],[Total Spending After Applying Truncation at the Member Level]]+Age_Sex_BY[[#This Row],[Total Dollars Excluded from Spending After Applying Truncation at the Member Level]]=Age_Sex_BY[[#This Row],[Total Spending before Truncation is Applied]]</f>
        <v>1</v>
      </c>
    </row>
    <row r="206" spans="1:10" x14ac:dyDescent="0.25">
      <c r="A206" s="342"/>
      <c r="B206" s="4"/>
      <c r="C206" s="16"/>
      <c r="D206" s="457"/>
      <c r="E206" s="363"/>
      <c r="F206" s="273"/>
      <c r="G206" s="226"/>
      <c r="H206" s="273"/>
      <c r="I206" s="400"/>
      <c r="J206" s="241" t="b">
        <f>Age_Sex_BY[[#This Row],[Total Spending After Applying Truncation at the Member Level]]+Age_Sex_BY[[#This Row],[Total Dollars Excluded from Spending After Applying Truncation at the Member Level]]=Age_Sex_BY[[#This Row],[Total Spending before Truncation is Applied]]</f>
        <v>1</v>
      </c>
    </row>
    <row r="207" spans="1:10" x14ac:dyDescent="0.25">
      <c r="A207" s="339"/>
      <c r="B207" s="270"/>
      <c r="C207" s="271"/>
      <c r="D207" s="456"/>
      <c r="E207" s="362"/>
      <c r="F207" s="272"/>
      <c r="G207" s="460"/>
      <c r="H207" s="272"/>
      <c r="I207" s="399"/>
      <c r="J207" s="241" t="b">
        <f>Age_Sex_BY[[#This Row],[Total Spending After Applying Truncation at the Member Level]]+Age_Sex_BY[[#This Row],[Total Dollars Excluded from Spending After Applying Truncation at the Member Level]]=Age_Sex_BY[[#This Row],[Total Spending before Truncation is Applied]]</f>
        <v>1</v>
      </c>
    </row>
    <row r="208" spans="1:10" x14ac:dyDescent="0.25">
      <c r="A208" s="342"/>
      <c r="B208" s="4"/>
      <c r="C208" s="16"/>
      <c r="D208" s="457"/>
      <c r="E208" s="363"/>
      <c r="F208" s="273"/>
      <c r="G208" s="226"/>
      <c r="H208" s="273"/>
      <c r="I208" s="400"/>
      <c r="J208" s="241" t="b">
        <f>Age_Sex_BY[[#This Row],[Total Spending After Applying Truncation at the Member Level]]+Age_Sex_BY[[#This Row],[Total Dollars Excluded from Spending After Applying Truncation at the Member Level]]=Age_Sex_BY[[#This Row],[Total Spending before Truncation is Applied]]</f>
        <v>1</v>
      </c>
    </row>
    <row r="209" spans="1:10" x14ac:dyDescent="0.25">
      <c r="A209" s="339"/>
      <c r="B209" s="270"/>
      <c r="C209" s="271"/>
      <c r="D209" s="456"/>
      <c r="E209" s="362"/>
      <c r="F209" s="272"/>
      <c r="G209" s="460"/>
      <c r="H209" s="272"/>
      <c r="I209" s="399"/>
      <c r="J209" s="241" t="b">
        <f>Age_Sex_BY[[#This Row],[Total Spending After Applying Truncation at the Member Level]]+Age_Sex_BY[[#This Row],[Total Dollars Excluded from Spending After Applying Truncation at the Member Level]]=Age_Sex_BY[[#This Row],[Total Spending before Truncation is Applied]]</f>
        <v>1</v>
      </c>
    </row>
    <row r="210" spans="1:10" x14ac:dyDescent="0.25">
      <c r="A210" s="342"/>
      <c r="B210" s="4"/>
      <c r="C210" s="16"/>
      <c r="D210" s="457"/>
      <c r="E210" s="363"/>
      <c r="F210" s="273"/>
      <c r="G210" s="226"/>
      <c r="H210" s="273"/>
      <c r="I210" s="400"/>
      <c r="J210" s="241" t="b">
        <f>Age_Sex_BY[[#This Row],[Total Spending After Applying Truncation at the Member Level]]+Age_Sex_BY[[#This Row],[Total Dollars Excluded from Spending After Applying Truncation at the Member Level]]=Age_Sex_BY[[#This Row],[Total Spending before Truncation is Applied]]</f>
        <v>1</v>
      </c>
    </row>
    <row r="211" spans="1:10" x14ac:dyDescent="0.25">
      <c r="A211" s="339"/>
      <c r="B211" s="270"/>
      <c r="C211" s="271"/>
      <c r="D211" s="456"/>
      <c r="E211" s="362"/>
      <c r="F211" s="272"/>
      <c r="G211" s="460"/>
      <c r="H211" s="272"/>
      <c r="I211" s="399"/>
      <c r="J211" s="241" t="b">
        <f>Age_Sex_BY[[#This Row],[Total Spending After Applying Truncation at the Member Level]]+Age_Sex_BY[[#This Row],[Total Dollars Excluded from Spending After Applying Truncation at the Member Level]]=Age_Sex_BY[[#This Row],[Total Spending before Truncation is Applied]]</f>
        <v>1</v>
      </c>
    </row>
    <row r="212" spans="1:10" x14ac:dyDescent="0.25">
      <c r="A212" s="342"/>
      <c r="B212" s="4"/>
      <c r="C212" s="16"/>
      <c r="D212" s="457"/>
      <c r="E212" s="363"/>
      <c r="F212" s="273"/>
      <c r="G212" s="226"/>
      <c r="H212" s="273"/>
      <c r="I212" s="400"/>
      <c r="J212" s="241" t="b">
        <f>Age_Sex_BY[[#This Row],[Total Spending After Applying Truncation at the Member Level]]+Age_Sex_BY[[#This Row],[Total Dollars Excluded from Spending After Applying Truncation at the Member Level]]=Age_Sex_BY[[#This Row],[Total Spending before Truncation is Applied]]</f>
        <v>1</v>
      </c>
    </row>
    <row r="213" spans="1:10" x14ac:dyDescent="0.25">
      <c r="A213" s="339"/>
      <c r="B213" s="270"/>
      <c r="C213" s="271"/>
      <c r="D213" s="456"/>
      <c r="E213" s="362"/>
      <c r="F213" s="272"/>
      <c r="G213" s="460"/>
      <c r="H213" s="272"/>
      <c r="I213" s="399"/>
      <c r="J213" s="241" t="b">
        <f>Age_Sex_BY[[#This Row],[Total Spending After Applying Truncation at the Member Level]]+Age_Sex_BY[[#This Row],[Total Dollars Excluded from Spending After Applying Truncation at the Member Level]]=Age_Sex_BY[[#This Row],[Total Spending before Truncation is Applied]]</f>
        <v>1</v>
      </c>
    </row>
    <row r="214" spans="1:10" x14ac:dyDescent="0.25">
      <c r="A214" s="342"/>
      <c r="B214" s="4"/>
      <c r="C214" s="16"/>
      <c r="D214" s="457"/>
      <c r="E214" s="363"/>
      <c r="F214" s="273"/>
      <c r="G214" s="226"/>
      <c r="H214" s="273"/>
      <c r="I214" s="400"/>
      <c r="J214" s="241" t="b">
        <f>Age_Sex_BY[[#This Row],[Total Spending After Applying Truncation at the Member Level]]+Age_Sex_BY[[#This Row],[Total Dollars Excluded from Spending After Applying Truncation at the Member Level]]=Age_Sex_BY[[#This Row],[Total Spending before Truncation is Applied]]</f>
        <v>1</v>
      </c>
    </row>
    <row r="215" spans="1:10" x14ac:dyDescent="0.25">
      <c r="A215" s="339"/>
      <c r="B215" s="270"/>
      <c r="C215" s="271"/>
      <c r="D215" s="456"/>
      <c r="E215" s="362"/>
      <c r="F215" s="272"/>
      <c r="G215" s="460"/>
      <c r="H215" s="272"/>
      <c r="I215" s="399"/>
      <c r="J215" s="241" t="b">
        <f>Age_Sex_BY[[#This Row],[Total Spending After Applying Truncation at the Member Level]]+Age_Sex_BY[[#This Row],[Total Dollars Excluded from Spending After Applying Truncation at the Member Level]]=Age_Sex_BY[[#This Row],[Total Spending before Truncation is Applied]]</f>
        <v>1</v>
      </c>
    </row>
    <row r="216" spans="1:10" x14ac:dyDescent="0.25">
      <c r="A216" s="342"/>
      <c r="B216" s="4"/>
      <c r="C216" s="16"/>
      <c r="D216" s="457"/>
      <c r="E216" s="363"/>
      <c r="F216" s="273"/>
      <c r="G216" s="226"/>
      <c r="H216" s="273"/>
      <c r="I216" s="400"/>
      <c r="J216" s="241" t="b">
        <f>Age_Sex_BY[[#This Row],[Total Spending After Applying Truncation at the Member Level]]+Age_Sex_BY[[#This Row],[Total Dollars Excluded from Spending After Applying Truncation at the Member Level]]=Age_Sex_BY[[#This Row],[Total Spending before Truncation is Applied]]</f>
        <v>1</v>
      </c>
    </row>
    <row r="217" spans="1:10" x14ac:dyDescent="0.25">
      <c r="A217" s="339"/>
      <c r="B217" s="270"/>
      <c r="C217" s="271"/>
      <c r="D217" s="456"/>
      <c r="E217" s="362"/>
      <c r="F217" s="272"/>
      <c r="G217" s="460"/>
      <c r="H217" s="272"/>
      <c r="I217" s="399"/>
      <c r="J217" s="241" t="b">
        <f>Age_Sex_BY[[#This Row],[Total Spending After Applying Truncation at the Member Level]]+Age_Sex_BY[[#This Row],[Total Dollars Excluded from Spending After Applying Truncation at the Member Level]]=Age_Sex_BY[[#This Row],[Total Spending before Truncation is Applied]]</f>
        <v>1</v>
      </c>
    </row>
    <row r="218" spans="1:10" x14ac:dyDescent="0.25">
      <c r="A218" s="342"/>
      <c r="B218" s="4"/>
      <c r="C218" s="16"/>
      <c r="D218" s="457"/>
      <c r="E218" s="363"/>
      <c r="F218" s="273"/>
      <c r="G218" s="226"/>
      <c r="H218" s="273"/>
      <c r="I218" s="400"/>
      <c r="J218" s="241" t="b">
        <f>Age_Sex_BY[[#This Row],[Total Spending After Applying Truncation at the Member Level]]+Age_Sex_BY[[#This Row],[Total Dollars Excluded from Spending After Applying Truncation at the Member Level]]=Age_Sex_BY[[#This Row],[Total Spending before Truncation is Applied]]</f>
        <v>1</v>
      </c>
    </row>
    <row r="219" spans="1:10" x14ac:dyDescent="0.25">
      <c r="A219" s="339"/>
      <c r="B219" s="270"/>
      <c r="C219" s="271"/>
      <c r="D219" s="456"/>
      <c r="E219" s="362"/>
      <c r="F219" s="272"/>
      <c r="G219" s="460"/>
      <c r="H219" s="272"/>
      <c r="I219" s="399"/>
      <c r="J219" s="241" t="b">
        <f>Age_Sex_BY[[#This Row],[Total Spending After Applying Truncation at the Member Level]]+Age_Sex_BY[[#This Row],[Total Dollars Excluded from Spending After Applying Truncation at the Member Level]]=Age_Sex_BY[[#This Row],[Total Spending before Truncation is Applied]]</f>
        <v>1</v>
      </c>
    </row>
    <row r="220" spans="1:10" x14ac:dyDescent="0.25">
      <c r="A220" s="342"/>
      <c r="B220" s="4"/>
      <c r="C220" s="16"/>
      <c r="D220" s="457"/>
      <c r="E220" s="363"/>
      <c r="F220" s="273"/>
      <c r="G220" s="226"/>
      <c r="H220" s="273"/>
      <c r="I220" s="400"/>
      <c r="J220" s="241" t="b">
        <f>Age_Sex_BY[[#This Row],[Total Spending After Applying Truncation at the Member Level]]+Age_Sex_BY[[#This Row],[Total Dollars Excluded from Spending After Applying Truncation at the Member Level]]=Age_Sex_BY[[#This Row],[Total Spending before Truncation is Applied]]</f>
        <v>1</v>
      </c>
    </row>
    <row r="221" spans="1:10" x14ac:dyDescent="0.25">
      <c r="A221" s="339"/>
      <c r="B221" s="270"/>
      <c r="C221" s="271"/>
      <c r="D221" s="456"/>
      <c r="E221" s="362"/>
      <c r="F221" s="272"/>
      <c r="G221" s="460"/>
      <c r="H221" s="272"/>
      <c r="I221" s="399"/>
      <c r="J221" s="241" t="b">
        <f>Age_Sex_BY[[#This Row],[Total Spending After Applying Truncation at the Member Level]]+Age_Sex_BY[[#This Row],[Total Dollars Excluded from Spending After Applying Truncation at the Member Level]]=Age_Sex_BY[[#This Row],[Total Spending before Truncation is Applied]]</f>
        <v>1</v>
      </c>
    </row>
    <row r="222" spans="1:10" x14ac:dyDescent="0.25">
      <c r="A222" s="342"/>
      <c r="B222" s="4"/>
      <c r="C222" s="16"/>
      <c r="D222" s="457"/>
      <c r="E222" s="363"/>
      <c r="F222" s="273"/>
      <c r="G222" s="226"/>
      <c r="H222" s="273"/>
      <c r="I222" s="400"/>
      <c r="J222" s="241" t="b">
        <f>Age_Sex_BY[[#This Row],[Total Spending After Applying Truncation at the Member Level]]+Age_Sex_BY[[#This Row],[Total Dollars Excluded from Spending After Applying Truncation at the Member Level]]=Age_Sex_BY[[#This Row],[Total Spending before Truncation is Applied]]</f>
        <v>1</v>
      </c>
    </row>
    <row r="223" spans="1:10" x14ac:dyDescent="0.25">
      <c r="A223" s="339"/>
      <c r="B223" s="270"/>
      <c r="C223" s="271"/>
      <c r="D223" s="456"/>
      <c r="E223" s="362"/>
      <c r="F223" s="272"/>
      <c r="G223" s="460"/>
      <c r="H223" s="272"/>
      <c r="I223" s="399"/>
      <c r="J223" s="241" t="b">
        <f>Age_Sex_BY[[#This Row],[Total Spending After Applying Truncation at the Member Level]]+Age_Sex_BY[[#This Row],[Total Dollars Excluded from Spending After Applying Truncation at the Member Level]]=Age_Sex_BY[[#This Row],[Total Spending before Truncation is Applied]]</f>
        <v>1</v>
      </c>
    </row>
    <row r="224" spans="1:10" x14ac:dyDescent="0.25">
      <c r="A224" s="342"/>
      <c r="B224" s="4"/>
      <c r="C224" s="16"/>
      <c r="D224" s="457"/>
      <c r="E224" s="363"/>
      <c r="F224" s="273"/>
      <c r="G224" s="226"/>
      <c r="H224" s="273"/>
      <c r="I224" s="400"/>
      <c r="J224" s="241" t="b">
        <f>Age_Sex_BY[[#This Row],[Total Spending After Applying Truncation at the Member Level]]+Age_Sex_BY[[#This Row],[Total Dollars Excluded from Spending After Applying Truncation at the Member Level]]=Age_Sex_BY[[#This Row],[Total Spending before Truncation is Applied]]</f>
        <v>1</v>
      </c>
    </row>
    <row r="225" spans="1:10" x14ac:dyDescent="0.25">
      <c r="A225" s="339"/>
      <c r="B225" s="270"/>
      <c r="C225" s="271"/>
      <c r="D225" s="456"/>
      <c r="E225" s="362"/>
      <c r="F225" s="272"/>
      <c r="G225" s="460"/>
      <c r="H225" s="272"/>
      <c r="I225" s="399"/>
      <c r="J225" s="241" t="b">
        <f>Age_Sex_BY[[#This Row],[Total Spending After Applying Truncation at the Member Level]]+Age_Sex_BY[[#This Row],[Total Dollars Excluded from Spending After Applying Truncation at the Member Level]]=Age_Sex_BY[[#This Row],[Total Spending before Truncation is Applied]]</f>
        <v>1</v>
      </c>
    </row>
    <row r="226" spans="1:10" x14ac:dyDescent="0.25">
      <c r="A226" s="342"/>
      <c r="B226" s="4"/>
      <c r="C226" s="16"/>
      <c r="D226" s="457"/>
      <c r="E226" s="363"/>
      <c r="F226" s="273"/>
      <c r="G226" s="226"/>
      <c r="H226" s="273"/>
      <c r="I226" s="400"/>
      <c r="J226" s="241" t="b">
        <f>Age_Sex_BY[[#This Row],[Total Spending After Applying Truncation at the Member Level]]+Age_Sex_BY[[#This Row],[Total Dollars Excluded from Spending After Applying Truncation at the Member Level]]=Age_Sex_BY[[#This Row],[Total Spending before Truncation is Applied]]</f>
        <v>1</v>
      </c>
    </row>
    <row r="227" spans="1:10" x14ac:dyDescent="0.25">
      <c r="A227" s="339"/>
      <c r="B227" s="270"/>
      <c r="C227" s="271"/>
      <c r="D227" s="456"/>
      <c r="E227" s="362"/>
      <c r="F227" s="272"/>
      <c r="G227" s="460"/>
      <c r="H227" s="272"/>
      <c r="I227" s="399"/>
      <c r="J227" s="241" t="b">
        <f>Age_Sex_BY[[#This Row],[Total Spending After Applying Truncation at the Member Level]]+Age_Sex_BY[[#This Row],[Total Dollars Excluded from Spending After Applying Truncation at the Member Level]]=Age_Sex_BY[[#This Row],[Total Spending before Truncation is Applied]]</f>
        <v>1</v>
      </c>
    </row>
    <row r="228" spans="1:10" x14ac:dyDescent="0.25">
      <c r="A228" s="342"/>
      <c r="B228" s="4"/>
      <c r="C228" s="16"/>
      <c r="D228" s="457"/>
      <c r="E228" s="363"/>
      <c r="F228" s="273"/>
      <c r="G228" s="226"/>
      <c r="H228" s="273"/>
      <c r="I228" s="400"/>
      <c r="J228" s="241" t="b">
        <f>Age_Sex_BY[[#This Row],[Total Spending After Applying Truncation at the Member Level]]+Age_Sex_BY[[#This Row],[Total Dollars Excluded from Spending After Applying Truncation at the Member Level]]=Age_Sex_BY[[#This Row],[Total Spending before Truncation is Applied]]</f>
        <v>1</v>
      </c>
    </row>
    <row r="229" spans="1:10" x14ac:dyDescent="0.25">
      <c r="A229" s="339"/>
      <c r="B229" s="270"/>
      <c r="C229" s="271"/>
      <c r="D229" s="456"/>
      <c r="E229" s="362"/>
      <c r="F229" s="272"/>
      <c r="G229" s="460"/>
      <c r="H229" s="272"/>
      <c r="I229" s="399"/>
      <c r="J229" s="241" t="b">
        <f>Age_Sex_BY[[#This Row],[Total Spending After Applying Truncation at the Member Level]]+Age_Sex_BY[[#This Row],[Total Dollars Excluded from Spending After Applying Truncation at the Member Level]]=Age_Sex_BY[[#This Row],[Total Spending before Truncation is Applied]]</f>
        <v>1</v>
      </c>
    </row>
    <row r="230" spans="1:10" x14ac:dyDescent="0.25">
      <c r="A230" s="342"/>
      <c r="B230" s="4"/>
      <c r="C230" s="16"/>
      <c r="D230" s="457"/>
      <c r="E230" s="363"/>
      <c r="F230" s="273"/>
      <c r="G230" s="226"/>
      <c r="H230" s="273"/>
      <c r="I230" s="400"/>
      <c r="J230" s="241" t="b">
        <f>Age_Sex_BY[[#This Row],[Total Spending After Applying Truncation at the Member Level]]+Age_Sex_BY[[#This Row],[Total Dollars Excluded from Spending After Applying Truncation at the Member Level]]=Age_Sex_BY[[#This Row],[Total Spending before Truncation is Applied]]</f>
        <v>1</v>
      </c>
    </row>
    <row r="231" spans="1:10" x14ac:dyDescent="0.25">
      <c r="A231" s="339"/>
      <c r="B231" s="270"/>
      <c r="C231" s="271"/>
      <c r="D231" s="456"/>
      <c r="E231" s="362"/>
      <c r="F231" s="272"/>
      <c r="G231" s="460"/>
      <c r="H231" s="272"/>
      <c r="I231" s="399"/>
      <c r="J231" s="241" t="b">
        <f>Age_Sex_BY[[#This Row],[Total Spending After Applying Truncation at the Member Level]]+Age_Sex_BY[[#This Row],[Total Dollars Excluded from Spending After Applying Truncation at the Member Level]]=Age_Sex_BY[[#This Row],[Total Spending before Truncation is Applied]]</f>
        <v>1</v>
      </c>
    </row>
    <row r="232" spans="1:10" x14ac:dyDescent="0.25">
      <c r="A232" s="342"/>
      <c r="B232" s="4"/>
      <c r="C232" s="16"/>
      <c r="D232" s="457"/>
      <c r="E232" s="363"/>
      <c r="F232" s="273"/>
      <c r="G232" s="226"/>
      <c r="H232" s="273"/>
      <c r="I232" s="400"/>
      <c r="J232" s="241" t="b">
        <f>Age_Sex_BY[[#This Row],[Total Spending After Applying Truncation at the Member Level]]+Age_Sex_BY[[#This Row],[Total Dollars Excluded from Spending After Applying Truncation at the Member Level]]=Age_Sex_BY[[#This Row],[Total Spending before Truncation is Applied]]</f>
        <v>1</v>
      </c>
    </row>
    <row r="233" spans="1:10" x14ac:dyDescent="0.25">
      <c r="A233" s="339"/>
      <c r="B233" s="270"/>
      <c r="C233" s="271"/>
      <c r="D233" s="456"/>
      <c r="E233" s="362"/>
      <c r="F233" s="272"/>
      <c r="G233" s="460"/>
      <c r="H233" s="272"/>
      <c r="I233" s="399"/>
      <c r="J233" s="241" t="b">
        <f>Age_Sex_BY[[#This Row],[Total Spending After Applying Truncation at the Member Level]]+Age_Sex_BY[[#This Row],[Total Dollars Excluded from Spending After Applying Truncation at the Member Level]]=Age_Sex_BY[[#This Row],[Total Spending before Truncation is Applied]]</f>
        <v>1</v>
      </c>
    </row>
    <row r="234" spans="1:10" x14ac:dyDescent="0.25">
      <c r="A234" s="342"/>
      <c r="B234" s="4"/>
      <c r="C234" s="16"/>
      <c r="D234" s="457"/>
      <c r="E234" s="363"/>
      <c r="F234" s="273"/>
      <c r="G234" s="226"/>
      <c r="H234" s="273"/>
      <c r="I234" s="400"/>
      <c r="J234" s="241" t="b">
        <f>Age_Sex_BY[[#This Row],[Total Spending After Applying Truncation at the Member Level]]+Age_Sex_BY[[#This Row],[Total Dollars Excluded from Spending After Applying Truncation at the Member Level]]=Age_Sex_BY[[#This Row],[Total Spending before Truncation is Applied]]</f>
        <v>1</v>
      </c>
    </row>
    <row r="235" spans="1:10" x14ac:dyDescent="0.25">
      <c r="A235" s="339"/>
      <c r="B235" s="270"/>
      <c r="C235" s="271"/>
      <c r="D235" s="456"/>
      <c r="E235" s="362"/>
      <c r="F235" s="272"/>
      <c r="G235" s="460"/>
      <c r="H235" s="272"/>
      <c r="I235" s="399"/>
      <c r="J235" s="241" t="b">
        <f>Age_Sex_BY[[#This Row],[Total Spending After Applying Truncation at the Member Level]]+Age_Sex_BY[[#This Row],[Total Dollars Excluded from Spending After Applying Truncation at the Member Level]]=Age_Sex_BY[[#This Row],[Total Spending before Truncation is Applied]]</f>
        <v>1</v>
      </c>
    </row>
    <row r="236" spans="1:10" x14ac:dyDescent="0.25">
      <c r="A236" s="342"/>
      <c r="B236" s="4"/>
      <c r="C236" s="16"/>
      <c r="D236" s="457"/>
      <c r="E236" s="363"/>
      <c r="F236" s="273"/>
      <c r="G236" s="226"/>
      <c r="H236" s="273"/>
      <c r="I236" s="400"/>
      <c r="J236" s="241" t="b">
        <f>Age_Sex_BY[[#This Row],[Total Spending After Applying Truncation at the Member Level]]+Age_Sex_BY[[#This Row],[Total Dollars Excluded from Spending After Applying Truncation at the Member Level]]=Age_Sex_BY[[#This Row],[Total Spending before Truncation is Applied]]</f>
        <v>1</v>
      </c>
    </row>
    <row r="237" spans="1:10" x14ac:dyDescent="0.25">
      <c r="A237" s="339"/>
      <c r="B237" s="270"/>
      <c r="C237" s="271"/>
      <c r="D237" s="456"/>
      <c r="E237" s="362"/>
      <c r="F237" s="272"/>
      <c r="G237" s="460"/>
      <c r="H237" s="272"/>
      <c r="I237" s="399"/>
      <c r="J237" s="241" t="b">
        <f>Age_Sex_BY[[#This Row],[Total Spending After Applying Truncation at the Member Level]]+Age_Sex_BY[[#This Row],[Total Dollars Excluded from Spending After Applying Truncation at the Member Level]]=Age_Sex_BY[[#This Row],[Total Spending before Truncation is Applied]]</f>
        <v>1</v>
      </c>
    </row>
    <row r="238" spans="1:10" x14ac:dyDescent="0.25">
      <c r="A238" s="342"/>
      <c r="B238" s="4"/>
      <c r="C238" s="16"/>
      <c r="D238" s="457"/>
      <c r="E238" s="363"/>
      <c r="F238" s="273"/>
      <c r="G238" s="226"/>
      <c r="H238" s="273"/>
      <c r="I238" s="400"/>
      <c r="J238" s="241" t="b">
        <f>Age_Sex_BY[[#This Row],[Total Spending After Applying Truncation at the Member Level]]+Age_Sex_BY[[#This Row],[Total Dollars Excluded from Spending After Applying Truncation at the Member Level]]=Age_Sex_BY[[#This Row],[Total Spending before Truncation is Applied]]</f>
        <v>1</v>
      </c>
    </row>
    <row r="239" spans="1:10" x14ac:dyDescent="0.25">
      <c r="A239" s="339"/>
      <c r="B239" s="270"/>
      <c r="C239" s="271"/>
      <c r="D239" s="456"/>
      <c r="E239" s="362"/>
      <c r="F239" s="272"/>
      <c r="G239" s="460"/>
      <c r="H239" s="272"/>
      <c r="I239" s="399"/>
      <c r="J239" s="241" t="b">
        <f>Age_Sex_BY[[#This Row],[Total Spending After Applying Truncation at the Member Level]]+Age_Sex_BY[[#This Row],[Total Dollars Excluded from Spending After Applying Truncation at the Member Level]]=Age_Sex_BY[[#This Row],[Total Spending before Truncation is Applied]]</f>
        <v>1</v>
      </c>
    </row>
    <row r="240" spans="1:10" x14ac:dyDescent="0.25">
      <c r="A240" s="342"/>
      <c r="B240" s="4"/>
      <c r="C240" s="16"/>
      <c r="D240" s="457"/>
      <c r="E240" s="363"/>
      <c r="F240" s="273"/>
      <c r="G240" s="226"/>
      <c r="H240" s="273"/>
      <c r="I240" s="400"/>
      <c r="J240" s="241" t="b">
        <f>Age_Sex_BY[[#This Row],[Total Spending After Applying Truncation at the Member Level]]+Age_Sex_BY[[#This Row],[Total Dollars Excluded from Spending After Applying Truncation at the Member Level]]=Age_Sex_BY[[#This Row],[Total Spending before Truncation is Applied]]</f>
        <v>1</v>
      </c>
    </row>
    <row r="241" spans="1:10" x14ac:dyDescent="0.25">
      <c r="A241" s="339"/>
      <c r="B241" s="270"/>
      <c r="C241" s="271"/>
      <c r="D241" s="456"/>
      <c r="E241" s="362"/>
      <c r="F241" s="272"/>
      <c r="G241" s="460"/>
      <c r="H241" s="272"/>
      <c r="I241" s="399"/>
      <c r="J241" s="241" t="b">
        <f>Age_Sex_BY[[#This Row],[Total Spending After Applying Truncation at the Member Level]]+Age_Sex_BY[[#This Row],[Total Dollars Excluded from Spending After Applying Truncation at the Member Level]]=Age_Sex_BY[[#This Row],[Total Spending before Truncation is Applied]]</f>
        <v>1</v>
      </c>
    </row>
    <row r="242" spans="1:10" x14ac:dyDescent="0.25">
      <c r="A242" s="342"/>
      <c r="B242" s="4"/>
      <c r="C242" s="16"/>
      <c r="D242" s="457"/>
      <c r="E242" s="363"/>
      <c r="F242" s="273"/>
      <c r="G242" s="226"/>
      <c r="H242" s="273"/>
      <c r="I242" s="400"/>
      <c r="J242" s="241" t="b">
        <f>Age_Sex_BY[[#This Row],[Total Spending After Applying Truncation at the Member Level]]+Age_Sex_BY[[#This Row],[Total Dollars Excluded from Spending After Applying Truncation at the Member Level]]=Age_Sex_BY[[#This Row],[Total Spending before Truncation is Applied]]</f>
        <v>1</v>
      </c>
    </row>
    <row r="243" spans="1:10" x14ac:dyDescent="0.25">
      <c r="A243" s="339"/>
      <c r="B243" s="270"/>
      <c r="C243" s="271"/>
      <c r="D243" s="456"/>
      <c r="E243" s="362"/>
      <c r="F243" s="272"/>
      <c r="G243" s="460"/>
      <c r="H243" s="272"/>
      <c r="I243" s="399"/>
      <c r="J243" s="241" t="b">
        <f>Age_Sex_BY[[#This Row],[Total Spending After Applying Truncation at the Member Level]]+Age_Sex_BY[[#This Row],[Total Dollars Excluded from Spending After Applying Truncation at the Member Level]]=Age_Sex_BY[[#This Row],[Total Spending before Truncation is Applied]]</f>
        <v>1</v>
      </c>
    </row>
    <row r="244" spans="1:10" x14ac:dyDescent="0.25">
      <c r="A244" s="342"/>
      <c r="B244" s="4"/>
      <c r="C244" s="16"/>
      <c r="D244" s="457"/>
      <c r="E244" s="363"/>
      <c r="F244" s="273"/>
      <c r="G244" s="226"/>
      <c r="H244" s="273"/>
      <c r="I244" s="400"/>
      <c r="J244" s="241" t="b">
        <f>Age_Sex_BY[[#This Row],[Total Spending After Applying Truncation at the Member Level]]+Age_Sex_BY[[#This Row],[Total Dollars Excluded from Spending After Applying Truncation at the Member Level]]=Age_Sex_BY[[#This Row],[Total Spending before Truncation is Applied]]</f>
        <v>1</v>
      </c>
    </row>
    <row r="245" spans="1:10" x14ac:dyDescent="0.25">
      <c r="A245" s="339"/>
      <c r="B245" s="270"/>
      <c r="C245" s="271"/>
      <c r="D245" s="456"/>
      <c r="E245" s="362"/>
      <c r="F245" s="272"/>
      <c r="G245" s="460"/>
      <c r="H245" s="272"/>
      <c r="I245" s="399"/>
      <c r="J245" s="241" t="b">
        <f>Age_Sex_BY[[#This Row],[Total Spending After Applying Truncation at the Member Level]]+Age_Sex_BY[[#This Row],[Total Dollars Excluded from Spending After Applying Truncation at the Member Level]]=Age_Sex_BY[[#This Row],[Total Spending before Truncation is Applied]]</f>
        <v>1</v>
      </c>
    </row>
    <row r="246" spans="1:10" x14ac:dyDescent="0.25">
      <c r="A246" s="342"/>
      <c r="B246" s="4"/>
      <c r="C246" s="16"/>
      <c r="D246" s="457"/>
      <c r="E246" s="363"/>
      <c r="F246" s="273"/>
      <c r="G246" s="226"/>
      <c r="H246" s="273"/>
      <c r="I246" s="400"/>
      <c r="J246" s="241" t="b">
        <f>Age_Sex_BY[[#This Row],[Total Spending After Applying Truncation at the Member Level]]+Age_Sex_BY[[#This Row],[Total Dollars Excluded from Spending After Applying Truncation at the Member Level]]=Age_Sex_BY[[#This Row],[Total Spending before Truncation is Applied]]</f>
        <v>1</v>
      </c>
    </row>
    <row r="247" spans="1:10" x14ac:dyDescent="0.25">
      <c r="A247" s="339"/>
      <c r="B247" s="270"/>
      <c r="C247" s="271"/>
      <c r="D247" s="456"/>
      <c r="E247" s="362"/>
      <c r="F247" s="272"/>
      <c r="G247" s="460"/>
      <c r="H247" s="272"/>
      <c r="I247" s="399"/>
      <c r="J247" s="241" t="b">
        <f>Age_Sex_BY[[#This Row],[Total Spending After Applying Truncation at the Member Level]]+Age_Sex_BY[[#This Row],[Total Dollars Excluded from Spending After Applying Truncation at the Member Level]]=Age_Sex_BY[[#This Row],[Total Spending before Truncation is Applied]]</f>
        <v>1</v>
      </c>
    </row>
    <row r="248" spans="1:10" x14ac:dyDescent="0.25">
      <c r="A248" s="342"/>
      <c r="B248" s="4"/>
      <c r="C248" s="16"/>
      <c r="D248" s="457"/>
      <c r="E248" s="363"/>
      <c r="F248" s="273"/>
      <c r="G248" s="226"/>
      <c r="H248" s="273"/>
      <c r="I248" s="400"/>
      <c r="J248" s="241" t="b">
        <f>Age_Sex_BY[[#This Row],[Total Spending After Applying Truncation at the Member Level]]+Age_Sex_BY[[#This Row],[Total Dollars Excluded from Spending After Applying Truncation at the Member Level]]=Age_Sex_BY[[#This Row],[Total Spending before Truncation is Applied]]</f>
        <v>1</v>
      </c>
    </row>
    <row r="249" spans="1:10" x14ac:dyDescent="0.25">
      <c r="A249" s="339"/>
      <c r="B249" s="270"/>
      <c r="C249" s="271"/>
      <c r="D249" s="456"/>
      <c r="E249" s="362"/>
      <c r="F249" s="272"/>
      <c r="G249" s="460"/>
      <c r="H249" s="272"/>
      <c r="I249" s="399"/>
      <c r="J249" s="241" t="b">
        <f>Age_Sex_BY[[#This Row],[Total Spending After Applying Truncation at the Member Level]]+Age_Sex_BY[[#This Row],[Total Dollars Excluded from Spending After Applying Truncation at the Member Level]]=Age_Sex_BY[[#This Row],[Total Spending before Truncation is Applied]]</f>
        <v>1</v>
      </c>
    </row>
    <row r="250" spans="1:10" x14ac:dyDescent="0.25">
      <c r="A250" s="342"/>
      <c r="B250" s="4"/>
      <c r="C250" s="16"/>
      <c r="D250" s="457"/>
      <c r="E250" s="363"/>
      <c r="F250" s="273"/>
      <c r="G250" s="226"/>
      <c r="H250" s="273"/>
      <c r="I250" s="400"/>
      <c r="J250" s="241" t="b">
        <f>Age_Sex_BY[[#This Row],[Total Spending After Applying Truncation at the Member Level]]+Age_Sex_BY[[#This Row],[Total Dollars Excluded from Spending After Applying Truncation at the Member Level]]=Age_Sex_BY[[#This Row],[Total Spending before Truncation is Applied]]</f>
        <v>1</v>
      </c>
    </row>
    <row r="251" spans="1:10" x14ac:dyDescent="0.25">
      <c r="A251" s="339"/>
      <c r="B251" s="270"/>
      <c r="C251" s="271"/>
      <c r="D251" s="456"/>
      <c r="E251" s="362"/>
      <c r="F251" s="272"/>
      <c r="G251" s="460"/>
      <c r="H251" s="272"/>
      <c r="I251" s="399"/>
      <c r="J251" s="241" t="b">
        <f>Age_Sex_BY[[#This Row],[Total Spending After Applying Truncation at the Member Level]]+Age_Sex_BY[[#This Row],[Total Dollars Excluded from Spending After Applying Truncation at the Member Level]]=Age_Sex_BY[[#This Row],[Total Spending before Truncation is Applied]]</f>
        <v>1</v>
      </c>
    </row>
    <row r="252" spans="1:10" x14ac:dyDescent="0.25">
      <c r="A252" s="342"/>
      <c r="B252" s="4"/>
      <c r="C252" s="16"/>
      <c r="D252" s="457"/>
      <c r="E252" s="363"/>
      <c r="F252" s="273"/>
      <c r="G252" s="226"/>
      <c r="H252" s="273"/>
      <c r="I252" s="400"/>
      <c r="J252" s="241" t="b">
        <f>Age_Sex_BY[[#This Row],[Total Spending After Applying Truncation at the Member Level]]+Age_Sex_BY[[#This Row],[Total Dollars Excluded from Spending After Applying Truncation at the Member Level]]=Age_Sex_BY[[#This Row],[Total Spending before Truncation is Applied]]</f>
        <v>1</v>
      </c>
    </row>
    <row r="253" spans="1:10" x14ac:dyDescent="0.25">
      <c r="A253" s="339"/>
      <c r="B253" s="270"/>
      <c r="C253" s="271"/>
      <c r="D253" s="456"/>
      <c r="E253" s="362"/>
      <c r="F253" s="272"/>
      <c r="G253" s="460"/>
      <c r="H253" s="272"/>
      <c r="I253" s="399"/>
      <c r="J253" s="241" t="b">
        <f>Age_Sex_BY[[#This Row],[Total Spending After Applying Truncation at the Member Level]]+Age_Sex_BY[[#This Row],[Total Dollars Excluded from Spending After Applying Truncation at the Member Level]]=Age_Sex_BY[[#This Row],[Total Spending before Truncation is Applied]]</f>
        <v>1</v>
      </c>
    </row>
    <row r="254" spans="1:10" x14ac:dyDescent="0.25">
      <c r="A254" s="342"/>
      <c r="B254" s="4"/>
      <c r="C254" s="16"/>
      <c r="D254" s="457"/>
      <c r="E254" s="363"/>
      <c r="F254" s="273"/>
      <c r="G254" s="226"/>
      <c r="H254" s="273"/>
      <c r="I254" s="400"/>
      <c r="J254" s="241" t="b">
        <f>Age_Sex_BY[[#This Row],[Total Spending After Applying Truncation at the Member Level]]+Age_Sex_BY[[#This Row],[Total Dollars Excluded from Spending After Applying Truncation at the Member Level]]=Age_Sex_BY[[#This Row],[Total Spending before Truncation is Applied]]</f>
        <v>1</v>
      </c>
    </row>
    <row r="255" spans="1:10" x14ac:dyDescent="0.25">
      <c r="A255" s="339"/>
      <c r="B255" s="270"/>
      <c r="C255" s="271"/>
      <c r="D255" s="456"/>
      <c r="E255" s="362"/>
      <c r="F255" s="272"/>
      <c r="G255" s="460"/>
      <c r="H255" s="272"/>
      <c r="I255" s="399"/>
      <c r="J255" s="241" t="b">
        <f>Age_Sex_BY[[#This Row],[Total Spending After Applying Truncation at the Member Level]]+Age_Sex_BY[[#This Row],[Total Dollars Excluded from Spending After Applying Truncation at the Member Level]]=Age_Sex_BY[[#This Row],[Total Spending before Truncation is Applied]]</f>
        <v>1</v>
      </c>
    </row>
    <row r="256" spans="1:10" x14ac:dyDescent="0.25">
      <c r="A256" s="342"/>
      <c r="B256" s="4"/>
      <c r="C256" s="16"/>
      <c r="D256" s="457"/>
      <c r="E256" s="363"/>
      <c r="F256" s="273"/>
      <c r="G256" s="226"/>
      <c r="H256" s="273"/>
      <c r="I256" s="400"/>
      <c r="J256" s="241" t="b">
        <f>Age_Sex_BY[[#This Row],[Total Spending After Applying Truncation at the Member Level]]+Age_Sex_BY[[#This Row],[Total Dollars Excluded from Spending After Applying Truncation at the Member Level]]=Age_Sex_BY[[#This Row],[Total Spending before Truncation is Applied]]</f>
        <v>1</v>
      </c>
    </row>
    <row r="257" spans="1:10" x14ac:dyDescent="0.25">
      <c r="A257" s="339"/>
      <c r="B257" s="270"/>
      <c r="C257" s="271"/>
      <c r="D257" s="456"/>
      <c r="E257" s="362"/>
      <c r="F257" s="272"/>
      <c r="G257" s="460"/>
      <c r="H257" s="272"/>
      <c r="I257" s="399"/>
      <c r="J257" s="241" t="b">
        <f>Age_Sex_BY[[#This Row],[Total Spending After Applying Truncation at the Member Level]]+Age_Sex_BY[[#This Row],[Total Dollars Excluded from Spending After Applying Truncation at the Member Level]]=Age_Sex_BY[[#This Row],[Total Spending before Truncation is Applied]]</f>
        <v>1</v>
      </c>
    </row>
    <row r="258" spans="1:10" x14ac:dyDescent="0.25">
      <c r="A258" s="342"/>
      <c r="B258" s="4"/>
      <c r="C258" s="16"/>
      <c r="D258" s="457"/>
      <c r="E258" s="363"/>
      <c r="F258" s="273"/>
      <c r="G258" s="226"/>
      <c r="H258" s="273"/>
      <c r="I258" s="400"/>
      <c r="J258" s="241" t="b">
        <f>Age_Sex_BY[[#This Row],[Total Spending After Applying Truncation at the Member Level]]+Age_Sex_BY[[#This Row],[Total Dollars Excluded from Spending After Applying Truncation at the Member Level]]=Age_Sex_BY[[#This Row],[Total Spending before Truncation is Applied]]</f>
        <v>1</v>
      </c>
    </row>
    <row r="259" spans="1:10" x14ac:dyDescent="0.25">
      <c r="A259" s="339"/>
      <c r="B259" s="270"/>
      <c r="C259" s="271"/>
      <c r="D259" s="456"/>
      <c r="E259" s="362"/>
      <c r="F259" s="272"/>
      <c r="G259" s="460"/>
      <c r="H259" s="272"/>
      <c r="I259" s="399"/>
      <c r="J259" s="241" t="b">
        <f>Age_Sex_BY[[#This Row],[Total Spending After Applying Truncation at the Member Level]]+Age_Sex_BY[[#This Row],[Total Dollars Excluded from Spending After Applying Truncation at the Member Level]]=Age_Sex_BY[[#This Row],[Total Spending before Truncation is Applied]]</f>
        <v>1</v>
      </c>
    </row>
    <row r="260" spans="1:10" x14ac:dyDescent="0.25">
      <c r="A260" s="342"/>
      <c r="B260" s="4"/>
      <c r="C260" s="16"/>
      <c r="D260" s="457"/>
      <c r="E260" s="363"/>
      <c r="F260" s="273"/>
      <c r="G260" s="226"/>
      <c r="H260" s="273"/>
      <c r="I260" s="400"/>
      <c r="J260" s="241" t="b">
        <f>Age_Sex_BY[[#This Row],[Total Spending After Applying Truncation at the Member Level]]+Age_Sex_BY[[#This Row],[Total Dollars Excluded from Spending After Applying Truncation at the Member Level]]=Age_Sex_BY[[#This Row],[Total Spending before Truncation is Applied]]</f>
        <v>1</v>
      </c>
    </row>
    <row r="261" spans="1:10" x14ac:dyDescent="0.25">
      <c r="A261" s="339"/>
      <c r="B261" s="270"/>
      <c r="C261" s="271"/>
      <c r="D261" s="456"/>
      <c r="E261" s="362"/>
      <c r="F261" s="272"/>
      <c r="G261" s="460"/>
      <c r="H261" s="272"/>
      <c r="I261" s="399"/>
      <c r="J261" s="241" t="b">
        <f>Age_Sex_BY[[#This Row],[Total Spending After Applying Truncation at the Member Level]]+Age_Sex_BY[[#This Row],[Total Dollars Excluded from Spending After Applying Truncation at the Member Level]]=Age_Sex_BY[[#This Row],[Total Spending before Truncation is Applied]]</f>
        <v>1</v>
      </c>
    </row>
    <row r="262" spans="1:10" x14ac:dyDescent="0.25">
      <c r="A262" s="342"/>
      <c r="B262" s="4"/>
      <c r="C262" s="16"/>
      <c r="D262" s="457"/>
      <c r="E262" s="363"/>
      <c r="F262" s="273"/>
      <c r="G262" s="226"/>
      <c r="H262" s="273"/>
      <c r="I262" s="400"/>
      <c r="J262" s="241" t="b">
        <f>Age_Sex_BY[[#This Row],[Total Spending After Applying Truncation at the Member Level]]+Age_Sex_BY[[#This Row],[Total Dollars Excluded from Spending After Applying Truncation at the Member Level]]=Age_Sex_BY[[#This Row],[Total Spending before Truncation is Applied]]</f>
        <v>1</v>
      </c>
    </row>
    <row r="263" spans="1:10" x14ac:dyDescent="0.25">
      <c r="A263" s="339"/>
      <c r="B263" s="270"/>
      <c r="C263" s="271"/>
      <c r="D263" s="456"/>
      <c r="E263" s="362"/>
      <c r="F263" s="272"/>
      <c r="G263" s="460"/>
      <c r="H263" s="272"/>
      <c r="I263" s="399"/>
      <c r="J263" s="241" t="b">
        <f>Age_Sex_BY[[#This Row],[Total Spending After Applying Truncation at the Member Level]]+Age_Sex_BY[[#This Row],[Total Dollars Excluded from Spending After Applying Truncation at the Member Level]]=Age_Sex_BY[[#This Row],[Total Spending before Truncation is Applied]]</f>
        <v>1</v>
      </c>
    </row>
    <row r="264" spans="1:10" x14ac:dyDescent="0.25">
      <c r="A264" s="342"/>
      <c r="B264" s="4"/>
      <c r="C264" s="16"/>
      <c r="D264" s="457"/>
      <c r="E264" s="363"/>
      <c r="F264" s="273"/>
      <c r="G264" s="226"/>
      <c r="H264" s="273"/>
      <c r="I264" s="400"/>
      <c r="J264" s="241" t="b">
        <f>Age_Sex_BY[[#This Row],[Total Spending After Applying Truncation at the Member Level]]+Age_Sex_BY[[#This Row],[Total Dollars Excluded from Spending After Applying Truncation at the Member Level]]=Age_Sex_BY[[#This Row],[Total Spending before Truncation is Applied]]</f>
        <v>1</v>
      </c>
    </row>
    <row r="265" spans="1:10" x14ac:dyDescent="0.25">
      <c r="A265" s="339"/>
      <c r="B265" s="270"/>
      <c r="C265" s="271"/>
      <c r="D265" s="456"/>
      <c r="E265" s="362"/>
      <c r="F265" s="272"/>
      <c r="G265" s="460"/>
      <c r="H265" s="272"/>
      <c r="I265" s="399"/>
      <c r="J265" s="241" t="b">
        <f>Age_Sex_BY[[#This Row],[Total Spending After Applying Truncation at the Member Level]]+Age_Sex_BY[[#This Row],[Total Dollars Excluded from Spending After Applying Truncation at the Member Level]]=Age_Sex_BY[[#This Row],[Total Spending before Truncation is Applied]]</f>
        <v>1</v>
      </c>
    </row>
    <row r="266" spans="1:10" x14ac:dyDescent="0.25">
      <c r="A266" s="342"/>
      <c r="B266" s="4"/>
      <c r="C266" s="16"/>
      <c r="D266" s="457"/>
      <c r="E266" s="363"/>
      <c r="F266" s="273"/>
      <c r="G266" s="226"/>
      <c r="H266" s="273"/>
      <c r="I266" s="400"/>
      <c r="J266" s="241" t="b">
        <f>Age_Sex_BY[[#This Row],[Total Spending After Applying Truncation at the Member Level]]+Age_Sex_BY[[#This Row],[Total Dollars Excluded from Spending After Applying Truncation at the Member Level]]=Age_Sex_BY[[#This Row],[Total Spending before Truncation is Applied]]</f>
        <v>1</v>
      </c>
    </row>
    <row r="267" spans="1:10" x14ac:dyDescent="0.25">
      <c r="A267" s="339"/>
      <c r="B267" s="270"/>
      <c r="C267" s="271"/>
      <c r="D267" s="456"/>
      <c r="E267" s="362"/>
      <c r="F267" s="272"/>
      <c r="G267" s="460"/>
      <c r="H267" s="272"/>
      <c r="I267" s="399"/>
      <c r="J267" s="241" t="b">
        <f>Age_Sex_BY[[#This Row],[Total Spending After Applying Truncation at the Member Level]]+Age_Sex_BY[[#This Row],[Total Dollars Excluded from Spending After Applying Truncation at the Member Level]]=Age_Sex_BY[[#This Row],[Total Spending before Truncation is Applied]]</f>
        <v>1</v>
      </c>
    </row>
    <row r="268" spans="1:10" x14ac:dyDescent="0.25">
      <c r="A268" s="342"/>
      <c r="B268" s="4"/>
      <c r="C268" s="16"/>
      <c r="D268" s="457"/>
      <c r="E268" s="363"/>
      <c r="F268" s="273"/>
      <c r="G268" s="226"/>
      <c r="H268" s="273"/>
      <c r="I268" s="400"/>
      <c r="J268" s="241" t="b">
        <f>Age_Sex_BY[[#This Row],[Total Spending After Applying Truncation at the Member Level]]+Age_Sex_BY[[#This Row],[Total Dollars Excluded from Spending After Applying Truncation at the Member Level]]=Age_Sex_BY[[#This Row],[Total Spending before Truncation is Applied]]</f>
        <v>1</v>
      </c>
    </row>
    <row r="269" spans="1:10" x14ac:dyDescent="0.25">
      <c r="A269" s="339"/>
      <c r="B269" s="270"/>
      <c r="C269" s="271"/>
      <c r="D269" s="456"/>
      <c r="E269" s="362"/>
      <c r="F269" s="272"/>
      <c r="G269" s="460"/>
      <c r="H269" s="272"/>
      <c r="I269" s="399"/>
      <c r="J269" s="241" t="b">
        <f>Age_Sex_BY[[#This Row],[Total Spending After Applying Truncation at the Member Level]]+Age_Sex_BY[[#This Row],[Total Dollars Excluded from Spending After Applying Truncation at the Member Level]]=Age_Sex_BY[[#This Row],[Total Spending before Truncation is Applied]]</f>
        <v>1</v>
      </c>
    </row>
    <row r="270" spans="1:10" x14ac:dyDescent="0.25">
      <c r="A270" s="342"/>
      <c r="B270" s="4"/>
      <c r="C270" s="16"/>
      <c r="D270" s="457"/>
      <c r="E270" s="363"/>
      <c r="F270" s="273"/>
      <c r="G270" s="226"/>
      <c r="H270" s="273"/>
      <c r="I270" s="400"/>
      <c r="J270" s="241" t="b">
        <f>Age_Sex_BY[[#This Row],[Total Spending After Applying Truncation at the Member Level]]+Age_Sex_BY[[#This Row],[Total Dollars Excluded from Spending After Applying Truncation at the Member Level]]=Age_Sex_BY[[#This Row],[Total Spending before Truncation is Applied]]</f>
        <v>1</v>
      </c>
    </row>
    <row r="271" spans="1:10" x14ac:dyDescent="0.25">
      <c r="A271" s="339"/>
      <c r="B271" s="270"/>
      <c r="C271" s="271"/>
      <c r="D271" s="456"/>
      <c r="E271" s="362"/>
      <c r="F271" s="272"/>
      <c r="G271" s="460"/>
      <c r="H271" s="272"/>
      <c r="I271" s="399"/>
      <c r="J271" s="241" t="b">
        <f>Age_Sex_BY[[#This Row],[Total Spending After Applying Truncation at the Member Level]]+Age_Sex_BY[[#This Row],[Total Dollars Excluded from Spending After Applying Truncation at the Member Level]]=Age_Sex_BY[[#This Row],[Total Spending before Truncation is Applied]]</f>
        <v>1</v>
      </c>
    </row>
    <row r="272" spans="1:10" x14ac:dyDescent="0.25">
      <c r="A272" s="342"/>
      <c r="B272" s="4"/>
      <c r="C272" s="16"/>
      <c r="D272" s="457"/>
      <c r="E272" s="363"/>
      <c r="F272" s="273"/>
      <c r="G272" s="226"/>
      <c r="H272" s="273"/>
      <c r="I272" s="400"/>
      <c r="J272" s="241" t="b">
        <f>Age_Sex_BY[[#This Row],[Total Spending After Applying Truncation at the Member Level]]+Age_Sex_BY[[#This Row],[Total Dollars Excluded from Spending After Applying Truncation at the Member Level]]=Age_Sex_BY[[#This Row],[Total Spending before Truncation is Applied]]</f>
        <v>1</v>
      </c>
    </row>
    <row r="273" spans="1:10" x14ac:dyDescent="0.25">
      <c r="A273" s="339"/>
      <c r="B273" s="270"/>
      <c r="C273" s="271"/>
      <c r="D273" s="456"/>
      <c r="E273" s="362"/>
      <c r="F273" s="272"/>
      <c r="G273" s="460"/>
      <c r="H273" s="272"/>
      <c r="I273" s="399"/>
      <c r="J273" s="241" t="b">
        <f>Age_Sex_BY[[#This Row],[Total Spending After Applying Truncation at the Member Level]]+Age_Sex_BY[[#This Row],[Total Dollars Excluded from Spending After Applying Truncation at the Member Level]]=Age_Sex_BY[[#This Row],[Total Spending before Truncation is Applied]]</f>
        <v>1</v>
      </c>
    </row>
    <row r="274" spans="1:10" x14ac:dyDescent="0.25">
      <c r="A274" s="342"/>
      <c r="B274" s="4"/>
      <c r="C274" s="16"/>
      <c r="D274" s="457"/>
      <c r="E274" s="363"/>
      <c r="F274" s="273"/>
      <c r="G274" s="226"/>
      <c r="H274" s="273"/>
      <c r="I274" s="400"/>
      <c r="J274" s="241" t="b">
        <f>Age_Sex_BY[[#This Row],[Total Spending After Applying Truncation at the Member Level]]+Age_Sex_BY[[#This Row],[Total Dollars Excluded from Spending After Applying Truncation at the Member Level]]=Age_Sex_BY[[#This Row],[Total Spending before Truncation is Applied]]</f>
        <v>1</v>
      </c>
    </row>
    <row r="275" spans="1:10" x14ac:dyDescent="0.25">
      <c r="A275" s="339"/>
      <c r="B275" s="270"/>
      <c r="C275" s="271"/>
      <c r="D275" s="456"/>
      <c r="E275" s="362"/>
      <c r="F275" s="272"/>
      <c r="G275" s="460"/>
      <c r="H275" s="272"/>
      <c r="I275" s="399"/>
      <c r="J275" s="241" t="b">
        <f>Age_Sex_BY[[#This Row],[Total Spending After Applying Truncation at the Member Level]]+Age_Sex_BY[[#This Row],[Total Dollars Excluded from Spending After Applying Truncation at the Member Level]]=Age_Sex_BY[[#This Row],[Total Spending before Truncation is Applied]]</f>
        <v>1</v>
      </c>
    </row>
    <row r="276" spans="1:10" x14ac:dyDescent="0.25">
      <c r="A276" s="342"/>
      <c r="B276" s="4"/>
      <c r="C276" s="16"/>
      <c r="D276" s="457"/>
      <c r="E276" s="363"/>
      <c r="F276" s="273"/>
      <c r="G276" s="226"/>
      <c r="H276" s="273"/>
      <c r="I276" s="400"/>
      <c r="J276" s="241" t="b">
        <f>Age_Sex_BY[[#This Row],[Total Spending After Applying Truncation at the Member Level]]+Age_Sex_BY[[#This Row],[Total Dollars Excluded from Spending After Applying Truncation at the Member Level]]=Age_Sex_BY[[#This Row],[Total Spending before Truncation is Applied]]</f>
        <v>1</v>
      </c>
    </row>
    <row r="277" spans="1:10" x14ac:dyDescent="0.25">
      <c r="A277" s="339"/>
      <c r="B277" s="270"/>
      <c r="C277" s="271"/>
      <c r="D277" s="456"/>
      <c r="E277" s="362"/>
      <c r="F277" s="272"/>
      <c r="G277" s="460"/>
      <c r="H277" s="272"/>
      <c r="I277" s="399"/>
      <c r="J277" s="241" t="b">
        <f>Age_Sex_BY[[#This Row],[Total Spending After Applying Truncation at the Member Level]]+Age_Sex_BY[[#This Row],[Total Dollars Excluded from Spending After Applying Truncation at the Member Level]]=Age_Sex_BY[[#This Row],[Total Spending before Truncation is Applied]]</f>
        <v>1</v>
      </c>
    </row>
    <row r="278" spans="1:10" x14ac:dyDescent="0.25">
      <c r="A278" s="342"/>
      <c r="B278" s="4"/>
      <c r="C278" s="16"/>
      <c r="D278" s="457"/>
      <c r="E278" s="363"/>
      <c r="F278" s="273"/>
      <c r="G278" s="226"/>
      <c r="H278" s="273"/>
      <c r="I278" s="400"/>
      <c r="J278" s="241" t="b">
        <f>Age_Sex_BY[[#This Row],[Total Spending After Applying Truncation at the Member Level]]+Age_Sex_BY[[#This Row],[Total Dollars Excluded from Spending After Applying Truncation at the Member Level]]=Age_Sex_BY[[#This Row],[Total Spending before Truncation is Applied]]</f>
        <v>1</v>
      </c>
    </row>
    <row r="279" spans="1:10" x14ac:dyDescent="0.25">
      <c r="A279" s="339"/>
      <c r="B279" s="270"/>
      <c r="C279" s="271"/>
      <c r="D279" s="456"/>
      <c r="E279" s="362"/>
      <c r="F279" s="272"/>
      <c r="G279" s="460"/>
      <c r="H279" s="272"/>
      <c r="I279" s="399"/>
      <c r="J279" s="241" t="b">
        <f>Age_Sex_BY[[#This Row],[Total Spending After Applying Truncation at the Member Level]]+Age_Sex_BY[[#This Row],[Total Dollars Excluded from Spending After Applying Truncation at the Member Level]]=Age_Sex_BY[[#This Row],[Total Spending before Truncation is Applied]]</f>
        <v>1</v>
      </c>
    </row>
    <row r="280" spans="1:10" x14ac:dyDescent="0.25">
      <c r="A280" s="342"/>
      <c r="B280" s="4"/>
      <c r="C280" s="16"/>
      <c r="D280" s="457"/>
      <c r="E280" s="363"/>
      <c r="F280" s="273"/>
      <c r="G280" s="226"/>
      <c r="H280" s="273"/>
      <c r="I280" s="400"/>
      <c r="J280" s="241" t="b">
        <f>Age_Sex_BY[[#This Row],[Total Spending After Applying Truncation at the Member Level]]+Age_Sex_BY[[#This Row],[Total Dollars Excluded from Spending After Applying Truncation at the Member Level]]=Age_Sex_BY[[#This Row],[Total Spending before Truncation is Applied]]</f>
        <v>1</v>
      </c>
    </row>
    <row r="281" spans="1:10" x14ac:dyDescent="0.25">
      <c r="A281" s="339"/>
      <c r="B281" s="270"/>
      <c r="C281" s="271"/>
      <c r="D281" s="456"/>
      <c r="E281" s="362"/>
      <c r="F281" s="272"/>
      <c r="G281" s="460"/>
      <c r="H281" s="272"/>
      <c r="I281" s="399"/>
      <c r="J281" s="241" t="b">
        <f>Age_Sex_BY[[#This Row],[Total Spending After Applying Truncation at the Member Level]]+Age_Sex_BY[[#This Row],[Total Dollars Excluded from Spending After Applying Truncation at the Member Level]]=Age_Sex_BY[[#This Row],[Total Spending before Truncation is Applied]]</f>
        <v>1</v>
      </c>
    </row>
    <row r="282" spans="1:10" x14ac:dyDescent="0.25">
      <c r="A282" s="342"/>
      <c r="B282" s="4"/>
      <c r="C282" s="16"/>
      <c r="D282" s="457"/>
      <c r="E282" s="363"/>
      <c r="F282" s="273"/>
      <c r="G282" s="226"/>
      <c r="H282" s="273"/>
      <c r="I282" s="400"/>
      <c r="J282" s="241" t="b">
        <f>Age_Sex_BY[[#This Row],[Total Spending After Applying Truncation at the Member Level]]+Age_Sex_BY[[#This Row],[Total Dollars Excluded from Spending After Applying Truncation at the Member Level]]=Age_Sex_BY[[#This Row],[Total Spending before Truncation is Applied]]</f>
        <v>1</v>
      </c>
    </row>
    <row r="283" spans="1:10" x14ac:dyDescent="0.25">
      <c r="A283" s="339"/>
      <c r="B283" s="270"/>
      <c r="C283" s="271"/>
      <c r="D283" s="456"/>
      <c r="E283" s="362"/>
      <c r="F283" s="272"/>
      <c r="G283" s="460"/>
      <c r="H283" s="272"/>
      <c r="I283" s="399"/>
      <c r="J283" s="241" t="b">
        <f>Age_Sex_BY[[#This Row],[Total Spending After Applying Truncation at the Member Level]]+Age_Sex_BY[[#This Row],[Total Dollars Excluded from Spending After Applying Truncation at the Member Level]]=Age_Sex_BY[[#This Row],[Total Spending before Truncation is Applied]]</f>
        <v>1</v>
      </c>
    </row>
    <row r="284" spans="1:10" x14ac:dyDescent="0.25">
      <c r="A284" s="342"/>
      <c r="B284" s="4"/>
      <c r="C284" s="16"/>
      <c r="D284" s="457"/>
      <c r="E284" s="363"/>
      <c r="F284" s="273"/>
      <c r="G284" s="226"/>
      <c r="H284" s="273"/>
      <c r="I284" s="400"/>
      <c r="J284" s="241" t="b">
        <f>Age_Sex_BY[[#This Row],[Total Spending After Applying Truncation at the Member Level]]+Age_Sex_BY[[#This Row],[Total Dollars Excluded from Spending After Applying Truncation at the Member Level]]=Age_Sex_BY[[#This Row],[Total Spending before Truncation is Applied]]</f>
        <v>1</v>
      </c>
    </row>
    <row r="285" spans="1:10" x14ac:dyDescent="0.25">
      <c r="A285" s="339"/>
      <c r="B285" s="270"/>
      <c r="C285" s="271"/>
      <c r="D285" s="456"/>
      <c r="E285" s="362"/>
      <c r="F285" s="272"/>
      <c r="G285" s="460"/>
      <c r="H285" s="272"/>
      <c r="I285" s="399"/>
      <c r="J285" s="241" t="b">
        <f>Age_Sex_BY[[#This Row],[Total Spending After Applying Truncation at the Member Level]]+Age_Sex_BY[[#This Row],[Total Dollars Excluded from Spending After Applying Truncation at the Member Level]]=Age_Sex_BY[[#This Row],[Total Spending before Truncation is Applied]]</f>
        <v>1</v>
      </c>
    </row>
    <row r="286" spans="1:10" x14ac:dyDescent="0.25">
      <c r="A286" s="342"/>
      <c r="B286" s="4"/>
      <c r="C286" s="16"/>
      <c r="D286" s="457"/>
      <c r="E286" s="363"/>
      <c r="F286" s="273"/>
      <c r="G286" s="226"/>
      <c r="H286" s="273"/>
      <c r="I286" s="400"/>
      <c r="J286" s="241" t="b">
        <f>Age_Sex_BY[[#This Row],[Total Spending After Applying Truncation at the Member Level]]+Age_Sex_BY[[#This Row],[Total Dollars Excluded from Spending After Applying Truncation at the Member Level]]=Age_Sex_BY[[#This Row],[Total Spending before Truncation is Applied]]</f>
        <v>1</v>
      </c>
    </row>
    <row r="287" spans="1:10" x14ac:dyDescent="0.25">
      <c r="A287" s="339"/>
      <c r="B287" s="270"/>
      <c r="C287" s="271"/>
      <c r="D287" s="456"/>
      <c r="E287" s="362"/>
      <c r="F287" s="272"/>
      <c r="G287" s="460"/>
      <c r="H287" s="272"/>
      <c r="I287" s="399"/>
      <c r="J287" s="241" t="b">
        <f>Age_Sex_BY[[#This Row],[Total Spending After Applying Truncation at the Member Level]]+Age_Sex_BY[[#This Row],[Total Dollars Excluded from Spending After Applying Truncation at the Member Level]]=Age_Sex_BY[[#This Row],[Total Spending before Truncation is Applied]]</f>
        <v>1</v>
      </c>
    </row>
    <row r="288" spans="1:10" x14ac:dyDescent="0.25">
      <c r="A288" s="342"/>
      <c r="B288" s="4"/>
      <c r="C288" s="16"/>
      <c r="D288" s="457"/>
      <c r="E288" s="363"/>
      <c r="F288" s="273"/>
      <c r="G288" s="226"/>
      <c r="H288" s="273"/>
      <c r="I288" s="400"/>
      <c r="J288" s="241" t="b">
        <f>Age_Sex_BY[[#This Row],[Total Spending After Applying Truncation at the Member Level]]+Age_Sex_BY[[#This Row],[Total Dollars Excluded from Spending After Applying Truncation at the Member Level]]=Age_Sex_BY[[#This Row],[Total Spending before Truncation is Applied]]</f>
        <v>1</v>
      </c>
    </row>
    <row r="289" spans="1:10" x14ac:dyDescent="0.25">
      <c r="A289" s="339"/>
      <c r="B289" s="270"/>
      <c r="C289" s="271"/>
      <c r="D289" s="456"/>
      <c r="E289" s="362"/>
      <c r="F289" s="272"/>
      <c r="G289" s="460"/>
      <c r="H289" s="272"/>
      <c r="I289" s="399"/>
      <c r="J289" s="241" t="b">
        <f>Age_Sex_BY[[#This Row],[Total Spending After Applying Truncation at the Member Level]]+Age_Sex_BY[[#This Row],[Total Dollars Excluded from Spending After Applying Truncation at the Member Level]]=Age_Sex_BY[[#This Row],[Total Spending before Truncation is Applied]]</f>
        <v>1</v>
      </c>
    </row>
    <row r="290" spans="1:10" x14ac:dyDescent="0.25">
      <c r="A290" s="342"/>
      <c r="B290" s="4"/>
      <c r="C290" s="16"/>
      <c r="D290" s="457"/>
      <c r="E290" s="363"/>
      <c r="F290" s="273"/>
      <c r="G290" s="226"/>
      <c r="H290" s="273"/>
      <c r="I290" s="400"/>
      <c r="J290" s="241" t="b">
        <f>Age_Sex_BY[[#This Row],[Total Spending After Applying Truncation at the Member Level]]+Age_Sex_BY[[#This Row],[Total Dollars Excluded from Spending After Applying Truncation at the Member Level]]=Age_Sex_BY[[#This Row],[Total Spending before Truncation is Applied]]</f>
        <v>1</v>
      </c>
    </row>
    <row r="291" spans="1:10" x14ac:dyDescent="0.25">
      <c r="A291" s="339"/>
      <c r="B291" s="270"/>
      <c r="C291" s="271"/>
      <c r="D291" s="456"/>
      <c r="E291" s="362"/>
      <c r="F291" s="272"/>
      <c r="G291" s="460"/>
      <c r="H291" s="272"/>
      <c r="I291" s="399"/>
      <c r="J291" s="241" t="b">
        <f>Age_Sex_BY[[#This Row],[Total Spending After Applying Truncation at the Member Level]]+Age_Sex_BY[[#This Row],[Total Dollars Excluded from Spending After Applying Truncation at the Member Level]]=Age_Sex_BY[[#This Row],[Total Spending before Truncation is Applied]]</f>
        <v>1</v>
      </c>
    </row>
    <row r="292" spans="1:10" x14ac:dyDescent="0.25">
      <c r="A292" s="342"/>
      <c r="B292" s="4"/>
      <c r="C292" s="16"/>
      <c r="D292" s="457"/>
      <c r="E292" s="363"/>
      <c r="F292" s="273"/>
      <c r="G292" s="226"/>
      <c r="H292" s="273"/>
      <c r="I292" s="400"/>
      <c r="J292" s="241" t="b">
        <f>Age_Sex_BY[[#This Row],[Total Spending After Applying Truncation at the Member Level]]+Age_Sex_BY[[#This Row],[Total Dollars Excluded from Spending After Applying Truncation at the Member Level]]=Age_Sex_BY[[#This Row],[Total Spending before Truncation is Applied]]</f>
        <v>1</v>
      </c>
    </row>
    <row r="293" spans="1:10" x14ac:dyDescent="0.25">
      <c r="A293" s="339"/>
      <c r="B293" s="270"/>
      <c r="C293" s="271"/>
      <c r="D293" s="456"/>
      <c r="E293" s="362"/>
      <c r="F293" s="272"/>
      <c r="G293" s="460"/>
      <c r="H293" s="272"/>
      <c r="I293" s="399"/>
      <c r="J293" s="241" t="b">
        <f>Age_Sex_BY[[#This Row],[Total Spending After Applying Truncation at the Member Level]]+Age_Sex_BY[[#This Row],[Total Dollars Excluded from Spending After Applying Truncation at the Member Level]]=Age_Sex_BY[[#This Row],[Total Spending before Truncation is Applied]]</f>
        <v>1</v>
      </c>
    </row>
    <row r="294" spans="1:10" x14ac:dyDescent="0.25">
      <c r="A294" s="342"/>
      <c r="B294" s="4"/>
      <c r="C294" s="16"/>
      <c r="D294" s="457"/>
      <c r="E294" s="363"/>
      <c r="F294" s="273"/>
      <c r="G294" s="226"/>
      <c r="H294" s="273"/>
      <c r="I294" s="400"/>
      <c r="J294" s="241" t="b">
        <f>Age_Sex_BY[[#This Row],[Total Spending After Applying Truncation at the Member Level]]+Age_Sex_BY[[#This Row],[Total Dollars Excluded from Spending After Applying Truncation at the Member Level]]=Age_Sex_BY[[#This Row],[Total Spending before Truncation is Applied]]</f>
        <v>1</v>
      </c>
    </row>
    <row r="295" spans="1:10" x14ac:dyDescent="0.25">
      <c r="A295" s="339"/>
      <c r="B295" s="270"/>
      <c r="C295" s="271"/>
      <c r="D295" s="456"/>
      <c r="E295" s="362"/>
      <c r="F295" s="272"/>
      <c r="G295" s="460"/>
      <c r="H295" s="272"/>
      <c r="I295" s="399"/>
      <c r="J295" s="241" t="b">
        <f>Age_Sex_BY[[#This Row],[Total Spending After Applying Truncation at the Member Level]]+Age_Sex_BY[[#This Row],[Total Dollars Excluded from Spending After Applying Truncation at the Member Level]]=Age_Sex_BY[[#This Row],[Total Spending before Truncation is Applied]]</f>
        <v>1</v>
      </c>
    </row>
    <row r="296" spans="1:10" x14ac:dyDescent="0.25">
      <c r="A296" s="342"/>
      <c r="B296" s="4"/>
      <c r="C296" s="16"/>
      <c r="D296" s="457"/>
      <c r="E296" s="363"/>
      <c r="F296" s="273"/>
      <c r="G296" s="226"/>
      <c r="H296" s="273"/>
      <c r="I296" s="400"/>
      <c r="J296" s="241" t="b">
        <f>Age_Sex_BY[[#This Row],[Total Spending After Applying Truncation at the Member Level]]+Age_Sex_BY[[#This Row],[Total Dollars Excluded from Spending After Applying Truncation at the Member Level]]=Age_Sex_BY[[#This Row],[Total Spending before Truncation is Applied]]</f>
        <v>1</v>
      </c>
    </row>
    <row r="297" spans="1:10" x14ac:dyDescent="0.25">
      <c r="A297" s="339"/>
      <c r="B297" s="270"/>
      <c r="C297" s="271"/>
      <c r="D297" s="456"/>
      <c r="E297" s="362"/>
      <c r="F297" s="272"/>
      <c r="G297" s="460"/>
      <c r="H297" s="272"/>
      <c r="I297" s="399"/>
      <c r="J297" s="241" t="b">
        <f>Age_Sex_BY[[#This Row],[Total Spending After Applying Truncation at the Member Level]]+Age_Sex_BY[[#This Row],[Total Dollars Excluded from Spending After Applying Truncation at the Member Level]]=Age_Sex_BY[[#This Row],[Total Spending before Truncation is Applied]]</f>
        <v>1</v>
      </c>
    </row>
    <row r="298" spans="1:10" x14ac:dyDescent="0.25">
      <c r="A298" s="342"/>
      <c r="B298" s="4"/>
      <c r="C298" s="16"/>
      <c r="D298" s="457"/>
      <c r="E298" s="363"/>
      <c r="F298" s="273"/>
      <c r="G298" s="226"/>
      <c r="H298" s="273"/>
      <c r="I298" s="400"/>
      <c r="J298" s="241" t="b">
        <f>Age_Sex_BY[[#This Row],[Total Spending After Applying Truncation at the Member Level]]+Age_Sex_BY[[#This Row],[Total Dollars Excluded from Spending After Applying Truncation at the Member Level]]=Age_Sex_BY[[#This Row],[Total Spending before Truncation is Applied]]</f>
        <v>1</v>
      </c>
    </row>
    <row r="299" spans="1:10" x14ac:dyDescent="0.25">
      <c r="A299" s="339"/>
      <c r="B299" s="270"/>
      <c r="C299" s="271"/>
      <c r="D299" s="456"/>
      <c r="E299" s="362"/>
      <c r="F299" s="272"/>
      <c r="G299" s="460"/>
      <c r="H299" s="272"/>
      <c r="I299" s="399"/>
      <c r="J299" s="241" t="b">
        <f>Age_Sex_BY[[#This Row],[Total Spending After Applying Truncation at the Member Level]]+Age_Sex_BY[[#This Row],[Total Dollars Excluded from Spending After Applying Truncation at the Member Level]]=Age_Sex_BY[[#This Row],[Total Spending before Truncation is Applied]]</f>
        <v>1</v>
      </c>
    </row>
    <row r="300" spans="1:10" x14ac:dyDescent="0.25">
      <c r="A300" s="342"/>
      <c r="B300" s="4"/>
      <c r="C300" s="16"/>
      <c r="D300" s="457"/>
      <c r="E300" s="363"/>
      <c r="F300" s="273"/>
      <c r="G300" s="226"/>
      <c r="H300" s="273"/>
      <c r="I300" s="400"/>
      <c r="J300" s="241" t="b">
        <f>Age_Sex_BY[[#This Row],[Total Spending After Applying Truncation at the Member Level]]+Age_Sex_BY[[#This Row],[Total Dollars Excluded from Spending After Applying Truncation at the Member Level]]=Age_Sex_BY[[#This Row],[Total Spending before Truncation is Applied]]</f>
        <v>1</v>
      </c>
    </row>
    <row r="301" spans="1:10" x14ac:dyDescent="0.25">
      <c r="A301" s="339"/>
      <c r="B301" s="270"/>
      <c r="C301" s="271"/>
      <c r="D301" s="456"/>
      <c r="E301" s="362"/>
      <c r="F301" s="272"/>
      <c r="G301" s="460"/>
      <c r="H301" s="272"/>
      <c r="I301" s="399"/>
      <c r="J301" s="241" t="b">
        <f>Age_Sex_BY[[#This Row],[Total Spending After Applying Truncation at the Member Level]]+Age_Sex_BY[[#This Row],[Total Dollars Excluded from Spending After Applying Truncation at the Member Level]]=Age_Sex_BY[[#This Row],[Total Spending before Truncation is Applied]]</f>
        <v>1</v>
      </c>
    </row>
    <row r="302" spans="1:10" x14ac:dyDescent="0.25">
      <c r="A302" s="342"/>
      <c r="B302" s="4"/>
      <c r="C302" s="16"/>
      <c r="D302" s="457"/>
      <c r="E302" s="363"/>
      <c r="F302" s="273"/>
      <c r="G302" s="226"/>
      <c r="H302" s="273"/>
      <c r="I302" s="400"/>
      <c r="J302" s="241" t="b">
        <f>Age_Sex_BY[[#This Row],[Total Spending After Applying Truncation at the Member Level]]+Age_Sex_BY[[#This Row],[Total Dollars Excluded from Spending After Applying Truncation at the Member Level]]=Age_Sex_BY[[#This Row],[Total Spending before Truncation is Applied]]</f>
        <v>1</v>
      </c>
    </row>
    <row r="303" spans="1:10" x14ac:dyDescent="0.25">
      <c r="A303" s="339"/>
      <c r="B303" s="270"/>
      <c r="C303" s="271"/>
      <c r="D303" s="456"/>
      <c r="E303" s="362"/>
      <c r="F303" s="272"/>
      <c r="G303" s="460"/>
      <c r="H303" s="272"/>
      <c r="I303" s="399"/>
      <c r="J303" s="241" t="b">
        <f>Age_Sex_BY[[#This Row],[Total Spending After Applying Truncation at the Member Level]]+Age_Sex_BY[[#This Row],[Total Dollars Excluded from Spending After Applying Truncation at the Member Level]]=Age_Sex_BY[[#This Row],[Total Spending before Truncation is Applied]]</f>
        <v>1</v>
      </c>
    </row>
    <row r="304" spans="1:10" x14ac:dyDescent="0.25">
      <c r="A304" s="342"/>
      <c r="B304" s="4"/>
      <c r="C304" s="16"/>
      <c r="D304" s="457"/>
      <c r="E304" s="363"/>
      <c r="F304" s="273"/>
      <c r="G304" s="226"/>
      <c r="H304" s="273"/>
      <c r="I304" s="400"/>
      <c r="J304" s="241" t="b">
        <f>Age_Sex_BY[[#This Row],[Total Spending After Applying Truncation at the Member Level]]+Age_Sex_BY[[#This Row],[Total Dollars Excluded from Spending After Applying Truncation at the Member Level]]=Age_Sex_BY[[#This Row],[Total Spending before Truncation is Applied]]</f>
        <v>1</v>
      </c>
    </row>
    <row r="305" spans="1:10" x14ac:dyDescent="0.25">
      <c r="A305" s="339"/>
      <c r="B305" s="270"/>
      <c r="C305" s="271"/>
      <c r="D305" s="456"/>
      <c r="E305" s="362"/>
      <c r="F305" s="272"/>
      <c r="G305" s="460"/>
      <c r="H305" s="272"/>
      <c r="I305" s="399"/>
      <c r="J305" s="241" t="b">
        <f>Age_Sex_BY[[#This Row],[Total Spending After Applying Truncation at the Member Level]]+Age_Sex_BY[[#This Row],[Total Dollars Excluded from Spending After Applying Truncation at the Member Level]]=Age_Sex_BY[[#This Row],[Total Spending before Truncation is Applied]]</f>
        <v>1</v>
      </c>
    </row>
    <row r="306" spans="1:10" x14ac:dyDescent="0.25">
      <c r="A306" s="342"/>
      <c r="B306" s="4"/>
      <c r="C306" s="16"/>
      <c r="D306" s="457"/>
      <c r="E306" s="363"/>
      <c r="F306" s="273"/>
      <c r="G306" s="226"/>
      <c r="H306" s="273"/>
      <c r="I306" s="400"/>
      <c r="J306" s="241" t="b">
        <f>Age_Sex_BY[[#This Row],[Total Spending After Applying Truncation at the Member Level]]+Age_Sex_BY[[#This Row],[Total Dollars Excluded from Spending After Applying Truncation at the Member Level]]=Age_Sex_BY[[#This Row],[Total Spending before Truncation is Applied]]</f>
        <v>1</v>
      </c>
    </row>
    <row r="307" spans="1:10" x14ac:dyDescent="0.25">
      <c r="A307" s="339"/>
      <c r="B307" s="270"/>
      <c r="C307" s="271"/>
      <c r="D307" s="456"/>
      <c r="E307" s="362"/>
      <c r="F307" s="272"/>
      <c r="G307" s="460"/>
      <c r="H307" s="272"/>
      <c r="I307" s="399"/>
      <c r="J307" s="241" t="b">
        <f>Age_Sex_BY[[#This Row],[Total Spending After Applying Truncation at the Member Level]]+Age_Sex_BY[[#This Row],[Total Dollars Excluded from Spending After Applying Truncation at the Member Level]]=Age_Sex_BY[[#This Row],[Total Spending before Truncation is Applied]]</f>
        <v>1</v>
      </c>
    </row>
    <row r="308" spans="1:10" x14ac:dyDescent="0.25">
      <c r="A308" s="342"/>
      <c r="B308" s="4"/>
      <c r="C308" s="16"/>
      <c r="D308" s="457"/>
      <c r="E308" s="363"/>
      <c r="F308" s="273"/>
      <c r="G308" s="226"/>
      <c r="H308" s="273"/>
      <c r="I308" s="400"/>
      <c r="J308" s="241" t="b">
        <f>Age_Sex_BY[[#This Row],[Total Spending After Applying Truncation at the Member Level]]+Age_Sex_BY[[#This Row],[Total Dollars Excluded from Spending After Applying Truncation at the Member Level]]=Age_Sex_BY[[#This Row],[Total Spending before Truncation is Applied]]</f>
        <v>1</v>
      </c>
    </row>
    <row r="309" spans="1:10" x14ac:dyDescent="0.25">
      <c r="A309" s="339"/>
      <c r="B309" s="270"/>
      <c r="C309" s="271"/>
      <c r="D309" s="456"/>
      <c r="E309" s="362"/>
      <c r="F309" s="272"/>
      <c r="G309" s="460"/>
      <c r="H309" s="272"/>
      <c r="I309" s="399"/>
      <c r="J309" s="241" t="b">
        <f>Age_Sex_BY[[#This Row],[Total Spending After Applying Truncation at the Member Level]]+Age_Sex_BY[[#This Row],[Total Dollars Excluded from Spending After Applying Truncation at the Member Level]]=Age_Sex_BY[[#This Row],[Total Spending before Truncation is Applied]]</f>
        <v>1</v>
      </c>
    </row>
    <row r="310" spans="1:10" x14ac:dyDescent="0.25">
      <c r="A310" s="342"/>
      <c r="B310" s="4"/>
      <c r="C310" s="16"/>
      <c r="D310" s="457"/>
      <c r="E310" s="363"/>
      <c r="F310" s="273"/>
      <c r="G310" s="226"/>
      <c r="H310" s="273"/>
      <c r="I310" s="400"/>
      <c r="J310" s="241" t="b">
        <f>Age_Sex_BY[[#This Row],[Total Spending After Applying Truncation at the Member Level]]+Age_Sex_BY[[#This Row],[Total Dollars Excluded from Spending After Applying Truncation at the Member Level]]=Age_Sex_BY[[#This Row],[Total Spending before Truncation is Applied]]</f>
        <v>1</v>
      </c>
    </row>
    <row r="311" spans="1:10" x14ac:dyDescent="0.25">
      <c r="A311" s="339"/>
      <c r="B311" s="270"/>
      <c r="C311" s="271"/>
      <c r="D311" s="456"/>
      <c r="E311" s="362"/>
      <c r="F311" s="272"/>
      <c r="G311" s="460"/>
      <c r="H311" s="272"/>
      <c r="I311" s="399"/>
      <c r="J311" s="241" t="b">
        <f>Age_Sex_BY[[#This Row],[Total Spending After Applying Truncation at the Member Level]]+Age_Sex_BY[[#This Row],[Total Dollars Excluded from Spending After Applying Truncation at the Member Level]]=Age_Sex_BY[[#This Row],[Total Spending before Truncation is Applied]]</f>
        <v>1</v>
      </c>
    </row>
    <row r="312" spans="1:10" x14ac:dyDescent="0.25">
      <c r="A312" s="342"/>
      <c r="B312" s="4"/>
      <c r="C312" s="16"/>
      <c r="D312" s="457"/>
      <c r="E312" s="363"/>
      <c r="F312" s="273"/>
      <c r="G312" s="226"/>
      <c r="H312" s="273"/>
      <c r="I312" s="400"/>
      <c r="J312" s="241" t="b">
        <f>Age_Sex_BY[[#This Row],[Total Spending After Applying Truncation at the Member Level]]+Age_Sex_BY[[#This Row],[Total Dollars Excluded from Spending After Applying Truncation at the Member Level]]=Age_Sex_BY[[#This Row],[Total Spending before Truncation is Applied]]</f>
        <v>1</v>
      </c>
    </row>
    <row r="313" spans="1:10" x14ac:dyDescent="0.25">
      <c r="A313" s="339"/>
      <c r="B313" s="270"/>
      <c r="C313" s="271"/>
      <c r="D313" s="456"/>
      <c r="E313" s="362"/>
      <c r="F313" s="272"/>
      <c r="G313" s="460"/>
      <c r="H313" s="272"/>
      <c r="I313" s="399"/>
      <c r="J313" s="241" t="b">
        <f>Age_Sex_BY[[#This Row],[Total Spending After Applying Truncation at the Member Level]]+Age_Sex_BY[[#This Row],[Total Dollars Excluded from Spending After Applying Truncation at the Member Level]]=Age_Sex_BY[[#This Row],[Total Spending before Truncation is Applied]]</f>
        <v>1</v>
      </c>
    </row>
    <row r="314" spans="1:10" x14ac:dyDescent="0.25">
      <c r="A314" s="342"/>
      <c r="B314" s="4"/>
      <c r="C314" s="16"/>
      <c r="D314" s="457"/>
      <c r="E314" s="363"/>
      <c r="F314" s="273"/>
      <c r="G314" s="226"/>
      <c r="H314" s="273"/>
      <c r="I314" s="400"/>
      <c r="J314" s="241" t="b">
        <f>Age_Sex_BY[[#This Row],[Total Spending After Applying Truncation at the Member Level]]+Age_Sex_BY[[#This Row],[Total Dollars Excluded from Spending After Applying Truncation at the Member Level]]=Age_Sex_BY[[#This Row],[Total Spending before Truncation is Applied]]</f>
        <v>1</v>
      </c>
    </row>
    <row r="315" spans="1:10" x14ac:dyDescent="0.25">
      <c r="A315" s="339"/>
      <c r="B315" s="270"/>
      <c r="C315" s="271"/>
      <c r="D315" s="456"/>
      <c r="E315" s="362"/>
      <c r="F315" s="272"/>
      <c r="G315" s="460"/>
      <c r="H315" s="272"/>
      <c r="I315" s="399"/>
      <c r="J315" s="241" t="b">
        <f>Age_Sex_BY[[#This Row],[Total Spending After Applying Truncation at the Member Level]]+Age_Sex_BY[[#This Row],[Total Dollars Excluded from Spending After Applying Truncation at the Member Level]]=Age_Sex_BY[[#This Row],[Total Spending before Truncation is Applied]]</f>
        <v>1</v>
      </c>
    </row>
    <row r="316" spans="1:10" x14ac:dyDescent="0.25">
      <c r="A316" s="342"/>
      <c r="B316" s="4"/>
      <c r="C316" s="16"/>
      <c r="D316" s="457"/>
      <c r="E316" s="363"/>
      <c r="F316" s="273"/>
      <c r="G316" s="226"/>
      <c r="H316" s="273"/>
      <c r="I316" s="400"/>
      <c r="J316" s="241" t="b">
        <f>Age_Sex_BY[[#This Row],[Total Spending After Applying Truncation at the Member Level]]+Age_Sex_BY[[#This Row],[Total Dollars Excluded from Spending After Applying Truncation at the Member Level]]=Age_Sex_BY[[#This Row],[Total Spending before Truncation is Applied]]</f>
        <v>1</v>
      </c>
    </row>
    <row r="317" spans="1:10" x14ac:dyDescent="0.25">
      <c r="A317" s="339"/>
      <c r="B317" s="270"/>
      <c r="C317" s="271"/>
      <c r="D317" s="456"/>
      <c r="E317" s="362"/>
      <c r="F317" s="272"/>
      <c r="G317" s="460"/>
      <c r="H317" s="272"/>
      <c r="I317" s="399"/>
      <c r="J317" s="241" t="b">
        <f>Age_Sex_BY[[#This Row],[Total Spending After Applying Truncation at the Member Level]]+Age_Sex_BY[[#This Row],[Total Dollars Excluded from Spending After Applying Truncation at the Member Level]]=Age_Sex_BY[[#This Row],[Total Spending before Truncation is Applied]]</f>
        <v>1</v>
      </c>
    </row>
    <row r="318" spans="1:10" x14ac:dyDescent="0.25">
      <c r="A318" s="342"/>
      <c r="B318" s="4"/>
      <c r="C318" s="16"/>
      <c r="D318" s="457"/>
      <c r="E318" s="363"/>
      <c r="F318" s="273"/>
      <c r="G318" s="226"/>
      <c r="H318" s="273"/>
      <c r="I318" s="400"/>
      <c r="J318" s="241" t="b">
        <f>Age_Sex_BY[[#This Row],[Total Spending After Applying Truncation at the Member Level]]+Age_Sex_BY[[#This Row],[Total Dollars Excluded from Spending After Applying Truncation at the Member Level]]=Age_Sex_BY[[#This Row],[Total Spending before Truncation is Applied]]</f>
        <v>1</v>
      </c>
    </row>
    <row r="319" spans="1:10" x14ac:dyDescent="0.25">
      <c r="A319" s="339"/>
      <c r="B319" s="270"/>
      <c r="C319" s="271"/>
      <c r="D319" s="456"/>
      <c r="E319" s="362"/>
      <c r="F319" s="272"/>
      <c r="G319" s="460"/>
      <c r="H319" s="272"/>
      <c r="I319" s="399"/>
      <c r="J319" s="241" t="b">
        <f>Age_Sex_BY[[#This Row],[Total Spending After Applying Truncation at the Member Level]]+Age_Sex_BY[[#This Row],[Total Dollars Excluded from Spending After Applying Truncation at the Member Level]]=Age_Sex_BY[[#This Row],[Total Spending before Truncation is Applied]]</f>
        <v>1</v>
      </c>
    </row>
    <row r="320" spans="1:10" x14ac:dyDescent="0.25">
      <c r="A320" s="342"/>
      <c r="B320" s="4"/>
      <c r="C320" s="16"/>
      <c r="D320" s="457"/>
      <c r="E320" s="363"/>
      <c r="F320" s="273"/>
      <c r="G320" s="226"/>
      <c r="H320" s="273"/>
      <c r="I320" s="400"/>
      <c r="J320" s="241" t="b">
        <f>Age_Sex_BY[[#This Row],[Total Spending After Applying Truncation at the Member Level]]+Age_Sex_BY[[#This Row],[Total Dollars Excluded from Spending After Applying Truncation at the Member Level]]=Age_Sex_BY[[#This Row],[Total Spending before Truncation is Applied]]</f>
        <v>1</v>
      </c>
    </row>
    <row r="321" spans="1:10" x14ac:dyDescent="0.25">
      <c r="A321" s="339"/>
      <c r="B321" s="270"/>
      <c r="C321" s="271"/>
      <c r="D321" s="456"/>
      <c r="E321" s="362"/>
      <c r="F321" s="272"/>
      <c r="G321" s="460"/>
      <c r="H321" s="272"/>
      <c r="I321" s="399"/>
      <c r="J321" s="241" t="b">
        <f>Age_Sex_BY[[#This Row],[Total Spending After Applying Truncation at the Member Level]]+Age_Sex_BY[[#This Row],[Total Dollars Excluded from Spending After Applying Truncation at the Member Level]]=Age_Sex_BY[[#This Row],[Total Spending before Truncation is Applied]]</f>
        <v>1</v>
      </c>
    </row>
    <row r="322" spans="1:10" x14ac:dyDescent="0.25">
      <c r="A322" s="342"/>
      <c r="B322" s="4"/>
      <c r="C322" s="16"/>
      <c r="D322" s="457"/>
      <c r="E322" s="363"/>
      <c r="F322" s="273"/>
      <c r="G322" s="226"/>
      <c r="H322" s="273"/>
      <c r="I322" s="400"/>
      <c r="J322" s="241" t="b">
        <f>Age_Sex_BY[[#This Row],[Total Spending After Applying Truncation at the Member Level]]+Age_Sex_BY[[#This Row],[Total Dollars Excluded from Spending After Applying Truncation at the Member Level]]=Age_Sex_BY[[#This Row],[Total Spending before Truncation is Applied]]</f>
        <v>1</v>
      </c>
    </row>
    <row r="323" spans="1:10" x14ac:dyDescent="0.25">
      <c r="A323" s="339"/>
      <c r="B323" s="270"/>
      <c r="C323" s="271"/>
      <c r="D323" s="456"/>
      <c r="E323" s="362"/>
      <c r="F323" s="272"/>
      <c r="G323" s="460"/>
      <c r="H323" s="272"/>
      <c r="I323" s="399"/>
      <c r="J323" s="241" t="b">
        <f>Age_Sex_BY[[#This Row],[Total Spending After Applying Truncation at the Member Level]]+Age_Sex_BY[[#This Row],[Total Dollars Excluded from Spending After Applying Truncation at the Member Level]]=Age_Sex_BY[[#This Row],[Total Spending before Truncation is Applied]]</f>
        <v>1</v>
      </c>
    </row>
    <row r="324" spans="1:10" x14ac:dyDescent="0.25">
      <c r="A324" s="342"/>
      <c r="B324" s="4"/>
      <c r="C324" s="16"/>
      <c r="D324" s="457"/>
      <c r="E324" s="363"/>
      <c r="F324" s="273"/>
      <c r="G324" s="226"/>
      <c r="H324" s="273"/>
      <c r="I324" s="400"/>
      <c r="J324" s="241" t="b">
        <f>Age_Sex_BY[[#This Row],[Total Spending After Applying Truncation at the Member Level]]+Age_Sex_BY[[#This Row],[Total Dollars Excluded from Spending After Applying Truncation at the Member Level]]=Age_Sex_BY[[#This Row],[Total Spending before Truncation is Applied]]</f>
        <v>1</v>
      </c>
    </row>
    <row r="325" spans="1:10" x14ac:dyDescent="0.25">
      <c r="A325" s="339"/>
      <c r="B325" s="270"/>
      <c r="C325" s="271"/>
      <c r="D325" s="456"/>
      <c r="E325" s="362"/>
      <c r="F325" s="272"/>
      <c r="G325" s="460"/>
      <c r="H325" s="272"/>
      <c r="I325" s="399"/>
      <c r="J325" s="241" t="b">
        <f>Age_Sex_BY[[#This Row],[Total Spending After Applying Truncation at the Member Level]]+Age_Sex_BY[[#This Row],[Total Dollars Excluded from Spending After Applying Truncation at the Member Level]]=Age_Sex_BY[[#This Row],[Total Spending before Truncation is Applied]]</f>
        <v>1</v>
      </c>
    </row>
    <row r="326" spans="1:10" x14ac:dyDescent="0.25">
      <c r="A326" s="342"/>
      <c r="B326" s="4"/>
      <c r="C326" s="16"/>
      <c r="D326" s="457"/>
      <c r="E326" s="363"/>
      <c r="F326" s="273"/>
      <c r="G326" s="226"/>
      <c r="H326" s="273"/>
      <c r="I326" s="400"/>
      <c r="J326" s="241" t="b">
        <f>Age_Sex_BY[[#This Row],[Total Spending After Applying Truncation at the Member Level]]+Age_Sex_BY[[#This Row],[Total Dollars Excluded from Spending After Applying Truncation at the Member Level]]=Age_Sex_BY[[#This Row],[Total Spending before Truncation is Applied]]</f>
        <v>1</v>
      </c>
    </row>
    <row r="327" spans="1:10" x14ac:dyDescent="0.25">
      <c r="A327" s="339"/>
      <c r="B327" s="270"/>
      <c r="C327" s="271"/>
      <c r="D327" s="456"/>
      <c r="E327" s="362"/>
      <c r="F327" s="272"/>
      <c r="G327" s="460"/>
      <c r="H327" s="272"/>
      <c r="I327" s="399"/>
      <c r="J327" s="241" t="b">
        <f>Age_Sex_BY[[#This Row],[Total Spending After Applying Truncation at the Member Level]]+Age_Sex_BY[[#This Row],[Total Dollars Excluded from Spending After Applying Truncation at the Member Level]]=Age_Sex_BY[[#This Row],[Total Spending before Truncation is Applied]]</f>
        <v>1</v>
      </c>
    </row>
    <row r="328" spans="1:10" x14ac:dyDescent="0.25">
      <c r="A328" s="342"/>
      <c r="B328" s="4"/>
      <c r="C328" s="16"/>
      <c r="D328" s="457"/>
      <c r="E328" s="363"/>
      <c r="F328" s="273"/>
      <c r="G328" s="226"/>
      <c r="H328" s="273"/>
      <c r="I328" s="400"/>
      <c r="J328" s="241" t="b">
        <f>Age_Sex_BY[[#This Row],[Total Spending After Applying Truncation at the Member Level]]+Age_Sex_BY[[#This Row],[Total Dollars Excluded from Spending After Applying Truncation at the Member Level]]=Age_Sex_BY[[#This Row],[Total Spending before Truncation is Applied]]</f>
        <v>1</v>
      </c>
    </row>
    <row r="329" spans="1:10" x14ac:dyDescent="0.25">
      <c r="A329" s="339"/>
      <c r="B329" s="270"/>
      <c r="C329" s="271"/>
      <c r="D329" s="456"/>
      <c r="E329" s="362"/>
      <c r="F329" s="272"/>
      <c r="G329" s="460"/>
      <c r="H329" s="272"/>
      <c r="I329" s="399"/>
      <c r="J329" s="241" t="b">
        <f>Age_Sex_BY[[#This Row],[Total Spending After Applying Truncation at the Member Level]]+Age_Sex_BY[[#This Row],[Total Dollars Excluded from Spending After Applying Truncation at the Member Level]]=Age_Sex_BY[[#This Row],[Total Spending before Truncation is Applied]]</f>
        <v>1</v>
      </c>
    </row>
    <row r="330" spans="1:10" x14ac:dyDescent="0.25">
      <c r="A330" s="342"/>
      <c r="B330" s="4"/>
      <c r="C330" s="16"/>
      <c r="D330" s="457"/>
      <c r="E330" s="363"/>
      <c r="F330" s="273"/>
      <c r="G330" s="226"/>
      <c r="H330" s="273"/>
      <c r="I330" s="400"/>
      <c r="J330" s="241" t="b">
        <f>Age_Sex_BY[[#This Row],[Total Spending After Applying Truncation at the Member Level]]+Age_Sex_BY[[#This Row],[Total Dollars Excluded from Spending After Applying Truncation at the Member Level]]=Age_Sex_BY[[#This Row],[Total Spending before Truncation is Applied]]</f>
        <v>1</v>
      </c>
    </row>
    <row r="331" spans="1:10" x14ac:dyDescent="0.25">
      <c r="A331" s="339"/>
      <c r="B331" s="270"/>
      <c r="C331" s="271"/>
      <c r="D331" s="456"/>
      <c r="E331" s="362"/>
      <c r="F331" s="272"/>
      <c r="G331" s="460"/>
      <c r="H331" s="272"/>
      <c r="I331" s="399"/>
      <c r="J331" s="241" t="b">
        <f>Age_Sex_BY[[#This Row],[Total Spending After Applying Truncation at the Member Level]]+Age_Sex_BY[[#This Row],[Total Dollars Excluded from Spending After Applying Truncation at the Member Level]]=Age_Sex_BY[[#This Row],[Total Spending before Truncation is Applied]]</f>
        <v>1</v>
      </c>
    </row>
    <row r="332" spans="1:10" x14ac:dyDescent="0.25">
      <c r="A332" s="342"/>
      <c r="B332" s="4"/>
      <c r="C332" s="16"/>
      <c r="D332" s="457"/>
      <c r="E332" s="363"/>
      <c r="F332" s="273"/>
      <c r="G332" s="226"/>
      <c r="H332" s="273"/>
      <c r="I332" s="400"/>
      <c r="J332" s="241" t="b">
        <f>Age_Sex_BY[[#This Row],[Total Spending After Applying Truncation at the Member Level]]+Age_Sex_BY[[#This Row],[Total Dollars Excluded from Spending After Applying Truncation at the Member Level]]=Age_Sex_BY[[#This Row],[Total Spending before Truncation is Applied]]</f>
        <v>1</v>
      </c>
    </row>
    <row r="333" spans="1:10" x14ac:dyDescent="0.25">
      <c r="A333" s="339"/>
      <c r="B333" s="270"/>
      <c r="C333" s="271"/>
      <c r="D333" s="456"/>
      <c r="E333" s="362"/>
      <c r="F333" s="272"/>
      <c r="G333" s="460"/>
      <c r="H333" s="272"/>
      <c r="I333" s="399"/>
      <c r="J333" s="241" t="b">
        <f>Age_Sex_BY[[#This Row],[Total Spending After Applying Truncation at the Member Level]]+Age_Sex_BY[[#This Row],[Total Dollars Excluded from Spending After Applying Truncation at the Member Level]]=Age_Sex_BY[[#This Row],[Total Spending before Truncation is Applied]]</f>
        <v>1</v>
      </c>
    </row>
    <row r="334" spans="1:10" x14ac:dyDescent="0.25">
      <c r="A334" s="342"/>
      <c r="B334" s="4"/>
      <c r="C334" s="16"/>
      <c r="D334" s="457"/>
      <c r="E334" s="363"/>
      <c r="F334" s="273"/>
      <c r="G334" s="226"/>
      <c r="H334" s="273"/>
      <c r="I334" s="400"/>
      <c r="J334" s="241" t="b">
        <f>Age_Sex_BY[[#This Row],[Total Spending After Applying Truncation at the Member Level]]+Age_Sex_BY[[#This Row],[Total Dollars Excluded from Spending After Applying Truncation at the Member Level]]=Age_Sex_BY[[#This Row],[Total Spending before Truncation is Applied]]</f>
        <v>1</v>
      </c>
    </row>
    <row r="335" spans="1:10" x14ac:dyDescent="0.25">
      <c r="A335" s="339"/>
      <c r="B335" s="270"/>
      <c r="C335" s="271"/>
      <c r="D335" s="456"/>
      <c r="E335" s="362"/>
      <c r="F335" s="272"/>
      <c r="G335" s="460"/>
      <c r="H335" s="272"/>
      <c r="I335" s="399"/>
      <c r="J335" s="241" t="b">
        <f>Age_Sex_BY[[#This Row],[Total Spending After Applying Truncation at the Member Level]]+Age_Sex_BY[[#This Row],[Total Dollars Excluded from Spending After Applying Truncation at the Member Level]]=Age_Sex_BY[[#This Row],[Total Spending before Truncation is Applied]]</f>
        <v>1</v>
      </c>
    </row>
    <row r="336" spans="1:10" x14ac:dyDescent="0.25">
      <c r="A336" s="342"/>
      <c r="B336" s="4"/>
      <c r="C336" s="16"/>
      <c r="D336" s="457"/>
      <c r="E336" s="363"/>
      <c r="F336" s="273"/>
      <c r="G336" s="226"/>
      <c r="H336" s="273"/>
      <c r="I336" s="400"/>
      <c r="J336" s="241" t="b">
        <f>Age_Sex_BY[[#This Row],[Total Spending After Applying Truncation at the Member Level]]+Age_Sex_BY[[#This Row],[Total Dollars Excluded from Spending After Applying Truncation at the Member Level]]=Age_Sex_BY[[#This Row],[Total Spending before Truncation is Applied]]</f>
        <v>1</v>
      </c>
    </row>
    <row r="337" spans="1:10" x14ac:dyDescent="0.25">
      <c r="A337" s="339"/>
      <c r="B337" s="270"/>
      <c r="C337" s="271"/>
      <c r="D337" s="456"/>
      <c r="E337" s="362"/>
      <c r="F337" s="272"/>
      <c r="G337" s="460"/>
      <c r="H337" s="272"/>
      <c r="I337" s="399"/>
      <c r="J337" s="241" t="b">
        <f>Age_Sex_BY[[#This Row],[Total Spending After Applying Truncation at the Member Level]]+Age_Sex_BY[[#This Row],[Total Dollars Excluded from Spending After Applying Truncation at the Member Level]]=Age_Sex_BY[[#This Row],[Total Spending before Truncation is Applied]]</f>
        <v>1</v>
      </c>
    </row>
    <row r="338" spans="1:10" x14ac:dyDescent="0.25">
      <c r="A338" s="342"/>
      <c r="B338" s="4"/>
      <c r="C338" s="16"/>
      <c r="D338" s="457"/>
      <c r="E338" s="363"/>
      <c r="F338" s="273"/>
      <c r="G338" s="226"/>
      <c r="H338" s="273"/>
      <c r="I338" s="400"/>
      <c r="J338" s="241" t="b">
        <f>Age_Sex_BY[[#This Row],[Total Spending After Applying Truncation at the Member Level]]+Age_Sex_BY[[#This Row],[Total Dollars Excluded from Spending After Applying Truncation at the Member Level]]=Age_Sex_BY[[#This Row],[Total Spending before Truncation is Applied]]</f>
        <v>1</v>
      </c>
    </row>
    <row r="339" spans="1:10" x14ac:dyDescent="0.25">
      <c r="A339" s="339"/>
      <c r="B339" s="270"/>
      <c r="C339" s="271"/>
      <c r="D339" s="456"/>
      <c r="E339" s="362"/>
      <c r="F339" s="272"/>
      <c r="G339" s="460"/>
      <c r="H339" s="272"/>
      <c r="I339" s="399"/>
      <c r="J339" s="241" t="b">
        <f>Age_Sex_BY[[#This Row],[Total Spending After Applying Truncation at the Member Level]]+Age_Sex_BY[[#This Row],[Total Dollars Excluded from Spending After Applying Truncation at the Member Level]]=Age_Sex_BY[[#This Row],[Total Spending before Truncation is Applied]]</f>
        <v>1</v>
      </c>
    </row>
    <row r="340" spans="1:10" x14ac:dyDescent="0.25">
      <c r="A340" s="342"/>
      <c r="B340" s="4"/>
      <c r="C340" s="16"/>
      <c r="D340" s="457"/>
      <c r="E340" s="363"/>
      <c r="F340" s="273"/>
      <c r="G340" s="226"/>
      <c r="H340" s="273"/>
      <c r="I340" s="400"/>
      <c r="J340" s="241" t="b">
        <f>Age_Sex_BY[[#This Row],[Total Spending After Applying Truncation at the Member Level]]+Age_Sex_BY[[#This Row],[Total Dollars Excluded from Spending After Applying Truncation at the Member Level]]=Age_Sex_BY[[#This Row],[Total Spending before Truncation is Applied]]</f>
        <v>1</v>
      </c>
    </row>
    <row r="341" spans="1:10" x14ac:dyDescent="0.25">
      <c r="A341" s="339"/>
      <c r="B341" s="270"/>
      <c r="C341" s="271"/>
      <c r="D341" s="456"/>
      <c r="E341" s="362"/>
      <c r="F341" s="272"/>
      <c r="G341" s="460"/>
      <c r="H341" s="272"/>
      <c r="I341" s="399"/>
      <c r="J341" s="241" t="b">
        <f>Age_Sex_BY[[#This Row],[Total Spending After Applying Truncation at the Member Level]]+Age_Sex_BY[[#This Row],[Total Dollars Excluded from Spending After Applying Truncation at the Member Level]]=Age_Sex_BY[[#This Row],[Total Spending before Truncation is Applied]]</f>
        <v>1</v>
      </c>
    </row>
    <row r="342" spans="1:10" x14ac:dyDescent="0.25">
      <c r="A342" s="342"/>
      <c r="B342" s="4"/>
      <c r="C342" s="16"/>
      <c r="D342" s="457"/>
      <c r="E342" s="363"/>
      <c r="F342" s="273"/>
      <c r="G342" s="226"/>
      <c r="H342" s="273"/>
      <c r="I342" s="400"/>
      <c r="J342" s="241" t="b">
        <f>Age_Sex_BY[[#This Row],[Total Spending After Applying Truncation at the Member Level]]+Age_Sex_BY[[#This Row],[Total Dollars Excluded from Spending After Applying Truncation at the Member Level]]=Age_Sex_BY[[#This Row],[Total Spending before Truncation is Applied]]</f>
        <v>1</v>
      </c>
    </row>
    <row r="343" spans="1:10" x14ac:dyDescent="0.25">
      <c r="A343" s="339"/>
      <c r="B343" s="270"/>
      <c r="C343" s="271"/>
      <c r="D343" s="456"/>
      <c r="E343" s="362"/>
      <c r="F343" s="272"/>
      <c r="G343" s="460"/>
      <c r="H343" s="272"/>
      <c r="I343" s="399"/>
      <c r="J343" s="241" t="b">
        <f>Age_Sex_BY[[#This Row],[Total Spending After Applying Truncation at the Member Level]]+Age_Sex_BY[[#This Row],[Total Dollars Excluded from Spending After Applying Truncation at the Member Level]]=Age_Sex_BY[[#This Row],[Total Spending before Truncation is Applied]]</f>
        <v>1</v>
      </c>
    </row>
    <row r="344" spans="1:10" x14ac:dyDescent="0.25">
      <c r="A344" s="342"/>
      <c r="B344" s="4"/>
      <c r="C344" s="16"/>
      <c r="D344" s="457"/>
      <c r="E344" s="363"/>
      <c r="F344" s="273"/>
      <c r="G344" s="226"/>
      <c r="H344" s="273"/>
      <c r="I344" s="400"/>
      <c r="J344" s="241" t="b">
        <f>Age_Sex_BY[[#This Row],[Total Spending After Applying Truncation at the Member Level]]+Age_Sex_BY[[#This Row],[Total Dollars Excluded from Spending After Applying Truncation at the Member Level]]=Age_Sex_BY[[#This Row],[Total Spending before Truncation is Applied]]</f>
        <v>1</v>
      </c>
    </row>
    <row r="345" spans="1:10" x14ac:dyDescent="0.25">
      <c r="A345" s="339"/>
      <c r="B345" s="270"/>
      <c r="C345" s="271"/>
      <c r="D345" s="456"/>
      <c r="E345" s="362"/>
      <c r="F345" s="272"/>
      <c r="G345" s="460"/>
      <c r="H345" s="272"/>
      <c r="I345" s="399"/>
      <c r="J345" s="241" t="b">
        <f>Age_Sex_BY[[#This Row],[Total Spending After Applying Truncation at the Member Level]]+Age_Sex_BY[[#This Row],[Total Dollars Excluded from Spending After Applying Truncation at the Member Level]]=Age_Sex_BY[[#This Row],[Total Spending before Truncation is Applied]]</f>
        <v>1</v>
      </c>
    </row>
    <row r="346" spans="1:10" x14ac:dyDescent="0.25">
      <c r="A346" s="342"/>
      <c r="B346" s="4"/>
      <c r="C346" s="16"/>
      <c r="D346" s="457"/>
      <c r="E346" s="363"/>
      <c r="F346" s="273"/>
      <c r="G346" s="226"/>
      <c r="H346" s="273"/>
      <c r="I346" s="400"/>
      <c r="J346" s="241" t="b">
        <f>Age_Sex_BY[[#This Row],[Total Spending After Applying Truncation at the Member Level]]+Age_Sex_BY[[#This Row],[Total Dollars Excluded from Spending After Applying Truncation at the Member Level]]=Age_Sex_BY[[#This Row],[Total Spending before Truncation is Applied]]</f>
        <v>1</v>
      </c>
    </row>
    <row r="347" spans="1:10" x14ac:dyDescent="0.25">
      <c r="A347" s="339"/>
      <c r="B347" s="270"/>
      <c r="C347" s="271"/>
      <c r="D347" s="456"/>
      <c r="E347" s="362"/>
      <c r="F347" s="272"/>
      <c r="G347" s="460"/>
      <c r="H347" s="272"/>
      <c r="I347" s="399"/>
      <c r="J347" s="241" t="b">
        <f>Age_Sex_BY[[#This Row],[Total Spending After Applying Truncation at the Member Level]]+Age_Sex_BY[[#This Row],[Total Dollars Excluded from Spending After Applying Truncation at the Member Level]]=Age_Sex_BY[[#This Row],[Total Spending before Truncation is Applied]]</f>
        <v>1</v>
      </c>
    </row>
    <row r="348" spans="1:10" x14ac:dyDescent="0.25">
      <c r="A348" s="342"/>
      <c r="B348" s="4"/>
      <c r="C348" s="16"/>
      <c r="D348" s="457"/>
      <c r="E348" s="363"/>
      <c r="F348" s="273"/>
      <c r="G348" s="226"/>
      <c r="H348" s="273"/>
      <c r="I348" s="400"/>
      <c r="J348" s="241" t="b">
        <f>Age_Sex_BY[[#This Row],[Total Spending After Applying Truncation at the Member Level]]+Age_Sex_BY[[#This Row],[Total Dollars Excluded from Spending After Applying Truncation at the Member Level]]=Age_Sex_BY[[#This Row],[Total Spending before Truncation is Applied]]</f>
        <v>1</v>
      </c>
    </row>
    <row r="349" spans="1:10" x14ac:dyDescent="0.25">
      <c r="A349" s="339"/>
      <c r="B349" s="270"/>
      <c r="C349" s="271"/>
      <c r="D349" s="456"/>
      <c r="E349" s="362"/>
      <c r="F349" s="272"/>
      <c r="G349" s="460"/>
      <c r="H349" s="272"/>
      <c r="I349" s="399"/>
      <c r="J349" s="241" t="b">
        <f>Age_Sex_BY[[#This Row],[Total Spending After Applying Truncation at the Member Level]]+Age_Sex_BY[[#This Row],[Total Dollars Excluded from Spending After Applying Truncation at the Member Level]]=Age_Sex_BY[[#This Row],[Total Spending before Truncation is Applied]]</f>
        <v>1</v>
      </c>
    </row>
    <row r="350" spans="1:10" x14ac:dyDescent="0.25">
      <c r="A350" s="342"/>
      <c r="B350" s="4"/>
      <c r="C350" s="16"/>
      <c r="D350" s="457"/>
      <c r="E350" s="363"/>
      <c r="F350" s="273"/>
      <c r="G350" s="226"/>
      <c r="H350" s="273"/>
      <c r="I350" s="400"/>
      <c r="J350" s="241" t="b">
        <f>Age_Sex_BY[[#This Row],[Total Spending After Applying Truncation at the Member Level]]+Age_Sex_BY[[#This Row],[Total Dollars Excluded from Spending After Applying Truncation at the Member Level]]=Age_Sex_BY[[#This Row],[Total Spending before Truncation is Applied]]</f>
        <v>1</v>
      </c>
    </row>
    <row r="351" spans="1:10" x14ac:dyDescent="0.25">
      <c r="A351" s="339"/>
      <c r="B351" s="270"/>
      <c r="C351" s="271"/>
      <c r="D351" s="456"/>
      <c r="E351" s="362"/>
      <c r="F351" s="272"/>
      <c r="G351" s="460"/>
      <c r="H351" s="272"/>
      <c r="I351" s="399"/>
      <c r="J351" s="241" t="b">
        <f>Age_Sex_BY[[#This Row],[Total Spending After Applying Truncation at the Member Level]]+Age_Sex_BY[[#This Row],[Total Dollars Excluded from Spending After Applying Truncation at the Member Level]]=Age_Sex_BY[[#This Row],[Total Spending before Truncation is Applied]]</f>
        <v>1</v>
      </c>
    </row>
    <row r="352" spans="1:10" x14ac:dyDescent="0.25">
      <c r="A352" s="342"/>
      <c r="B352" s="4"/>
      <c r="C352" s="16"/>
      <c r="D352" s="457"/>
      <c r="E352" s="363"/>
      <c r="F352" s="273"/>
      <c r="G352" s="226"/>
      <c r="H352" s="273"/>
      <c r="I352" s="400"/>
      <c r="J352" s="241" t="b">
        <f>Age_Sex_BY[[#This Row],[Total Spending After Applying Truncation at the Member Level]]+Age_Sex_BY[[#This Row],[Total Dollars Excluded from Spending After Applying Truncation at the Member Level]]=Age_Sex_BY[[#This Row],[Total Spending before Truncation is Applied]]</f>
        <v>1</v>
      </c>
    </row>
    <row r="353" spans="1:10" x14ac:dyDescent="0.25">
      <c r="A353" s="339"/>
      <c r="B353" s="270"/>
      <c r="C353" s="271"/>
      <c r="D353" s="456"/>
      <c r="E353" s="362"/>
      <c r="F353" s="272"/>
      <c r="G353" s="460"/>
      <c r="H353" s="272"/>
      <c r="I353" s="399"/>
      <c r="J353" s="241" t="b">
        <f>Age_Sex_BY[[#This Row],[Total Spending After Applying Truncation at the Member Level]]+Age_Sex_BY[[#This Row],[Total Dollars Excluded from Spending After Applying Truncation at the Member Level]]=Age_Sex_BY[[#This Row],[Total Spending before Truncation is Applied]]</f>
        <v>1</v>
      </c>
    </row>
    <row r="354" spans="1:10" x14ac:dyDescent="0.25">
      <c r="A354" s="342"/>
      <c r="B354" s="4"/>
      <c r="C354" s="16"/>
      <c r="D354" s="457"/>
      <c r="E354" s="363"/>
      <c r="F354" s="273"/>
      <c r="G354" s="226"/>
      <c r="H354" s="273"/>
      <c r="I354" s="400"/>
      <c r="J354" s="241" t="b">
        <f>Age_Sex_BY[[#This Row],[Total Spending After Applying Truncation at the Member Level]]+Age_Sex_BY[[#This Row],[Total Dollars Excluded from Spending After Applying Truncation at the Member Level]]=Age_Sex_BY[[#This Row],[Total Spending before Truncation is Applied]]</f>
        <v>1</v>
      </c>
    </row>
    <row r="355" spans="1:10" x14ac:dyDescent="0.25">
      <c r="A355" s="339"/>
      <c r="B355" s="270"/>
      <c r="C355" s="271"/>
      <c r="D355" s="456"/>
      <c r="E355" s="362"/>
      <c r="F355" s="272"/>
      <c r="G355" s="460"/>
      <c r="H355" s="272"/>
      <c r="I355" s="399"/>
      <c r="J355" s="241" t="b">
        <f>Age_Sex_BY[[#This Row],[Total Spending After Applying Truncation at the Member Level]]+Age_Sex_BY[[#This Row],[Total Dollars Excluded from Spending After Applying Truncation at the Member Level]]=Age_Sex_BY[[#This Row],[Total Spending before Truncation is Applied]]</f>
        <v>1</v>
      </c>
    </row>
    <row r="356" spans="1:10" x14ac:dyDescent="0.25">
      <c r="A356" s="342"/>
      <c r="B356" s="4"/>
      <c r="C356" s="16"/>
      <c r="D356" s="457"/>
      <c r="E356" s="363"/>
      <c r="F356" s="273"/>
      <c r="G356" s="226"/>
      <c r="H356" s="273"/>
      <c r="I356" s="400"/>
      <c r="J356" s="241" t="b">
        <f>Age_Sex_BY[[#This Row],[Total Spending After Applying Truncation at the Member Level]]+Age_Sex_BY[[#This Row],[Total Dollars Excluded from Spending After Applying Truncation at the Member Level]]=Age_Sex_BY[[#This Row],[Total Spending before Truncation is Applied]]</f>
        <v>1</v>
      </c>
    </row>
    <row r="357" spans="1:10" x14ac:dyDescent="0.25">
      <c r="A357" s="339"/>
      <c r="B357" s="270"/>
      <c r="C357" s="271"/>
      <c r="D357" s="456"/>
      <c r="E357" s="362"/>
      <c r="F357" s="272"/>
      <c r="G357" s="460"/>
      <c r="H357" s="272"/>
      <c r="I357" s="399"/>
      <c r="J357" s="241" t="b">
        <f>Age_Sex_BY[[#This Row],[Total Spending After Applying Truncation at the Member Level]]+Age_Sex_BY[[#This Row],[Total Dollars Excluded from Spending After Applying Truncation at the Member Level]]=Age_Sex_BY[[#This Row],[Total Spending before Truncation is Applied]]</f>
        <v>1</v>
      </c>
    </row>
    <row r="358" spans="1:10" x14ac:dyDescent="0.25">
      <c r="A358" s="342"/>
      <c r="B358" s="4"/>
      <c r="C358" s="16"/>
      <c r="D358" s="457"/>
      <c r="E358" s="363"/>
      <c r="F358" s="273"/>
      <c r="G358" s="226"/>
      <c r="H358" s="273"/>
      <c r="I358" s="400"/>
      <c r="J358" s="241" t="b">
        <f>Age_Sex_BY[[#This Row],[Total Spending After Applying Truncation at the Member Level]]+Age_Sex_BY[[#This Row],[Total Dollars Excluded from Spending After Applying Truncation at the Member Level]]=Age_Sex_BY[[#This Row],[Total Spending before Truncation is Applied]]</f>
        <v>1</v>
      </c>
    </row>
    <row r="359" spans="1:10" x14ac:dyDescent="0.25">
      <c r="A359" s="339"/>
      <c r="B359" s="270"/>
      <c r="C359" s="271"/>
      <c r="D359" s="456"/>
      <c r="E359" s="362"/>
      <c r="F359" s="272"/>
      <c r="G359" s="460"/>
      <c r="H359" s="272"/>
      <c r="I359" s="399"/>
      <c r="J359" s="241" t="b">
        <f>Age_Sex_BY[[#This Row],[Total Spending After Applying Truncation at the Member Level]]+Age_Sex_BY[[#This Row],[Total Dollars Excluded from Spending After Applying Truncation at the Member Level]]=Age_Sex_BY[[#This Row],[Total Spending before Truncation is Applied]]</f>
        <v>1</v>
      </c>
    </row>
    <row r="360" spans="1:10" x14ac:dyDescent="0.25">
      <c r="A360" s="342"/>
      <c r="B360" s="4"/>
      <c r="C360" s="16"/>
      <c r="D360" s="457"/>
      <c r="E360" s="363"/>
      <c r="F360" s="273"/>
      <c r="G360" s="226"/>
      <c r="H360" s="273"/>
      <c r="I360" s="400"/>
      <c r="J360" s="241" t="b">
        <f>Age_Sex_BY[[#This Row],[Total Spending After Applying Truncation at the Member Level]]+Age_Sex_BY[[#This Row],[Total Dollars Excluded from Spending After Applying Truncation at the Member Level]]=Age_Sex_BY[[#This Row],[Total Spending before Truncation is Applied]]</f>
        <v>1</v>
      </c>
    </row>
    <row r="361" spans="1:10" x14ac:dyDescent="0.25">
      <c r="A361" s="339"/>
      <c r="B361" s="270"/>
      <c r="C361" s="271"/>
      <c r="D361" s="456"/>
      <c r="E361" s="362"/>
      <c r="F361" s="272"/>
      <c r="G361" s="460"/>
      <c r="H361" s="272"/>
      <c r="I361" s="399"/>
      <c r="J361" s="241" t="b">
        <f>Age_Sex_BY[[#This Row],[Total Spending After Applying Truncation at the Member Level]]+Age_Sex_BY[[#This Row],[Total Dollars Excluded from Spending After Applying Truncation at the Member Level]]=Age_Sex_BY[[#This Row],[Total Spending before Truncation is Applied]]</f>
        <v>1</v>
      </c>
    </row>
    <row r="362" spans="1:10" x14ac:dyDescent="0.25">
      <c r="A362" s="342"/>
      <c r="B362" s="4"/>
      <c r="C362" s="16"/>
      <c r="D362" s="457"/>
      <c r="E362" s="363"/>
      <c r="F362" s="273"/>
      <c r="G362" s="226"/>
      <c r="H362" s="273"/>
      <c r="I362" s="400"/>
      <c r="J362" s="241" t="b">
        <f>Age_Sex_BY[[#This Row],[Total Spending After Applying Truncation at the Member Level]]+Age_Sex_BY[[#This Row],[Total Dollars Excluded from Spending After Applying Truncation at the Member Level]]=Age_Sex_BY[[#This Row],[Total Spending before Truncation is Applied]]</f>
        <v>1</v>
      </c>
    </row>
    <row r="363" spans="1:10" x14ac:dyDescent="0.25">
      <c r="A363" s="339"/>
      <c r="B363" s="270"/>
      <c r="C363" s="271"/>
      <c r="D363" s="456"/>
      <c r="E363" s="362"/>
      <c r="F363" s="272"/>
      <c r="G363" s="460"/>
      <c r="H363" s="272"/>
      <c r="I363" s="399"/>
      <c r="J363" s="241" t="b">
        <f>Age_Sex_BY[[#This Row],[Total Spending After Applying Truncation at the Member Level]]+Age_Sex_BY[[#This Row],[Total Dollars Excluded from Spending After Applying Truncation at the Member Level]]=Age_Sex_BY[[#This Row],[Total Spending before Truncation is Applied]]</f>
        <v>1</v>
      </c>
    </row>
    <row r="364" spans="1:10" x14ac:dyDescent="0.25">
      <c r="A364" s="342"/>
      <c r="B364" s="4"/>
      <c r="C364" s="16"/>
      <c r="D364" s="457"/>
      <c r="E364" s="363"/>
      <c r="F364" s="273"/>
      <c r="G364" s="226"/>
      <c r="H364" s="273"/>
      <c r="I364" s="400"/>
      <c r="J364" s="241" t="b">
        <f>Age_Sex_BY[[#This Row],[Total Spending After Applying Truncation at the Member Level]]+Age_Sex_BY[[#This Row],[Total Dollars Excluded from Spending After Applying Truncation at the Member Level]]=Age_Sex_BY[[#This Row],[Total Spending before Truncation is Applied]]</f>
        <v>1</v>
      </c>
    </row>
    <row r="365" spans="1:10" x14ac:dyDescent="0.25">
      <c r="A365" s="339"/>
      <c r="B365" s="270"/>
      <c r="C365" s="271"/>
      <c r="D365" s="456"/>
      <c r="E365" s="362"/>
      <c r="F365" s="272"/>
      <c r="G365" s="460"/>
      <c r="H365" s="272"/>
      <c r="I365" s="399"/>
      <c r="J365" s="241" t="b">
        <f>Age_Sex_BY[[#This Row],[Total Spending After Applying Truncation at the Member Level]]+Age_Sex_BY[[#This Row],[Total Dollars Excluded from Spending After Applying Truncation at the Member Level]]=Age_Sex_BY[[#This Row],[Total Spending before Truncation is Applied]]</f>
        <v>1</v>
      </c>
    </row>
    <row r="366" spans="1:10" x14ac:dyDescent="0.25">
      <c r="A366" s="342"/>
      <c r="B366" s="4"/>
      <c r="C366" s="16"/>
      <c r="D366" s="457"/>
      <c r="E366" s="363"/>
      <c r="F366" s="273"/>
      <c r="G366" s="226"/>
      <c r="H366" s="273"/>
      <c r="I366" s="400"/>
      <c r="J366" s="241" t="b">
        <f>Age_Sex_BY[[#This Row],[Total Spending After Applying Truncation at the Member Level]]+Age_Sex_BY[[#This Row],[Total Dollars Excluded from Spending After Applying Truncation at the Member Level]]=Age_Sex_BY[[#This Row],[Total Spending before Truncation is Applied]]</f>
        <v>1</v>
      </c>
    </row>
    <row r="367" spans="1:10" x14ac:dyDescent="0.25">
      <c r="A367" s="339"/>
      <c r="B367" s="270"/>
      <c r="C367" s="271"/>
      <c r="D367" s="456"/>
      <c r="E367" s="362"/>
      <c r="F367" s="272"/>
      <c r="G367" s="460"/>
      <c r="H367" s="272"/>
      <c r="I367" s="399"/>
      <c r="J367" s="241" t="b">
        <f>Age_Sex_BY[[#This Row],[Total Spending After Applying Truncation at the Member Level]]+Age_Sex_BY[[#This Row],[Total Dollars Excluded from Spending After Applying Truncation at the Member Level]]=Age_Sex_BY[[#This Row],[Total Spending before Truncation is Applied]]</f>
        <v>1</v>
      </c>
    </row>
    <row r="368" spans="1:10" x14ac:dyDescent="0.25">
      <c r="A368" s="342"/>
      <c r="B368" s="4"/>
      <c r="C368" s="16"/>
      <c r="D368" s="457"/>
      <c r="E368" s="363"/>
      <c r="F368" s="273"/>
      <c r="G368" s="226"/>
      <c r="H368" s="273"/>
      <c r="I368" s="400"/>
      <c r="J368" s="241" t="b">
        <f>Age_Sex_BY[[#This Row],[Total Spending After Applying Truncation at the Member Level]]+Age_Sex_BY[[#This Row],[Total Dollars Excluded from Spending After Applying Truncation at the Member Level]]=Age_Sex_BY[[#This Row],[Total Spending before Truncation is Applied]]</f>
        <v>1</v>
      </c>
    </row>
    <row r="369" spans="1:10" x14ac:dyDescent="0.25">
      <c r="A369" s="339"/>
      <c r="B369" s="270"/>
      <c r="C369" s="271"/>
      <c r="D369" s="456"/>
      <c r="E369" s="362"/>
      <c r="F369" s="272"/>
      <c r="G369" s="460"/>
      <c r="H369" s="272"/>
      <c r="I369" s="399"/>
      <c r="J369" s="241" t="b">
        <f>Age_Sex_BY[[#This Row],[Total Spending After Applying Truncation at the Member Level]]+Age_Sex_BY[[#This Row],[Total Dollars Excluded from Spending After Applying Truncation at the Member Level]]=Age_Sex_BY[[#This Row],[Total Spending before Truncation is Applied]]</f>
        <v>1</v>
      </c>
    </row>
    <row r="370" spans="1:10" x14ac:dyDescent="0.25">
      <c r="A370" s="342"/>
      <c r="B370" s="4"/>
      <c r="C370" s="16"/>
      <c r="D370" s="457"/>
      <c r="E370" s="363"/>
      <c r="F370" s="273"/>
      <c r="G370" s="226"/>
      <c r="H370" s="273"/>
      <c r="I370" s="400"/>
      <c r="J370" s="241" t="b">
        <f>Age_Sex_BY[[#This Row],[Total Spending After Applying Truncation at the Member Level]]+Age_Sex_BY[[#This Row],[Total Dollars Excluded from Spending After Applying Truncation at the Member Level]]=Age_Sex_BY[[#This Row],[Total Spending before Truncation is Applied]]</f>
        <v>1</v>
      </c>
    </row>
    <row r="371" spans="1:10" x14ac:dyDescent="0.25">
      <c r="A371" s="339"/>
      <c r="B371" s="270"/>
      <c r="C371" s="271"/>
      <c r="D371" s="456"/>
      <c r="E371" s="362"/>
      <c r="F371" s="272"/>
      <c r="G371" s="460"/>
      <c r="H371" s="272"/>
      <c r="I371" s="399"/>
      <c r="J371" s="241" t="b">
        <f>Age_Sex_BY[[#This Row],[Total Spending After Applying Truncation at the Member Level]]+Age_Sex_BY[[#This Row],[Total Dollars Excluded from Spending After Applying Truncation at the Member Level]]=Age_Sex_BY[[#This Row],[Total Spending before Truncation is Applied]]</f>
        <v>1</v>
      </c>
    </row>
    <row r="372" spans="1:10" x14ac:dyDescent="0.25">
      <c r="A372" s="342"/>
      <c r="B372" s="4"/>
      <c r="C372" s="16"/>
      <c r="D372" s="457"/>
      <c r="E372" s="363"/>
      <c r="F372" s="273"/>
      <c r="G372" s="226"/>
      <c r="H372" s="273"/>
      <c r="I372" s="400"/>
      <c r="J372" s="241" t="b">
        <f>Age_Sex_BY[[#This Row],[Total Spending After Applying Truncation at the Member Level]]+Age_Sex_BY[[#This Row],[Total Dollars Excluded from Spending After Applying Truncation at the Member Level]]=Age_Sex_BY[[#This Row],[Total Spending before Truncation is Applied]]</f>
        <v>1</v>
      </c>
    </row>
    <row r="373" spans="1:10" x14ac:dyDescent="0.25">
      <c r="A373" s="339"/>
      <c r="B373" s="270"/>
      <c r="C373" s="271"/>
      <c r="D373" s="456"/>
      <c r="E373" s="362"/>
      <c r="F373" s="272"/>
      <c r="G373" s="460"/>
      <c r="H373" s="272"/>
      <c r="I373" s="399"/>
      <c r="J373" s="241" t="b">
        <f>Age_Sex_BY[[#This Row],[Total Spending After Applying Truncation at the Member Level]]+Age_Sex_BY[[#This Row],[Total Dollars Excluded from Spending After Applying Truncation at the Member Level]]=Age_Sex_BY[[#This Row],[Total Spending before Truncation is Applied]]</f>
        <v>1</v>
      </c>
    </row>
    <row r="374" spans="1:10" x14ac:dyDescent="0.25">
      <c r="A374" s="342"/>
      <c r="B374" s="4"/>
      <c r="C374" s="16"/>
      <c r="D374" s="457"/>
      <c r="E374" s="363"/>
      <c r="F374" s="273"/>
      <c r="G374" s="226"/>
      <c r="H374" s="273"/>
      <c r="I374" s="400"/>
      <c r="J374" s="241" t="b">
        <f>Age_Sex_BY[[#This Row],[Total Spending After Applying Truncation at the Member Level]]+Age_Sex_BY[[#This Row],[Total Dollars Excluded from Spending After Applying Truncation at the Member Level]]=Age_Sex_BY[[#This Row],[Total Spending before Truncation is Applied]]</f>
        <v>1</v>
      </c>
    </row>
    <row r="375" spans="1:10" x14ac:dyDescent="0.25">
      <c r="A375" s="339"/>
      <c r="B375" s="270"/>
      <c r="C375" s="271"/>
      <c r="D375" s="456"/>
      <c r="E375" s="362"/>
      <c r="F375" s="272"/>
      <c r="G375" s="460"/>
      <c r="H375" s="272"/>
      <c r="I375" s="399"/>
      <c r="J375" s="241" t="b">
        <f>Age_Sex_BY[[#This Row],[Total Spending After Applying Truncation at the Member Level]]+Age_Sex_BY[[#This Row],[Total Dollars Excluded from Spending After Applying Truncation at the Member Level]]=Age_Sex_BY[[#This Row],[Total Spending before Truncation is Applied]]</f>
        <v>1</v>
      </c>
    </row>
    <row r="376" spans="1:10" x14ac:dyDescent="0.25">
      <c r="A376" s="342"/>
      <c r="B376" s="4"/>
      <c r="C376" s="16"/>
      <c r="D376" s="457"/>
      <c r="E376" s="363"/>
      <c r="F376" s="273"/>
      <c r="G376" s="226"/>
      <c r="H376" s="273"/>
      <c r="I376" s="400"/>
      <c r="J376" s="241" t="b">
        <f>Age_Sex_BY[[#This Row],[Total Spending After Applying Truncation at the Member Level]]+Age_Sex_BY[[#This Row],[Total Dollars Excluded from Spending After Applying Truncation at the Member Level]]=Age_Sex_BY[[#This Row],[Total Spending before Truncation is Applied]]</f>
        <v>1</v>
      </c>
    </row>
    <row r="377" spans="1:10" x14ac:dyDescent="0.25">
      <c r="A377" s="339"/>
      <c r="B377" s="270"/>
      <c r="C377" s="271"/>
      <c r="D377" s="456"/>
      <c r="E377" s="362"/>
      <c r="F377" s="272"/>
      <c r="G377" s="460"/>
      <c r="H377" s="272"/>
      <c r="I377" s="399"/>
      <c r="J377" s="241" t="b">
        <f>Age_Sex_BY[[#This Row],[Total Spending After Applying Truncation at the Member Level]]+Age_Sex_BY[[#This Row],[Total Dollars Excluded from Spending After Applying Truncation at the Member Level]]=Age_Sex_BY[[#This Row],[Total Spending before Truncation is Applied]]</f>
        <v>1</v>
      </c>
    </row>
    <row r="378" spans="1:10" x14ac:dyDescent="0.25">
      <c r="A378" s="342"/>
      <c r="B378" s="4"/>
      <c r="C378" s="16"/>
      <c r="D378" s="457"/>
      <c r="E378" s="363"/>
      <c r="F378" s="273"/>
      <c r="G378" s="226"/>
      <c r="H378" s="273"/>
      <c r="I378" s="400"/>
      <c r="J378" s="241" t="b">
        <f>Age_Sex_BY[[#This Row],[Total Spending After Applying Truncation at the Member Level]]+Age_Sex_BY[[#This Row],[Total Dollars Excluded from Spending After Applying Truncation at the Member Level]]=Age_Sex_BY[[#This Row],[Total Spending before Truncation is Applied]]</f>
        <v>1</v>
      </c>
    </row>
    <row r="379" spans="1:10" x14ac:dyDescent="0.25">
      <c r="A379" s="339"/>
      <c r="B379" s="270"/>
      <c r="C379" s="271"/>
      <c r="D379" s="456"/>
      <c r="E379" s="362"/>
      <c r="F379" s="272"/>
      <c r="G379" s="460"/>
      <c r="H379" s="272"/>
      <c r="I379" s="399"/>
      <c r="J379" s="241" t="b">
        <f>Age_Sex_BY[[#This Row],[Total Spending After Applying Truncation at the Member Level]]+Age_Sex_BY[[#This Row],[Total Dollars Excluded from Spending After Applying Truncation at the Member Level]]=Age_Sex_BY[[#This Row],[Total Spending before Truncation is Applied]]</f>
        <v>1</v>
      </c>
    </row>
    <row r="380" spans="1:10" x14ac:dyDescent="0.25">
      <c r="A380" s="342"/>
      <c r="B380" s="4"/>
      <c r="C380" s="16"/>
      <c r="D380" s="457"/>
      <c r="E380" s="363"/>
      <c r="F380" s="273"/>
      <c r="G380" s="226"/>
      <c r="H380" s="273"/>
      <c r="I380" s="400"/>
      <c r="J380" s="241" t="b">
        <f>Age_Sex_BY[[#This Row],[Total Spending After Applying Truncation at the Member Level]]+Age_Sex_BY[[#This Row],[Total Dollars Excluded from Spending After Applying Truncation at the Member Level]]=Age_Sex_BY[[#This Row],[Total Spending before Truncation is Applied]]</f>
        <v>1</v>
      </c>
    </row>
    <row r="381" spans="1:10" x14ac:dyDescent="0.25">
      <c r="A381" s="339"/>
      <c r="B381" s="270"/>
      <c r="C381" s="271"/>
      <c r="D381" s="456"/>
      <c r="E381" s="362"/>
      <c r="F381" s="272"/>
      <c r="G381" s="460"/>
      <c r="H381" s="272"/>
      <c r="I381" s="399"/>
      <c r="J381" s="241" t="b">
        <f>Age_Sex_BY[[#This Row],[Total Spending After Applying Truncation at the Member Level]]+Age_Sex_BY[[#This Row],[Total Dollars Excluded from Spending After Applying Truncation at the Member Level]]=Age_Sex_BY[[#This Row],[Total Spending before Truncation is Applied]]</f>
        <v>1</v>
      </c>
    </row>
    <row r="382" spans="1:10" x14ac:dyDescent="0.25">
      <c r="A382" s="342"/>
      <c r="B382" s="4"/>
      <c r="C382" s="16"/>
      <c r="D382" s="457"/>
      <c r="E382" s="363"/>
      <c r="F382" s="273"/>
      <c r="G382" s="226"/>
      <c r="H382" s="273"/>
      <c r="I382" s="400"/>
      <c r="J382" s="241" t="b">
        <f>Age_Sex_BY[[#This Row],[Total Spending After Applying Truncation at the Member Level]]+Age_Sex_BY[[#This Row],[Total Dollars Excluded from Spending After Applying Truncation at the Member Level]]=Age_Sex_BY[[#This Row],[Total Spending before Truncation is Applied]]</f>
        <v>1</v>
      </c>
    </row>
    <row r="383" spans="1:10" x14ac:dyDescent="0.25">
      <c r="A383" s="339"/>
      <c r="B383" s="270"/>
      <c r="C383" s="271"/>
      <c r="D383" s="456"/>
      <c r="E383" s="362"/>
      <c r="F383" s="272"/>
      <c r="G383" s="460"/>
      <c r="H383" s="272"/>
      <c r="I383" s="399"/>
      <c r="J383" s="241" t="b">
        <f>Age_Sex_BY[[#This Row],[Total Spending After Applying Truncation at the Member Level]]+Age_Sex_BY[[#This Row],[Total Dollars Excluded from Spending After Applying Truncation at the Member Level]]=Age_Sex_BY[[#This Row],[Total Spending before Truncation is Applied]]</f>
        <v>1</v>
      </c>
    </row>
    <row r="384" spans="1:10" x14ac:dyDescent="0.25">
      <c r="A384" s="342"/>
      <c r="B384" s="4"/>
      <c r="C384" s="16"/>
      <c r="D384" s="457"/>
      <c r="E384" s="363"/>
      <c r="F384" s="273"/>
      <c r="G384" s="226"/>
      <c r="H384" s="273"/>
      <c r="I384" s="400"/>
      <c r="J384" s="241" t="b">
        <f>Age_Sex_BY[[#This Row],[Total Spending After Applying Truncation at the Member Level]]+Age_Sex_BY[[#This Row],[Total Dollars Excluded from Spending After Applying Truncation at the Member Level]]=Age_Sex_BY[[#This Row],[Total Spending before Truncation is Applied]]</f>
        <v>1</v>
      </c>
    </row>
    <row r="385" spans="1:10" x14ac:dyDescent="0.25">
      <c r="A385" s="339"/>
      <c r="B385" s="270"/>
      <c r="C385" s="271"/>
      <c r="D385" s="456"/>
      <c r="E385" s="362"/>
      <c r="F385" s="272"/>
      <c r="G385" s="460"/>
      <c r="H385" s="272"/>
      <c r="I385" s="399"/>
      <c r="J385" s="241" t="b">
        <f>Age_Sex_BY[[#This Row],[Total Spending After Applying Truncation at the Member Level]]+Age_Sex_BY[[#This Row],[Total Dollars Excluded from Spending After Applying Truncation at the Member Level]]=Age_Sex_BY[[#This Row],[Total Spending before Truncation is Applied]]</f>
        <v>1</v>
      </c>
    </row>
    <row r="386" spans="1:10" x14ac:dyDescent="0.25">
      <c r="A386" s="342"/>
      <c r="B386" s="4"/>
      <c r="C386" s="16"/>
      <c r="D386" s="457"/>
      <c r="E386" s="363"/>
      <c r="F386" s="273"/>
      <c r="G386" s="226"/>
      <c r="H386" s="273"/>
      <c r="I386" s="400"/>
      <c r="J386" s="241" t="b">
        <f>Age_Sex_BY[[#This Row],[Total Spending After Applying Truncation at the Member Level]]+Age_Sex_BY[[#This Row],[Total Dollars Excluded from Spending After Applying Truncation at the Member Level]]=Age_Sex_BY[[#This Row],[Total Spending before Truncation is Applied]]</f>
        <v>1</v>
      </c>
    </row>
    <row r="387" spans="1:10" x14ac:dyDescent="0.25">
      <c r="A387" s="339"/>
      <c r="B387" s="270"/>
      <c r="C387" s="271"/>
      <c r="D387" s="456"/>
      <c r="E387" s="362"/>
      <c r="F387" s="272"/>
      <c r="G387" s="460"/>
      <c r="H387" s="272"/>
      <c r="I387" s="399"/>
      <c r="J387" s="241" t="b">
        <f>Age_Sex_BY[[#This Row],[Total Spending After Applying Truncation at the Member Level]]+Age_Sex_BY[[#This Row],[Total Dollars Excluded from Spending After Applying Truncation at the Member Level]]=Age_Sex_BY[[#This Row],[Total Spending before Truncation is Applied]]</f>
        <v>1</v>
      </c>
    </row>
    <row r="388" spans="1:10" x14ac:dyDescent="0.25">
      <c r="A388" s="342"/>
      <c r="B388" s="4"/>
      <c r="C388" s="16"/>
      <c r="D388" s="457"/>
      <c r="E388" s="363"/>
      <c r="F388" s="273"/>
      <c r="G388" s="226"/>
      <c r="H388" s="273"/>
      <c r="I388" s="400"/>
      <c r="J388" s="241" t="b">
        <f>Age_Sex_BY[[#This Row],[Total Spending After Applying Truncation at the Member Level]]+Age_Sex_BY[[#This Row],[Total Dollars Excluded from Spending After Applying Truncation at the Member Level]]=Age_Sex_BY[[#This Row],[Total Spending before Truncation is Applied]]</f>
        <v>1</v>
      </c>
    </row>
    <row r="389" spans="1:10" x14ac:dyDescent="0.25">
      <c r="A389" s="339"/>
      <c r="B389" s="270"/>
      <c r="C389" s="271"/>
      <c r="D389" s="456"/>
      <c r="E389" s="362"/>
      <c r="F389" s="272"/>
      <c r="G389" s="460"/>
      <c r="H389" s="272"/>
      <c r="I389" s="399"/>
      <c r="J389" s="241" t="b">
        <f>Age_Sex_BY[[#This Row],[Total Spending After Applying Truncation at the Member Level]]+Age_Sex_BY[[#This Row],[Total Dollars Excluded from Spending After Applying Truncation at the Member Level]]=Age_Sex_BY[[#This Row],[Total Spending before Truncation is Applied]]</f>
        <v>1</v>
      </c>
    </row>
    <row r="390" spans="1:10" x14ac:dyDescent="0.25">
      <c r="A390" s="342"/>
      <c r="B390" s="4"/>
      <c r="C390" s="16"/>
      <c r="D390" s="457"/>
      <c r="E390" s="363"/>
      <c r="F390" s="273"/>
      <c r="G390" s="226"/>
      <c r="H390" s="273"/>
      <c r="I390" s="400"/>
      <c r="J390" s="241" t="b">
        <f>Age_Sex_BY[[#This Row],[Total Spending After Applying Truncation at the Member Level]]+Age_Sex_BY[[#This Row],[Total Dollars Excluded from Spending After Applying Truncation at the Member Level]]=Age_Sex_BY[[#This Row],[Total Spending before Truncation is Applied]]</f>
        <v>1</v>
      </c>
    </row>
    <row r="391" spans="1:10" x14ac:dyDescent="0.25">
      <c r="A391" s="339"/>
      <c r="B391" s="270"/>
      <c r="C391" s="271"/>
      <c r="D391" s="456"/>
      <c r="E391" s="362"/>
      <c r="F391" s="272"/>
      <c r="G391" s="460"/>
      <c r="H391" s="272"/>
      <c r="I391" s="399"/>
      <c r="J391" s="241" t="b">
        <f>Age_Sex_BY[[#This Row],[Total Spending After Applying Truncation at the Member Level]]+Age_Sex_BY[[#This Row],[Total Dollars Excluded from Spending After Applying Truncation at the Member Level]]=Age_Sex_BY[[#This Row],[Total Spending before Truncation is Applied]]</f>
        <v>1</v>
      </c>
    </row>
    <row r="392" spans="1:10" x14ac:dyDescent="0.25">
      <c r="A392" s="342"/>
      <c r="B392" s="4"/>
      <c r="C392" s="16"/>
      <c r="D392" s="457"/>
      <c r="E392" s="363"/>
      <c r="F392" s="273"/>
      <c r="G392" s="226"/>
      <c r="H392" s="273"/>
      <c r="I392" s="400"/>
      <c r="J392" s="241" t="b">
        <f>Age_Sex_BY[[#This Row],[Total Spending After Applying Truncation at the Member Level]]+Age_Sex_BY[[#This Row],[Total Dollars Excluded from Spending After Applying Truncation at the Member Level]]=Age_Sex_BY[[#This Row],[Total Spending before Truncation is Applied]]</f>
        <v>1</v>
      </c>
    </row>
    <row r="393" spans="1:10" x14ac:dyDescent="0.25">
      <c r="A393" s="339"/>
      <c r="B393" s="270"/>
      <c r="C393" s="271"/>
      <c r="D393" s="456"/>
      <c r="E393" s="362"/>
      <c r="F393" s="272"/>
      <c r="G393" s="460"/>
      <c r="H393" s="272"/>
      <c r="I393" s="399"/>
      <c r="J393" s="241" t="b">
        <f>Age_Sex_BY[[#This Row],[Total Spending After Applying Truncation at the Member Level]]+Age_Sex_BY[[#This Row],[Total Dollars Excluded from Spending After Applying Truncation at the Member Level]]=Age_Sex_BY[[#This Row],[Total Spending before Truncation is Applied]]</f>
        <v>1</v>
      </c>
    </row>
    <row r="394" spans="1:10" x14ac:dyDescent="0.25">
      <c r="A394" s="342"/>
      <c r="B394" s="4"/>
      <c r="C394" s="16"/>
      <c r="D394" s="457"/>
      <c r="E394" s="363"/>
      <c r="F394" s="273"/>
      <c r="G394" s="226"/>
      <c r="H394" s="273"/>
      <c r="I394" s="400"/>
      <c r="J394" s="241" t="b">
        <f>Age_Sex_BY[[#This Row],[Total Spending After Applying Truncation at the Member Level]]+Age_Sex_BY[[#This Row],[Total Dollars Excluded from Spending After Applying Truncation at the Member Level]]=Age_Sex_BY[[#This Row],[Total Spending before Truncation is Applied]]</f>
        <v>1</v>
      </c>
    </row>
    <row r="395" spans="1:10" x14ac:dyDescent="0.25">
      <c r="A395" s="339"/>
      <c r="B395" s="270"/>
      <c r="C395" s="271"/>
      <c r="D395" s="456"/>
      <c r="E395" s="362"/>
      <c r="F395" s="272"/>
      <c r="G395" s="460"/>
      <c r="H395" s="272"/>
      <c r="I395" s="399"/>
      <c r="J395" s="241" t="b">
        <f>Age_Sex_BY[[#This Row],[Total Spending After Applying Truncation at the Member Level]]+Age_Sex_BY[[#This Row],[Total Dollars Excluded from Spending After Applying Truncation at the Member Level]]=Age_Sex_BY[[#This Row],[Total Spending before Truncation is Applied]]</f>
        <v>1</v>
      </c>
    </row>
    <row r="396" spans="1:10" x14ac:dyDescent="0.25">
      <c r="A396" s="342"/>
      <c r="B396" s="4"/>
      <c r="C396" s="16"/>
      <c r="D396" s="457"/>
      <c r="E396" s="363"/>
      <c r="F396" s="273"/>
      <c r="G396" s="226"/>
      <c r="H396" s="273"/>
      <c r="I396" s="400"/>
      <c r="J396" s="241" t="b">
        <f>Age_Sex_BY[[#This Row],[Total Spending After Applying Truncation at the Member Level]]+Age_Sex_BY[[#This Row],[Total Dollars Excluded from Spending After Applying Truncation at the Member Level]]=Age_Sex_BY[[#This Row],[Total Spending before Truncation is Applied]]</f>
        <v>1</v>
      </c>
    </row>
    <row r="397" spans="1:10" x14ac:dyDescent="0.25">
      <c r="A397" s="339"/>
      <c r="B397" s="270"/>
      <c r="C397" s="271"/>
      <c r="D397" s="456"/>
      <c r="E397" s="362"/>
      <c r="F397" s="272"/>
      <c r="G397" s="460"/>
      <c r="H397" s="272"/>
      <c r="I397" s="399"/>
      <c r="J397" s="241" t="b">
        <f>Age_Sex_BY[[#This Row],[Total Spending After Applying Truncation at the Member Level]]+Age_Sex_BY[[#This Row],[Total Dollars Excluded from Spending After Applying Truncation at the Member Level]]=Age_Sex_BY[[#This Row],[Total Spending before Truncation is Applied]]</f>
        <v>1</v>
      </c>
    </row>
    <row r="398" spans="1:10" x14ac:dyDescent="0.25">
      <c r="A398" s="342"/>
      <c r="B398" s="4"/>
      <c r="C398" s="16"/>
      <c r="D398" s="457"/>
      <c r="E398" s="363"/>
      <c r="F398" s="273"/>
      <c r="G398" s="226"/>
      <c r="H398" s="273"/>
      <c r="I398" s="400"/>
      <c r="J398" s="241" t="b">
        <f>Age_Sex_BY[[#This Row],[Total Spending After Applying Truncation at the Member Level]]+Age_Sex_BY[[#This Row],[Total Dollars Excluded from Spending After Applying Truncation at the Member Level]]=Age_Sex_BY[[#This Row],[Total Spending before Truncation is Applied]]</f>
        <v>1</v>
      </c>
    </row>
    <row r="399" spans="1:10" x14ac:dyDescent="0.25">
      <c r="A399" s="339"/>
      <c r="B399" s="270"/>
      <c r="C399" s="271"/>
      <c r="D399" s="456"/>
      <c r="E399" s="362"/>
      <c r="F399" s="272"/>
      <c r="G399" s="460"/>
      <c r="H399" s="272"/>
      <c r="I399" s="399"/>
      <c r="J399" s="241" t="b">
        <f>Age_Sex_BY[[#This Row],[Total Spending After Applying Truncation at the Member Level]]+Age_Sex_BY[[#This Row],[Total Dollars Excluded from Spending After Applying Truncation at the Member Level]]=Age_Sex_BY[[#This Row],[Total Spending before Truncation is Applied]]</f>
        <v>1</v>
      </c>
    </row>
    <row r="400" spans="1:10" x14ac:dyDescent="0.25">
      <c r="A400" s="342"/>
      <c r="B400" s="4"/>
      <c r="C400" s="16"/>
      <c r="D400" s="457"/>
      <c r="E400" s="363"/>
      <c r="F400" s="273"/>
      <c r="G400" s="226"/>
      <c r="H400" s="273"/>
      <c r="I400" s="400"/>
      <c r="J400" s="241" t="b">
        <f>Age_Sex_BY[[#This Row],[Total Spending After Applying Truncation at the Member Level]]+Age_Sex_BY[[#This Row],[Total Dollars Excluded from Spending After Applying Truncation at the Member Level]]=Age_Sex_BY[[#This Row],[Total Spending before Truncation is Applied]]</f>
        <v>1</v>
      </c>
    </row>
    <row r="401" spans="1:10" x14ac:dyDescent="0.25">
      <c r="A401" s="339"/>
      <c r="B401" s="270"/>
      <c r="C401" s="271"/>
      <c r="D401" s="456"/>
      <c r="E401" s="362"/>
      <c r="F401" s="272"/>
      <c r="G401" s="460"/>
      <c r="H401" s="272"/>
      <c r="I401" s="399"/>
      <c r="J401" s="241" t="b">
        <f>Age_Sex_BY[[#This Row],[Total Spending After Applying Truncation at the Member Level]]+Age_Sex_BY[[#This Row],[Total Dollars Excluded from Spending After Applying Truncation at the Member Level]]=Age_Sex_BY[[#This Row],[Total Spending before Truncation is Applied]]</f>
        <v>1</v>
      </c>
    </row>
    <row r="402" spans="1:10" x14ac:dyDescent="0.25">
      <c r="A402" s="342"/>
      <c r="B402" s="4"/>
      <c r="C402" s="16"/>
      <c r="D402" s="457"/>
      <c r="E402" s="363"/>
      <c r="F402" s="273"/>
      <c r="G402" s="226"/>
      <c r="H402" s="273"/>
      <c r="I402" s="400"/>
      <c r="J402" s="241" t="b">
        <f>Age_Sex_BY[[#This Row],[Total Spending After Applying Truncation at the Member Level]]+Age_Sex_BY[[#This Row],[Total Dollars Excluded from Spending After Applying Truncation at the Member Level]]=Age_Sex_BY[[#This Row],[Total Spending before Truncation is Applied]]</f>
        <v>1</v>
      </c>
    </row>
    <row r="403" spans="1:10" x14ac:dyDescent="0.25">
      <c r="A403" s="339"/>
      <c r="B403" s="270"/>
      <c r="C403" s="271"/>
      <c r="D403" s="456"/>
      <c r="E403" s="362"/>
      <c r="F403" s="272"/>
      <c r="G403" s="460"/>
      <c r="H403" s="272"/>
      <c r="I403" s="399"/>
      <c r="J403" s="241" t="b">
        <f>Age_Sex_BY[[#This Row],[Total Spending After Applying Truncation at the Member Level]]+Age_Sex_BY[[#This Row],[Total Dollars Excluded from Spending After Applying Truncation at the Member Level]]=Age_Sex_BY[[#This Row],[Total Spending before Truncation is Applied]]</f>
        <v>1</v>
      </c>
    </row>
    <row r="404" spans="1:10" x14ac:dyDescent="0.25">
      <c r="A404" s="342"/>
      <c r="B404" s="4"/>
      <c r="C404" s="16"/>
      <c r="D404" s="457"/>
      <c r="E404" s="363"/>
      <c r="F404" s="273"/>
      <c r="G404" s="226"/>
      <c r="H404" s="273"/>
      <c r="I404" s="400"/>
      <c r="J404" s="241" t="b">
        <f>Age_Sex_BY[[#This Row],[Total Spending After Applying Truncation at the Member Level]]+Age_Sex_BY[[#This Row],[Total Dollars Excluded from Spending After Applying Truncation at the Member Level]]=Age_Sex_BY[[#This Row],[Total Spending before Truncation is Applied]]</f>
        <v>1</v>
      </c>
    </row>
    <row r="405" spans="1:10" x14ac:dyDescent="0.25">
      <c r="A405" s="339"/>
      <c r="B405" s="270"/>
      <c r="C405" s="271"/>
      <c r="D405" s="456"/>
      <c r="E405" s="362"/>
      <c r="F405" s="272"/>
      <c r="G405" s="460"/>
      <c r="H405" s="272"/>
      <c r="I405" s="399"/>
      <c r="J405" s="241" t="b">
        <f>Age_Sex_BY[[#This Row],[Total Spending After Applying Truncation at the Member Level]]+Age_Sex_BY[[#This Row],[Total Dollars Excluded from Spending After Applying Truncation at the Member Level]]=Age_Sex_BY[[#This Row],[Total Spending before Truncation is Applied]]</f>
        <v>1</v>
      </c>
    </row>
    <row r="406" spans="1:10" x14ac:dyDescent="0.25">
      <c r="A406" s="342"/>
      <c r="B406" s="4"/>
      <c r="C406" s="16"/>
      <c r="D406" s="457"/>
      <c r="E406" s="363"/>
      <c r="F406" s="273"/>
      <c r="G406" s="226"/>
      <c r="H406" s="273"/>
      <c r="I406" s="400"/>
      <c r="J406" s="241" t="b">
        <f>Age_Sex_BY[[#This Row],[Total Spending After Applying Truncation at the Member Level]]+Age_Sex_BY[[#This Row],[Total Dollars Excluded from Spending After Applying Truncation at the Member Level]]=Age_Sex_BY[[#This Row],[Total Spending before Truncation is Applied]]</f>
        <v>1</v>
      </c>
    </row>
    <row r="407" spans="1:10" x14ac:dyDescent="0.25">
      <c r="A407" s="339"/>
      <c r="B407" s="270"/>
      <c r="C407" s="271"/>
      <c r="D407" s="456"/>
      <c r="E407" s="362"/>
      <c r="F407" s="272"/>
      <c r="G407" s="460"/>
      <c r="H407" s="272"/>
      <c r="I407" s="399"/>
      <c r="J407" s="241" t="b">
        <f>Age_Sex_BY[[#This Row],[Total Spending After Applying Truncation at the Member Level]]+Age_Sex_BY[[#This Row],[Total Dollars Excluded from Spending After Applying Truncation at the Member Level]]=Age_Sex_BY[[#This Row],[Total Spending before Truncation is Applied]]</f>
        <v>1</v>
      </c>
    </row>
    <row r="408" spans="1:10" x14ac:dyDescent="0.25">
      <c r="A408" s="342"/>
      <c r="B408" s="4"/>
      <c r="C408" s="16"/>
      <c r="D408" s="457"/>
      <c r="E408" s="363"/>
      <c r="F408" s="273"/>
      <c r="G408" s="226"/>
      <c r="H408" s="273"/>
      <c r="I408" s="400"/>
      <c r="J408" s="241" t="b">
        <f>Age_Sex_BY[[#This Row],[Total Spending After Applying Truncation at the Member Level]]+Age_Sex_BY[[#This Row],[Total Dollars Excluded from Spending After Applying Truncation at the Member Level]]=Age_Sex_BY[[#This Row],[Total Spending before Truncation is Applied]]</f>
        <v>1</v>
      </c>
    </row>
    <row r="409" spans="1:10" x14ac:dyDescent="0.25">
      <c r="A409" s="339"/>
      <c r="B409" s="270"/>
      <c r="C409" s="271"/>
      <c r="D409" s="456"/>
      <c r="E409" s="362"/>
      <c r="F409" s="272"/>
      <c r="G409" s="460"/>
      <c r="H409" s="272"/>
      <c r="I409" s="399"/>
      <c r="J409" s="241" t="b">
        <f>Age_Sex_BY[[#This Row],[Total Spending After Applying Truncation at the Member Level]]+Age_Sex_BY[[#This Row],[Total Dollars Excluded from Spending After Applying Truncation at the Member Level]]=Age_Sex_BY[[#This Row],[Total Spending before Truncation is Applied]]</f>
        <v>1</v>
      </c>
    </row>
    <row r="410" spans="1:10" x14ac:dyDescent="0.25">
      <c r="A410" s="342"/>
      <c r="B410" s="4"/>
      <c r="C410" s="16"/>
      <c r="D410" s="457"/>
      <c r="E410" s="363"/>
      <c r="F410" s="273"/>
      <c r="G410" s="226"/>
      <c r="H410" s="273"/>
      <c r="I410" s="400"/>
      <c r="J410" s="241" t="b">
        <f>Age_Sex_BY[[#This Row],[Total Spending After Applying Truncation at the Member Level]]+Age_Sex_BY[[#This Row],[Total Dollars Excluded from Spending After Applying Truncation at the Member Level]]=Age_Sex_BY[[#This Row],[Total Spending before Truncation is Applied]]</f>
        <v>1</v>
      </c>
    </row>
    <row r="411" spans="1:10" x14ac:dyDescent="0.25">
      <c r="A411" s="339"/>
      <c r="B411" s="270"/>
      <c r="C411" s="271"/>
      <c r="D411" s="456"/>
      <c r="E411" s="362"/>
      <c r="F411" s="272"/>
      <c r="G411" s="460"/>
      <c r="H411" s="272"/>
      <c r="I411" s="399"/>
      <c r="J411" s="241" t="b">
        <f>Age_Sex_BY[[#This Row],[Total Spending After Applying Truncation at the Member Level]]+Age_Sex_BY[[#This Row],[Total Dollars Excluded from Spending After Applying Truncation at the Member Level]]=Age_Sex_BY[[#This Row],[Total Spending before Truncation is Applied]]</f>
        <v>1</v>
      </c>
    </row>
    <row r="412" spans="1:10" x14ac:dyDescent="0.25">
      <c r="A412" s="342"/>
      <c r="B412" s="4"/>
      <c r="C412" s="16"/>
      <c r="D412" s="457"/>
      <c r="E412" s="363"/>
      <c r="F412" s="273"/>
      <c r="G412" s="226"/>
      <c r="H412" s="273"/>
      <c r="I412" s="400"/>
      <c r="J412" s="241" t="b">
        <f>Age_Sex_BY[[#This Row],[Total Spending After Applying Truncation at the Member Level]]+Age_Sex_BY[[#This Row],[Total Dollars Excluded from Spending After Applying Truncation at the Member Level]]=Age_Sex_BY[[#This Row],[Total Spending before Truncation is Applied]]</f>
        <v>1</v>
      </c>
    </row>
    <row r="413" spans="1:10" x14ac:dyDescent="0.25">
      <c r="A413" s="339"/>
      <c r="B413" s="270"/>
      <c r="C413" s="271"/>
      <c r="D413" s="456"/>
      <c r="E413" s="362"/>
      <c r="F413" s="272"/>
      <c r="G413" s="460"/>
      <c r="H413" s="272"/>
      <c r="I413" s="399"/>
      <c r="J413" s="241" t="b">
        <f>Age_Sex_BY[[#This Row],[Total Spending After Applying Truncation at the Member Level]]+Age_Sex_BY[[#This Row],[Total Dollars Excluded from Spending After Applying Truncation at the Member Level]]=Age_Sex_BY[[#This Row],[Total Spending before Truncation is Applied]]</f>
        <v>1</v>
      </c>
    </row>
    <row r="414" spans="1:10" x14ac:dyDescent="0.25">
      <c r="A414" s="342"/>
      <c r="B414" s="4"/>
      <c r="C414" s="16"/>
      <c r="D414" s="457"/>
      <c r="E414" s="363"/>
      <c r="F414" s="273"/>
      <c r="G414" s="226"/>
      <c r="H414" s="273"/>
      <c r="I414" s="400"/>
      <c r="J414" s="241" t="b">
        <f>Age_Sex_BY[[#This Row],[Total Spending After Applying Truncation at the Member Level]]+Age_Sex_BY[[#This Row],[Total Dollars Excluded from Spending After Applying Truncation at the Member Level]]=Age_Sex_BY[[#This Row],[Total Spending before Truncation is Applied]]</f>
        <v>1</v>
      </c>
    </row>
    <row r="415" spans="1:10" x14ac:dyDescent="0.25">
      <c r="A415" s="339"/>
      <c r="B415" s="270"/>
      <c r="C415" s="271"/>
      <c r="D415" s="456"/>
      <c r="E415" s="362"/>
      <c r="F415" s="272"/>
      <c r="G415" s="460"/>
      <c r="H415" s="272"/>
      <c r="I415" s="399"/>
      <c r="J415" s="241" t="b">
        <f>Age_Sex_BY[[#This Row],[Total Spending After Applying Truncation at the Member Level]]+Age_Sex_BY[[#This Row],[Total Dollars Excluded from Spending After Applying Truncation at the Member Level]]=Age_Sex_BY[[#This Row],[Total Spending before Truncation is Applied]]</f>
        <v>1</v>
      </c>
    </row>
    <row r="416" spans="1:10" x14ac:dyDescent="0.25">
      <c r="A416" s="342"/>
      <c r="B416" s="4"/>
      <c r="C416" s="16"/>
      <c r="D416" s="457"/>
      <c r="E416" s="363"/>
      <c r="F416" s="273"/>
      <c r="G416" s="226"/>
      <c r="H416" s="273"/>
      <c r="I416" s="400"/>
      <c r="J416" s="241" t="b">
        <f>Age_Sex_BY[[#This Row],[Total Spending After Applying Truncation at the Member Level]]+Age_Sex_BY[[#This Row],[Total Dollars Excluded from Spending After Applying Truncation at the Member Level]]=Age_Sex_BY[[#This Row],[Total Spending before Truncation is Applied]]</f>
        <v>1</v>
      </c>
    </row>
    <row r="417" spans="1:10" x14ac:dyDescent="0.25">
      <c r="A417" s="339"/>
      <c r="B417" s="270"/>
      <c r="C417" s="271"/>
      <c r="D417" s="456"/>
      <c r="E417" s="362"/>
      <c r="F417" s="272"/>
      <c r="G417" s="460"/>
      <c r="H417" s="272"/>
      <c r="I417" s="399"/>
      <c r="J417" s="241" t="b">
        <f>Age_Sex_BY[[#This Row],[Total Spending After Applying Truncation at the Member Level]]+Age_Sex_BY[[#This Row],[Total Dollars Excluded from Spending After Applying Truncation at the Member Level]]=Age_Sex_BY[[#This Row],[Total Spending before Truncation is Applied]]</f>
        <v>1</v>
      </c>
    </row>
    <row r="418" spans="1:10" x14ac:dyDescent="0.25">
      <c r="A418" s="342"/>
      <c r="B418" s="4"/>
      <c r="C418" s="16"/>
      <c r="D418" s="457"/>
      <c r="E418" s="363"/>
      <c r="F418" s="273"/>
      <c r="G418" s="226"/>
      <c r="H418" s="273"/>
      <c r="I418" s="400"/>
      <c r="J418" s="241" t="b">
        <f>Age_Sex_BY[[#This Row],[Total Spending After Applying Truncation at the Member Level]]+Age_Sex_BY[[#This Row],[Total Dollars Excluded from Spending After Applying Truncation at the Member Level]]=Age_Sex_BY[[#This Row],[Total Spending before Truncation is Applied]]</f>
        <v>1</v>
      </c>
    </row>
    <row r="419" spans="1:10" x14ac:dyDescent="0.25">
      <c r="A419" s="339"/>
      <c r="B419" s="270"/>
      <c r="C419" s="271"/>
      <c r="D419" s="456"/>
      <c r="E419" s="362"/>
      <c r="F419" s="272"/>
      <c r="G419" s="460"/>
      <c r="H419" s="272"/>
      <c r="I419" s="399"/>
      <c r="J419" s="241" t="b">
        <f>Age_Sex_BY[[#This Row],[Total Spending After Applying Truncation at the Member Level]]+Age_Sex_BY[[#This Row],[Total Dollars Excluded from Spending After Applying Truncation at the Member Level]]=Age_Sex_BY[[#This Row],[Total Spending before Truncation is Applied]]</f>
        <v>1</v>
      </c>
    </row>
    <row r="420" spans="1:10" x14ac:dyDescent="0.25">
      <c r="A420" s="342"/>
      <c r="B420" s="4"/>
      <c r="C420" s="16"/>
      <c r="D420" s="457"/>
      <c r="E420" s="363"/>
      <c r="F420" s="273"/>
      <c r="G420" s="226"/>
      <c r="H420" s="273"/>
      <c r="I420" s="400"/>
      <c r="J420" s="241" t="b">
        <f>Age_Sex_BY[[#This Row],[Total Spending After Applying Truncation at the Member Level]]+Age_Sex_BY[[#This Row],[Total Dollars Excluded from Spending After Applying Truncation at the Member Level]]=Age_Sex_BY[[#This Row],[Total Spending before Truncation is Applied]]</f>
        <v>1</v>
      </c>
    </row>
    <row r="421" spans="1:10" x14ac:dyDescent="0.25">
      <c r="A421" s="339"/>
      <c r="B421" s="270"/>
      <c r="C421" s="271"/>
      <c r="D421" s="456"/>
      <c r="E421" s="362"/>
      <c r="F421" s="272"/>
      <c r="G421" s="460"/>
      <c r="H421" s="272"/>
      <c r="I421" s="399"/>
      <c r="J421" s="241" t="b">
        <f>Age_Sex_BY[[#This Row],[Total Spending After Applying Truncation at the Member Level]]+Age_Sex_BY[[#This Row],[Total Dollars Excluded from Spending After Applying Truncation at the Member Level]]=Age_Sex_BY[[#This Row],[Total Spending before Truncation is Applied]]</f>
        <v>1</v>
      </c>
    </row>
    <row r="422" spans="1:10" x14ac:dyDescent="0.25">
      <c r="A422" s="342"/>
      <c r="B422" s="4"/>
      <c r="C422" s="16"/>
      <c r="D422" s="457"/>
      <c r="E422" s="363"/>
      <c r="F422" s="273"/>
      <c r="G422" s="226"/>
      <c r="H422" s="273"/>
      <c r="I422" s="400"/>
      <c r="J422" s="241" t="b">
        <f>Age_Sex_BY[[#This Row],[Total Spending After Applying Truncation at the Member Level]]+Age_Sex_BY[[#This Row],[Total Dollars Excluded from Spending After Applying Truncation at the Member Level]]=Age_Sex_BY[[#This Row],[Total Spending before Truncation is Applied]]</f>
        <v>1</v>
      </c>
    </row>
    <row r="423" spans="1:10" x14ac:dyDescent="0.25">
      <c r="A423" s="339"/>
      <c r="B423" s="270"/>
      <c r="C423" s="271"/>
      <c r="D423" s="456"/>
      <c r="E423" s="362"/>
      <c r="F423" s="272"/>
      <c r="G423" s="460"/>
      <c r="H423" s="272"/>
      <c r="I423" s="399"/>
      <c r="J423" s="241" t="b">
        <f>Age_Sex_BY[[#This Row],[Total Spending After Applying Truncation at the Member Level]]+Age_Sex_BY[[#This Row],[Total Dollars Excluded from Spending After Applying Truncation at the Member Level]]=Age_Sex_BY[[#This Row],[Total Spending before Truncation is Applied]]</f>
        <v>1</v>
      </c>
    </row>
    <row r="424" spans="1:10" x14ac:dyDescent="0.25">
      <c r="A424" s="342"/>
      <c r="B424" s="4"/>
      <c r="C424" s="16"/>
      <c r="D424" s="457"/>
      <c r="E424" s="363"/>
      <c r="F424" s="273"/>
      <c r="G424" s="226"/>
      <c r="H424" s="273"/>
      <c r="I424" s="400"/>
      <c r="J424" s="241" t="b">
        <f>Age_Sex_BY[[#This Row],[Total Spending After Applying Truncation at the Member Level]]+Age_Sex_BY[[#This Row],[Total Dollars Excluded from Spending After Applying Truncation at the Member Level]]=Age_Sex_BY[[#This Row],[Total Spending before Truncation is Applied]]</f>
        <v>1</v>
      </c>
    </row>
    <row r="425" spans="1:10" x14ac:dyDescent="0.25">
      <c r="A425" s="339"/>
      <c r="B425" s="270"/>
      <c r="C425" s="271"/>
      <c r="D425" s="456"/>
      <c r="E425" s="362"/>
      <c r="F425" s="272"/>
      <c r="G425" s="460"/>
      <c r="H425" s="272"/>
      <c r="I425" s="399"/>
      <c r="J425" s="241" t="b">
        <f>Age_Sex_BY[[#This Row],[Total Spending After Applying Truncation at the Member Level]]+Age_Sex_BY[[#This Row],[Total Dollars Excluded from Spending After Applying Truncation at the Member Level]]=Age_Sex_BY[[#This Row],[Total Spending before Truncation is Applied]]</f>
        <v>1</v>
      </c>
    </row>
    <row r="426" spans="1:10" x14ac:dyDescent="0.25">
      <c r="A426" s="342"/>
      <c r="B426" s="4"/>
      <c r="C426" s="16"/>
      <c r="D426" s="457"/>
      <c r="E426" s="363"/>
      <c r="F426" s="273"/>
      <c r="G426" s="226"/>
      <c r="H426" s="273"/>
      <c r="I426" s="400"/>
      <c r="J426" s="241" t="b">
        <f>Age_Sex_BY[[#This Row],[Total Spending After Applying Truncation at the Member Level]]+Age_Sex_BY[[#This Row],[Total Dollars Excluded from Spending After Applying Truncation at the Member Level]]=Age_Sex_BY[[#This Row],[Total Spending before Truncation is Applied]]</f>
        <v>1</v>
      </c>
    </row>
    <row r="427" spans="1:10" x14ac:dyDescent="0.25">
      <c r="A427" s="339"/>
      <c r="B427" s="270"/>
      <c r="C427" s="271"/>
      <c r="D427" s="456"/>
      <c r="E427" s="362"/>
      <c r="F427" s="272"/>
      <c r="G427" s="460"/>
      <c r="H427" s="272"/>
      <c r="I427" s="399"/>
      <c r="J427" s="241" t="b">
        <f>Age_Sex_BY[[#This Row],[Total Spending After Applying Truncation at the Member Level]]+Age_Sex_BY[[#This Row],[Total Dollars Excluded from Spending After Applying Truncation at the Member Level]]=Age_Sex_BY[[#This Row],[Total Spending before Truncation is Applied]]</f>
        <v>1</v>
      </c>
    </row>
    <row r="428" spans="1:10" x14ac:dyDescent="0.25">
      <c r="A428" s="342"/>
      <c r="B428" s="4"/>
      <c r="C428" s="16"/>
      <c r="D428" s="457"/>
      <c r="E428" s="363"/>
      <c r="F428" s="273"/>
      <c r="G428" s="226"/>
      <c r="H428" s="273"/>
      <c r="I428" s="400"/>
      <c r="J428" s="241" t="b">
        <f>Age_Sex_BY[[#This Row],[Total Spending After Applying Truncation at the Member Level]]+Age_Sex_BY[[#This Row],[Total Dollars Excluded from Spending After Applying Truncation at the Member Level]]=Age_Sex_BY[[#This Row],[Total Spending before Truncation is Applied]]</f>
        <v>1</v>
      </c>
    </row>
    <row r="429" spans="1:10" x14ac:dyDescent="0.25">
      <c r="A429" s="339"/>
      <c r="B429" s="270"/>
      <c r="C429" s="271"/>
      <c r="D429" s="456"/>
      <c r="E429" s="362"/>
      <c r="F429" s="272"/>
      <c r="G429" s="460"/>
      <c r="H429" s="272"/>
      <c r="I429" s="399"/>
      <c r="J429" s="241" t="b">
        <f>Age_Sex_BY[[#This Row],[Total Spending After Applying Truncation at the Member Level]]+Age_Sex_BY[[#This Row],[Total Dollars Excluded from Spending After Applying Truncation at the Member Level]]=Age_Sex_BY[[#This Row],[Total Spending before Truncation is Applied]]</f>
        <v>1</v>
      </c>
    </row>
    <row r="430" spans="1:10" x14ac:dyDescent="0.25">
      <c r="A430" s="342"/>
      <c r="B430" s="4"/>
      <c r="C430" s="16"/>
      <c r="D430" s="457"/>
      <c r="E430" s="363"/>
      <c r="F430" s="273"/>
      <c r="G430" s="226"/>
      <c r="H430" s="273"/>
      <c r="I430" s="400"/>
      <c r="J430" s="241" t="b">
        <f>Age_Sex_BY[[#This Row],[Total Spending After Applying Truncation at the Member Level]]+Age_Sex_BY[[#This Row],[Total Dollars Excluded from Spending After Applying Truncation at the Member Level]]=Age_Sex_BY[[#This Row],[Total Spending before Truncation is Applied]]</f>
        <v>1</v>
      </c>
    </row>
    <row r="431" spans="1:10" x14ac:dyDescent="0.25">
      <c r="A431" s="339"/>
      <c r="B431" s="270"/>
      <c r="C431" s="271"/>
      <c r="D431" s="456"/>
      <c r="E431" s="362"/>
      <c r="F431" s="272"/>
      <c r="G431" s="460"/>
      <c r="H431" s="272"/>
      <c r="I431" s="399"/>
      <c r="J431" s="241" t="b">
        <f>Age_Sex_BY[[#This Row],[Total Spending After Applying Truncation at the Member Level]]+Age_Sex_BY[[#This Row],[Total Dollars Excluded from Spending After Applying Truncation at the Member Level]]=Age_Sex_BY[[#This Row],[Total Spending before Truncation is Applied]]</f>
        <v>1</v>
      </c>
    </row>
    <row r="432" spans="1:10" x14ac:dyDescent="0.25">
      <c r="A432" s="342"/>
      <c r="B432" s="4"/>
      <c r="C432" s="16"/>
      <c r="D432" s="457"/>
      <c r="E432" s="363"/>
      <c r="F432" s="273"/>
      <c r="G432" s="226"/>
      <c r="H432" s="273"/>
      <c r="I432" s="400"/>
      <c r="J432" s="241" t="b">
        <f>Age_Sex_BY[[#This Row],[Total Spending After Applying Truncation at the Member Level]]+Age_Sex_BY[[#This Row],[Total Dollars Excluded from Spending After Applying Truncation at the Member Level]]=Age_Sex_BY[[#This Row],[Total Spending before Truncation is Applied]]</f>
        <v>1</v>
      </c>
    </row>
    <row r="433" spans="1:10" x14ac:dyDescent="0.25">
      <c r="A433" s="339"/>
      <c r="B433" s="270"/>
      <c r="C433" s="271"/>
      <c r="D433" s="456"/>
      <c r="E433" s="362"/>
      <c r="F433" s="272"/>
      <c r="G433" s="460"/>
      <c r="H433" s="272"/>
      <c r="I433" s="399"/>
      <c r="J433" s="241" t="b">
        <f>Age_Sex_BY[[#This Row],[Total Spending After Applying Truncation at the Member Level]]+Age_Sex_BY[[#This Row],[Total Dollars Excluded from Spending After Applying Truncation at the Member Level]]=Age_Sex_BY[[#This Row],[Total Spending before Truncation is Applied]]</f>
        <v>1</v>
      </c>
    </row>
    <row r="434" spans="1:10" x14ac:dyDescent="0.25">
      <c r="A434" s="342"/>
      <c r="B434" s="4"/>
      <c r="C434" s="16"/>
      <c r="D434" s="457"/>
      <c r="E434" s="363"/>
      <c r="F434" s="273"/>
      <c r="G434" s="226"/>
      <c r="H434" s="273"/>
      <c r="I434" s="400"/>
      <c r="J434" s="241" t="b">
        <f>Age_Sex_BY[[#This Row],[Total Spending After Applying Truncation at the Member Level]]+Age_Sex_BY[[#This Row],[Total Dollars Excluded from Spending After Applying Truncation at the Member Level]]=Age_Sex_BY[[#This Row],[Total Spending before Truncation is Applied]]</f>
        <v>1</v>
      </c>
    </row>
    <row r="435" spans="1:10" x14ac:dyDescent="0.25">
      <c r="A435" s="339"/>
      <c r="B435" s="270"/>
      <c r="C435" s="271"/>
      <c r="D435" s="456"/>
      <c r="E435" s="362"/>
      <c r="F435" s="272"/>
      <c r="G435" s="460"/>
      <c r="H435" s="272"/>
      <c r="I435" s="399"/>
      <c r="J435" s="241" t="b">
        <f>Age_Sex_BY[[#This Row],[Total Spending After Applying Truncation at the Member Level]]+Age_Sex_BY[[#This Row],[Total Dollars Excluded from Spending After Applying Truncation at the Member Level]]=Age_Sex_BY[[#This Row],[Total Spending before Truncation is Applied]]</f>
        <v>1</v>
      </c>
    </row>
    <row r="436" spans="1:10" x14ac:dyDescent="0.25">
      <c r="A436" s="342"/>
      <c r="B436" s="4"/>
      <c r="C436" s="16"/>
      <c r="D436" s="457"/>
      <c r="E436" s="363"/>
      <c r="F436" s="273"/>
      <c r="G436" s="226"/>
      <c r="H436" s="273"/>
      <c r="I436" s="400"/>
      <c r="J436" s="241" t="b">
        <f>Age_Sex_BY[[#This Row],[Total Spending After Applying Truncation at the Member Level]]+Age_Sex_BY[[#This Row],[Total Dollars Excluded from Spending After Applying Truncation at the Member Level]]=Age_Sex_BY[[#This Row],[Total Spending before Truncation is Applied]]</f>
        <v>1</v>
      </c>
    </row>
    <row r="437" spans="1:10" x14ac:dyDescent="0.25">
      <c r="A437" s="339"/>
      <c r="B437" s="270"/>
      <c r="C437" s="271"/>
      <c r="D437" s="456"/>
      <c r="E437" s="362"/>
      <c r="F437" s="272"/>
      <c r="G437" s="460"/>
      <c r="H437" s="272"/>
      <c r="I437" s="399"/>
      <c r="J437" s="241" t="b">
        <f>Age_Sex_BY[[#This Row],[Total Spending After Applying Truncation at the Member Level]]+Age_Sex_BY[[#This Row],[Total Dollars Excluded from Spending After Applying Truncation at the Member Level]]=Age_Sex_BY[[#This Row],[Total Spending before Truncation is Applied]]</f>
        <v>1</v>
      </c>
    </row>
    <row r="438" spans="1:10" x14ac:dyDescent="0.25">
      <c r="A438" s="342"/>
      <c r="B438" s="4"/>
      <c r="C438" s="16"/>
      <c r="D438" s="457"/>
      <c r="E438" s="363"/>
      <c r="F438" s="273"/>
      <c r="G438" s="226"/>
      <c r="H438" s="273"/>
      <c r="I438" s="400"/>
      <c r="J438" s="241" t="b">
        <f>Age_Sex_BY[[#This Row],[Total Spending After Applying Truncation at the Member Level]]+Age_Sex_BY[[#This Row],[Total Dollars Excluded from Spending After Applying Truncation at the Member Level]]=Age_Sex_BY[[#This Row],[Total Spending before Truncation is Applied]]</f>
        <v>1</v>
      </c>
    </row>
    <row r="439" spans="1:10" x14ac:dyDescent="0.25">
      <c r="A439" s="339"/>
      <c r="B439" s="270"/>
      <c r="C439" s="271"/>
      <c r="D439" s="456"/>
      <c r="E439" s="362"/>
      <c r="F439" s="272"/>
      <c r="G439" s="460"/>
      <c r="H439" s="272"/>
      <c r="I439" s="399"/>
      <c r="J439" s="241" t="b">
        <f>Age_Sex_BY[[#This Row],[Total Spending After Applying Truncation at the Member Level]]+Age_Sex_BY[[#This Row],[Total Dollars Excluded from Spending After Applying Truncation at the Member Level]]=Age_Sex_BY[[#This Row],[Total Spending before Truncation is Applied]]</f>
        <v>1</v>
      </c>
    </row>
    <row r="440" spans="1:10" x14ac:dyDescent="0.25">
      <c r="A440" s="342"/>
      <c r="B440" s="4"/>
      <c r="C440" s="16"/>
      <c r="D440" s="457"/>
      <c r="E440" s="363"/>
      <c r="F440" s="273"/>
      <c r="G440" s="226"/>
      <c r="H440" s="273"/>
      <c r="I440" s="400"/>
      <c r="J440" s="241" t="b">
        <f>Age_Sex_BY[[#This Row],[Total Spending After Applying Truncation at the Member Level]]+Age_Sex_BY[[#This Row],[Total Dollars Excluded from Spending After Applying Truncation at the Member Level]]=Age_Sex_BY[[#This Row],[Total Spending before Truncation is Applied]]</f>
        <v>1</v>
      </c>
    </row>
    <row r="441" spans="1:10" x14ac:dyDescent="0.25">
      <c r="A441" s="339"/>
      <c r="B441" s="270"/>
      <c r="C441" s="271"/>
      <c r="D441" s="456"/>
      <c r="E441" s="362"/>
      <c r="F441" s="272"/>
      <c r="G441" s="460"/>
      <c r="H441" s="272"/>
      <c r="I441" s="399"/>
      <c r="J441" s="241" t="b">
        <f>Age_Sex_BY[[#This Row],[Total Spending After Applying Truncation at the Member Level]]+Age_Sex_BY[[#This Row],[Total Dollars Excluded from Spending After Applying Truncation at the Member Level]]=Age_Sex_BY[[#This Row],[Total Spending before Truncation is Applied]]</f>
        <v>1</v>
      </c>
    </row>
    <row r="442" spans="1:10" x14ac:dyDescent="0.25">
      <c r="A442" s="342"/>
      <c r="B442" s="4"/>
      <c r="C442" s="16"/>
      <c r="D442" s="457"/>
      <c r="E442" s="363"/>
      <c r="F442" s="273"/>
      <c r="G442" s="226"/>
      <c r="H442" s="273"/>
      <c r="I442" s="400"/>
      <c r="J442" s="241" t="b">
        <f>Age_Sex_BY[[#This Row],[Total Spending After Applying Truncation at the Member Level]]+Age_Sex_BY[[#This Row],[Total Dollars Excluded from Spending After Applying Truncation at the Member Level]]=Age_Sex_BY[[#This Row],[Total Spending before Truncation is Applied]]</f>
        <v>1</v>
      </c>
    </row>
    <row r="443" spans="1:10" x14ac:dyDescent="0.25">
      <c r="A443" s="339"/>
      <c r="B443" s="270"/>
      <c r="C443" s="271"/>
      <c r="D443" s="456"/>
      <c r="E443" s="362"/>
      <c r="F443" s="272"/>
      <c r="G443" s="460"/>
      <c r="H443" s="272"/>
      <c r="I443" s="399"/>
      <c r="J443" s="241" t="b">
        <f>Age_Sex_BY[[#This Row],[Total Spending After Applying Truncation at the Member Level]]+Age_Sex_BY[[#This Row],[Total Dollars Excluded from Spending After Applying Truncation at the Member Level]]=Age_Sex_BY[[#This Row],[Total Spending before Truncation is Applied]]</f>
        <v>1</v>
      </c>
    </row>
    <row r="444" spans="1:10" x14ac:dyDescent="0.25">
      <c r="A444" s="342"/>
      <c r="B444" s="4"/>
      <c r="C444" s="16"/>
      <c r="D444" s="457"/>
      <c r="E444" s="363"/>
      <c r="F444" s="273"/>
      <c r="G444" s="226"/>
      <c r="H444" s="273"/>
      <c r="I444" s="400"/>
      <c r="J444" s="241" t="b">
        <f>Age_Sex_BY[[#This Row],[Total Spending After Applying Truncation at the Member Level]]+Age_Sex_BY[[#This Row],[Total Dollars Excluded from Spending After Applying Truncation at the Member Level]]=Age_Sex_BY[[#This Row],[Total Spending before Truncation is Applied]]</f>
        <v>1</v>
      </c>
    </row>
    <row r="445" spans="1:10" x14ac:dyDescent="0.25">
      <c r="A445" s="339"/>
      <c r="B445" s="270"/>
      <c r="C445" s="271"/>
      <c r="D445" s="456"/>
      <c r="E445" s="362"/>
      <c r="F445" s="272"/>
      <c r="G445" s="460"/>
      <c r="H445" s="272"/>
      <c r="I445" s="399"/>
      <c r="J445" s="241" t="b">
        <f>Age_Sex_BY[[#This Row],[Total Spending After Applying Truncation at the Member Level]]+Age_Sex_BY[[#This Row],[Total Dollars Excluded from Spending After Applying Truncation at the Member Level]]=Age_Sex_BY[[#This Row],[Total Spending before Truncation is Applied]]</f>
        <v>1</v>
      </c>
    </row>
    <row r="446" spans="1:10" x14ac:dyDescent="0.25">
      <c r="A446" s="342"/>
      <c r="B446" s="4"/>
      <c r="C446" s="16"/>
      <c r="D446" s="457"/>
      <c r="E446" s="363"/>
      <c r="F446" s="273"/>
      <c r="G446" s="226"/>
      <c r="H446" s="273"/>
      <c r="I446" s="400"/>
      <c r="J446" s="241" t="b">
        <f>Age_Sex_BY[[#This Row],[Total Spending After Applying Truncation at the Member Level]]+Age_Sex_BY[[#This Row],[Total Dollars Excluded from Spending After Applying Truncation at the Member Level]]=Age_Sex_BY[[#This Row],[Total Spending before Truncation is Applied]]</f>
        <v>1</v>
      </c>
    </row>
    <row r="447" spans="1:10" x14ac:dyDescent="0.25">
      <c r="A447" s="339"/>
      <c r="B447" s="270"/>
      <c r="C447" s="271"/>
      <c r="D447" s="456"/>
      <c r="E447" s="362"/>
      <c r="F447" s="272"/>
      <c r="G447" s="460"/>
      <c r="H447" s="272"/>
      <c r="I447" s="399"/>
      <c r="J447" s="241" t="b">
        <f>Age_Sex_BY[[#This Row],[Total Spending After Applying Truncation at the Member Level]]+Age_Sex_BY[[#This Row],[Total Dollars Excluded from Spending After Applying Truncation at the Member Level]]=Age_Sex_BY[[#This Row],[Total Spending before Truncation is Applied]]</f>
        <v>1</v>
      </c>
    </row>
    <row r="448" spans="1:10" x14ac:dyDescent="0.25">
      <c r="A448" s="342"/>
      <c r="B448" s="4"/>
      <c r="C448" s="16"/>
      <c r="D448" s="457"/>
      <c r="E448" s="363"/>
      <c r="F448" s="273"/>
      <c r="G448" s="226"/>
      <c r="H448" s="273"/>
      <c r="I448" s="400"/>
      <c r="J448" s="241" t="b">
        <f>Age_Sex_BY[[#This Row],[Total Spending After Applying Truncation at the Member Level]]+Age_Sex_BY[[#This Row],[Total Dollars Excluded from Spending After Applying Truncation at the Member Level]]=Age_Sex_BY[[#This Row],[Total Spending before Truncation is Applied]]</f>
        <v>1</v>
      </c>
    </row>
    <row r="449" spans="1:10" x14ac:dyDescent="0.25">
      <c r="A449" s="339"/>
      <c r="B449" s="270"/>
      <c r="C449" s="271"/>
      <c r="D449" s="456"/>
      <c r="E449" s="362"/>
      <c r="F449" s="272"/>
      <c r="G449" s="460"/>
      <c r="H449" s="272"/>
      <c r="I449" s="399"/>
      <c r="J449" s="241" t="b">
        <f>Age_Sex_BY[[#This Row],[Total Spending After Applying Truncation at the Member Level]]+Age_Sex_BY[[#This Row],[Total Dollars Excluded from Spending After Applying Truncation at the Member Level]]=Age_Sex_BY[[#This Row],[Total Spending before Truncation is Applied]]</f>
        <v>1</v>
      </c>
    </row>
    <row r="450" spans="1:10" x14ac:dyDescent="0.25">
      <c r="A450" s="342"/>
      <c r="B450" s="4"/>
      <c r="C450" s="16"/>
      <c r="D450" s="457"/>
      <c r="E450" s="363"/>
      <c r="F450" s="273"/>
      <c r="G450" s="226"/>
      <c r="H450" s="273"/>
      <c r="I450" s="400"/>
      <c r="J450" s="241" t="b">
        <f>Age_Sex_BY[[#This Row],[Total Spending After Applying Truncation at the Member Level]]+Age_Sex_BY[[#This Row],[Total Dollars Excluded from Spending After Applying Truncation at the Member Level]]=Age_Sex_BY[[#This Row],[Total Spending before Truncation is Applied]]</f>
        <v>1</v>
      </c>
    </row>
    <row r="451" spans="1:10" x14ac:dyDescent="0.25">
      <c r="A451" s="339"/>
      <c r="B451" s="270"/>
      <c r="C451" s="271"/>
      <c r="D451" s="456"/>
      <c r="E451" s="362"/>
      <c r="F451" s="272"/>
      <c r="G451" s="460"/>
      <c r="H451" s="272"/>
      <c r="I451" s="399"/>
      <c r="J451" s="241" t="b">
        <f>Age_Sex_BY[[#This Row],[Total Spending After Applying Truncation at the Member Level]]+Age_Sex_BY[[#This Row],[Total Dollars Excluded from Spending After Applying Truncation at the Member Level]]=Age_Sex_BY[[#This Row],[Total Spending before Truncation is Applied]]</f>
        <v>1</v>
      </c>
    </row>
    <row r="452" spans="1:10" x14ac:dyDescent="0.25">
      <c r="A452" s="342"/>
      <c r="B452" s="4"/>
      <c r="C452" s="16"/>
      <c r="D452" s="457"/>
      <c r="E452" s="363"/>
      <c r="F452" s="273"/>
      <c r="G452" s="226"/>
      <c r="H452" s="273"/>
      <c r="I452" s="400"/>
      <c r="J452" s="241" t="b">
        <f>Age_Sex_BY[[#This Row],[Total Spending After Applying Truncation at the Member Level]]+Age_Sex_BY[[#This Row],[Total Dollars Excluded from Spending After Applying Truncation at the Member Level]]=Age_Sex_BY[[#This Row],[Total Spending before Truncation is Applied]]</f>
        <v>1</v>
      </c>
    </row>
    <row r="453" spans="1:10" x14ac:dyDescent="0.25">
      <c r="A453" s="339"/>
      <c r="B453" s="270"/>
      <c r="C453" s="271"/>
      <c r="D453" s="456"/>
      <c r="E453" s="362"/>
      <c r="F453" s="272"/>
      <c r="G453" s="460"/>
      <c r="H453" s="272"/>
      <c r="I453" s="399"/>
      <c r="J453" s="241" t="b">
        <f>Age_Sex_BY[[#This Row],[Total Spending After Applying Truncation at the Member Level]]+Age_Sex_BY[[#This Row],[Total Dollars Excluded from Spending After Applying Truncation at the Member Level]]=Age_Sex_BY[[#This Row],[Total Spending before Truncation is Applied]]</f>
        <v>1</v>
      </c>
    </row>
    <row r="454" spans="1:10" x14ac:dyDescent="0.25">
      <c r="A454" s="342"/>
      <c r="B454" s="4"/>
      <c r="C454" s="16"/>
      <c r="D454" s="457"/>
      <c r="E454" s="363"/>
      <c r="F454" s="273"/>
      <c r="G454" s="226"/>
      <c r="H454" s="273"/>
      <c r="I454" s="400"/>
      <c r="J454" s="241" t="b">
        <f>Age_Sex_BY[[#This Row],[Total Spending After Applying Truncation at the Member Level]]+Age_Sex_BY[[#This Row],[Total Dollars Excluded from Spending After Applying Truncation at the Member Level]]=Age_Sex_BY[[#This Row],[Total Spending before Truncation is Applied]]</f>
        <v>1</v>
      </c>
    </row>
    <row r="455" spans="1:10" x14ac:dyDescent="0.25">
      <c r="A455" s="339"/>
      <c r="B455" s="270"/>
      <c r="C455" s="271"/>
      <c r="D455" s="456"/>
      <c r="E455" s="362"/>
      <c r="F455" s="272"/>
      <c r="G455" s="460"/>
      <c r="H455" s="272"/>
      <c r="I455" s="399"/>
      <c r="J455" s="241" t="b">
        <f>Age_Sex_BY[[#This Row],[Total Spending After Applying Truncation at the Member Level]]+Age_Sex_BY[[#This Row],[Total Dollars Excluded from Spending After Applying Truncation at the Member Level]]=Age_Sex_BY[[#This Row],[Total Spending before Truncation is Applied]]</f>
        <v>1</v>
      </c>
    </row>
    <row r="456" spans="1:10" x14ac:dyDescent="0.25">
      <c r="A456" s="342"/>
      <c r="B456" s="4"/>
      <c r="C456" s="16"/>
      <c r="D456" s="457"/>
      <c r="E456" s="363"/>
      <c r="F456" s="273"/>
      <c r="G456" s="226"/>
      <c r="H456" s="273"/>
      <c r="I456" s="400"/>
      <c r="J456" s="241" t="b">
        <f>Age_Sex_BY[[#This Row],[Total Spending After Applying Truncation at the Member Level]]+Age_Sex_BY[[#This Row],[Total Dollars Excluded from Spending After Applying Truncation at the Member Level]]=Age_Sex_BY[[#This Row],[Total Spending before Truncation is Applied]]</f>
        <v>1</v>
      </c>
    </row>
    <row r="457" spans="1:10" x14ac:dyDescent="0.25">
      <c r="A457" s="339"/>
      <c r="B457" s="270"/>
      <c r="C457" s="271"/>
      <c r="D457" s="456"/>
      <c r="E457" s="362"/>
      <c r="F457" s="272"/>
      <c r="G457" s="460"/>
      <c r="H457" s="272"/>
      <c r="I457" s="399"/>
      <c r="J457" s="241" t="b">
        <f>Age_Sex_BY[[#This Row],[Total Spending After Applying Truncation at the Member Level]]+Age_Sex_BY[[#This Row],[Total Dollars Excluded from Spending After Applying Truncation at the Member Level]]=Age_Sex_BY[[#This Row],[Total Spending before Truncation is Applied]]</f>
        <v>1</v>
      </c>
    </row>
    <row r="458" spans="1:10" x14ac:dyDescent="0.25">
      <c r="A458" s="342"/>
      <c r="B458" s="4"/>
      <c r="C458" s="16"/>
      <c r="D458" s="457"/>
      <c r="E458" s="363"/>
      <c r="F458" s="273"/>
      <c r="G458" s="226"/>
      <c r="H458" s="273"/>
      <c r="I458" s="400"/>
      <c r="J458" s="241" t="b">
        <f>Age_Sex_BY[[#This Row],[Total Spending After Applying Truncation at the Member Level]]+Age_Sex_BY[[#This Row],[Total Dollars Excluded from Spending After Applying Truncation at the Member Level]]=Age_Sex_BY[[#This Row],[Total Spending before Truncation is Applied]]</f>
        <v>1</v>
      </c>
    </row>
    <row r="459" spans="1:10" x14ac:dyDescent="0.25">
      <c r="A459" s="339"/>
      <c r="B459" s="270"/>
      <c r="C459" s="271"/>
      <c r="D459" s="456"/>
      <c r="E459" s="362"/>
      <c r="F459" s="272"/>
      <c r="G459" s="460"/>
      <c r="H459" s="272"/>
      <c r="I459" s="399"/>
      <c r="J459" s="241" t="b">
        <f>Age_Sex_BY[[#This Row],[Total Spending After Applying Truncation at the Member Level]]+Age_Sex_BY[[#This Row],[Total Dollars Excluded from Spending After Applying Truncation at the Member Level]]=Age_Sex_BY[[#This Row],[Total Spending before Truncation is Applied]]</f>
        <v>1</v>
      </c>
    </row>
    <row r="460" spans="1:10" x14ac:dyDescent="0.25">
      <c r="A460" s="342"/>
      <c r="B460" s="4"/>
      <c r="C460" s="16"/>
      <c r="D460" s="457"/>
      <c r="E460" s="363"/>
      <c r="F460" s="273"/>
      <c r="G460" s="226"/>
      <c r="H460" s="273"/>
      <c r="I460" s="400"/>
      <c r="J460" s="241" t="b">
        <f>Age_Sex_BY[[#This Row],[Total Spending After Applying Truncation at the Member Level]]+Age_Sex_BY[[#This Row],[Total Dollars Excluded from Spending After Applying Truncation at the Member Level]]=Age_Sex_BY[[#This Row],[Total Spending before Truncation is Applied]]</f>
        <v>1</v>
      </c>
    </row>
    <row r="461" spans="1:10" x14ac:dyDescent="0.25">
      <c r="A461" s="339"/>
      <c r="B461" s="270"/>
      <c r="C461" s="271"/>
      <c r="D461" s="456"/>
      <c r="E461" s="362"/>
      <c r="F461" s="272"/>
      <c r="G461" s="460"/>
      <c r="H461" s="272"/>
      <c r="I461" s="399"/>
      <c r="J461" s="241" t="b">
        <f>Age_Sex_BY[[#This Row],[Total Spending After Applying Truncation at the Member Level]]+Age_Sex_BY[[#This Row],[Total Dollars Excluded from Spending After Applying Truncation at the Member Level]]=Age_Sex_BY[[#This Row],[Total Spending before Truncation is Applied]]</f>
        <v>1</v>
      </c>
    </row>
    <row r="462" spans="1:10" x14ac:dyDescent="0.25">
      <c r="A462" s="342"/>
      <c r="B462" s="4"/>
      <c r="C462" s="16"/>
      <c r="D462" s="457"/>
      <c r="E462" s="363"/>
      <c r="F462" s="273"/>
      <c r="G462" s="226"/>
      <c r="H462" s="273"/>
      <c r="I462" s="400"/>
      <c r="J462" s="241" t="b">
        <f>Age_Sex_BY[[#This Row],[Total Spending After Applying Truncation at the Member Level]]+Age_Sex_BY[[#This Row],[Total Dollars Excluded from Spending After Applying Truncation at the Member Level]]=Age_Sex_BY[[#This Row],[Total Spending before Truncation is Applied]]</f>
        <v>1</v>
      </c>
    </row>
    <row r="463" spans="1:10" x14ac:dyDescent="0.25">
      <c r="A463" s="339"/>
      <c r="B463" s="270"/>
      <c r="C463" s="271"/>
      <c r="D463" s="456"/>
      <c r="E463" s="362"/>
      <c r="F463" s="272"/>
      <c r="G463" s="460"/>
      <c r="H463" s="272"/>
      <c r="I463" s="399"/>
      <c r="J463" s="241" t="b">
        <f>Age_Sex_BY[[#This Row],[Total Spending After Applying Truncation at the Member Level]]+Age_Sex_BY[[#This Row],[Total Dollars Excluded from Spending After Applying Truncation at the Member Level]]=Age_Sex_BY[[#This Row],[Total Spending before Truncation is Applied]]</f>
        <v>1</v>
      </c>
    </row>
    <row r="464" spans="1:10" x14ac:dyDescent="0.25">
      <c r="A464" s="342"/>
      <c r="B464" s="4"/>
      <c r="C464" s="16"/>
      <c r="D464" s="457"/>
      <c r="E464" s="363"/>
      <c r="F464" s="273"/>
      <c r="G464" s="226"/>
      <c r="H464" s="273"/>
      <c r="I464" s="400"/>
      <c r="J464" s="241" t="b">
        <f>Age_Sex_BY[[#This Row],[Total Spending After Applying Truncation at the Member Level]]+Age_Sex_BY[[#This Row],[Total Dollars Excluded from Spending After Applying Truncation at the Member Level]]=Age_Sex_BY[[#This Row],[Total Spending before Truncation is Applied]]</f>
        <v>1</v>
      </c>
    </row>
    <row r="465" spans="1:10" x14ac:dyDescent="0.25">
      <c r="A465" s="339"/>
      <c r="B465" s="270"/>
      <c r="C465" s="271"/>
      <c r="D465" s="456"/>
      <c r="E465" s="362"/>
      <c r="F465" s="272"/>
      <c r="G465" s="460"/>
      <c r="H465" s="272"/>
      <c r="I465" s="399"/>
      <c r="J465" s="241" t="b">
        <f>Age_Sex_BY[[#This Row],[Total Spending After Applying Truncation at the Member Level]]+Age_Sex_BY[[#This Row],[Total Dollars Excluded from Spending After Applying Truncation at the Member Level]]=Age_Sex_BY[[#This Row],[Total Spending before Truncation is Applied]]</f>
        <v>1</v>
      </c>
    </row>
    <row r="466" spans="1:10" x14ac:dyDescent="0.25">
      <c r="A466" s="342"/>
      <c r="B466" s="4"/>
      <c r="C466" s="16"/>
      <c r="D466" s="457"/>
      <c r="E466" s="363"/>
      <c r="F466" s="273"/>
      <c r="G466" s="226"/>
      <c r="H466" s="273"/>
      <c r="I466" s="400"/>
      <c r="J466" s="241" t="b">
        <f>Age_Sex_BY[[#This Row],[Total Spending After Applying Truncation at the Member Level]]+Age_Sex_BY[[#This Row],[Total Dollars Excluded from Spending After Applying Truncation at the Member Level]]=Age_Sex_BY[[#This Row],[Total Spending before Truncation is Applied]]</f>
        <v>1</v>
      </c>
    </row>
    <row r="467" spans="1:10" x14ac:dyDescent="0.25">
      <c r="A467" s="339"/>
      <c r="B467" s="270"/>
      <c r="C467" s="271"/>
      <c r="D467" s="456"/>
      <c r="E467" s="362"/>
      <c r="F467" s="272"/>
      <c r="G467" s="460"/>
      <c r="H467" s="272"/>
      <c r="I467" s="399"/>
      <c r="J467" s="241" t="b">
        <f>Age_Sex_BY[[#This Row],[Total Spending After Applying Truncation at the Member Level]]+Age_Sex_BY[[#This Row],[Total Dollars Excluded from Spending After Applying Truncation at the Member Level]]=Age_Sex_BY[[#This Row],[Total Spending before Truncation is Applied]]</f>
        <v>1</v>
      </c>
    </row>
    <row r="468" spans="1:10" x14ac:dyDescent="0.25">
      <c r="A468" s="342"/>
      <c r="B468" s="4"/>
      <c r="C468" s="16"/>
      <c r="D468" s="457"/>
      <c r="E468" s="363"/>
      <c r="F468" s="273"/>
      <c r="G468" s="226"/>
      <c r="H468" s="273"/>
      <c r="I468" s="400"/>
      <c r="J468" s="241" t="b">
        <f>Age_Sex_BY[[#This Row],[Total Spending After Applying Truncation at the Member Level]]+Age_Sex_BY[[#This Row],[Total Dollars Excluded from Spending After Applying Truncation at the Member Level]]=Age_Sex_BY[[#This Row],[Total Spending before Truncation is Applied]]</f>
        <v>1</v>
      </c>
    </row>
    <row r="469" spans="1:10" x14ac:dyDescent="0.25">
      <c r="A469" s="339"/>
      <c r="B469" s="270"/>
      <c r="C469" s="271"/>
      <c r="D469" s="456"/>
      <c r="E469" s="362"/>
      <c r="F469" s="272"/>
      <c r="G469" s="460"/>
      <c r="H469" s="272"/>
      <c r="I469" s="399"/>
      <c r="J469" s="241" t="b">
        <f>Age_Sex_BY[[#This Row],[Total Spending After Applying Truncation at the Member Level]]+Age_Sex_BY[[#This Row],[Total Dollars Excluded from Spending After Applying Truncation at the Member Level]]=Age_Sex_BY[[#This Row],[Total Spending before Truncation is Applied]]</f>
        <v>1</v>
      </c>
    </row>
    <row r="470" spans="1:10" x14ac:dyDescent="0.25">
      <c r="A470" s="342"/>
      <c r="B470" s="4"/>
      <c r="C470" s="16"/>
      <c r="D470" s="457"/>
      <c r="E470" s="363"/>
      <c r="F470" s="273"/>
      <c r="G470" s="226"/>
      <c r="H470" s="273"/>
      <c r="I470" s="400"/>
      <c r="J470" s="241" t="b">
        <f>Age_Sex_BY[[#This Row],[Total Spending After Applying Truncation at the Member Level]]+Age_Sex_BY[[#This Row],[Total Dollars Excluded from Spending After Applying Truncation at the Member Level]]=Age_Sex_BY[[#This Row],[Total Spending before Truncation is Applied]]</f>
        <v>1</v>
      </c>
    </row>
    <row r="471" spans="1:10" x14ac:dyDescent="0.25">
      <c r="A471" s="339"/>
      <c r="B471" s="270"/>
      <c r="C471" s="271"/>
      <c r="D471" s="456"/>
      <c r="E471" s="362"/>
      <c r="F471" s="272"/>
      <c r="G471" s="460"/>
      <c r="H471" s="272"/>
      <c r="I471" s="399"/>
      <c r="J471" s="241" t="b">
        <f>Age_Sex_BY[[#This Row],[Total Spending After Applying Truncation at the Member Level]]+Age_Sex_BY[[#This Row],[Total Dollars Excluded from Spending After Applying Truncation at the Member Level]]=Age_Sex_BY[[#This Row],[Total Spending before Truncation is Applied]]</f>
        <v>1</v>
      </c>
    </row>
    <row r="472" spans="1:10" x14ac:dyDescent="0.25">
      <c r="A472" s="342"/>
      <c r="B472" s="4"/>
      <c r="C472" s="16"/>
      <c r="D472" s="457"/>
      <c r="E472" s="363"/>
      <c r="F472" s="273"/>
      <c r="G472" s="226"/>
      <c r="H472" s="273"/>
      <c r="I472" s="400"/>
      <c r="J472" s="241" t="b">
        <f>Age_Sex_BY[[#This Row],[Total Spending After Applying Truncation at the Member Level]]+Age_Sex_BY[[#This Row],[Total Dollars Excluded from Spending After Applying Truncation at the Member Level]]=Age_Sex_BY[[#This Row],[Total Spending before Truncation is Applied]]</f>
        <v>1</v>
      </c>
    </row>
    <row r="473" spans="1:10" x14ac:dyDescent="0.25">
      <c r="A473" s="339"/>
      <c r="B473" s="270"/>
      <c r="C473" s="271"/>
      <c r="D473" s="456"/>
      <c r="E473" s="362"/>
      <c r="F473" s="272"/>
      <c r="G473" s="460"/>
      <c r="H473" s="272"/>
      <c r="I473" s="399"/>
      <c r="J473" s="241" t="b">
        <f>Age_Sex_BY[[#This Row],[Total Spending After Applying Truncation at the Member Level]]+Age_Sex_BY[[#This Row],[Total Dollars Excluded from Spending After Applying Truncation at the Member Level]]=Age_Sex_BY[[#This Row],[Total Spending before Truncation is Applied]]</f>
        <v>1</v>
      </c>
    </row>
    <row r="474" spans="1:10" x14ac:dyDescent="0.25">
      <c r="A474" s="342"/>
      <c r="B474" s="4"/>
      <c r="C474" s="16"/>
      <c r="D474" s="457"/>
      <c r="E474" s="363"/>
      <c r="F474" s="273"/>
      <c r="G474" s="226"/>
      <c r="H474" s="273"/>
      <c r="I474" s="400"/>
      <c r="J474" s="241" t="b">
        <f>Age_Sex_BY[[#This Row],[Total Spending After Applying Truncation at the Member Level]]+Age_Sex_BY[[#This Row],[Total Dollars Excluded from Spending After Applying Truncation at the Member Level]]=Age_Sex_BY[[#This Row],[Total Spending before Truncation is Applied]]</f>
        <v>1</v>
      </c>
    </row>
    <row r="475" spans="1:10" x14ac:dyDescent="0.25">
      <c r="A475" s="339"/>
      <c r="B475" s="270"/>
      <c r="C475" s="271"/>
      <c r="D475" s="456"/>
      <c r="E475" s="362"/>
      <c r="F475" s="272"/>
      <c r="G475" s="460"/>
      <c r="H475" s="272"/>
      <c r="I475" s="399"/>
      <c r="J475" s="241" t="b">
        <f>Age_Sex_BY[[#This Row],[Total Spending After Applying Truncation at the Member Level]]+Age_Sex_BY[[#This Row],[Total Dollars Excluded from Spending After Applying Truncation at the Member Level]]=Age_Sex_BY[[#This Row],[Total Spending before Truncation is Applied]]</f>
        <v>1</v>
      </c>
    </row>
    <row r="476" spans="1:10" x14ac:dyDescent="0.25">
      <c r="A476" s="342"/>
      <c r="B476" s="4"/>
      <c r="C476" s="16"/>
      <c r="D476" s="457"/>
      <c r="E476" s="363"/>
      <c r="F476" s="273"/>
      <c r="G476" s="226"/>
      <c r="H476" s="273"/>
      <c r="I476" s="400"/>
      <c r="J476" s="241" t="b">
        <f>Age_Sex_BY[[#This Row],[Total Spending After Applying Truncation at the Member Level]]+Age_Sex_BY[[#This Row],[Total Dollars Excluded from Spending After Applying Truncation at the Member Level]]=Age_Sex_BY[[#This Row],[Total Spending before Truncation is Applied]]</f>
        <v>1</v>
      </c>
    </row>
    <row r="477" spans="1:10" x14ac:dyDescent="0.25">
      <c r="A477" s="339"/>
      <c r="B477" s="270"/>
      <c r="C477" s="271"/>
      <c r="D477" s="456"/>
      <c r="E477" s="362"/>
      <c r="F477" s="272"/>
      <c r="G477" s="460"/>
      <c r="H477" s="272"/>
      <c r="I477" s="399"/>
      <c r="J477" s="241" t="b">
        <f>Age_Sex_BY[[#This Row],[Total Spending After Applying Truncation at the Member Level]]+Age_Sex_BY[[#This Row],[Total Dollars Excluded from Spending After Applying Truncation at the Member Level]]=Age_Sex_BY[[#This Row],[Total Spending before Truncation is Applied]]</f>
        <v>1</v>
      </c>
    </row>
    <row r="478" spans="1:10" x14ac:dyDescent="0.25">
      <c r="A478" s="342"/>
      <c r="B478" s="4"/>
      <c r="C478" s="16"/>
      <c r="D478" s="457"/>
      <c r="E478" s="363"/>
      <c r="F478" s="273"/>
      <c r="G478" s="226"/>
      <c r="H478" s="273"/>
      <c r="I478" s="400"/>
      <c r="J478" s="241" t="b">
        <f>Age_Sex_BY[[#This Row],[Total Spending After Applying Truncation at the Member Level]]+Age_Sex_BY[[#This Row],[Total Dollars Excluded from Spending After Applying Truncation at the Member Level]]=Age_Sex_BY[[#This Row],[Total Spending before Truncation is Applied]]</f>
        <v>1</v>
      </c>
    </row>
    <row r="479" spans="1:10" x14ac:dyDescent="0.25">
      <c r="A479" s="339"/>
      <c r="B479" s="270"/>
      <c r="C479" s="271"/>
      <c r="D479" s="456"/>
      <c r="E479" s="362"/>
      <c r="F479" s="272"/>
      <c r="G479" s="460"/>
      <c r="H479" s="272"/>
      <c r="I479" s="399"/>
      <c r="J479" s="241" t="b">
        <f>Age_Sex_BY[[#This Row],[Total Spending After Applying Truncation at the Member Level]]+Age_Sex_BY[[#This Row],[Total Dollars Excluded from Spending After Applying Truncation at the Member Level]]=Age_Sex_BY[[#This Row],[Total Spending before Truncation is Applied]]</f>
        <v>1</v>
      </c>
    </row>
    <row r="480" spans="1:10" x14ac:dyDescent="0.25">
      <c r="A480" s="342"/>
      <c r="B480" s="4"/>
      <c r="C480" s="16"/>
      <c r="D480" s="457"/>
      <c r="E480" s="363"/>
      <c r="F480" s="273"/>
      <c r="G480" s="226"/>
      <c r="H480" s="273"/>
      <c r="I480" s="400"/>
      <c r="J480" s="241" t="b">
        <f>Age_Sex_BY[[#This Row],[Total Spending After Applying Truncation at the Member Level]]+Age_Sex_BY[[#This Row],[Total Dollars Excluded from Spending After Applying Truncation at the Member Level]]=Age_Sex_BY[[#This Row],[Total Spending before Truncation is Applied]]</f>
        <v>1</v>
      </c>
    </row>
    <row r="481" spans="1:10" x14ac:dyDescent="0.25">
      <c r="A481" s="339"/>
      <c r="B481" s="270"/>
      <c r="C481" s="271"/>
      <c r="D481" s="456"/>
      <c r="E481" s="362"/>
      <c r="F481" s="272"/>
      <c r="G481" s="460"/>
      <c r="H481" s="272"/>
      <c r="I481" s="399"/>
      <c r="J481" s="241" t="b">
        <f>Age_Sex_BY[[#This Row],[Total Spending After Applying Truncation at the Member Level]]+Age_Sex_BY[[#This Row],[Total Dollars Excluded from Spending After Applying Truncation at the Member Level]]=Age_Sex_BY[[#This Row],[Total Spending before Truncation is Applied]]</f>
        <v>1</v>
      </c>
    </row>
    <row r="482" spans="1:10" x14ac:dyDescent="0.25">
      <c r="A482" s="342"/>
      <c r="B482" s="4"/>
      <c r="C482" s="16"/>
      <c r="D482" s="457"/>
      <c r="E482" s="363"/>
      <c r="F482" s="273"/>
      <c r="G482" s="226"/>
      <c r="H482" s="273"/>
      <c r="I482" s="400"/>
      <c r="J482" s="241" t="b">
        <f>Age_Sex_BY[[#This Row],[Total Spending After Applying Truncation at the Member Level]]+Age_Sex_BY[[#This Row],[Total Dollars Excluded from Spending After Applying Truncation at the Member Level]]=Age_Sex_BY[[#This Row],[Total Spending before Truncation is Applied]]</f>
        <v>1</v>
      </c>
    </row>
    <row r="483" spans="1:10" x14ac:dyDescent="0.25">
      <c r="A483" s="339"/>
      <c r="B483" s="270"/>
      <c r="C483" s="271"/>
      <c r="D483" s="456"/>
      <c r="E483" s="362"/>
      <c r="F483" s="272"/>
      <c r="G483" s="460"/>
      <c r="H483" s="272"/>
      <c r="I483" s="399"/>
      <c r="J483" s="241" t="b">
        <f>Age_Sex_BY[[#This Row],[Total Spending After Applying Truncation at the Member Level]]+Age_Sex_BY[[#This Row],[Total Dollars Excluded from Spending After Applying Truncation at the Member Level]]=Age_Sex_BY[[#This Row],[Total Spending before Truncation is Applied]]</f>
        <v>1</v>
      </c>
    </row>
    <row r="484" spans="1:10" x14ac:dyDescent="0.25">
      <c r="A484" s="342"/>
      <c r="B484" s="4"/>
      <c r="C484" s="16"/>
      <c r="D484" s="457"/>
      <c r="E484" s="363"/>
      <c r="F484" s="273"/>
      <c r="G484" s="226"/>
      <c r="H484" s="273"/>
      <c r="I484" s="400"/>
      <c r="J484" s="241" t="b">
        <f>Age_Sex_BY[[#This Row],[Total Spending After Applying Truncation at the Member Level]]+Age_Sex_BY[[#This Row],[Total Dollars Excluded from Spending After Applying Truncation at the Member Level]]=Age_Sex_BY[[#This Row],[Total Spending before Truncation is Applied]]</f>
        <v>1</v>
      </c>
    </row>
    <row r="485" spans="1:10" x14ac:dyDescent="0.25">
      <c r="A485" s="339"/>
      <c r="B485" s="270"/>
      <c r="C485" s="271"/>
      <c r="D485" s="456"/>
      <c r="E485" s="362"/>
      <c r="F485" s="272"/>
      <c r="G485" s="460"/>
      <c r="H485" s="272"/>
      <c r="I485" s="399"/>
      <c r="J485" s="241" t="b">
        <f>Age_Sex_BY[[#This Row],[Total Spending After Applying Truncation at the Member Level]]+Age_Sex_BY[[#This Row],[Total Dollars Excluded from Spending After Applying Truncation at the Member Level]]=Age_Sex_BY[[#This Row],[Total Spending before Truncation is Applied]]</f>
        <v>1</v>
      </c>
    </row>
    <row r="486" spans="1:10" x14ac:dyDescent="0.25">
      <c r="A486" s="342"/>
      <c r="B486" s="4"/>
      <c r="C486" s="16"/>
      <c r="D486" s="457"/>
      <c r="E486" s="363"/>
      <c r="F486" s="273"/>
      <c r="G486" s="226"/>
      <c r="H486" s="273"/>
      <c r="I486" s="400"/>
      <c r="J486" s="241" t="b">
        <f>Age_Sex_BY[[#This Row],[Total Spending After Applying Truncation at the Member Level]]+Age_Sex_BY[[#This Row],[Total Dollars Excluded from Spending After Applying Truncation at the Member Level]]=Age_Sex_BY[[#This Row],[Total Spending before Truncation is Applied]]</f>
        <v>1</v>
      </c>
    </row>
    <row r="487" spans="1:10" x14ac:dyDescent="0.25">
      <c r="A487" s="339"/>
      <c r="B487" s="270"/>
      <c r="C487" s="271"/>
      <c r="D487" s="456"/>
      <c r="E487" s="362"/>
      <c r="F487" s="272"/>
      <c r="G487" s="460"/>
      <c r="H487" s="272"/>
      <c r="I487" s="399"/>
      <c r="J487" s="241" t="b">
        <f>Age_Sex_BY[[#This Row],[Total Spending After Applying Truncation at the Member Level]]+Age_Sex_BY[[#This Row],[Total Dollars Excluded from Spending After Applying Truncation at the Member Level]]=Age_Sex_BY[[#This Row],[Total Spending before Truncation is Applied]]</f>
        <v>1</v>
      </c>
    </row>
    <row r="488" spans="1:10" x14ac:dyDescent="0.25">
      <c r="A488" s="342"/>
      <c r="B488" s="4"/>
      <c r="C488" s="16"/>
      <c r="D488" s="457"/>
      <c r="E488" s="363"/>
      <c r="F488" s="273"/>
      <c r="G488" s="226"/>
      <c r="H488" s="273"/>
      <c r="I488" s="400"/>
      <c r="J488" s="241" t="b">
        <f>Age_Sex_BY[[#This Row],[Total Spending After Applying Truncation at the Member Level]]+Age_Sex_BY[[#This Row],[Total Dollars Excluded from Spending After Applying Truncation at the Member Level]]=Age_Sex_BY[[#This Row],[Total Spending before Truncation is Applied]]</f>
        <v>1</v>
      </c>
    </row>
    <row r="489" spans="1:10" x14ac:dyDescent="0.25">
      <c r="A489" s="339"/>
      <c r="B489" s="270"/>
      <c r="C489" s="271"/>
      <c r="D489" s="456"/>
      <c r="E489" s="362"/>
      <c r="F489" s="272"/>
      <c r="G489" s="460"/>
      <c r="H489" s="272"/>
      <c r="I489" s="399"/>
      <c r="J489" s="241" t="b">
        <f>Age_Sex_BY[[#This Row],[Total Spending After Applying Truncation at the Member Level]]+Age_Sex_BY[[#This Row],[Total Dollars Excluded from Spending After Applying Truncation at the Member Level]]=Age_Sex_BY[[#This Row],[Total Spending before Truncation is Applied]]</f>
        <v>1</v>
      </c>
    </row>
    <row r="490" spans="1:10" x14ac:dyDescent="0.25">
      <c r="A490" s="342"/>
      <c r="B490" s="4"/>
      <c r="C490" s="16"/>
      <c r="D490" s="457"/>
      <c r="E490" s="363"/>
      <c r="F490" s="273"/>
      <c r="G490" s="226"/>
      <c r="H490" s="273"/>
      <c r="I490" s="400"/>
      <c r="J490" s="241" t="b">
        <f>Age_Sex_BY[[#This Row],[Total Spending After Applying Truncation at the Member Level]]+Age_Sex_BY[[#This Row],[Total Dollars Excluded from Spending After Applying Truncation at the Member Level]]=Age_Sex_BY[[#This Row],[Total Spending before Truncation is Applied]]</f>
        <v>1</v>
      </c>
    </row>
    <row r="491" spans="1:10" x14ac:dyDescent="0.25">
      <c r="A491" s="339"/>
      <c r="B491" s="270"/>
      <c r="C491" s="271"/>
      <c r="D491" s="456"/>
      <c r="E491" s="362"/>
      <c r="F491" s="272"/>
      <c r="G491" s="460"/>
      <c r="H491" s="272"/>
      <c r="I491" s="399"/>
      <c r="J491" s="241" t="b">
        <f>Age_Sex_BY[[#This Row],[Total Spending After Applying Truncation at the Member Level]]+Age_Sex_BY[[#This Row],[Total Dollars Excluded from Spending After Applying Truncation at the Member Level]]=Age_Sex_BY[[#This Row],[Total Spending before Truncation is Applied]]</f>
        <v>1</v>
      </c>
    </row>
    <row r="492" spans="1:10" x14ac:dyDescent="0.25">
      <c r="A492" s="342"/>
      <c r="B492" s="4"/>
      <c r="C492" s="16"/>
      <c r="D492" s="457"/>
      <c r="E492" s="363"/>
      <c r="F492" s="273"/>
      <c r="G492" s="226"/>
      <c r="H492" s="273"/>
      <c r="I492" s="400"/>
      <c r="J492" s="241" t="b">
        <f>Age_Sex_BY[[#This Row],[Total Spending After Applying Truncation at the Member Level]]+Age_Sex_BY[[#This Row],[Total Dollars Excluded from Spending After Applying Truncation at the Member Level]]=Age_Sex_BY[[#This Row],[Total Spending before Truncation is Applied]]</f>
        <v>1</v>
      </c>
    </row>
    <row r="493" spans="1:10" x14ac:dyDescent="0.25">
      <c r="A493" s="339"/>
      <c r="B493" s="270"/>
      <c r="C493" s="271"/>
      <c r="D493" s="456"/>
      <c r="E493" s="362"/>
      <c r="F493" s="272"/>
      <c r="G493" s="460"/>
      <c r="H493" s="272"/>
      <c r="I493" s="399"/>
      <c r="J493" s="241" t="b">
        <f>Age_Sex_BY[[#This Row],[Total Spending After Applying Truncation at the Member Level]]+Age_Sex_BY[[#This Row],[Total Dollars Excluded from Spending After Applying Truncation at the Member Level]]=Age_Sex_BY[[#This Row],[Total Spending before Truncation is Applied]]</f>
        <v>1</v>
      </c>
    </row>
    <row r="494" spans="1:10" x14ac:dyDescent="0.25">
      <c r="A494" s="342"/>
      <c r="B494" s="4"/>
      <c r="C494" s="16"/>
      <c r="D494" s="457"/>
      <c r="E494" s="363"/>
      <c r="F494" s="273"/>
      <c r="G494" s="226"/>
      <c r="H494" s="273"/>
      <c r="I494" s="400"/>
      <c r="J494" s="241" t="b">
        <f>Age_Sex_BY[[#This Row],[Total Spending After Applying Truncation at the Member Level]]+Age_Sex_BY[[#This Row],[Total Dollars Excluded from Spending After Applying Truncation at the Member Level]]=Age_Sex_BY[[#This Row],[Total Spending before Truncation is Applied]]</f>
        <v>1</v>
      </c>
    </row>
    <row r="495" spans="1:10" x14ac:dyDescent="0.25">
      <c r="A495" s="339"/>
      <c r="B495" s="270"/>
      <c r="C495" s="271"/>
      <c r="D495" s="456"/>
      <c r="E495" s="362"/>
      <c r="F495" s="272"/>
      <c r="G495" s="460"/>
      <c r="H495" s="272"/>
      <c r="I495" s="399"/>
      <c r="J495" s="241" t="b">
        <f>Age_Sex_BY[[#This Row],[Total Spending After Applying Truncation at the Member Level]]+Age_Sex_BY[[#This Row],[Total Dollars Excluded from Spending After Applying Truncation at the Member Level]]=Age_Sex_BY[[#This Row],[Total Spending before Truncation is Applied]]</f>
        <v>1</v>
      </c>
    </row>
    <row r="496" spans="1:10" x14ac:dyDescent="0.25">
      <c r="A496" s="342"/>
      <c r="B496" s="4"/>
      <c r="C496" s="16"/>
      <c r="D496" s="457"/>
      <c r="E496" s="363"/>
      <c r="F496" s="273"/>
      <c r="G496" s="226"/>
      <c r="H496" s="273"/>
      <c r="I496" s="400"/>
      <c r="J496" s="241" t="b">
        <f>Age_Sex_BY[[#This Row],[Total Spending After Applying Truncation at the Member Level]]+Age_Sex_BY[[#This Row],[Total Dollars Excluded from Spending After Applying Truncation at the Member Level]]=Age_Sex_BY[[#This Row],[Total Spending before Truncation is Applied]]</f>
        <v>1</v>
      </c>
    </row>
    <row r="497" spans="1:10" x14ac:dyDescent="0.25">
      <c r="A497" s="339"/>
      <c r="B497" s="270"/>
      <c r="C497" s="271"/>
      <c r="D497" s="456"/>
      <c r="E497" s="362"/>
      <c r="F497" s="272"/>
      <c r="G497" s="460"/>
      <c r="H497" s="272"/>
      <c r="I497" s="399"/>
      <c r="J497" s="241" t="b">
        <f>Age_Sex_BY[[#This Row],[Total Spending After Applying Truncation at the Member Level]]+Age_Sex_BY[[#This Row],[Total Dollars Excluded from Spending After Applying Truncation at the Member Level]]=Age_Sex_BY[[#This Row],[Total Spending before Truncation is Applied]]</f>
        <v>1</v>
      </c>
    </row>
    <row r="498" spans="1:10" x14ac:dyDescent="0.25">
      <c r="A498" s="342"/>
      <c r="B498" s="4"/>
      <c r="C498" s="16"/>
      <c r="D498" s="457"/>
      <c r="E498" s="363"/>
      <c r="F498" s="273"/>
      <c r="G498" s="226"/>
      <c r="H498" s="273"/>
      <c r="I498" s="400"/>
      <c r="J498" s="241" t="b">
        <f>Age_Sex_BY[[#This Row],[Total Spending After Applying Truncation at the Member Level]]+Age_Sex_BY[[#This Row],[Total Dollars Excluded from Spending After Applying Truncation at the Member Level]]=Age_Sex_BY[[#This Row],[Total Spending before Truncation is Applied]]</f>
        <v>1</v>
      </c>
    </row>
    <row r="499" spans="1:10" x14ac:dyDescent="0.25">
      <c r="A499" s="339"/>
      <c r="B499" s="270"/>
      <c r="C499" s="271"/>
      <c r="D499" s="456"/>
      <c r="E499" s="362"/>
      <c r="F499" s="272"/>
      <c r="G499" s="460"/>
      <c r="H499" s="272"/>
      <c r="I499" s="399"/>
      <c r="J499" s="241" t="b">
        <f>Age_Sex_BY[[#This Row],[Total Spending After Applying Truncation at the Member Level]]+Age_Sex_BY[[#This Row],[Total Dollars Excluded from Spending After Applying Truncation at the Member Level]]=Age_Sex_BY[[#This Row],[Total Spending before Truncation is Applied]]</f>
        <v>1</v>
      </c>
    </row>
    <row r="500" spans="1:10" x14ac:dyDescent="0.25">
      <c r="A500" s="342"/>
      <c r="B500" s="4"/>
      <c r="C500" s="16"/>
      <c r="D500" s="457"/>
      <c r="E500" s="363"/>
      <c r="F500" s="273"/>
      <c r="G500" s="226"/>
      <c r="H500" s="273"/>
      <c r="I500" s="400"/>
      <c r="J500" s="241" t="b">
        <f>Age_Sex_BY[[#This Row],[Total Spending After Applying Truncation at the Member Level]]+Age_Sex_BY[[#This Row],[Total Dollars Excluded from Spending After Applying Truncation at the Member Level]]=Age_Sex_BY[[#This Row],[Total Spending before Truncation is Applied]]</f>
        <v>1</v>
      </c>
    </row>
    <row r="501" spans="1:10" x14ac:dyDescent="0.25">
      <c r="A501" s="339"/>
      <c r="B501" s="270"/>
      <c r="C501" s="271"/>
      <c r="D501" s="456"/>
      <c r="E501" s="362"/>
      <c r="F501" s="272"/>
      <c r="G501" s="460"/>
      <c r="H501" s="272"/>
      <c r="I501" s="399"/>
      <c r="J501" s="241" t="b">
        <f>Age_Sex_BY[[#This Row],[Total Spending After Applying Truncation at the Member Level]]+Age_Sex_BY[[#This Row],[Total Dollars Excluded from Spending After Applying Truncation at the Member Level]]=Age_Sex_BY[[#This Row],[Total Spending before Truncation is Applied]]</f>
        <v>1</v>
      </c>
    </row>
    <row r="502" spans="1:10" x14ac:dyDescent="0.25">
      <c r="A502" s="342"/>
      <c r="B502" s="4"/>
      <c r="C502" s="16"/>
      <c r="D502" s="457"/>
      <c r="E502" s="363"/>
      <c r="F502" s="273"/>
      <c r="G502" s="226"/>
      <c r="H502" s="273"/>
      <c r="I502" s="400"/>
      <c r="J502" s="241" t="b">
        <f>Age_Sex_BY[[#This Row],[Total Spending After Applying Truncation at the Member Level]]+Age_Sex_BY[[#This Row],[Total Dollars Excluded from Spending After Applying Truncation at the Member Level]]=Age_Sex_BY[[#This Row],[Total Spending before Truncation is Applied]]</f>
        <v>1</v>
      </c>
    </row>
    <row r="503" spans="1:10" x14ac:dyDescent="0.25">
      <c r="A503" s="339"/>
      <c r="B503" s="270"/>
      <c r="C503" s="271"/>
      <c r="D503" s="456"/>
      <c r="E503" s="362"/>
      <c r="F503" s="272"/>
      <c r="G503" s="460"/>
      <c r="H503" s="272"/>
      <c r="I503" s="399"/>
      <c r="J503" s="241" t="b">
        <f>Age_Sex_BY[[#This Row],[Total Spending After Applying Truncation at the Member Level]]+Age_Sex_BY[[#This Row],[Total Dollars Excluded from Spending After Applying Truncation at the Member Level]]=Age_Sex_BY[[#This Row],[Total Spending before Truncation is Applied]]</f>
        <v>1</v>
      </c>
    </row>
    <row r="504" spans="1:10" x14ac:dyDescent="0.25">
      <c r="A504" s="342"/>
      <c r="B504" s="4"/>
      <c r="C504" s="16"/>
      <c r="D504" s="457"/>
      <c r="E504" s="363"/>
      <c r="F504" s="273"/>
      <c r="G504" s="226"/>
      <c r="H504" s="273"/>
      <c r="I504" s="400"/>
      <c r="J504" s="241" t="b">
        <f>Age_Sex_BY[[#This Row],[Total Spending After Applying Truncation at the Member Level]]+Age_Sex_BY[[#This Row],[Total Dollars Excluded from Spending After Applying Truncation at the Member Level]]=Age_Sex_BY[[#This Row],[Total Spending before Truncation is Applied]]</f>
        <v>1</v>
      </c>
    </row>
    <row r="505" spans="1:10" x14ac:dyDescent="0.25">
      <c r="A505" s="339"/>
      <c r="B505" s="270"/>
      <c r="C505" s="271"/>
      <c r="D505" s="456"/>
      <c r="E505" s="362"/>
      <c r="F505" s="272"/>
      <c r="G505" s="460"/>
      <c r="H505" s="272"/>
      <c r="I505" s="399"/>
      <c r="J505" s="241" t="b">
        <f>Age_Sex_BY[[#This Row],[Total Spending After Applying Truncation at the Member Level]]+Age_Sex_BY[[#This Row],[Total Dollars Excluded from Spending After Applying Truncation at the Member Level]]=Age_Sex_BY[[#This Row],[Total Spending before Truncation is Applied]]</f>
        <v>1</v>
      </c>
    </row>
    <row r="506" spans="1:10" x14ac:dyDescent="0.25">
      <c r="A506" s="342"/>
      <c r="B506" s="4"/>
      <c r="C506" s="16"/>
      <c r="D506" s="457"/>
      <c r="E506" s="363"/>
      <c r="F506" s="273"/>
      <c r="G506" s="226"/>
      <c r="H506" s="273"/>
      <c r="I506" s="400"/>
      <c r="J506" s="241" t="b">
        <f>Age_Sex_BY[[#This Row],[Total Spending After Applying Truncation at the Member Level]]+Age_Sex_BY[[#This Row],[Total Dollars Excluded from Spending After Applying Truncation at the Member Level]]=Age_Sex_BY[[#This Row],[Total Spending before Truncation is Applied]]</f>
        <v>1</v>
      </c>
    </row>
    <row r="507" spans="1:10" x14ac:dyDescent="0.25">
      <c r="A507" s="339"/>
      <c r="B507" s="270"/>
      <c r="C507" s="271"/>
      <c r="D507" s="456"/>
      <c r="E507" s="362"/>
      <c r="F507" s="272"/>
      <c r="G507" s="460"/>
      <c r="H507" s="272"/>
      <c r="I507" s="399"/>
      <c r="J507" s="241" t="b">
        <f>Age_Sex_BY[[#This Row],[Total Spending After Applying Truncation at the Member Level]]+Age_Sex_BY[[#This Row],[Total Dollars Excluded from Spending After Applying Truncation at the Member Level]]=Age_Sex_BY[[#This Row],[Total Spending before Truncation is Applied]]</f>
        <v>1</v>
      </c>
    </row>
    <row r="508" spans="1:10" x14ac:dyDescent="0.25">
      <c r="A508" s="342"/>
      <c r="B508" s="4"/>
      <c r="C508" s="16"/>
      <c r="D508" s="457"/>
      <c r="E508" s="363"/>
      <c r="F508" s="273"/>
      <c r="G508" s="226"/>
      <c r="H508" s="273"/>
      <c r="I508" s="400"/>
      <c r="J508" s="241" t="b">
        <f>Age_Sex_BY[[#This Row],[Total Spending After Applying Truncation at the Member Level]]+Age_Sex_BY[[#This Row],[Total Dollars Excluded from Spending After Applying Truncation at the Member Level]]=Age_Sex_BY[[#This Row],[Total Spending before Truncation is Applied]]</f>
        <v>1</v>
      </c>
    </row>
    <row r="509" spans="1:10" x14ac:dyDescent="0.25">
      <c r="A509" s="339"/>
      <c r="B509" s="270"/>
      <c r="C509" s="271"/>
      <c r="D509" s="456"/>
      <c r="E509" s="362"/>
      <c r="F509" s="272"/>
      <c r="G509" s="460"/>
      <c r="H509" s="272"/>
      <c r="I509" s="399"/>
      <c r="J509" s="241" t="b">
        <f>Age_Sex_BY[[#This Row],[Total Spending After Applying Truncation at the Member Level]]+Age_Sex_BY[[#This Row],[Total Dollars Excluded from Spending After Applying Truncation at the Member Level]]=Age_Sex_BY[[#This Row],[Total Spending before Truncation is Applied]]</f>
        <v>1</v>
      </c>
    </row>
    <row r="510" spans="1:10" x14ac:dyDescent="0.25">
      <c r="A510" s="342"/>
      <c r="B510" s="4"/>
      <c r="C510" s="16"/>
      <c r="D510" s="457"/>
      <c r="E510" s="363"/>
      <c r="F510" s="273"/>
      <c r="G510" s="226"/>
      <c r="H510" s="273"/>
      <c r="I510" s="400"/>
      <c r="J510" s="241" t="b">
        <f>Age_Sex_BY[[#This Row],[Total Spending After Applying Truncation at the Member Level]]+Age_Sex_BY[[#This Row],[Total Dollars Excluded from Spending After Applying Truncation at the Member Level]]=Age_Sex_BY[[#This Row],[Total Spending before Truncation is Applied]]</f>
        <v>1</v>
      </c>
    </row>
    <row r="511" spans="1:10" x14ac:dyDescent="0.25">
      <c r="A511" s="339"/>
      <c r="B511" s="270"/>
      <c r="C511" s="271"/>
      <c r="D511" s="456"/>
      <c r="E511" s="362"/>
      <c r="F511" s="272"/>
      <c r="G511" s="460"/>
      <c r="H511" s="272"/>
      <c r="I511" s="399"/>
      <c r="J511" s="241" t="b">
        <f>Age_Sex_BY[[#This Row],[Total Spending After Applying Truncation at the Member Level]]+Age_Sex_BY[[#This Row],[Total Dollars Excluded from Spending After Applying Truncation at the Member Level]]=Age_Sex_BY[[#This Row],[Total Spending before Truncation is Applied]]</f>
        <v>1</v>
      </c>
    </row>
    <row r="512" spans="1:10" x14ac:dyDescent="0.25">
      <c r="A512" s="342"/>
      <c r="B512" s="4"/>
      <c r="C512" s="16"/>
      <c r="D512" s="457"/>
      <c r="E512" s="363"/>
      <c r="F512" s="273"/>
      <c r="G512" s="226"/>
      <c r="H512" s="273"/>
      <c r="I512" s="400"/>
      <c r="J512" s="241" t="b">
        <f>Age_Sex_BY[[#This Row],[Total Spending After Applying Truncation at the Member Level]]+Age_Sex_BY[[#This Row],[Total Dollars Excluded from Spending After Applying Truncation at the Member Level]]=Age_Sex_BY[[#This Row],[Total Spending before Truncation is Applied]]</f>
        <v>1</v>
      </c>
    </row>
    <row r="513" spans="1:10" x14ac:dyDescent="0.25">
      <c r="A513" s="339"/>
      <c r="B513" s="270"/>
      <c r="C513" s="271"/>
      <c r="D513" s="456"/>
      <c r="E513" s="362"/>
      <c r="F513" s="272"/>
      <c r="G513" s="460"/>
      <c r="H513" s="272"/>
      <c r="I513" s="399"/>
      <c r="J513" s="241" t="b">
        <f>Age_Sex_BY[[#This Row],[Total Spending After Applying Truncation at the Member Level]]+Age_Sex_BY[[#This Row],[Total Dollars Excluded from Spending After Applying Truncation at the Member Level]]=Age_Sex_BY[[#This Row],[Total Spending before Truncation is Applied]]</f>
        <v>1</v>
      </c>
    </row>
    <row r="514" spans="1:10" x14ac:dyDescent="0.25">
      <c r="A514" s="342"/>
      <c r="B514" s="4"/>
      <c r="C514" s="16"/>
      <c r="D514" s="457"/>
      <c r="E514" s="363"/>
      <c r="F514" s="273"/>
      <c r="G514" s="226"/>
      <c r="H514" s="273"/>
      <c r="I514" s="400"/>
      <c r="J514" s="241" t="b">
        <f>Age_Sex_BY[[#This Row],[Total Spending After Applying Truncation at the Member Level]]+Age_Sex_BY[[#This Row],[Total Dollars Excluded from Spending After Applying Truncation at the Member Level]]=Age_Sex_BY[[#This Row],[Total Spending before Truncation is Applied]]</f>
        <v>1</v>
      </c>
    </row>
    <row r="515" spans="1:10" x14ac:dyDescent="0.25">
      <c r="A515" s="339"/>
      <c r="B515" s="270"/>
      <c r="C515" s="271"/>
      <c r="D515" s="456"/>
      <c r="E515" s="362"/>
      <c r="F515" s="272"/>
      <c r="G515" s="460"/>
      <c r="H515" s="272"/>
      <c r="I515" s="399"/>
      <c r="J515" s="241" t="b">
        <f>Age_Sex_BY[[#This Row],[Total Spending After Applying Truncation at the Member Level]]+Age_Sex_BY[[#This Row],[Total Dollars Excluded from Spending After Applying Truncation at the Member Level]]=Age_Sex_BY[[#This Row],[Total Spending before Truncation is Applied]]</f>
        <v>1</v>
      </c>
    </row>
    <row r="516" spans="1:10" x14ac:dyDescent="0.25">
      <c r="A516" s="342"/>
      <c r="B516" s="4"/>
      <c r="C516" s="16"/>
      <c r="D516" s="457"/>
      <c r="E516" s="363"/>
      <c r="F516" s="273"/>
      <c r="G516" s="226"/>
      <c r="H516" s="273"/>
      <c r="I516" s="400"/>
      <c r="J516" s="241" t="b">
        <f>Age_Sex_BY[[#This Row],[Total Spending After Applying Truncation at the Member Level]]+Age_Sex_BY[[#This Row],[Total Dollars Excluded from Spending After Applying Truncation at the Member Level]]=Age_Sex_BY[[#This Row],[Total Spending before Truncation is Applied]]</f>
        <v>1</v>
      </c>
    </row>
    <row r="517" spans="1:10" x14ac:dyDescent="0.25">
      <c r="A517" s="339"/>
      <c r="B517" s="270"/>
      <c r="C517" s="271"/>
      <c r="D517" s="456"/>
      <c r="E517" s="362"/>
      <c r="F517" s="272"/>
      <c r="G517" s="460"/>
      <c r="H517" s="272"/>
      <c r="I517" s="399"/>
      <c r="J517" s="241" t="b">
        <f>Age_Sex_BY[[#This Row],[Total Spending After Applying Truncation at the Member Level]]+Age_Sex_BY[[#This Row],[Total Dollars Excluded from Spending After Applying Truncation at the Member Level]]=Age_Sex_BY[[#This Row],[Total Spending before Truncation is Applied]]</f>
        <v>1</v>
      </c>
    </row>
    <row r="518" spans="1:10" x14ac:dyDescent="0.25">
      <c r="A518" s="342"/>
      <c r="B518" s="4"/>
      <c r="C518" s="16"/>
      <c r="D518" s="457"/>
      <c r="E518" s="363"/>
      <c r="F518" s="273"/>
      <c r="G518" s="226"/>
      <c r="H518" s="273"/>
      <c r="I518" s="400"/>
      <c r="J518" s="241" t="b">
        <f>Age_Sex_BY[[#This Row],[Total Spending After Applying Truncation at the Member Level]]+Age_Sex_BY[[#This Row],[Total Dollars Excluded from Spending After Applying Truncation at the Member Level]]=Age_Sex_BY[[#This Row],[Total Spending before Truncation is Applied]]</f>
        <v>1</v>
      </c>
    </row>
    <row r="519" spans="1:10" x14ac:dyDescent="0.25">
      <c r="A519" s="339"/>
      <c r="B519" s="270"/>
      <c r="C519" s="271"/>
      <c r="D519" s="456"/>
      <c r="E519" s="362"/>
      <c r="F519" s="272"/>
      <c r="G519" s="460"/>
      <c r="H519" s="272"/>
      <c r="I519" s="399"/>
      <c r="J519" s="241" t="b">
        <f>Age_Sex_BY[[#This Row],[Total Spending After Applying Truncation at the Member Level]]+Age_Sex_BY[[#This Row],[Total Dollars Excluded from Spending After Applying Truncation at the Member Level]]=Age_Sex_BY[[#This Row],[Total Spending before Truncation is Applied]]</f>
        <v>1</v>
      </c>
    </row>
    <row r="520" spans="1:10" x14ac:dyDescent="0.25">
      <c r="A520" s="342"/>
      <c r="B520" s="4"/>
      <c r="C520" s="16"/>
      <c r="D520" s="457"/>
      <c r="E520" s="363"/>
      <c r="F520" s="273"/>
      <c r="G520" s="226"/>
      <c r="H520" s="273"/>
      <c r="I520" s="400"/>
      <c r="J520" s="241" t="b">
        <f>Age_Sex_BY[[#This Row],[Total Spending After Applying Truncation at the Member Level]]+Age_Sex_BY[[#This Row],[Total Dollars Excluded from Spending After Applying Truncation at the Member Level]]=Age_Sex_BY[[#This Row],[Total Spending before Truncation is Applied]]</f>
        <v>1</v>
      </c>
    </row>
    <row r="521" spans="1:10" x14ac:dyDescent="0.25">
      <c r="A521" s="339"/>
      <c r="B521" s="270"/>
      <c r="C521" s="271"/>
      <c r="D521" s="456"/>
      <c r="E521" s="362"/>
      <c r="F521" s="272"/>
      <c r="G521" s="460"/>
      <c r="H521" s="272"/>
      <c r="I521" s="399"/>
      <c r="J521" s="241" t="b">
        <f>Age_Sex_BY[[#This Row],[Total Spending After Applying Truncation at the Member Level]]+Age_Sex_BY[[#This Row],[Total Dollars Excluded from Spending After Applying Truncation at the Member Level]]=Age_Sex_BY[[#This Row],[Total Spending before Truncation is Applied]]</f>
        <v>1</v>
      </c>
    </row>
    <row r="522" spans="1:10" x14ac:dyDescent="0.25">
      <c r="A522" s="342"/>
      <c r="B522" s="4"/>
      <c r="C522" s="16"/>
      <c r="D522" s="457"/>
      <c r="E522" s="363"/>
      <c r="F522" s="273"/>
      <c r="G522" s="226"/>
      <c r="H522" s="273"/>
      <c r="I522" s="400"/>
      <c r="J522" s="241" t="b">
        <f>Age_Sex_BY[[#This Row],[Total Spending After Applying Truncation at the Member Level]]+Age_Sex_BY[[#This Row],[Total Dollars Excluded from Spending After Applying Truncation at the Member Level]]=Age_Sex_BY[[#This Row],[Total Spending before Truncation is Applied]]</f>
        <v>1</v>
      </c>
    </row>
    <row r="523" spans="1:10" x14ac:dyDescent="0.25">
      <c r="A523" s="339"/>
      <c r="B523" s="270"/>
      <c r="C523" s="271"/>
      <c r="D523" s="456"/>
      <c r="E523" s="362"/>
      <c r="F523" s="272"/>
      <c r="G523" s="460"/>
      <c r="H523" s="272"/>
      <c r="I523" s="399"/>
      <c r="J523" s="241" t="b">
        <f>Age_Sex_BY[[#This Row],[Total Spending After Applying Truncation at the Member Level]]+Age_Sex_BY[[#This Row],[Total Dollars Excluded from Spending After Applying Truncation at the Member Level]]=Age_Sex_BY[[#This Row],[Total Spending before Truncation is Applied]]</f>
        <v>1</v>
      </c>
    </row>
    <row r="524" spans="1:10" x14ac:dyDescent="0.25">
      <c r="A524" s="342"/>
      <c r="B524" s="4"/>
      <c r="C524" s="16"/>
      <c r="D524" s="457"/>
      <c r="E524" s="363"/>
      <c r="F524" s="273"/>
      <c r="G524" s="226"/>
      <c r="H524" s="273"/>
      <c r="I524" s="400"/>
      <c r="J524" s="241" t="b">
        <f>Age_Sex_BY[[#This Row],[Total Spending After Applying Truncation at the Member Level]]+Age_Sex_BY[[#This Row],[Total Dollars Excluded from Spending After Applying Truncation at the Member Level]]=Age_Sex_BY[[#This Row],[Total Spending before Truncation is Applied]]</f>
        <v>1</v>
      </c>
    </row>
    <row r="525" spans="1:10" x14ac:dyDescent="0.25">
      <c r="A525" s="339"/>
      <c r="B525" s="270"/>
      <c r="C525" s="271"/>
      <c r="D525" s="456"/>
      <c r="E525" s="362"/>
      <c r="F525" s="272"/>
      <c r="G525" s="460"/>
      <c r="H525" s="272"/>
      <c r="I525" s="399"/>
      <c r="J525" s="241" t="b">
        <f>Age_Sex_BY[[#This Row],[Total Spending After Applying Truncation at the Member Level]]+Age_Sex_BY[[#This Row],[Total Dollars Excluded from Spending After Applying Truncation at the Member Level]]=Age_Sex_BY[[#This Row],[Total Spending before Truncation is Applied]]</f>
        <v>1</v>
      </c>
    </row>
    <row r="526" spans="1:10" x14ac:dyDescent="0.25">
      <c r="A526" s="342"/>
      <c r="B526" s="4"/>
      <c r="C526" s="16"/>
      <c r="D526" s="457"/>
      <c r="E526" s="363"/>
      <c r="F526" s="273"/>
      <c r="G526" s="226"/>
      <c r="H526" s="273"/>
      <c r="I526" s="400"/>
      <c r="J526" s="241" t="b">
        <f>Age_Sex_BY[[#This Row],[Total Spending After Applying Truncation at the Member Level]]+Age_Sex_BY[[#This Row],[Total Dollars Excluded from Spending After Applying Truncation at the Member Level]]=Age_Sex_BY[[#This Row],[Total Spending before Truncation is Applied]]</f>
        <v>1</v>
      </c>
    </row>
    <row r="527" spans="1:10" x14ac:dyDescent="0.25">
      <c r="A527" s="339"/>
      <c r="B527" s="270"/>
      <c r="C527" s="271"/>
      <c r="D527" s="456"/>
      <c r="E527" s="362"/>
      <c r="F527" s="272"/>
      <c r="G527" s="460"/>
      <c r="H527" s="272"/>
      <c r="I527" s="399"/>
      <c r="J527" s="241" t="b">
        <f>Age_Sex_BY[[#This Row],[Total Spending After Applying Truncation at the Member Level]]+Age_Sex_BY[[#This Row],[Total Dollars Excluded from Spending After Applying Truncation at the Member Level]]=Age_Sex_BY[[#This Row],[Total Spending before Truncation is Applied]]</f>
        <v>1</v>
      </c>
    </row>
    <row r="528" spans="1:10" x14ac:dyDescent="0.25">
      <c r="A528" s="342"/>
      <c r="B528" s="4"/>
      <c r="C528" s="16"/>
      <c r="D528" s="457"/>
      <c r="E528" s="363"/>
      <c r="F528" s="273"/>
      <c r="G528" s="226"/>
      <c r="H528" s="273"/>
      <c r="I528" s="400"/>
      <c r="J528" s="241" t="b">
        <f>Age_Sex_BY[[#This Row],[Total Spending After Applying Truncation at the Member Level]]+Age_Sex_BY[[#This Row],[Total Dollars Excluded from Spending After Applying Truncation at the Member Level]]=Age_Sex_BY[[#This Row],[Total Spending before Truncation is Applied]]</f>
        <v>1</v>
      </c>
    </row>
    <row r="529" spans="1:10" x14ac:dyDescent="0.25">
      <c r="A529" s="339"/>
      <c r="B529" s="270"/>
      <c r="C529" s="271"/>
      <c r="D529" s="456"/>
      <c r="E529" s="362"/>
      <c r="F529" s="272"/>
      <c r="G529" s="460"/>
      <c r="H529" s="272"/>
      <c r="I529" s="399"/>
      <c r="J529" s="241" t="b">
        <f>Age_Sex_BY[[#This Row],[Total Spending After Applying Truncation at the Member Level]]+Age_Sex_BY[[#This Row],[Total Dollars Excluded from Spending After Applying Truncation at the Member Level]]=Age_Sex_BY[[#This Row],[Total Spending before Truncation is Applied]]</f>
        <v>1</v>
      </c>
    </row>
    <row r="530" spans="1:10" x14ac:dyDescent="0.25">
      <c r="A530" s="342"/>
      <c r="B530" s="4"/>
      <c r="C530" s="16"/>
      <c r="D530" s="457"/>
      <c r="E530" s="363"/>
      <c r="F530" s="273"/>
      <c r="G530" s="226"/>
      <c r="H530" s="273"/>
      <c r="I530" s="400"/>
      <c r="J530" s="241" t="b">
        <f>Age_Sex_BY[[#This Row],[Total Spending After Applying Truncation at the Member Level]]+Age_Sex_BY[[#This Row],[Total Dollars Excluded from Spending After Applying Truncation at the Member Level]]=Age_Sex_BY[[#This Row],[Total Spending before Truncation is Applied]]</f>
        <v>1</v>
      </c>
    </row>
    <row r="531" spans="1:10" x14ac:dyDescent="0.25">
      <c r="A531" s="339"/>
      <c r="B531" s="270"/>
      <c r="C531" s="271"/>
      <c r="D531" s="456"/>
      <c r="E531" s="362"/>
      <c r="F531" s="272"/>
      <c r="G531" s="460"/>
      <c r="H531" s="272"/>
      <c r="I531" s="399"/>
      <c r="J531" s="241" t="b">
        <f>Age_Sex_BY[[#This Row],[Total Spending After Applying Truncation at the Member Level]]+Age_Sex_BY[[#This Row],[Total Dollars Excluded from Spending After Applying Truncation at the Member Level]]=Age_Sex_BY[[#This Row],[Total Spending before Truncation is Applied]]</f>
        <v>1</v>
      </c>
    </row>
    <row r="532" spans="1:10" x14ac:dyDescent="0.25">
      <c r="A532" s="342"/>
      <c r="B532" s="4"/>
      <c r="C532" s="16"/>
      <c r="D532" s="457"/>
      <c r="E532" s="363"/>
      <c r="F532" s="273"/>
      <c r="G532" s="226"/>
      <c r="H532" s="273"/>
      <c r="I532" s="400"/>
      <c r="J532" s="241" t="b">
        <f>Age_Sex_BY[[#This Row],[Total Spending After Applying Truncation at the Member Level]]+Age_Sex_BY[[#This Row],[Total Dollars Excluded from Spending After Applying Truncation at the Member Level]]=Age_Sex_BY[[#This Row],[Total Spending before Truncation is Applied]]</f>
        <v>1</v>
      </c>
    </row>
    <row r="533" spans="1:10" x14ac:dyDescent="0.25">
      <c r="A533" s="339"/>
      <c r="B533" s="270"/>
      <c r="C533" s="271"/>
      <c r="D533" s="456"/>
      <c r="E533" s="362"/>
      <c r="F533" s="272"/>
      <c r="G533" s="460"/>
      <c r="H533" s="272"/>
      <c r="I533" s="399"/>
      <c r="J533" s="241" t="b">
        <f>Age_Sex_BY[[#This Row],[Total Spending After Applying Truncation at the Member Level]]+Age_Sex_BY[[#This Row],[Total Dollars Excluded from Spending After Applying Truncation at the Member Level]]=Age_Sex_BY[[#This Row],[Total Spending before Truncation is Applied]]</f>
        <v>1</v>
      </c>
    </row>
    <row r="534" spans="1:10" x14ac:dyDescent="0.25">
      <c r="A534" s="342"/>
      <c r="B534" s="4"/>
      <c r="C534" s="16"/>
      <c r="D534" s="457"/>
      <c r="E534" s="363"/>
      <c r="F534" s="273"/>
      <c r="G534" s="226"/>
      <c r="H534" s="273"/>
      <c r="I534" s="400"/>
      <c r="J534" s="241" t="b">
        <f>Age_Sex_BY[[#This Row],[Total Spending After Applying Truncation at the Member Level]]+Age_Sex_BY[[#This Row],[Total Dollars Excluded from Spending After Applying Truncation at the Member Level]]=Age_Sex_BY[[#This Row],[Total Spending before Truncation is Applied]]</f>
        <v>1</v>
      </c>
    </row>
    <row r="535" spans="1:10" x14ac:dyDescent="0.25">
      <c r="A535" s="339"/>
      <c r="B535" s="270"/>
      <c r="C535" s="271"/>
      <c r="D535" s="456"/>
      <c r="E535" s="362"/>
      <c r="F535" s="272"/>
      <c r="G535" s="460"/>
      <c r="H535" s="272"/>
      <c r="I535" s="399"/>
      <c r="J535" s="241" t="b">
        <f>Age_Sex_BY[[#This Row],[Total Spending After Applying Truncation at the Member Level]]+Age_Sex_BY[[#This Row],[Total Dollars Excluded from Spending After Applying Truncation at the Member Level]]=Age_Sex_BY[[#This Row],[Total Spending before Truncation is Applied]]</f>
        <v>1</v>
      </c>
    </row>
    <row r="536" spans="1:10" x14ac:dyDescent="0.25">
      <c r="A536" s="342"/>
      <c r="B536" s="4"/>
      <c r="C536" s="16"/>
      <c r="D536" s="457"/>
      <c r="E536" s="363"/>
      <c r="F536" s="273"/>
      <c r="G536" s="226"/>
      <c r="H536" s="273"/>
      <c r="I536" s="400"/>
      <c r="J536" s="241" t="b">
        <f>Age_Sex_BY[[#This Row],[Total Spending After Applying Truncation at the Member Level]]+Age_Sex_BY[[#This Row],[Total Dollars Excluded from Spending After Applying Truncation at the Member Level]]=Age_Sex_BY[[#This Row],[Total Spending before Truncation is Applied]]</f>
        <v>1</v>
      </c>
    </row>
    <row r="537" spans="1:10" x14ac:dyDescent="0.25">
      <c r="A537" s="339"/>
      <c r="B537" s="270"/>
      <c r="C537" s="271"/>
      <c r="D537" s="456"/>
      <c r="E537" s="362"/>
      <c r="F537" s="272"/>
      <c r="G537" s="460"/>
      <c r="H537" s="272"/>
      <c r="I537" s="399"/>
      <c r="J537" s="241" t="b">
        <f>Age_Sex_BY[[#This Row],[Total Spending After Applying Truncation at the Member Level]]+Age_Sex_BY[[#This Row],[Total Dollars Excluded from Spending After Applying Truncation at the Member Level]]=Age_Sex_BY[[#This Row],[Total Spending before Truncation is Applied]]</f>
        <v>1</v>
      </c>
    </row>
    <row r="538" spans="1:10" x14ac:dyDescent="0.25">
      <c r="A538" s="342"/>
      <c r="B538" s="4"/>
      <c r="C538" s="16"/>
      <c r="D538" s="457"/>
      <c r="E538" s="363"/>
      <c r="F538" s="273"/>
      <c r="G538" s="226"/>
      <c r="H538" s="273"/>
      <c r="I538" s="400"/>
      <c r="J538" s="241" t="b">
        <f>Age_Sex_BY[[#This Row],[Total Spending After Applying Truncation at the Member Level]]+Age_Sex_BY[[#This Row],[Total Dollars Excluded from Spending After Applying Truncation at the Member Level]]=Age_Sex_BY[[#This Row],[Total Spending before Truncation is Applied]]</f>
        <v>1</v>
      </c>
    </row>
    <row r="539" spans="1:10" x14ac:dyDescent="0.25">
      <c r="A539" s="339"/>
      <c r="B539" s="270"/>
      <c r="C539" s="271"/>
      <c r="D539" s="456"/>
      <c r="E539" s="362"/>
      <c r="F539" s="272"/>
      <c r="G539" s="460"/>
      <c r="H539" s="272"/>
      <c r="I539" s="399"/>
      <c r="J539" s="241" t="b">
        <f>Age_Sex_BY[[#This Row],[Total Spending After Applying Truncation at the Member Level]]+Age_Sex_BY[[#This Row],[Total Dollars Excluded from Spending After Applying Truncation at the Member Level]]=Age_Sex_BY[[#This Row],[Total Spending before Truncation is Applied]]</f>
        <v>1</v>
      </c>
    </row>
    <row r="540" spans="1:10" x14ac:dyDescent="0.25">
      <c r="A540" s="342"/>
      <c r="B540" s="4"/>
      <c r="C540" s="16"/>
      <c r="D540" s="457"/>
      <c r="E540" s="363"/>
      <c r="F540" s="273"/>
      <c r="G540" s="226"/>
      <c r="H540" s="273"/>
      <c r="I540" s="400"/>
      <c r="J540" s="241" t="b">
        <f>Age_Sex_BY[[#This Row],[Total Spending After Applying Truncation at the Member Level]]+Age_Sex_BY[[#This Row],[Total Dollars Excluded from Spending After Applying Truncation at the Member Level]]=Age_Sex_BY[[#This Row],[Total Spending before Truncation is Applied]]</f>
        <v>1</v>
      </c>
    </row>
    <row r="541" spans="1:10" x14ac:dyDescent="0.25">
      <c r="A541" s="339"/>
      <c r="B541" s="270"/>
      <c r="C541" s="271"/>
      <c r="D541" s="456"/>
      <c r="E541" s="362"/>
      <c r="F541" s="272"/>
      <c r="G541" s="460"/>
      <c r="H541" s="272"/>
      <c r="I541" s="399"/>
      <c r="J541" s="241" t="b">
        <f>Age_Sex_BY[[#This Row],[Total Spending After Applying Truncation at the Member Level]]+Age_Sex_BY[[#This Row],[Total Dollars Excluded from Spending After Applying Truncation at the Member Level]]=Age_Sex_BY[[#This Row],[Total Spending before Truncation is Applied]]</f>
        <v>1</v>
      </c>
    </row>
    <row r="542" spans="1:10" x14ac:dyDescent="0.25">
      <c r="A542" s="342"/>
      <c r="B542" s="4"/>
      <c r="C542" s="16"/>
      <c r="D542" s="457"/>
      <c r="E542" s="363"/>
      <c r="F542" s="273"/>
      <c r="G542" s="226"/>
      <c r="H542" s="273"/>
      <c r="I542" s="400"/>
      <c r="J542" s="241" t="b">
        <f>Age_Sex_BY[[#This Row],[Total Spending After Applying Truncation at the Member Level]]+Age_Sex_BY[[#This Row],[Total Dollars Excluded from Spending After Applying Truncation at the Member Level]]=Age_Sex_BY[[#This Row],[Total Spending before Truncation is Applied]]</f>
        <v>1</v>
      </c>
    </row>
    <row r="543" spans="1:10" x14ac:dyDescent="0.25">
      <c r="A543" s="339"/>
      <c r="B543" s="270"/>
      <c r="C543" s="271"/>
      <c r="D543" s="456"/>
      <c r="E543" s="362"/>
      <c r="F543" s="272"/>
      <c r="G543" s="460"/>
      <c r="H543" s="272"/>
      <c r="I543" s="399"/>
      <c r="J543" s="241" t="b">
        <f>Age_Sex_BY[[#This Row],[Total Spending After Applying Truncation at the Member Level]]+Age_Sex_BY[[#This Row],[Total Dollars Excluded from Spending After Applying Truncation at the Member Level]]=Age_Sex_BY[[#This Row],[Total Spending before Truncation is Applied]]</f>
        <v>1</v>
      </c>
    </row>
    <row r="544" spans="1:10" x14ac:dyDescent="0.25">
      <c r="A544" s="342"/>
      <c r="B544" s="4"/>
      <c r="C544" s="16"/>
      <c r="D544" s="457"/>
      <c r="E544" s="363"/>
      <c r="F544" s="273"/>
      <c r="G544" s="226"/>
      <c r="H544" s="273"/>
      <c r="I544" s="400"/>
      <c r="J544" s="241" t="b">
        <f>Age_Sex_BY[[#This Row],[Total Spending After Applying Truncation at the Member Level]]+Age_Sex_BY[[#This Row],[Total Dollars Excluded from Spending After Applying Truncation at the Member Level]]=Age_Sex_BY[[#This Row],[Total Spending before Truncation is Applied]]</f>
        <v>1</v>
      </c>
    </row>
    <row r="545" spans="1:10" x14ac:dyDescent="0.25">
      <c r="A545" s="339"/>
      <c r="B545" s="270"/>
      <c r="C545" s="271"/>
      <c r="D545" s="456"/>
      <c r="E545" s="362"/>
      <c r="F545" s="272"/>
      <c r="G545" s="460"/>
      <c r="H545" s="272"/>
      <c r="I545" s="399"/>
      <c r="J545" s="241" t="b">
        <f>Age_Sex_BY[[#This Row],[Total Spending After Applying Truncation at the Member Level]]+Age_Sex_BY[[#This Row],[Total Dollars Excluded from Spending After Applying Truncation at the Member Level]]=Age_Sex_BY[[#This Row],[Total Spending before Truncation is Applied]]</f>
        <v>1</v>
      </c>
    </row>
    <row r="546" spans="1:10" x14ac:dyDescent="0.25">
      <c r="A546" s="342"/>
      <c r="B546" s="4"/>
      <c r="C546" s="16"/>
      <c r="D546" s="457"/>
      <c r="E546" s="363"/>
      <c r="F546" s="273"/>
      <c r="G546" s="226"/>
      <c r="H546" s="273"/>
      <c r="I546" s="400"/>
      <c r="J546" s="241" t="b">
        <f>Age_Sex_BY[[#This Row],[Total Spending After Applying Truncation at the Member Level]]+Age_Sex_BY[[#This Row],[Total Dollars Excluded from Spending After Applying Truncation at the Member Level]]=Age_Sex_BY[[#This Row],[Total Spending before Truncation is Applied]]</f>
        <v>1</v>
      </c>
    </row>
    <row r="547" spans="1:10" x14ac:dyDescent="0.25">
      <c r="A547" s="339"/>
      <c r="B547" s="270"/>
      <c r="C547" s="271"/>
      <c r="D547" s="456"/>
      <c r="E547" s="362"/>
      <c r="F547" s="272"/>
      <c r="G547" s="460"/>
      <c r="H547" s="272"/>
      <c r="I547" s="399"/>
      <c r="J547" s="241" t="b">
        <f>Age_Sex_BY[[#This Row],[Total Spending After Applying Truncation at the Member Level]]+Age_Sex_BY[[#This Row],[Total Dollars Excluded from Spending After Applying Truncation at the Member Level]]=Age_Sex_BY[[#This Row],[Total Spending before Truncation is Applied]]</f>
        <v>1</v>
      </c>
    </row>
    <row r="548" spans="1:10" x14ac:dyDescent="0.25">
      <c r="A548" s="342"/>
      <c r="B548" s="4"/>
      <c r="C548" s="16"/>
      <c r="D548" s="457"/>
      <c r="E548" s="363"/>
      <c r="F548" s="273"/>
      <c r="G548" s="226"/>
      <c r="H548" s="273"/>
      <c r="I548" s="400"/>
      <c r="J548" s="241" t="b">
        <f>Age_Sex_BY[[#This Row],[Total Spending After Applying Truncation at the Member Level]]+Age_Sex_BY[[#This Row],[Total Dollars Excluded from Spending After Applying Truncation at the Member Level]]=Age_Sex_BY[[#This Row],[Total Spending before Truncation is Applied]]</f>
        <v>1</v>
      </c>
    </row>
    <row r="549" spans="1:10" x14ac:dyDescent="0.25">
      <c r="A549" s="339"/>
      <c r="B549" s="270"/>
      <c r="C549" s="271"/>
      <c r="D549" s="456"/>
      <c r="E549" s="362"/>
      <c r="F549" s="272"/>
      <c r="G549" s="460"/>
      <c r="H549" s="272"/>
      <c r="I549" s="399"/>
      <c r="J549" s="241" t="b">
        <f>Age_Sex_BY[[#This Row],[Total Spending After Applying Truncation at the Member Level]]+Age_Sex_BY[[#This Row],[Total Dollars Excluded from Spending After Applying Truncation at the Member Level]]=Age_Sex_BY[[#This Row],[Total Spending before Truncation is Applied]]</f>
        <v>1</v>
      </c>
    </row>
    <row r="550" spans="1:10" x14ac:dyDescent="0.25">
      <c r="A550" s="342"/>
      <c r="B550" s="4"/>
      <c r="C550" s="16"/>
      <c r="D550" s="457"/>
      <c r="E550" s="363"/>
      <c r="F550" s="273"/>
      <c r="G550" s="226"/>
      <c r="H550" s="273"/>
      <c r="I550" s="400"/>
      <c r="J550" s="241" t="b">
        <f>Age_Sex_BY[[#This Row],[Total Spending After Applying Truncation at the Member Level]]+Age_Sex_BY[[#This Row],[Total Dollars Excluded from Spending After Applying Truncation at the Member Level]]=Age_Sex_BY[[#This Row],[Total Spending before Truncation is Applied]]</f>
        <v>1</v>
      </c>
    </row>
    <row r="551" spans="1:10" x14ac:dyDescent="0.25">
      <c r="A551" s="339"/>
      <c r="B551" s="270"/>
      <c r="C551" s="271"/>
      <c r="D551" s="456"/>
      <c r="E551" s="362"/>
      <c r="F551" s="272"/>
      <c r="G551" s="460"/>
      <c r="H551" s="272"/>
      <c r="I551" s="399"/>
      <c r="J551" s="241" t="b">
        <f>Age_Sex_BY[[#This Row],[Total Spending After Applying Truncation at the Member Level]]+Age_Sex_BY[[#This Row],[Total Dollars Excluded from Spending After Applying Truncation at the Member Level]]=Age_Sex_BY[[#This Row],[Total Spending before Truncation is Applied]]</f>
        <v>1</v>
      </c>
    </row>
    <row r="552" spans="1:10" x14ac:dyDescent="0.25">
      <c r="A552" s="342"/>
      <c r="B552" s="4"/>
      <c r="C552" s="16"/>
      <c r="D552" s="457"/>
      <c r="E552" s="363"/>
      <c r="F552" s="273"/>
      <c r="G552" s="226"/>
      <c r="H552" s="273"/>
      <c r="I552" s="400"/>
      <c r="J552" s="241" t="b">
        <f>Age_Sex_BY[[#This Row],[Total Spending After Applying Truncation at the Member Level]]+Age_Sex_BY[[#This Row],[Total Dollars Excluded from Spending After Applying Truncation at the Member Level]]=Age_Sex_BY[[#This Row],[Total Spending before Truncation is Applied]]</f>
        <v>1</v>
      </c>
    </row>
    <row r="553" spans="1:10" x14ac:dyDescent="0.25">
      <c r="A553" s="339"/>
      <c r="B553" s="270"/>
      <c r="C553" s="271"/>
      <c r="D553" s="456"/>
      <c r="E553" s="362"/>
      <c r="F553" s="272"/>
      <c r="G553" s="460"/>
      <c r="H553" s="272"/>
      <c r="I553" s="399"/>
      <c r="J553" s="241" t="b">
        <f>Age_Sex_BY[[#This Row],[Total Spending After Applying Truncation at the Member Level]]+Age_Sex_BY[[#This Row],[Total Dollars Excluded from Spending After Applying Truncation at the Member Level]]=Age_Sex_BY[[#This Row],[Total Spending before Truncation is Applied]]</f>
        <v>1</v>
      </c>
    </row>
    <row r="554" spans="1:10" x14ac:dyDescent="0.25">
      <c r="A554" s="342"/>
      <c r="B554" s="4"/>
      <c r="C554" s="16"/>
      <c r="D554" s="457"/>
      <c r="E554" s="363"/>
      <c r="F554" s="273"/>
      <c r="G554" s="226"/>
      <c r="H554" s="273"/>
      <c r="I554" s="400"/>
      <c r="J554" s="241" t="b">
        <f>Age_Sex_BY[[#This Row],[Total Spending After Applying Truncation at the Member Level]]+Age_Sex_BY[[#This Row],[Total Dollars Excluded from Spending After Applying Truncation at the Member Level]]=Age_Sex_BY[[#This Row],[Total Spending before Truncation is Applied]]</f>
        <v>1</v>
      </c>
    </row>
    <row r="555" spans="1:10" x14ac:dyDescent="0.25">
      <c r="A555" s="339"/>
      <c r="B555" s="270"/>
      <c r="C555" s="271"/>
      <c r="D555" s="456"/>
      <c r="E555" s="362"/>
      <c r="F555" s="272"/>
      <c r="G555" s="460"/>
      <c r="H555" s="272"/>
      <c r="I555" s="399"/>
      <c r="J555" s="241" t="b">
        <f>Age_Sex_BY[[#This Row],[Total Spending After Applying Truncation at the Member Level]]+Age_Sex_BY[[#This Row],[Total Dollars Excluded from Spending After Applying Truncation at the Member Level]]=Age_Sex_BY[[#This Row],[Total Spending before Truncation is Applied]]</f>
        <v>1</v>
      </c>
    </row>
    <row r="556" spans="1:10" x14ac:dyDescent="0.25">
      <c r="A556" s="342"/>
      <c r="B556" s="4"/>
      <c r="C556" s="16"/>
      <c r="D556" s="457"/>
      <c r="E556" s="363"/>
      <c r="F556" s="273"/>
      <c r="G556" s="226"/>
      <c r="H556" s="273"/>
      <c r="I556" s="400"/>
      <c r="J556" s="241" t="b">
        <f>Age_Sex_BY[[#This Row],[Total Spending After Applying Truncation at the Member Level]]+Age_Sex_BY[[#This Row],[Total Dollars Excluded from Spending After Applying Truncation at the Member Level]]=Age_Sex_BY[[#This Row],[Total Spending before Truncation is Applied]]</f>
        <v>1</v>
      </c>
    </row>
    <row r="557" spans="1:10" x14ac:dyDescent="0.25">
      <c r="A557" s="339"/>
      <c r="B557" s="270"/>
      <c r="C557" s="271"/>
      <c r="D557" s="456"/>
      <c r="E557" s="362"/>
      <c r="F557" s="272"/>
      <c r="G557" s="460"/>
      <c r="H557" s="272"/>
      <c r="I557" s="399"/>
      <c r="J557" s="241" t="b">
        <f>Age_Sex_BY[[#This Row],[Total Spending After Applying Truncation at the Member Level]]+Age_Sex_BY[[#This Row],[Total Dollars Excluded from Spending After Applying Truncation at the Member Level]]=Age_Sex_BY[[#This Row],[Total Spending before Truncation is Applied]]</f>
        <v>1</v>
      </c>
    </row>
    <row r="558" spans="1:10" x14ac:dyDescent="0.25">
      <c r="A558" s="342"/>
      <c r="B558" s="4"/>
      <c r="C558" s="16"/>
      <c r="D558" s="457"/>
      <c r="E558" s="363"/>
      <c r="F558" s="273"/>
      <c r="G558" s="226"/>
      <c r="H558" s="273"/>
      <c r="I558" s="400"/>
      <c r="J558" s="241" t="b">
        <f>Age_Sex_BY[[#This Row],[Total Spending After Applying Truncation at the Member Level]]+Age_Sex_BY[[#This Row],[Total Dollars Excluded from Spending After Applying Truncation at the Member Level]]=Age_Sex_BY[[#This Row],[Total Spending before Truncation is Applied]]</f>
        <v>1</v>
      </c>
    </row>
    <row r="559" spans="1:10" x14ac:dyDescent="0.25">
      <c r="A559" s="339"/>
      <c r="B559" s="270"/>
      <c r="C559" s="271"/>
      <c r="D559" s="456"/>
      <c r="E559" s="362"/>
      <c r="F559" s="272"/>
      <c r="G559" s="460"/>
      <c r="H559" s="272"/>
      <c r="I559" s="399"/>
      <c r="J559" s="241" t="b">
        <f>Age_Sex_BY[[#This Row],[Total Spending After Applying Truncation at the Member Level]]+Age_Sex_BY[[#This Row],[Total Dollars Excluded from Spending After Applying Truncation at the Member Level]]=Age_Sex_BY[[#This Row],[Total Spending before Truncation is Applied]]</f>
        <v>1</v>
      </c>
    </row>
    <row r="560" spans="1:10" x14ac:dyDescent="0.25">
      <c r="A560" s="342"/>
      <c r="B560" s="4"/>
      <c r="C560" s="16"/>
      <c r="D560" s="457"/>
      <c r="E560" s="363"/>
      <c r="F560" s="273"/>
      <c r="G560" s="226"/>
      <c r="H560" s="273"/>
      <c r="I560" s="400"/>
      <c r="J560" s="241" t="b">
        <f>Age_Sex_BY[[#This Row],[Total Spending After Applying Truncation at the Member Level]]+Age_Sex_BY[[#This Row],[Total Dollars Excluded from Spending After Applying Truncation at the Member Level]]=Age_Sex_BY[[#This Row],[Total Spending before Truncation is Applied]]</f>
        <v>1</v>
      </c>
    </row>
    <row r="561" spans="1:10" x14ac:dyDescent="0.25">
      <c r="A561" s="339"/>
      <c r="B561" s="270"/>
      <c r="C561" s="271"/>
      <c r="D561" s="456"/>
      <c r="E561" s="362"/>
      <c r="F561" s="272"/>
      <c r="G561" s="460"/>
      <c r="H561" s="272"/>
      <c r="I561" s="399"/>
      <c r="J561" s="241" t="b">
        <f>Age_Sex_BY[[#This Row],[Total Spending After Applying Truncation at the Member Level]]+Age_Sex_BY[[#This Row],[Total Dollars Excluded from Spending After Applying Truncation at the Member Level]]=Age_Sex_BY[[#This Row],[Total Spending before Truncation is Applied]]</f>
        <v>1</v>
      </c>
    </row>
    <row r="562" spans="1:10" x14ac:dyDescent="0.25">
      <c r="A562" s="342"/>
      <c r="B562" s="4"/>
      <c r="C562" s="16"/>
      <c r="D562" s="457"/>
      <c r="E562" s="363"/>
      <c r="F562" s="273"/>
      <c r="G562" s="226"/>
      <c r="H562" s="273"/>
      <c r="I562" s="400"/>
      <c r="J562" s="241" t="b">
        <f>Age_Sex_BY[[#This Row],[Total Spending After Applying Truncation at the Member Level]]+Age_Sex_BY[[#This Row],[Total Dollars Excluded from Spending After Applying Truncation at the Member Level]]=Age_Sex_BY[[#This Row],[Total Spending before Truncation is Applied]]</f>
        <v>1</v>
      </c>
    </row>
    <row r="563" spans="1:10" x14ac:dyDescent="0.25">
      <c r="A563" s="339"/>
      <c r="B563" s="270"/>
      <c r="C563" s="271"/>
      <c r="D563" s="456"/>
      <c r="E563" s="362"/>
      <c r="F563" s="272"/>
      <c r="G563" s="460"/>
      <c r="H563" s="272"/>
      <c r="I563" s="399"/>
      <c r="J563" s="241" t="b">
        <f>Age_Sex_BY[[#This Row],[Total Spending After Applying Truncation at the Member Level]]+Age_Sex_BY[[#This Row],[Total Dollars Excluded from Spending After Applying Truncation at the Member Level]]=Age_Sex_BY[[#This Row],[Total Spending before Truncation is Applied]]</f>
        <v>1</v>
      </c>
    </row>
    <row r="564" spans="1:10" x14ac:dyDescent="0.25">
      <c r="A564" s="342"/>
      <c r="B564" s="4"/>
      <c r="C564" s="16"/>
      <c r="D564" s="457"/>
      <c r="E564" s="363"/>
      <c r="F564" s="273"/>
      <c r="G564" s="226"/>
      <c r="H564" s="273"/>
      <c r="I564" s="400"/>
      <c r="J564" s="241" t="b">
        <f>Age_Sex_BY[[#This Row],[Total Spending After Applying Truncation at the Member Level]]+Age_Sex_BY[[#This Row],[Total Dollars Excluded from Spending After Applying Truncation at the Member Level]]=Age_Sex_BY[[#This Row],[Total Spending before Truncation is Applied]]</f>
        <v>1</v>
      </c>
    </row>
    <row r="565" spans="1:10" x14ac:dyDescent="0.25">
      <c r="A565" s="339"/>
      <c r="B565" s="270"/>
      <c r="C565" s="271"/>
      <c r="D565" s="456"/>
      <c r="E565" s="362"/>
      <c r="F565" s="272"/>
      <c r="G565" s="460"/>
      <c r="H565" s="272"/>
      <c r="I565" s="399"/>
      <c r="J565" s="241" t="b">
        <f>Age_Sex_BY[[#This Row],[Total Spending After Applying Truncation at the Member Level]]+Age_Sex_BY[[#This Row],[Total Dollars Excluded from Spending After Applying Truncation at the Member Level]]=Age_Sex_BY[[#This Row],[Total Spending before Truncation is Applied]]</f>
        <v>1</v>
      </c>
    </row>
    <row r="566" spans="1:10" x14ac:dyDescent="0.25">
      <c r="A566" s="342"/>
      <c r="B566" s="4"/>
      <c r="C566" s="16"/>
      <c r="D566" s="457"/>
      <c r="E566" s="363"/>
      <c r="F566" s="273"/>
      <c r="G566" s="226"/>
      <c r="H566" s="273"/>
      <c r="I566" s="400"/>
      <c r="J566" s="241" t="b">
        <f>Age_Sex_BY[[#This Row],[Total Spending After Applying Truncation at the Member Level]]+Age_Sex_BY[[#This Row],[Total Dollars Excluded from Spending After Applying Truncation at the Member Level]]=Age_Sex_BY[[#This Row],[Total Spending before Truncation is Applied]]</f>
        <v>1</v>
      </c>
    </row>
    <row r="567" spans="1:10" x14ac:dyDescent="0.25">
      <c r="A567" s="339"/>
      <c r="B567" s="270"/>
      <c r="C567" s="271"/>
      <c r="D567" s="456"/>
      <c r="E567" s="362"/>
      <c r="F567" s="272"/>
      <c r="G567" s="460"/>
      <c r="H567" s="272"/>
      <c r="I567" s="399"/>
      <c r="J567" s="241" t="b">
        <f>Age_Sex_BY[[#This Row],[Total Spending After Applying Truncation at the Member Level]]+Age_Sex_BY[[#This Row],[Total Dollars Excluded from Spending After Applying Truncation at the Member Level]]=Age_Sex_BY[[#This Row],[Total Spending before Truncation is Applied]]</f>
        <v>1</v>
      </c>
    </row>
    <row r="568" spans="1:10" x14ac:dyDescent="0.25">
      <c r="A568" s="342"/>
      <c r="B568" s="4"/>
      <c r="C568" s="16"/>
      <c r="D568" s="457"/>
      <c r="E568" s="363"/>
      <c r="F568" s="273"/>
      <c r="G568" s="226"/>
      <c r="H568" s="273"/>
      <c r="I568" s="400"/>
      <c r="J568" s="241" t="b">
        <f>Age_Sex_BY[[#This Row],[Total Spending After Applying Truncation at the Member Level]]+Age_Sex_BY[[#This Row],[Total Dollars Excluded from Spending After Applying Truncation at the Member Level]]=Age_Sex_BY[[#This Row],[Total Spending before Truncation is Applied]]</f>
        <v>1</v>
      </c>
    </row>
    <row r="569" spans="1:10" x14ac:dyDescent="0.25">
      <c r="A569" s="339"/>
      <c r="B569" s="270"/>
      <c r="C569" s="271"/>
      <c r="D569" s="456"/>
      <c r="E569" s="362"/>
      <c r="F569" s="272"/>
      <c r="G569" s="460"/>
      <c r="H569" s="272"/>
      <c r="I569" s="399"/>
      <c r="J569" s="241" t="b">
        <f>Age_Sex_BY[[#This Row],[Total Spending After Applying Truncation at the Member Level]]+Age_Sex_BY[[#This Row],[Total Dollars Excluded from Spending After Applying Truncation at the Member Level]]=Age_Sex_BY[[#This Row],[Total Spending before Truncation is Applied]]</f>
        <v>1</v>
      </c>
    </row>
    <row r="570" spans="1:10" x14ac:dyDescent="0.25">
      <c r="A570" s="342"/>
      <c r="B570" s="4"/>
      <c r="C570" s="16"/>
      <c r="D570" s="457"/>
      <c r="E570" s="363"/>
      <c r="F570" s="273"/>
      <c r="G570" s="226"/>
      <c r="H570" s="273"/>
      <c r="I570" s="400"/>
      <c r="J570" s="241" t="b">
        <f>Age_Sex_BY[[#This Row],[Total Spending After Applying Truncation at the Member Level]]+Age_Sex_BY[[#This Row],[Total Dollars Excluded from Spending After Applying Truncation at the Member Level]]=Age_Sex_BY[[#This Row],[Total Spending before Truncation is Applied]]</f>
        <v>1</v>
      </c>
    </row>
    <row r="571" spans="1:10" x14ac:dyDescent="0.25">
      <c r="A571" s="339"/>
      <c r="B571" s="270"/>
      <c r="C571" s="271"/>
      <c r="D571" s="456"/>
      <c r="E571" s="362"/>
      <c r="F571" s="272"/>
      <c r="G571" s="460"/>
      <c r="H571" s="272"/>
      <c r="I571" s="399"/>
      <c r="J571" s="241" t="b">
        <f>Age_Sex_BY[[#This Row],[Total Spending After Applying Truncation at the Member Level]]+Age_Sex_BY[[#This Row],[Total Dollars Excluded from Spending After Applying Truncation at the Member Level]]=Age_Sex_BY[[#This Row],[Total Spending before Truncation is Applied]]</f>
        <v>1</v>
      </c>
    </row>
    <row r="572" spans="1:10" x14ac:dyDescent="0.25">
      <c r="A572" s="342"/>
      <c r="B572" s="4"/>
      <c r="C572" s="16"/>
      <c r="D572" s="457"/>
      <c r="E572" s="363"/>
      <c r="F572" s="273"/>
      <c r="G572" s="226"/>
      <c r="H572" s="273"/>
      <c r="I572" s="400"/>
      <c r="J572" s="241" t="b">
        <f>Age_Sex_BY[[#This Row],[Total Spending After Applying Truncation at the Member Level]]+Age_Sex_BY[[#This Row],[Total Dollars Excluded from Spending After Applying Truncation at the Member Level]]=Age_Sex_BY[[#This Row],[Total Spending before Truncation is Applied]]</f>
        <v>1</v>
      </c>
    </row>
    <row r="573" spans="1:10" x14ac:dyDescent="0.25">
      <c r="A573" s="339"/>
      <c r="B573" s="270"/>
      <c r="C573" s="271"/>
      <c r="D573" s="456"/>
      <c r="E573" s="362"/>
      <c r="F573" s="272"/>
      <c r="G573" s="460"/>
      <c r="H573" s="272"/>
      <c r="I573" s="399"/>
      <c r="J573" s="241" t="b">
        <f>Age_Sex_BY[[#This Row],[Total Spending After Applying Truncation at the Member Level]]+Age_Sex_BY[[#This Row],[Total Dollars Excluded from Spending After Applying Truncation at the Member Level]]=Age_Sex_BY[[#This Row],[Total Spending before Truncation is Applied]]</f>
        <v>1</v>
      </c>
    </row>
    <row r="574" spans="1:10" x14ac:dyDescent="0.25">
      <c r="A574" s="342"/>
      <c r="B574" s="4"/>
      <c r="C574" s="16"/>
      <c r="D574" s="457"/>
      <c r="E574" s="363"/>
      <c r="F574" s="273"/>
      <c r="G574" s="226"/>
      <c r="H574" s="273"/>
      <c r="I574" s="400"/>
      <c r="J574" s="241" t="b">
        <f>Age_Sex_BY[[#This Row],[Total Spending After Applying Truncation at the Member Level]]+Age_Sex_BY[[#This Row],[Total Dollars Excluded from Spending After Applying Truncation at the Member Level]]=Age_Sex_BY[[#This Row],[Total Spending before Truncation is Applied]]</f>
        <v>1</v>
      </c>
    </row>
    <row r="575" spans="1:10" x14ac:dyDescent="0.25">
      <c r="A575" s="339"/>
      <c r="B575" s="270"/>
      <c r="C575" s="271"/>
      <c r="D575" s="456"/>
      <c r="E575" s="362"/>
      <c r="F575" s="272"/>
      <c r="G575" s="460"/>
      <c r="H575" s="272"/>
      <c r="I575" s="399"/>
      <c r="J575" s="241" t="b">
        <f>Age_Sex_BY[[#This Row],[Total Spending After Applying Truncation at the Member Level]]+Age_Sex_BY[[#This Row],[Total Dollars Excluded from Spending After Applying Truncation at the Member Level]]=Age_Sex_BY[[#This Row],[Total Spending before Truncation is Applied]]</f>
        <v>1</v>
      </c>
    </row>
    <row r="576" spans="1:10" x14ac:dyDescent="0.25">
      <c r="A576" s="342"/>
      <c r="B576" s="4"/>
      <c r="C576" s="16"/>
      <c r="D576" s="457"/>
      <c r="E576" s="363"/>
      <c r="F576" s="273"/>
      <c r="G576" s="226"/>
      <c r="H576" s="273"/>
      <c r="I576" s="400"/>
      <c r="J576" s="241" t="b">
        <f>Age_Sex_BY[[#This Row],[Total Spending After Applying Truncation at the Member Level]]+Age_Sex_BY[[#This Row],[Total Dollars Excluded from Spending After Applying Truncation at the Member Level]]=Age_Sex_BY[[#This Row],[Total Spending before Truncation is Applied]]</f>
        <v>1</v>
      </c>
    </row>
    <row r="577" spans="1:10" x14ac:dyDescent="0.25">
      <c r="A577" s="339"/>
      <c r="B577" s="270"/>
      <c r="C577" s="271"/>
      <c r="D577" s="456"/>
      <c r="E577" s="362"/>
      <c r="F577" s="272"/>
      <c r="G577" s="460"/>
      <c r="H577" s="272"/>
      <c r="I577" s="399"/>
      <c r="J577" s="241" t="b">
        <f>Age_Sex_BY[[#This Row],[Total Spending After Applying Truncation at the Member Level]]+Age_Sex_BY[[#This Row],[Total Dollars Excluded from Spending After Applying Truncation at the Member Level]]=Age_Sex_BY[[#This Row],[Total Spending before Truncation is Applied]]</f>
        <v>1</v>
      </c>
    </row>
    <row r="578" spans="1:10" x14ac:dyDescent="0.25">
      <c r="A578" s="342"/>
      <c r="B578" s="4"/>
      <c r="C578" s="16"/>
      <c r="D578" s="457"/>
      <c r="E578" s="363"/>
      <c r="F578" s="273"/>
      <c r="G578" s="226"/>
      <c r="H578" s="273"/>
      <c r="I578" s="400"/>
      <c r="J578" s="241" t="b">
        <f>Age_Sex_BY[[#This Row],[Total Spending After Applying Truncation at the Member Level]]+Age_Sex_BY[[#This Row],[Total Dollars Excluded from Spending After Applying Truncation at the Member Level]]=Age_Sex_BY[[#This Row],[Total Spending before Truncation is Applied]]</f>
        <v>1</v>
      </c>
    </row>
    <row r="579" spans="1:10" x14ac:dyDescent="0.25">
      <c r="A579" s="339"/>
      <c r="B579" s="270"/>
      <c r="C579" s="271"/>
      <c r="D579" s="456"/>
      <c r="E579" s="362"/>
      <c r="F579" s="272"/>
      <c r="G579" s="460"/>
      <c r="H579" s="272"/>
      <c r="I579" s="399"/>
      <c r="J579" s="241" t="b">
        <f>Age_Sex_BY[[#This Row],[Total Spending After Applying Truncation at the Member Level]]+Age_Sex_BY[[#This Row],[Total Dollars Excluded from Spending After Applying Truncation at the Member Level]]=Age_Sex_BY[[#This Row],[Total Spending before Truncation is Applied]]</f>
        <v>1</v>
      </c>
    </row>
    <row r="580" spans="1:10" x14ac:dyDescent="0.25">
      <c r="A580" s="342"/>
      <c r="B580" s="4"/>
      <c r="C580" s="16"/>
      <c r="D580" s="457"/>
      <c r="E580" s="363"/>
      <c r="F580" s="273"/>
      <c r="G580" s="226"/>
      <c r="H580" s="273"/>
      <c r="I580" s="400"/>
      <c r="J580" s="241" t="b">
        <f>Age_Sex_BY[[#This Row],[Total Spending After Applying Truncation at the Member Level]]+Age_Sex_BY[[#This Row],[Total Dollars Excluded from Spending After Applying Truncation at the Member Level]]=Age_Sex_BY[[#This Row],[Total Spending before Truncation is Applied]]</f>
        <v>1</v>
      </c>
    </row>
    <row r="581" spans="1:10" x14ac:dyDescent="0.25">
      <c r="A581" s="339"/>
      <c r="B581" s="270"/>
      <c r="C581" s="271"/>
      <c r="D581" s="456"/>
      <c r="E581" s="362"/>
      <c r="F581" s="272"/>
      <c r="G581" s="460"/>
      <c r="H581" s="272"/>
      <c r="I581" s="399"/>
      <c r="J581" s="241" t="b">
        <f>Age_Sex_BY[[#This Row],[Total Spending After Applying Truncation at the Member Level]]+Age_Sex_BY[[#This Row],[Total Dollars Excluded from Spending After Applying Truncation at the Member Level]]=Age_Sex_BY[[#This Row],[Total Spending before Truncation is Applied]]</f>
        <v>1</v>
      </c>
    </row>
    <row r="582" spans="1:10" x14ac:dyDescent="0.25">
      <c r="A582" s="342"/>
      <c r="B582" s="4"/>
      <c r="C582" s="16"/>
      <c r="D582" s="457"/>
      <c r="E582" s="363"/>
      <c r="F582" s="273"/>
      <c r="G582" s="226"/>
      <c r="H582" s="273"/>
      <c r="I582" s="400"/>
      <c r="J582" s="241" t="b">
        <f>Age_Sex_BY[[#This Row],[Total Spending After Applying Truncation at the Member Level]]+Age_Sex_BY[[#This Row],[Total Dollars Excluded from Spending After Applying Truncation at the Member Level]]=Age_Sex_BY[[#This Row],[Total Spending before Truncation is Applied]]</f>
        <v>1</v>
      </c>
    </row>
    <row r="583" spans="1:10" x14ac:dyDescent="0.25">
      <c r="A583" s="339"/>
      <c r="B583" s="270"/>
      <c r="C583" s="271"/>
      <c r="D583" s="456"/>
      <c r="E583" s="362"/>
      <c r="F583" s="272"/>
      <c r="G583" s="460"/>
      <c r="H583" s="272"/>
      <c r="I583" s="399"/>
      <c r="J583" s="241" t="b">
        <f>Age_Sex_BY[[#This Row],[Total Spending After Applying Truncation at the Member Level]]+Age_Sex_BY[[#This Row],[Total Dollars Excluded from Spending After Applying Truncation at the Member Level]]=Age_Sex_BY[[#This Row],[Total Spending before Truncation is Applied]]</f>
        <v>1</v>
      </c>
    </row>
    <row r="584" spans="1:10" x14ac:dyDescent="0.25">
      <c r="A584" s="342"/>
      <c r="B584" s="4"/>
      <c r="C584" s="16"/>
      <c r="D584" s="457"/>
      <c r="E584" s="363"/>
      <c r="F584" s="273"/>
      <c r="G584" s="226"/>
      <c r="H584" s="273"/>
      <c r="I584" s="400"/>
      <c r="J584" s="241" t="b">
        <f>Age_Sex_BY[[#This Row],[Total Spending After Applying Truncation at the Member Level]]+Age_Sex_BY[[#This Row],[Total Dollars Excluded from Spending After Applying Truncation at the Member Level]]=Age_Sex_BY[[#This Row],[Total Spending before Truncation is Applied]]</f>
        <v>1</v>
      </c>
    </row>
    <row r="585" spans="1:10" x14ac:dyDescent="0.25">
      <c r="A585" s="339"/>
      <c r="B585" s="270"/>
      <c r="C585" s="271"/>
      <c r="D585" s="456"/>
      <c r="E585" s="362"/>
      <c r="F585" s="272"/>
      <c r="G585" s="460"/>
      <c r="H585" s="272"/>
      <c r="I585" s="399"/>
      <c r="J585" s="241" t="b">
        <f>Age_Sex_BY[[#This Row],[Total Spending After Applying Truncation at the Member Level]]+Age_Sex_BY[[#This Row],[Total Dollars Excluded from Spending After Applying Truncation at the Member Level]]=Age_Sex_BY[[#This Row],[Total Spending before Truncation is Applied]]</f>
        <v>1</v>
      </c>
    </row>
    <row r="586" spans="1:10" x14ac:dyDescent="0.25">
      <c r="A586" s="342"/>
      <c r="B586" s="4"/>
      <c r="C586" s="16"/>
      <c r="D586" s="457"/>
      <c r="E586" s="363"/>
      <c r="F586" s="273"/>
      <c r="G586" s="226"/>
      <c r="H586" s="273"/>
      <c r="I586" s="400"/>
      <c r="J586" s="241" t="b">
        <f>Age_Sex_BY[[#This Row],[Total Spending After Applying Truncation at the Member Level]]+Age_Sex_BY[[#This Row],[Total Dollars Excluded from Spending After Applying Truncation at the Member Level]]=Age_Sex_BY[[#This Row],[Total Spending before Truncation is Applied]]</f>
        <v>1</v>
      </c>
    </row>
    <row r="587" spans="1:10" x14ac:dyDescent="0.25">
      <c r="A587" s="339"/>
      <c r="B587" s="270"/>
      <c r="C587" s="271"/>
      <c r="D587" s="456"/>
      <c r="E587" s="362"/>
      <c r="F587" s="272"/>
      <c r="G587" s="460"/>
      <c r="H587" s="272"/>
      <c r="I587" s="399"/>
      <c r="J587" s="241" t="b">
        <f>Age_Sex_BY[[#This Row],[Total Spending After Applying Truncation at the Member Level]]+Age_Sex_BY[[#This Row],[Total Dollars Excluded from Spending After Applying Truncation at the Member Level]]=Age_Sex_BY[[#This Row],[Total Spending before Truncation is Applied]]</f>
        <v>1</v>
      </c>
    </row>
    <row r="588" spans="1:10" x14ac:dyDescent="0.25">
      <c r="A588" s="342"/>
      <c r="B588" s="4"/>
      <c r="C588" s="16"/>
      <c r="D588" s="457"/>
      <c r="E588" s="363"/>
      <c r="F588" s="273"/>
      <c r="G588" s="226"/>
      <c r="H588" s="273"/>
      <c r="I588" s="400"/>
      <c r="J588" s="241" t="b">
        <f>Age_Sex_BY[[#This Row],[Total Spending After Applying Truncation at the Member Level]]+Age_Sex_BY[[#This Row],[Total Dollars Excluded from Spending After Applying Truncation at the Member Level]]=Age_Sex_BY[[#This Row],[Total Spending before Truncation is Applied]]</f>
        <v>1</v>
      </c>
    </row>
    <row r="589" spans="1:10" x14ac:dyDescent="0.25">
      <c r="A589" s="339"/>
      <c r="B589" s="270"/>
      <c r="C589" s="271"/>
      <c r="D589" s="456"/>
      <c r="E589" s="362"/>
      <c r="F589" s="272"/>
      <c r="G589" s="460"/>
      <c r="H589" s="272"/>
      <c r="I589" s="399"/>
      <c r="J589" s="241" t="b">
        <f>Age_Sex_BY[[#This Row],[Total Spending After Applying Truncation at the Member Level]]+Age_Sex_BY[[#This Row],[Total Dollars Excluded from Spending After Applying Truncation at the Member Level]]=Age_Sex_BY[[#This Row],[Total Spending before Truncation is Applied]]</f>
        <v>1</v>
      </c>
    </row>
    <row r="590" spans="1:10" x14ac:dyDescent="0.25">
      <c r="A590" s="342"/>
      <c r="B590" s="4"/>
      <c r="C590" s="16"/>
      <c r="D590" s="457"/>
      <c r="E590" s="363"/>
      <c r="F590" s="273"/>
      <c r="G590" s="226"/>
      <c r="H590" s="273"/>
      <c r="I590" s="400"/>
      <c r="J590" s="241" t="b">
        <f>Age_Sex_BY[[#This Row],[Total Spending After Applying Truncation at the Member Level]]+Age_Sex_BY[[#This Row],[Total Dollars Excluded from Spending After Applying Truncation at the Member Level]]=Age_Sex_BY[[#This Row],[Total Spending before Truncation is Applied]]</f>
        <v>1</v>
      </c>
    </row>
    <row r="591" spans="1:10" x14ac:dyDescent="0.25">
      <c r="A591" s="339"/>
      <c r="B591" s="270"/>
      <c r="C591" s="271"/>
      <c r="D591" s="456"/>
      <c r="E591" s="362"/>
      <c r="F591" s="272"/>
      <c r="G591" s="460"/>
      <c r="H591" s="272"/>
      <c r="I591" s="399"/>
      <c r="J591" s="241" t="b">
        <f>Age_Sex_BY[[#This Row],[Total Spending After Applying Truncation at the Member Level]]+Age_Sex_BY[[#This Row],[Total Dollars Excluded from Spending After Applying Truncation at the Member Level]]=Age_Sex_BY[[#This Row],[Total Spending before Truncation is Applied]]</f>
        <v>1</v>
      </c>
    </row>
    <row r="592" spans="1:10" x14ac:dyDescent="0.25">
      <c r="A592" s="342"/>
      <c r="B592" s="4"/>
      <c r="C592" s="16"/>
      <c r="D592" s="457"/>
      <c r="E592" s="363"/>
      <c r="F592" s="273"/>
      <c r="G592" s="226"/>
      <c r="H592" s="273"/>
      <c r="I592" s="400"/>
      <c r="J592" s="241" t="b">
        <f>Age_Sex_BY[[#This Row],[Total Spending After Applying Truncation at the Member Level]]+Age_Sex_BY[[#This Row],[Total Dollars Excluded from Spending After Applying Truncation at the Member Level]]=Age_Sex_BY[[#This Row],[Total Spending before Truncation is Applied]]</f>
        <v>1</v>
      </c>
    </row>
    <row r="593" spans="1:10" x14ac:dyDescent="0.25">
      <c r="A593" s="339"/>
      <c r="B593" s="270"/>
      <c r="C593" s="271"/>
      <c r="D593" s="456"/>
      <c r="E593" s="362"/>
      <c r="F593" s="272"/>
      <c r="G593" s="460"/>
      <c r="H593" s="272"/>
      <c r="I593" s="399"/>
      <c r="J593" s="241" t="b">
        <f>Age_Sex_BY[[#This Row],[Total Spending After Applying Truncation at the Member Level]]+Age_Sex_BY[[#This Row],[Total Dollars Excluded from Spending After Applying Truncation at the Member Level]]=Age_Sex_BY[[#This Row],[Total Spending before Truncation is Applied]]</f>
        <v>1</v>
      </c>
    </row>
    <row r="594" spans="1:10" x14ac:dyDescent="0.25">
      <c r="A594" s="342"/>
      <c r="B594" s="4"/>
      <c r="C594" s="16"/>
      <c r="D594" s="457"/>
      <c r="E594" s="363"/>
      <c r="F594" s="273"/>
      <c r="G594" s="226"/>
      <c r="H594" s="273"/>
      <c r="I594" s="400"/>
      <c r="J594" s="241" t="b">
        <f>Age_Sex_BY[[#This Row],[Total Spending After Applying Truncation at the Member Level]]+Age_Sex_BY[[#This Row],[Total Dollars Excluded from Spending After Applying Truncation at the Member Level]]=Age_Sex_BY[[#This Row],[Total Spending before Truncation is Applied]]</f>
        <v>1</v>
      </c>
    </row>
    <row r="595" spans="1:10" x14ac:dyDescent="0.25">
      <c r="A595" s="339"/>
      <c r="B595" s="270"/>
      <c r="C595" s="271"/>
      <c r="D595" s="456"/>
      <c r="E595" s="362"/>
      <c r="F595" s="272"/>
      <c r="G595" s="460"/>
      <c r="H595" s="272"/>
      <c r="I595" s="399"/>
      <c r="J595" s="241" t="b">
        <f>Age_Sex_BY[[#This Row],[Total Spending After Applying Truncation at the Member Level]]+Age_Sex_BY[[#This Row],[Total Dollars Excluded from Spending After Applying Truncation at the Member Level]]=Age_Sex_BY[[#This Row],[Total Spending before Truncation is Applied]]</f>
        <v>1</v>
      </c>
    </row>
    <row r="596" spans="1:10" x14ac:dyDescent="0.25">
      <c r="A596" s="342"/>
      <c r="B596" s="4"/>
      <c r="C596" s="16"/>
      <c r="D596" s="457"/>
      <c r="E596" s="363"/>
      <c r="F596" s="273"/>
      <c r="G596" s="226"/>
      <c r="H596" s="273"/>
      <c r="I596" s="400"/>
      <c r="J596" s="241" t="b">
        <f>Age_Sex_BY[[#This Row],[Total Spending After Applying Truncation at the Member Level]]+Age_Sex_BY[[#This Row],[Total Dollars Excluded from Spending After Applying Truncation at the Member Level]]=Age_Sex_BY[[#This Row],[Total Spending before Truncation is Applied]]</f>
        <v>1</v>
      </c>
    </row>
    <row r="597" spans="1:10" x14ac:dyDescent="0.25">
      <c r="A597" s="339"/>
      <c r="B597" s="270"/>
      <c r="C597" s="271"/>
      <c r="D597" s="456"/>
      <c r="E597" s="362"/>
      <c r="F597" s="272"/>
      <c r="G597" s="460"/>
      <c r="H597" s="272"/>
      <c r="I597" s="399"/>
      <c r="J597" s="241" t="b">
        <f>Age_Sex_BY[[#This Row],[Total Spending After Applying Truncation at the Member Level]]+Age_Sex_BY[[#This Row],[Total Dollars Excluded from Spending After Applying Truncation at the Member Level]]=Age_Sex_BY[[#This Row],[Total Spending before Truncation is Applied]]</f>
        <v>1</v>
      </c>
    </row>
    <row r="598" spans="1:10" x14ac:dyDescent="0.25">
      <c r="A598" s="342"/>
      <c r="B598" s="4"/>
      <c r="C598" s="16"/>
      <c r="D598" s="457"/>
      <c r="E598" s="363"/>
      <c r="F598" s="273"/>
      <c r="G598" s="226"/>
      <c r="H598" s="273"/>
      <c r="I598" s="400"/>
      <c r="J598" s="241" t="b">
        <f>Age_Sex_BY[[#This Row],[Total Spending After Applying Truncation at the Member Level]]+Age_Sex_BY[[#This Row],[Total Dollars Excluded from Spending After Applying Truncation at the Member Level]]=Age_Sex_BY[[#This Row],[Total Spending before Truncation is Applied]]</f>
        <v>1</v>
      </c>
    </row>
    <row r="599" spans="1:10" x14ac:dyDescent="0.25">
      <c r="A599" s="339"/>
      <c r="B599" s="270"/>
      <c r="C599" s="271"/>
      <c r="D599" s="456"/>
      <c r="E599" s="362"/>
      <c r="F599" s="272"/>
      <c r="G599" s="460"/>
      <c r="H599" s="272"/>
      <c r="I599" s="399"/>
      <c r="J599" s="241" t="b">
        <f>Age_Sex_BY[[#This Row],[Total Spending After Applying Truncation at the Member Level]]+Age_Sex_BY[[#This Row],[Total Dollars Excluded from Spending After Applying Truncation at the Member Level]]=Age_Sex_BY[[#This Row],[Total Spending before Truncation is Applied]]</f>
        <v>1</v>
      </c>
    </row>
    <row r="600" spans="1:10" x14ac:dyDescent="0.25">
      <c r="A600" s="342"/>
      <c r="B600" s="4"/>
      <c r="C600" s="16"/>
      <c r="D600" s="457"/>
      <c r="E600" s="363"/>
      <c r="F600" s="273"/>
      <c r="G600" s="226"/>
      <c r="H600" s="273"/>
      <c r="I600" s="400"/>
      <c r="J600" s="241" t="b">
        <f>Age_Sex_BY[[#This Row],[Total Spending After Applying Truncation at the Member Level]]+Age_Sex_BY[[#This Row],[Total Dollars Excluded from Spending After Applying Truncation at the Member Level]]=Age_Sex_BY[[#This Row],[Total Spending before Truncation is Applied]]</f>
        <v>1</v>
      </c>
    </row>
    <row r="601" spans="1:10" x14ac:dyDescent="0.25">
      <c r="A601" s="339"/>
      <c r="B601" s="270"/>
      <c r="C601" s="271"/>
      <c r="D601" s="456"/>
      <c r="E601" s="362"/>
      <c r="F601" s="272"/>
      <c r="G601" s="460"/>
      <c r="H601" s="272"/>
      <c r="I601" s="399"/>
      <c r="J601" s="241" t="b">
        <f>Age_Sex_BY[[#This Row],[Total Spending After Applying Truncation at the Member Level]]+Age_Sex_BY[[#This Row],[Total Dollars Excluded from Spending After Applying Truncation at the Member Level]]=Age_Sex_BY[[#This Row],[Total Spending before Truncation is Applied]]</f>
        <v>1</v>
      </c>
    </row>
    <row r="602" spans="1:10" x14ac:dyDescent="0.25">
      <c r="A602" s="342"/>
      <c r="B602" s="4"/>
      <c r="C602" s="16"/>
      <c r="D602" s="457"/>
      <c r="E602" s="363"/>
      <c r="F602" s="273"/>
      <c r="G602" s="226"/>
      <c r="H602" s="273"/>
      <c r="I602" s="400"/>
      <c r="J602" s="241" t="b">
        <f>Age_Sex_BY[[#This Row],[Total Spending After Applying Truncation at the Member Level]]+Age_Sex_BY[[#This Row],[Total Dollars Excluded from Spending After Applying Truncation at the Member Level]]=Age_Sex_BY[[#This Row],[Total Spending before Truncation is Applied]]</f>
        <v>1</v>
      </c>
    </row>
    <row r="603" spans="1:10" x14ac:dyDescent="0.25">
      <c r="A603" s="339"/>
      <c r="B603" s="270"/>
      <c r="C603" s="271"/>
      <c r="D603" s="456"/>
      <c r="E603" s="362"/>
      <c r="F603" s="272"/>
      <c r="G603" s="460"/>
      <c r="H603" s="272"/>
      <c r="I603" s="399"/>
      <c r="J603" s="241" t="b">
        <f>Age_Sex_BY[[#This Row],[Total Spending After Applying Truncation at the Member Level]]+Age_Sex_BY[[#This Row],[Total Dollars Excluded from Spending After Applying Truncation at the Member Level]]=Age_Sex_BY[[#This Row],[Total Spending before Truncation is Applied]]</f>
        <v>1</v>
      </c>
    </row>
    <row r="604" spans="1:10" x14ac:dyDescent="0.25">
      <c r="A604" s="342"/>
      <c r="B604" s="4"/>
      <c r="C604" s="16"/>
      <c r="D604" s="457"/>
      <c r="E604" s="363"/>
      <c r="F604" s="273"/>
      <c r="G604" s="226"/>
      <c r="H604" s="273"/>
      <c r="I604" s="400"/>
      <c r="J604" s="241" t="b">
        <f>Age_Sex_BY[[#This Row],[Total Spending After Applying Truncation at the Member Level]]+Age_Sex_BY[[#This Row],[Total Dollars Excluded from Spending After Applying Truncation at the Member Level]]=Age_Sex_BY[[#This Row],[Total Spending before Truncation is Applied]]</f>
        <v>1</v>
      </c>
    </row>
    <row r="605" spans="1:10" x14ac:dyDescent="0.25">
      <c r="A605" s="339"/>
      <c r="B605" s="270"/>
      <c r="C605" s="271"/>
      <c r="D605" s="456"/>
      <c r="E605" s="362"/>
      <c r="F605" s="272"/>
      <c r="G605" s="460"/>
      <c r="H605" s="272"/>
      <c r="I605" s="399"/>
      <c r="J605" s="241" t="b">
        <f>Age_Sex_BY[[#This Row],[Total Spending After Applying Truncation at the Member Level]]+Age_Sex_BY[[#This Row],[Total Dollars Excluded from Spending After Applying Truncation at the Member Level]]=Age_Sex_BY[[#This Row],[Total Spending before Truncation is Applied]]</f>
        <v>1</v>
      </c>
    </row>
    <row r="606" spans="1:10" x14ac:dyDescent="0.25">
      <c r="A606" s="342"/>
      <c r="B606" s="4"/>
      <c r="C606" s="16"/>
      <c r="D606" s="457"/>
      <c r="E606" s="363"/>
      <c r="F606" s="273"/>
      <c r="G606" s="226"/>
      <c r="H606" s="273"/>
      <c r="I606" s="400"/>
      <c r="J606" s="241" t="b">
        <f>Age_Sex_BY[[#This Row],[Total Spending After Applying Truncation at the Member Level]]+Age_Sex_BY[[#This Row],[Total Dollars Excluded from Spending After Applying Truncation at the Member Level]]=Age_Sex_BY[[#This Row],[Total Spending before Truncation is Applied]]</f>
        <v>1</v>
      </c>
    </row>
    <row r="607" spans="1:10" x14ac:dyDescent="0.25">
      <c r="A607" s="339"/>
      <c r="B607" s="270"/>
      <c r="C607" s="271"/>
      <c r="D607" s="456"/>
      <c r="E607" s="362"/>
      <c r="F607" s="272"/>
      <c r="G607" s="460"/>
      <c r="H607" s="272"/>
      <c r="I607" s="399"/>
      <c r="J607" s="241" t="b">
        <f>Age_Sex_BY[[#This Row],[Total Spending After Applying Truncation at the Member Level]]+Age_Sex_BY[[#This Row],[Total Dollars Excluded from Spending After Applying Truncation at the Member Level]]=Age_Sex_BY[[#This Row],[Total Spending before Truncation is Applied]]</f>
        <v>1</v>
      </c>
    </row>
    <row r="608" spans="1:10" x14ac:dyDescent="0.25">
      <c r="A608" s="342"/>
      <c r="B608" s="4"/>
      <c r="C608" s="16"/>
      <c r="D608" s="457"/>
      <c r="E608" s="363"/>
      <c r="F608" s="273"/>
      <c r="G608" s="226"/>
      <c r="H608" s="273"/>
      <c r="I608" s="400"/>
      <c r="J608" s="241" t="b">
        <f>Age_Sex_BY[[#This Row],[Total Spending After Applying Truncation at the Member Level]]+Age_Sex_BY[[#This Row],[Total Dollars Excluded from Spending After Applying Truncation at the Member Level]]=Age_Sex_BY[[#This Row],[Total Spending before Truncation is Applied]]</f>
        <v>1</v>
      </c>
    </row>
    <row r="609" spans="1:10" x14ac:dyDescent="0.25">
      <c r="A609" s="339"/>
      <c r="B609" s="270"/>
      <c r="C609" s="271"/>
      <c r="D609" s="456"/>
      <c r="E609" s="362"/>
      <c r="F609" s="272"/>
      <c r="G609" s="460"/>
      <c r="H609" s="272"/>
      <c r="I609" s="399"/>
      <c r="J609" s="241" t="b">
        <f>Age_Sex_BY[[#This Row],[Total Spending After Applying Truncation at the Member Level]]+Age_Sex_BY[[#This Row],[Total Dollars Excluded from Spending After Applying Truncation at the Member Level]]=Age_Sex_BY[[#This Row],[Total Spending before Truncation is Applied]]</f>
        <v>1</v>
      </c>
    </row>
    <row r="610" spans="1:10" x14ac:dyDescent="0.25">
      <c r="A610" s="342"/>
      <c r="B610" s="4"/>
      <c r="C610" s="16"/>
      <c r="D610" s="457"/>
      <c r="E610" s="363"/>
      <c r="F610" s="273"/>
      <c r="G610" s="226"/>
      <c r="H610" s="273"/>
      <c r="I610" s="400"/>
      <c r="J610" s="241" t="b">
        <f>Age_Sex_BY[[#This Row],[Total Spending After Applying Truncation at the Member Level]]+Age_Sex_BY[[#This Row],[Total Dollars Excluded from Spending After Applying Truncation at the Member Level]]=Age_Sex_BY[[#This Row],[Total Spending before Truncation is Applied]]</f>
        <v>1</v>
      </c>
    </row>
    <row r="611" spans="1:10" x14ac:dyDescent="0.25">
      <c r="A611" s="339"/>
      <c r="B611" s="270"/>
      <c r="C611" s="271"/>
      <c r="D611" s="456"/>
      <c r="E611" s="362"/>
      <c r="F611" s="272"/>
      <c r="G611" s="460"/>
      <c r="H611" s="272"/>
      <c r="I611" s="399"/>
      <c r="J611" s="241" t="b">
        <f>Age_Sex_BY[[#This Row],[Total Spending After Applying Truncation at the Member Level]]+Age_Sex_BY[[#This Row],[Total Dollars Excluded from Spending After Applying Truncation at the Member Level]]=Age_Sex_BY[[#This Row],[Total Spending before Truncation is Applied]]</f>
        <v>1</v>
      </c>
    </row>
    <row r="612" spans="1:10" x14ac:dyDescent="0.25">
      <c r="A612" s="342"/>
      <c r="B612" s="4"/>
      <c r="C612" s="16"/>
      <c r="D612" s="457"/>
      <c r="E612" s="363"/>
      <c r="F612" s="273"/>
      <c r="G612" s="226"/>
      <c r="H612" s="273"/>
      <c r="I612" s="400"/>
      <c r="J612" s="241" t="b">
        <f>Age_Sex_BY[[#This Row],[Total Spending After Applying Truncation at the Member Level]]+Age_Sex_BY[[#This Row],[Total Dollars Excluded from Spending After Applying Truncation at the Member Level]]=Age_Sex_BY[[#This Row],[Total Spending before Truncation is Applied]]</f>
        <v>1</v>
      </c>
    </row>
    <row r="613" spans="1:10" x14ac:dyDescent="0.25">
      <c r="A613" s="339"/>
      <c r="B613" s="270"/>
      <c r="C613" s="271"/>
      <c r="D613" s="456"/>
      <c r="E613" s="362"/>
      <c r="F613" s="272"/>
      <c r="G613" s="460"/>
      <c r="H613" s="272"/>
      <c r="I613" s="399"/>
      <c r="J613" s="241" t="b">
        <f>Age_Sex_BY[[#This Row],[Total Spending After Applying Truncation at the Member Level]]+Age_Sex_BY[[#This Row],[Total Dollars Excluded from Spending After Applying Truncation at the Member Level]]=Age_Sex_BY[[#This Row],[Total Spending before Truncation is Applied]]</f>
        <v>1</v>
      </c>
    </row>
    <row r="614" spans="1:10" x14ac:dyDescent="0.25">
      <c r="A614" s="342"/>
      <c r="B614" s="4"/>
      <c r="C614" s="16"/>
      <c r="D614" s="457"/>
      <c r="E614" s="363"/>
      <c r="F614" s="273"/>
      <c r="G614" s="226"/>
      <c r="H614" s="273"/>
      <c r="I614" s="400"/>
      <c r="J614" s="241" t="b">
        <f>Age_Sex_BY[[#This Row],[Total Spending After Applying Truncation at the Member Level]]+Age_Sex_BY[[#This Row],[Total Dollars Excluded from Spending After Applying Truncation at the Member Level]]=Age_Sex_BY[[#This Row],[Total Spending before Truncation is Applied]]</f>
        <v>1</v>
      </c>
    </row>
    <row r="615" spans="1:10" x14ac:dyDescent="0.25">
      <c r="A615" s="339"/>
      <c r="B615" s="270"/>
      <c r="C615" s="271"/>
      <c r="D615" s="456"/>
      <c r="E615" s="362"/>
      <c r="F615" s="272"/>
      <c r="G615" s="460"/>
      <c r="H615" s="272"/>
      <c r="I615" s="399"/>
      <c r="J615" s="241" t="b">
        <f>Age_Sex_BY[[#This Row],[Total Spending After Applying Truncation at the Member Level]]+Age_Sex_BY[[#This Row],[Total Dollars Excluded from Spending After Applying Truncation at the Member Level]]=Age_Sex_BY[[#This Row],[Total Spending before Truncation is Applied]]</f>
        <v>1</v>
      </c>
    </row>
    <row r="616" spans="1:10" x14ac:dyDescent="0.25">
      <c r="A616" s="342"/>
      <c r="B616" s="4"/>
      <c r="C616" s="16"/>
      <c r="D616" s="457"/>
      <c r="E616" s="363"/>
      <c r="F616" s="273"/>
      <c r="G616" s="226"/>
      <c r="H616" s="273"/>
      <c r="I616" s="400"/>
      <c r="J616" s="241" t="b">
        <f>Age_Sex_BY[[#This Row],[Total Spending After Applying Truncation at the Member Level]]+Age_Sex_BY[[#This Row],[Total Dollars Excluded from Spending After Applying Truncation at the Member Level]]=Age_Sex_BY[[#This Row],[Total Spending before Truncation is Applied]]</f>
        <v>1</v>
      </c>
    </row>
    <row r="617" spans="1:10" x14ac:dyDescent="0.25">
      <c r="A617" s="339"/>
      <c r="B617" s="270"/>
      <c r="C617" s="271"/>
      <c r="D617" s="456"/>
      <c r="E617" s="362"/>
      <c r="F617" s="272"/>
      <c r="G617" s="460"/>
      <c r="H617" s="272"/>
      <c r="I617" s="399"/>
      <c r="J617" s="241" t="b">
        <f>Age_Sex_BY[[#This Row],[Total Spending After Applying Truncation at the Member Level]]+Age_Sex_BY[[#This Row],[Total Dollars Excluded from Spending After Applying Truncation at the Member Level]]=Age_Sex_BY[[#This Row],[Total Spending before Truncation is Applied]]</f>
        <v>1</v>
      </c>
    </row>
    <row r="618" spans="1:10" x14ac:dyDescent="0.25">
      <c r="A618" s="342"/>
      <c r="B618" s="4"/>
      <c r="C618" s="16"/>
      <c r="D618" s="457"/>
      <c r="E618" s="363"/>
      <c r="F618" s="273"/>
      <c r="G618" s="226"/>
      <c r="H618" s="273"/>
      <c r="I618" s="400"/>
      <c r="J618" s="241" t="b">
        <f>Age_Sex_BY[[#This Row],[Total Spending After Applying Truncation at the Member Level]]+Age_Sex_BY[[#This Row],[Total Dollars Excluded from Spending After Applying Truncation at the Member Level]]=Age_Sex_BY[[#This Row],[Total Spending before Truncation is Applied]]</f>
        <v>1</v>
      </c>
    </row>
    <row r="619" spans="1:10" x14ac:dyDescent="0.25">
      <c r="A619" s="339"/>
      <c r="B619" s="270"/>
      <c r="C619" s="271"/>
      <c r="D619" s="456"/>
      <c r="E619" s="362"/>
      <c r="F619" s="272"/>
      <c r="G619" s="460"/>
      <c r="H619" s="272"/>
      <c r="I619" s="399"/>
      <c r="J619" s="241" t="b">
        <f>Age_Sex_BY[[#This Row],[Total Spending After Applying Truncation at the Member Level]]+Age_Sex_BY[[#This Row],[Total Dollars Excluded from Spending After Applying Truncation at the Member Level]]=Age_Sex_BY[[#This Row],[Total Spending before Truncation is Applied]]</f>
        <v>1</v>
      </c>
    </row>
    <row r="620" spans="1:10" x14ac:dyDescent="0.25">
      <c r="A620" s="342"/>
      <c r="B620" s="4"/>
      <c r="C620" s="16"/>
      <c r="D620" s="457"/>
      <c r="E620" s="363"/>
      <c r="F620" s="273"/>
      <c r="G620" s="226"/>
      <c r="H620" s="273"/>
      <c r="I620" s="400"/>
      <c r="J620" s="241" t="b">
        <f>Age_Sex_BY[[#This Row],[Total Spending After Applying Truncation at the Member Level]]+Age_Sex_BY[[#This Row],[Total Dollars Excluded from Spending After Applying Truncation at the Member Level]]=Age_Sex_BY[[#This Row],[Total Spending before Truncation is Applied]]</f>
        <v>1</v>
      </c>
    </row>
    <row r="621" spans="1:10" x14ac:dyDescent="0.25">
      <c r="A621" s="339"/>
      <c r="B621" s="270"/>
      <c r="C621" s="271"/>
      <c r="D621" s="456"/>
      <c r="E621" s="362"/>
      <c r="F621" s="272"/>
      <c r="G621" s="460"/>
      <c r="H621" s="272"/>
      <c r="I621" s="399"/>
      <c r="J621" s="241" t="b">
        <f>Age_Sex_BY[[#This Row],[Total Spending After Applying Truncation at the Member Level]]+Age_Sex_BY[[#This Row],[Total Dollars Excluded from Spending After Applying Truncation at the Member Level]]=Age_Sex_BY[[#This Row],[Total Spending before Truncation is Applied]]</f>
        <v>1</v>
      </c>
    </row>
    <row r="622" spans="1:10" x14ac:dyDescent="0.25">
      <c r="A622" s="342"/>
      <c r="B622" s="4"/>
      <c r="C622" s="16"/>
      <c r="D622" s="457"/>
      <c r="E622" s="363"/>
      <c r="F622" s="273"/>
      <c r="G622" s="226"/>
      <c r="H622" s="273"/>
      <c r="I622" s="400"/>
      <c r="J622" s="241" t="b">
        <f>Age_Sex_BY[[#This Row],[Total Spending After Applying Truncation at the Member Level]]+Age_Sex_BY[[#This Row],[Total Dollars Excluded from Spending After Applying Truncation at the Member Level]]=Age_Sex_BY[[#This Row],[Total Spending before Truncation is Applied]]</f>
        <v>1</v>
      </c>
    </row>
    <row r="623" spans="1:10" x14ac:dyDescent="0.25">
      <c r="A623" s="339"/>
      <c r="B623" s="270"/>
      <c r="C623" s="271"/>
      <c r="D623" s="456"/>
      <c r="E623" s="362"/>
      <c r="F623" s="272"/>
      <c r="G623" s="460"/>
      <c r="H623" s="272"/>
      <c r="I623" s="399"/>
      <c r="J623" s="241" t="b">
        <f>Age_Sex_BY[[#This Row],[Total Spending After Applying Truncation at the Member Level]]+Age_Sex_BY[[#This Row],[Total Dollars Excluded from Spending After Applying Truncation at the Member Level]]=Age_Sex_BY[[#This Row],[Total Spending before Truncation is Applied]]</f>
        <v>1</v>
      </c>
    </row>
    <row r="624" spans="1:10" x14ac:dyDescent="0.25">
      <c r="A624" s="342"/>
      <c r="B624" s="4"/>
      <c r="C624" s="16"/>
      <c r="D624" s="457"/>
      <c r="E624" s="363"/>
      <c r="F624" s="273"/>
      <c r="G624" s="226"/>
      <c r="H624" s="273"/>
      <c r="I624" s="400"/>
      <c r="J624" s="241" t="b">
        <f>Age_Sex_BY[[#This Row],[Total Spending After Applying Truncation at the Member Level]]+Age_Sex_BY[[#This Row],[Total Dollars Excluded from Spending After Applying Truncation at the Member Level]]=Age_Sex_BY[[#This Row],[Total Spending before Truncation is Applied]]</f>
        <v>1</v>
      </c>
    </row>
    <row r="625" spans="1:10" x14ac:dyDescent="0.25">
      <c r="A625" s="339"/>
      <c r="B625" s="270"/>
      <c r="C625" s="271"/>
      <c r="D625" s="456"/>
      <c r="E625" s="362"/>
      <c r="F625" s="272"/>
      <c r="G625" s="460"/>
      <c r="H625" s="272"/>
      <c r="I625" s="399"/>
      <c r="J625" s="241" t="b">
        <f>Age_Sex_BY[[#This Row],[Total Spending After Applying Truncation at the Member Level]]+Age_Sex_BY[[#This Row],[Total Dollars Excluded from Spending After Applying Truncation at the Member Level]]=Age_Sex_BY[[#This Row],[Total Spending before Truncation is Applied]]</f>
        <v>1</v>
      </c>
    </row>
    <row r="626" spans="1:10" x14ac:dyDescent="0.25">
      <c r="A626" s="342"/>
      <c r="B626" s="4"/>
      <c r="C626" s="16"/>
      <c r="D626" s="457"/>
      <c r="E626" s="363"/>
      <c r="F626" s="273"/>
      <c r="G626" s="226"/>
      <c r="H626" s="273"/>
      <c r="I626" s="400"/>
      <c r="J626" s="241" t="b">
        <f>Age_Sex_BY[[#This Row],[Total Spending After Applying Truncation at the Member Level]]+Age_Sex_BY[[#This Row],[Total Dollars Excluded from Spending After Applying Truncation at the Member Level]]=Age_Sex_BY[[#This Row],[Total Spending before Truncation is Applied]]</f>
        <v>1</v>
      </c>
    </row>
    <row r="627" spans="1:10" x14ac:dyDescent="0.25">
      <c r="A627" s="339"/>
      <c r="B627" s="270"/>
      <c r="C627" s="271"/>
      <c r="D627" s="456"/>
      <c r="E627" s="362"/>
      <c r="F627" s="272"/>
      <c r="G627" s="460"/>
      <c r="H627" s="272"/>
      <c r="I627" s="399"/>
      <c r="J627" s="241" t="b">
        <f>Age_Sex_BY[[#This Row],[Total Spending After Applying Truncation at the Member Level]]+Age_Sex_BY[[#This Row],[Total Dollars Excluded from Spending After Applying Truncation at the Member Level]]=Age_Sex_BY[[#This Row],[Total Spending before Truncation is Applied]]</f>
        <v>1</v>
      </c>
    </row>
    <row r="628" spans="1:10" x14ac:dyDescent="0.25">
      <c r="A628" s="342"/>
      <c r="B628" s="4"/>
      <c r="C628" s="16"/>
      <c r="D628" s="457"/>
      <c r="E628" s="363"/>
      <c r="F628" s="273"/>
      <c r="G628" s="226"/>
      <c r="H628" s="273"/>
      <c r="I628" s="400"/>
      <c r="J628" s="241" t="b">
        <f>Age_Sex_BY[[#This Row],[Total Spending After Applying Truncation at the Member Level]]+Age_Sex_BY[[#This Row],[Total Dollars Excluded from Spending After Applying Truncation at the Member Level]]=Age_Sex_BY[[#This Row],[Total Spending before Truncation is Applied]]</f>
        <v>1</v>
      </c>
    </row>
    <row r="629" spans="1:10" x14ac:dyDescent="0.25">
      <c r="A629" s="339"/>
      <c r="B629" s="270"/>
      <c r="C629" s="271"/>
      <c r="D629" s="456"/>
      <c r="E629" s="362"/>
      <c r="F629" s="272"/>
      <c r="G629" s="460"/>
      <c r="H629" s="272"/>
      <c r="I629" s="399"/>
      <c r="J629" s="241" t="b">
        <f>Age_Sex_BY[[#This Row],[Total Spending After Applying Truncation at the Member Level]]+Age_Sex_BY[[#This Row],[Total Dollars Excluded from Spending After Applying Truncation at the Member Level]]=Age_Sex_BY[[#This Row],[Total Spending before Truncation is Applied]]</f>
        <v>1</v>
      </c>
    </row>
    <row r="630" spans="1:10" x14ac:dyDescent="0.25">
      <c r="A630" s="342"/>
      <c r="B630" s="4"/>
      <c r="C630" s="16"/>
      <c r="D630" s="457"/>
      <c r="E630" s="363"/>
      <c r="F630" s="273"/>
      <c r="G630" s="226"/>
      <c r="H630" s="273"/>
      <c r="I630" s="400"/>
      <c r="J630" s="241" t="b">
        <f>Age_Sex_BY[[#This Row],[Total Spending After Applying Truncation at the Member Level]]+Age_Sex_BY[[#This Row],[Total Dollars Excluded from Spending After Applying Truncation at the Member Level]]=Age_Sex_BY[[#This Row],[Total Spending before Truncation is Applied]]</f>
        <v>1</v>
      </c>
    </row>
    <row r="631" spans="1:10" x14ac:dyDescent="0.25">
      <c r="A631" s="339"/>
      <c r="B631" s="270"/>
      <c r="C631" s="271"/>
      <c r="D631" s="456"/>
      <c r="E631" s="362"/>
      <c r="F631" s="272"/>
      <c r="G631" s="460"/>
      <c r="H631" s="272"/>
      <c r="I631" s="399"/>
      <c r="J631" s="241" t="b">
        <f>Age_Sex_BY[[#This Row],[Total Spending After Applying Truncation at the Member Level]]+Age_Sex_BY[[#This Row],[Total Dollars Excluded from Spending After Applying Truncation at the Member Level]]=Age_Sex_BY[[#This Row],[Total Spending before Truncation is Applied]]</f>
        <v>1</v>
      </c>
    </row>
    <row r="632" spans="1:10" x14ac:dyDescent="0.25">
      <c r="A632" s="342"/>
      <c r="B632" s="4"/>
      <c r="C632" s="16"/>
      <c r="D632" s="457"/>
      <c r="E632" s="363"/>
      <c r="F632" s="273"/>
      <c r="G632" s="226"/>
      <c r="H632" s="273"/>
      <c r="I632" s="400"/>
      <c r="J632" s="241" t="b">
        <f>Age_Sex_BY[[#This Row],[Total Spending After Applying Truncation at the Member Level]]+Age_Sex_BY[[#This Row],[Total Dollars Excluded from Spending After Applying Truncation at the Member Level]]=Age_Sex_BY[[#This Row],[Total Spending before Truncation is Applied]]</f>
        <v>1</v>
      </c>
    </row>
    <row r="633" spans="1:10" x14ac:dyDescent="0.25">
      <c r="A633" s="339"/>
      <c r="B633" s="270"/>
      <c r="C633" s="271"/>
      <c r="D633" s="456"/>
      <c r="E633" s="362"/>
      <c r="F633" s="272"/>
      <c r="G633" s="460"/>
      <c r="H633" s="272"/>
      <c r="I633" s="399"/>
      <c r="J633" s="241" t="b">
        <f>Age_Sex_BY[[#This Row],[Total Spending After Applying Truncation at the Member Level]]+Age_Sex_BY[[#This Row],[Total Dollars Excluded from Spending After Applying Truncation at the Member Level]]=Age_Sex_BY[[#This Row],[Total Spending before Truncation is Applied]]</f>
        <v>1</v>
      </c>
    </row>
    <row r="634" spans="1:10" x14ac:dyDescent="0.25">
      <c r="A634" s="342"/>
      <c r="B634" s="4"/>
      <c r="C634" s="16"/>
      <c r="D634" s="457"/>
      <c r="E634" s="363"/>
      <c r="F634" s="273"/>
      <c r="G634" s="226"/>
      <c r="H634" s="273"/>
      <c r="I634" s="400"/>
      <c r="J634" s="241" t="b">
        <f>Age_Sex_BY[[#This Row],[Total Spending After Applying Truncation at the Member Level]]+Age_Sex_BY[[#This Row],[Total Dollars Excluded from Spending After Applying Truncation at the Member Level]]=Age_Sex_BY[[#This Row],[Total Spending before Truncation is Applied]]</f>
        <v>1</v>
      </c>
    </row>
    <row r="635" spans="1:10" x14ac:dyDescent="0.25">
      <c r="A635" s="339"/>
      <c r="B635" s="270"/>
      <c r="C635" s="271"/>
      <c r="D635" s="456"/>
      <c r="E635" s="362"/>
      <c r="F635" s="272"/>
      <c r="G635" s="460"/>
      <c r="H635" s="272"/>
      <c r="I635" s="399"/>
      <c r="J635" s="241" t="b">
        <f>Age_Sex_BY[[#This Row],[Total Spending After Applying Truncation at the Member Level]]+Age_Sex_BY[[#This Row],[Total Dollars Excluded from Spending After Applying Truncation at the Member Level]]=Age_Sex_BY[[#This Row],[Total Spending before Truncation is Applied]]</f>
        <v>1</v>
      </c>
    </row>
    <row r="636" spans="1:10" x14ac:dyDescent="0.25">
      <c r="A636" s="342"/>
      <c r="B636" s="4"/>
      <c r="C636" s="16"/>
      <c r="D636" s="457"/>
      <c r="E636" s="363"/>
      <c r="F636" s="273"/>
      <c r="G636" s="226"/>
      <c r="H636" s="273"/>
      <c r="I636" s="400"/>
      <c r="J636" s="241" t="b">
        <f>Age_Sex_BY[[#This Row],[Total Spending After Applying Truncation at the Member Level]]+Age_Sex_BY[[#This Row],[Total Dollars Excluded from Spending After Applying Truncation at the Member Level]]=Age_Sex_BY[[#This Row],[Total Spending before Truncation is Applied]]</f>
        <v>1</v>
      </c>
    </row>
    <row r="637" spans="1:10" x14ac:dyDescent="0.25">
      <c r="A637" s="339"/>
      <c r="B637" s="270"/>
      <c r="C637" s="271"/>
      <c r="D637" s="456"/>
      <c r="E637" s="362"/>
      <c r="F637" s="272"/>
      <c r="G637" s="460"/>
      <c r="H637" s="272"/>
      <c r="I637" s="399"/>
      <c r="J637" s="241" t="b">
        <f>Age_Sex_BY[[#This Row],[Total Spending After Applying Truncation at the Member Level]]+Age_Sex_BY[[#This Row],[Total Dollars Excluded from Spending After Applying Truncation at the Member Level]]=Age_Sex_BY[[#This Row],[Total Spending before Truncation is Applied]]</f>
        <v>1</v>
      </c>
    </row>
    <row r="638" spans="1:10" x14ac:dyDescent="0.25">
      <c r="A638" s="342"/>
      <c r="B638" s="4"/>
      <c r="C638" s="16"/>
      <c r="D638" s="457"/>
      <c r="E638" s="363"/>
      <c r="F638" s="273"/>
      <c r="G638" s="226"/>
      <c r="H638" s="273"/>
      <c r="I638" s="400"/>
      <c r="J638" s="241" t="b">
        <f>Age_Sex_BY[[#This Row],[Total Spending After Applying Truncation at the Member Level]]+Age_Sex_BY[[#This Row],[Total Dollars Excluded from Spending After Applying Truncation at the Member Level]]=Age_Sex_BY[[#This Row],[Total Spending before Truncation is Applied]]</f>
        <v>1</v>
      </c>
    </row>
    <row r="639" spans="1:10" x14ac:dyDescent="0.25">
      <c r="A639" s="339"/>
      <c r="B639" s="270"/>
      <c r="C639" s="271"/>
      <c r="D639" s="456"/>
      <c r="E639" s="362"/>
      <c r="F639" s="272"/>
      <c r="G639" s="460"/>
      <c r="H639" s="272"/>
      <c r="I639" s="399"/>
      <c r="J639" s="241" t="b">
        <f>Age_Sex_BY[[#This Row],[Total Spending After Applying Truncation at the Member Level]]+Age_Sex_BY[[#This Row],[Total Dollars Excluded from Spending After Applying Truncation at the Member Level]]=Age_Sex_BY[[#This Row],[Total Spending before Truncation is Applied]]</f>
        <v>1</v>
      </c>
    </row>
    <row r="640" spans="1:10" x14ac:dyDescent="0.25">
      <c r="A640" s="342"/>
      <c r="B640" s="4"/>
      <c r="C640" s="16"/>
      <c r="D640" s="457"/>
      <c r="E640" s="363"/>
      <c r="F640" s="273"/>
      <c r="G640" s="226"/>
      <c r="H640" s="273"/>
      <c r="I640" s="400"/>
      <c r="J640" s="241" t="b">
        <f>Age_Sex_BY[[#This Row],[Total Spending After Applying Truncation at the Member Level]]+Age_Sex_BY[[#This Row],[Total Dollars Excluded from Spending After Applying Truncation at the Member Level]]=Age_Sex_BY[[#This Row],[Total Spending before Truncation is Applied]]</f>
        <v>1</v>
      </c>
    </row>
    <row r="641" spans="1:10" x14ac:dyDescent="0.25">
      <c r="A641" s="339"/>
      <c r="B641" s="270"/>
      <c r="C641" s="271"/>
      <c r="D641" s="456"/>
      <c r="E641" s="362"/>
      <c r="F641" s="272"/>
      <c r="G641" s="460"/>
      <c r="H641" s="272"/>
      <c r="I641" s="399"/>
      <c r="J641" s="241" t="b">
        <f>Age_Sex_BY[[#This Row],[Total Spending After Applying Truncation at the Member Level]]+Age_Sex_BY[[#This Row],[Total Dollars Excluded from Spending After Applying Truncation at the Member Level]]=Age_Sex_BY[[#This Row],[Total Spending before Truncation is Applied]]</f>
        <v>1</v>
      </c>
    </row>
    <row r="642" spans="1:10" x14ac:dyDescent="0.25">
      <c r="A642" s="342"/>
      <c r="B642" s="4"/>
      <c r="C642" s="16"/>
      <c r="D642" s="457"/>
      <c r="E642" s="363"/>
      <c r="F642" s="273"/>
      <c r="G642" s="226"/>
      <c r="H642" s="273"/>
      <c r="I642" s="400"/>
      <c r="J642" s="241" t="b">
        <f>Age_Sex_BY[[#This Row],[Total Spending After Applying Truncation at the Member Level]]+Age_Sex_BY[[#This Row],[Total Dollars Excluded from Spending After Applying Truncation at the Member Level]]=Age_Sex_BY[[#This Row],[Total Spending before Truncation is Applied]]</f>
        <v>1</v>
      </c>
    </row>
    <row r="643" spans="1:10" x14ac:dyDescent="0.25">
      <c r="A643" s="339"/>
      <c r="B643" s="270"/>
      <c r="C643" s="271"/>
      <c r="D643" s="456"/>
      <c r="E643" s="362"/>
      <c r="F643" s="272"/>
      <c r="G643" s="460"/>
      <c r="H643" s="272"/>
      <c r="I643" s="399"/>
      <c r="J643" s="241" t="b">
        <f>Age_Sex_BY[[#This Row],[Total Spending After Applying Truncation at the Member Level]]+Age_Sex_BY[[#This Row],[Total Dollars Excluded from Spending After Applying Truncation at the Member Level]]=Age_Sex_BY[[#This Row],[Total Spending before Truncation is Applied]]</f>
        <v>1</v>
      </c>
    </row>
    <row r="644" spans="1:10" x14ac:dyDescent="0.25">
      <c r="A644" s="342"/>
      <c r="B644" s="4"/>
      <c r="C644" s="16"/>
      <c r="D644" s="457"/>
      <c r="E644" s="363"/>
      <c r="F644" s="273"/>
      <c r="G644" s="226"/>
      <c r="H644" s="273"/>
      <c r="I644" s="400"/>
      <c r="J644" s="241" t="b">
        <f>Age_Sex_BY[[#This Row],[Total Spending After Applying Truncation at the Member Level]]+Age_Sex_BY[[#This Row],[Total Dollars Excluded from Spending After Applying Truncation at the Member Level]]=Age_Sex_BY[[#This Row],[Total Spending before Truncation is Applied]]</f>
        <v>1</v>
      </c>
    </row>
    <row r="645" spans="1:10" x14ac:dyDescent="0.25">
      <c r="A645" s="339"/>
      <c r="B645" s="270"/>
      <c r="C645" s="271"/>
      <c r="D645" s="456"/>
      <c r="E645" s="362"/>
      <c r="F645" s="272"/>
      <c r="G645" s="460"/>
      <c r="H645" s="272"/>
      <c r="I645" s="399"/>
      <c r="J645" s="241" t="b">
        <f>Age_Sex_BY[[#This Row],[Total Spending After Applying Truncation at the Member Level]]+Age_Sex_BY[[#This Row],[Total Dollars Excluded from Spending After Applying Truncation at the Member Level]]=Age_Sex_BY[[#This Row],[Total Spending before Truncation is Applied]]</f>
        <v>1</v>
      </c>
    </row>
    <row r="646" spans="1:10" x14ac:dyDescent="0.25">
      <c r="A646" s="342"/>
      <c r="B646" s="4"/>
      <c r="C646" s="16"/>
      <c r="D646" s="457"/>
      <c r="E646" s="363"/>
      <c r="F646" s="273"/>
      <c r="G646" s="226"/>
      <c r="H646" s="273"/>
      <c r="I646" s="400"/>
      <c r="J646" s="241" t="b">
        <f>Age_Sex_BY[[#This Row],[Total Spending After Applying Truncation at the Member Level]]+Age_Sex_BY[[#This Row],[Total Dollars Excluded from Spending After Applying Truncation at the Member Level]]=Age_Sex_BY[[#This Row],[Total Spending before Truncation is Applied]]</f>
        <v>1</v>
      </c>
    </row>
    <row r="647" spans="1:10" x14ac:dyDescent="0.25">
      <c r="A647" s="339"/>
      <c r="B647" s="270"/>
      <c r="C647" s="271"/>
      <c r="D647" s="456"/>
      <c r="E647" s="362"/>
      <c r="F647" s="272"/>
      <c r="G647" s="460"/>
      <c r="H647" s="272"/>
      <c r="I647" s="399"/>
      <c r="J647" s="241" t="b">
        <f>Age_Sex_BY[[#This Row],[Total Spending After Applying Truncation at the Member Level]]+Age_Sex_BY[[#This Row],[Total Dollars Excluded from Spending After Applying Truncation at the Member Level]]=Age_Sex_BY[[#This Row],[Total Spending before Truncation is Applied]]</f>
        <v>1</v>
      </c>
    </row>
    <row r="648" spans="1:10" x14ac:dyDescent="0.25">
      <c r="A648" s="342"/>
      <c r="B648" s="4"/>
      <c r="C648" s="16"/>
      <c r="D648" s="457"/>
      <c r="E648" s="363"/>
      <c r="F648" s="273"/>
      <c r="G648" s="226"/>
      <c r="H648" s="273"/>
      <c r="I648" s="400"/>
      <c r="J648" s="241" t="b">
        <f>Age_Sex_BY[[#This Row],[Total Spending After Applying Truncation at the Member Level]]+Age_Sex_BY[[#This Row],[Total Dollars Excluded from Spending After Applying Truncation at the Member Level]]=Age_Sex_BY[[#This Row],[Total Spending before Truncation is Applied]]</f>
        <v>1</v>
      </c>
    </row>
    <row r="649" spans="1:10" x14ac:dyDescent="0.25">
      <c r="A649" s="339"/>
      <c r="B649" s="270"/>
      <c r="C649" s="271"/>
      <c r="D649" s="456"/>
      <c r="E649" s="362"/>
      <c r="F649" s="272"/>
      <c r="G649" s="460"/>
      <c r="H649" s="272"/>
      <c r="I649" s="399"/>
      <c r="J649" s="241" t="b">
        <f>Age_Sex_BY[[#This Row],[Total Spending After Applying Truncation at the Member Level]]+Age_Sex_BY[[#This Row],[Total Dollars Excluded from Spending After Applying Truncation at the Member Level]]=Age_Sex_BY[[#This Row],[Total Spending before Truncation is Applied]]</f>
        <v>1</v>
      </c>
    </row>
    <row r="650" spans="1:10" x14ac:dyDescent="0.25">
      <c r="A650" s="342"/>
      <c r="B650" s="4"/>
      <c r="C650" s="16"/>
      <c r="D650" s="457"/>
      <c r="E650" s="363"/>
      <c r="F650" s="273"/>
      <c r="G650" s="226"/>
      <c r="H650" s="273"/>
      <c r="I650" s="400"/>
      <c r="J650" s="241" t="b">
        <f>Age_Sex_BY[[#This Row],[Total Spending After Applying Truncation at the Member Level]]+Age_Sex_BY[[#This Row],[Total Dollars Excluded from Spending After Applying Truncation at the Member Level]]=Age_Sex_BY[[#This Row],[Total Spending before Truncation is Applied]]</f>
        <v>1</v>
      </c>
    </row>
    <row r="651" spans="1:10" x14ac:dyDescent="0.25">
      <c r="A651" s="339"/>
      <c r="B651" s="270"/>
      <c r="C651" s="271"/>
      <c r="D651" s="456"/>
      <c r="E651" s="362"/>
      <c r="F651" s="272"/>
      <c r="G651" s="460"/>
      <c r="H651" s="272"/>
      <c r="I651" s="399"/>
      <c r="J651" s="241" t="b">
        <f>Age_Sex_BY[[#This Row],[Total Spending After Applying Truncation at the Member Level]]+Age_Sex_BY[[#This Row],[Total Dollars Excluded from Spending After Applying Truncation at the Member Level]]=Age_Sex_BY[[#This Row],[Total Spending before Truncation is Applied]]</f>
        <v>1</v>
      </c>
    </row>
    <row r="652" spans="1:10" x14ac:dyDescent="0.25">
      <c r="A652" s="342"/>
      <c r="B652" s="4"/>
      <c r="C652" s="16"/>
      <c r="D652" s="457"/>
      <c r="E652" s="363"/>
      <c r="F652" s="273"/>
      <c r="G652" s="226"/>
      <c r="H652" s="273"/>
      <c r="I652" s="400"/>
      <c r="J652" s="241" t="b">
        <f>Age_Sex_BY[[#This Row],[Total Spending After Applying Truncation at the Member Level]]+Age_Sex_BY[[#This Row],[Total Dollars Excluded from Spending After Applying Truncation at the Member Level]]=Age_Sex_BY[[#This Row],[Total Spending before Truncation is Applied]]</f>
        <v>1</v>
      </c>
    </row>
    <row r="653" spans="1:10" x14ac:dyDescent="0.25">
      <c r="A653" s="339"/>
      <c r="B653" s="270"/>
      <c r="C653" s="271"/>
      <c r="D653" s="456"/>
      <c r="E653" s="362"/>
      <c r="F653" s="272"/>
      <c r="G653" s="460"/>
      <c r="H653" s="272"/>
      <c r="I653" s="399"/>
      <c r="J653" s="241" t="b">
        <f>Age_Sex_BY[[#This Row],[Total Spending After Applying Truncation at the Member Level]]+Age_Sex_BY[[#This Row],[Total Dollars Excluded from Spending After Applying Truncation at the Member Level]]=Age_Sex_BY[[#This Row],[Total Spending before Truncation is Applied]]</f>
        <v>1</v>
      </c>
    </row>
    <row r="654" spans="1:10" x14ac:dyDescent="0.25">
      <c r="A654" s="342"/>
      <c r="B654" s="4"/>
      <c r="C654" s="16"/>
      <c r="D654" s="457"/>
      <c r="E654" s="363"/>
      <c r="F654" s="273"/>
      <c r="G654" s="226"/>
      <c r="H654" s="273"/>
      <c r="I654" s="400"/>
      <c r="J654" s="241" t="b">
        <f>Age_Sex_BY[[#This Row],[Total Spending After Applying Truncation at the Member Level]]+Age_Sex_BY[[#This Row],[Total Dollars Excluded from Spending After Applying Truncation at the Member Level]]=Age_Sex_BY[[#This Row],[Total Spending before Truncation is Applied]]</f>
        <v>1</v>
      </c>
    </row>
    <row r="655" spans="1:10" x14ac:dyDescent="0.25">
      <c r="A655" s="339"/>
      <c r="B655" s="270"/>
      <c r="C655" s="271"/>
      <c r="D655" s="456"/>
      <c r="E655" s="362"/>
      <c r="F655" s="272"/>
      <c r="G655" s="460"/>
      <c r="H655" s="272"/>
      <c r="I655" s="399"/>
      <c r="J655" s="241" t="b">
        <f>Age_Sex_BY[[#This Row],[Total Spending After Applying Truncation at the Member Level]]+Age_Sex_BY[[#This Row],[Total Dollars Excluded from Spending After Applying Truncation at the Member Level]]=Age_Sex_BY[[#This Row],[Total Spending before Truncation is Applied]]</f>
        <v>1</v>
      </c>
    </row>
    <row r="656" spans="1:10" x14ac:dyDescent="0.25">
      <c r="A656" s="342"/>
      <c r="B656" s="4"/>
      <c r="C656" s="16"/>
      <c r="D656" s="457"/>
      <c r="E656" s="363"/>
      <c r="F656" s="273"/>
      <c r="G656" s="226"/>
      <c r="H656" s="273"/>
      <c r="I656" s="400"/>
      <c r="J656" s="241" t="b">
        <f>Age_Sex_BY[[#This Row],[Total Spending After Applying Truncation at the Member Level]]+Age_Sex_BY[[#This Row],[Total Dollars Excluded from Spending After Applying Truncation at the Member Level]]=Age_Sex_BY[[#This Row],[Total Spending before Truncation is Applied]]</f>
        <v>1</v>
      </c>
    </row>
    <row r="657" spans="1:10" x14ac:dyDescent="0.25">
      <c r="A657" s="339"/>
      <c r="B657" s="270"/>
      <c r="C657" s="271"/>
      <c r="D657" s="456"/>
      <c r="E657" s="362"/>
      <c r="F657" s="272"/>
      <c r="G657" s="460"/>
      <c r="H657" s="272"/>
      <c r="I657" s="399"/>
      <c r="J657" s="241" t="b">
        <f>Age_Sex_BY[[#This Row],[Total Spending After Applying Truncation at the Member Level]]+Age_Sex_BY[[#This Row],[Total Dollars Excluded from Spending After Applying Truncation at the Member Level]]=Age_Sex_BY[[#This Row],[Total Spending before Truncation is Applied]]</f>
        <v>1</v>
      </c>
    </row>
    <row r="658" spans="1:10" x14ac:dyDescent="0.25">
      <c r="A658" s="342"/>
      <c r="B658" s="4"/>
      <c r="C658" s="16"/>
      <c r="D658" s="457"/>
      <c r="E658" s="363"/>
      <c r="F658" s="273"/>
      <c r="G658" s="226"/>
      <c r="H658" s="273"/>
      <c r="I658" s="400"/>
      <c r="J658" s="241" t="b">
        <f>Age_Sex_BY[[#This Row],[Total Spending After Applying Truncation at the Member Level]]+Age_Sex_BY[[#This Row],[Total Dollars Excluded from Spending After Applying Truncation at the Member Level]]=Age_Sex_BY[[#This Row],[Total Spending before Truncation is Applied]]</f>
        <v>1</v>
      </c>
    </row>
    <row r="659" spans="1:10" x14ac:dyDescent="0.25">
      <c r="A659" s="339"/>
      <c r="B659" s="270"/>
      <c r="C659" s="271"/>
      <c r="D659" s="456"/>
      <c r="E659" s="362"/>
      <c r="F659" s="272"/>
      <c r="G659" s="460"/>
      <c r="H659" s="272"/>
      <c r="I659" s="399"/>
      <c r="J659" s="241" t="b">
        <f>Age_Sex_BY[[#This Row],[Total Spending After Applying Truncation at the Member Level]]+Age_Sex_BY[[#This Row],[Total Dollars Excluded from Spending After Applying Truncation at the Member Level]]=Age_Sex_BY[[#This Row],[Total Spending before Truncation is Applied]]</f>
        <v>1</v>
      </c>
    </row>
    <row r="660" spans="1:10" x14ac:dyDescent="0.25">
      <c r="A660" s="342"/>
      <c r="B660" s="4"/>
      <c r="C660" s="16"/>
      <c r="D660" s="457"/>
      <c r="E660" s="363"/>
      <c r="F660" s="273"/>
      <c r="G660" s="226"/>
      <c r="H660" s="273"/>
      <c r="I660" s="400"/>
      <c r="J660" s="241" t="b">
        <f>Age_Sex_BY[[#This Row],[Total Spending After Applying Truncation at the Member Level]]+Age_Sex_BY[[#This Row],[Total Dollars Excluded from Spending After Applying Truncation at the Member Level]]=Age_Sex_BY[[#This Row],[Total Spending before Truncation is Applied]]</f>
        <v>1</v>
      </c>
    </row>
    <row r="661" spans="1:10" x14ac:dyDescent="0.25">
      <c r="A661" s="339"/>
      <c r="B661" s="270"/>
      <c r="C661" s="271"/>
      <c r="D661" s="456"/>
      <c r="E661" s="362"/>
      <c r="F661" s="272"/>
      <c r="G661" s="460"/>
      <c r="H661" s="272"/>
      <c r="I661" s="399"/>
      <c r="J661" s="241" t="b">
        <f>Age_Sex_BY[[#This Row],[Total Spending After Applying Truncation at the Member Level]]+Age_Sex_BY[[#This Row],[Total Dollars Excluded from Spending After Applying Truncation at the Member Level]]=Age_Sex_BY[[#This Row],[Total Spending before Truncation is Applied]]</f>
        <v>1</v>
      </c>
    </row>
    <row r="662" spans="1:10" x14ac:dyDescent="0.25">
      <c r="A662" s="342"/>
      <c r="B662" s="4"/>
      <c r="C662" s="16"/>
      <c r="D662" s="457"/>
      <c r="E662" s="363"/>
      <c r="F662" s="273"/>
      <c r="G662" s="226"/>
      <c r="H662" s="273"/>
      <c r="I662" s="400"/>
      <c r="J662" s="241" t="b">
        <f>Age_Sex_BY[[#This Row],[Total Spending After Applying Truncation at the Member Level]]+Age_Sex_BY[[#This Row],[Total Dollars Excluded from Spending After Applying Truncation at the Member Level]]=Age_Sex_BY[[#This Row],[Total Spending before Truncation is Applied]]</f>
        <v>1</v>
      </c>
    </row>
    <row r="663" spans="1:10" x14ac:dyDescent="0.25">
      <c r="A663" s="339"/>
      <c r="B663" s="270"/>
      <c r="C663" s="271"/>
      <c r="D663" s="456"/>
      <c r="E663" s="362"/>
      <c r="F663" s="272"/>
      <c r="G663" s="460"/>
      <c r="H663" s="272"/>
      <c r="I663" s="399"/>
      <c r="J663" s="241" t="b">
        <f>Age_Sex_BY[[#This Row],[Total Spending After Applying Truncation at the Member Level]]+Age_Sex_BY[[#This Row],[Total Dollars Excluded from Spending After Applying Truncation at the Member Level]]=Age_Sex_BY[[#This Row],[Total Spending before Truncation is Applied]]</f>
        <v>1</v>
      </c>
    </row>
    <row r="664" spans="1:10" x14ac:dyDescent="0.25">
      <c r="A664" s="342"/>
      <c r="B664" s="4"/>
      <c r="C664" s="16"/>
      <c r="D664" s="457"/>
      <c r="E664" s="363"/>
      <c r="F664" s="273"/>
      <c r="G664" s="226"/>
      <c r="H664" s="273"/>
      <c r="I664" s="400"/>
      <c r="J664" s="241" t="b">
        <f>Age_Sex_BY[[#This Row],[Total Spending After Applying Truncation at the Member Level]]+Age_Sex_BY[[#This Row],[Total Dollars Excluded from Spending After Applying Truncation at the Member Level]]=Age_Sex_BY[[#This Row],[Total Spending before Truncation is Applied]]</f>
        <v>1</v>
      </c>
    </row>
    <row r="665" spans="1:10" x14ac:dyDescent="0.25">
      <c r="A665" s="339"/>
      <c r="B665" s="270"/>
      <c r="C665" s="271"/>
      <c r="D665" s="456"/>
      <c r="E665" s="362"/>
      <c r="F665" s="272"/>
      <c r="G665" s="460"/>
      <c r="H665" s="272"/>
      <c r="I665" s="399"/>
      <c r="J665" s="241" t="b">
        <f>Age_Sex_BY[[#This Row],[Total Spending After Applying Truncation at the Member Level]]+Age_Sex_BY[[#This Row],[Total Dollars Excluded from Spending After Applying Truncation at the Member Level]]=Age_Sex_BY[[#This Row],[Total Spending before Truncation is Applied]]</f>
        <v>1</v>
      </c>
    </row>
    <row r="666" spans="1:10" x14ac:dyDescent="0.25">
      <c r="A666" s="342"/>
      <c r="B666" s="4"/>
      <c r="C666" s="16"/>
      <c r="D666" s="457"/>
      <c r="E666" s="363"/>
      <c r="F666" s="273"/>
      <c r="G666" s="226"/>
      <c r="H666" s="273"/>
      <c r="I666" s="400"/>
      <c r="J666" s="241" t="b">
        <f>Age_Sex_BY[[#This Row],[Total Spending After Applying Truncation at the Member Level]]+Age_Sex_BY[[#This Row],[Total Dollars Excluded from Spending After Applying Truncation at the Member Level]]=Age_Sex_BY[[#This Row],[Total Spending before Truncation is Applied]]</f>
        <v>1</v>
      </c>
    </row>
    <row r="667" spans="1:10" x14ac:dyDescent="0.25">
      <c r="A667" s="339"/>
      <c r="B667" s="270"/>
      <c r="C667" s="271"/>
      <c r="D667" s="456"/>
      <c r="E667" s="362"/>
      <c r="F667" s="272"/>
      <c r="G667" s="460"/>
      <c r="H667" s="272"/>
      <c r="I667" s="399"/>
      <c r="J667" s="241" t="b">
        <f>Age_Sex_BY[[#This Row],[Total Spending After Applying Truncation at the Member Level]]+Age_Sex_BY[[#This Row],[Total Dollars Excluded from Spending After Applying Truncation at the Member Level]]=Age_Sex_BY[[#This Row],[Total Spending before Truncation is Applied]]</f>
        <v>1</v>
      </c>
    </row>
    <row r="668" spans="1:10" x14ac:dyDescent="0.25">
      <c r="A668" s="342"/>
      <c r="B668" s="4"/>
      <c r="C668" s="16"/>
      <c r="D668" s="457"/>
      <c r="E668" s="363"/>
      <c r="F668" s="273"/>
      <c r="G668" s="226"/>
      <c r="H668" s="273"/>
      <c r="I668" s="400"/>
      <c r="J668" s="241" t="b">
        <f>Age_Sex_BY[[#This Row],[Total Spending After Applying Truncation at the Member Level]]+Age_Sex_BY[[#This Row],[Total Dollars Excluded from Spending After Applying Truncation at the Member Level]]=Age_Sex_BY[[#This Row],[Total Spending before Truncation is Applied]]</f>
        <v>1</v>
      </c>
    </row>
    <row r="669" spans="1:10" x14ac:dyDescent="0.25">
      <c r="A669" s="339"/>
      <c r="B669" s="270"/>
      <c r="C669" s="271"/>
      <c r="D669" s="456"/>
      <c r="E669" s="362"/>
      <c r="F669" s="272"/>
      <c r="G669" s="460"/>
      <c r="H669" s="272"/>
      <c r="I669" s="399"/>
      <c r="J669" s="241" t="b">
        <f>Age_Sex_BY[[#This Row],[Total Spending After Applying Truncation at the Member Level]]+Age_Sex_BY[[#This Row],[Total Dollars Excluded from Spending After Applying Truncation at the Member Level]]=Age_Sex_BY[[#This Row],[Total Spending before Truncation is Applied]]</f>
        <v>1</v>
      </c>
    </row>
    <row r="670" spans="1:10" x14ac:dyDescent="0.25">
      <c r="A670" s="342"/>
      <c r="B670" s="4"/>
      <c r="C670" s="16"/>
      <c r="D670" s="457"/>
      <c r="E670" s="363"/>
      <c r="F670" s="273"/>
      <c r="G670" s="226"/>
      <c r="H670" s="273"/>
      <c r="I670" s="400"/>
      <c r="J670" s="241" t="b">
        <f>Age_Sex_BY[[#This Row],[Total Spending After Applying Truncation at the Member Level]]+Age_Sex_BY[[#This Row],[Total Dollars Excluded from Spending After Applying Truncation at the Member Level]]=Age_Sex_BY[[#This Row],[Total Spending before Truncation is Applied]]</f>
        <v>1</v>
      </c>
    </row>
    <row r="671" spans="1:10" x14ac:dyDescent="0.25">
      <c r="A671" s="339"/>
      <c r="B671" s="270"/>
      <c r="C671" s="271"/>
      <c r="D671" s="456"/>
      <c r="E671" s="362"/>
      <c r="F671" s="272"/>
      <c r="G671" s="460"/>
      <c r="H671" s="272"/>
      <c r="I671" s="399"/>
      <c r="J671" s="241" t="b">
        <f>Age_Sex_BY[[#This Row],[Total Spending After Applying Truncation at the Member Level]]+Age_Sex_BY[[#This Row],[Total Dollars Excluded from Spending After Applying Truncation at the Member Level]]=Age_Sex_BY[[#This Row],[Total Spending before Truncation is Applied]]</f>
        <v>1</v>
      </c>
    </row>
    <row r="672" spans="1:10" x14ac:dyDescent="0.25">
      <c r="A672" s="342"/>
      <c r="B672" s="4"/>
      <c r="C672" s="16"/>
      <c r="D672" s="457"/>
      <c r="E672" s="363"/>
      <c r="F672" s="273"/>
      <c r="G672" s="226"/>
      <c r="H672" s="273"/>
      <c r="I672" s="400"/>
      <c r="J672" s="241" t="b">
        <f>Age_Sex_BY[[#This Row],[Total Spending After Applying Truncation at the Member Level]]+Age_Sex_BY[[#This Row],[Total Dollars Excluded from Spending After Applying Truncation at the Member Level]]=Age_Sex_BY[[#This Row],[Total Spending before Truncation is Applied]]</f>
        <v>1</v>
      </c>
    </row>
    <row r="673" spans="1:10" x14ac:dyDescent="0.25">
      <c r="A673" s="339"/>
      <c r="B673" s="270"/>
      <c r="C673" s="271"/>
      <c r="D673" s="456"/>
      <c r="E673" s="362"/>
      <c r="F673" s="272"/>
      <c r="G673" s="460"/>
      <c r="H673" s="272"/>
      <c r="I673" s="399"/>
      <c r="J673" s="241" t="b">
        <f>Age_Sex_BY[[#This Row],[Total Spending After Applying Truncation at the Member Level]]+Age_Sex_BY[[#This Row],[Total Dollars Excluded from Spending After Applying Truncation at the Member Level]]=Age_Sex_BY[[#This Row],[Total Spending before Truncation is Applied]]</f>
        <v>1</v>
      </c>
    </row>
    <row r="674" spans="1:10" x14ac:dyDescent="0.25">
      <c r="A674" s="342"/>
      <c r="B674" s="4"/>
      <c r="C674" s="16"/>
      <c r="D674" s="457"/>
      <c r="E674" s="363"/>
      <c r="F674" s="273"/>
      <c r="G674" s="226"/>
      <c r="H674" s="273"/>
      <c r="I674" s="400"/>
      <c r="J674" s="241" t="b">
        <f>Age_Sex_BY[[#This Row],[Total Spending After Applying Truncation at the Member Level]]+Age_Sex_BY[[#This Row],[Total Dollars Excluded from Spending After Applying Truncation at the Member Level]]=Age_Sex_BY[[#This Row],[Total Spending before Truncation is Applied]]</f>
        <v>1</v>
      </c>
    </row>
    <row r="675" spans="1:10" x14ac:dyDescent="0.25">
      <c r="A675" s="339"/>
      <c r="B675" s="270"/>
      <c r="C675" s="271"/>
      <c r="D675" s="456"/>
      <c r="E675" s="362"/>
      <c r="F675" s="272"/>
      <c r="G675" s="460"/>
      <c r="H675" s="272"/>
      <c r="I675" s="399"/>
      <c r="J675" s="241" t="b">
        <f>Age_Sex_BY[[#This Row],[Total Spending After Applying Truncation at the Member Level]]+Age_Sex_BY[[#This Row],[Total Dollars Excluded from Spending After Applying Truncation at the Member Level]]=Age_Sex_BY[[#This Row],[Total Spending before Truncation is Applied]]</f>
        <v>1</v>
      </c>
    </row>
    <row r="676" spans="1:10" x14ac:dyDescent="0.25">
      <c r="A676" s="342"/>
      <c r="B676" s="4"/>
      <c r="C676" s="16"/>
      <c r="D676" s="457"/>
      <c r="E676" s="363"/>
      <c r="F676" s="273"/>
      <c r="G676" s="226"/>
      <c r="H676" s="273"/>
      <c r="I676" s="400"/>
      <c r="J676" s="241" t="b">
        <f>Age_Sex_BY[[#This Row],[Total Spending After Applying Truncation at the Member Level]]+Age_Sex_BY[[#This Row],[Total Dollars Excluded from Spending After Applying Truncation at the Member Level]]=Age_Sex_BY[[#This Row],[Total Spending before Truncation is Applied]]</f>
        <v>1</v>
      </c>
    </row>
    <row r="677" spans="1:10" x14ac:dyDescent="0.25">
      <c r="A677" s="339"/>
      <c r="B677" s="270"/>
      <c r="C677" s="271"/>
      <c r="D677" s="456"/>
      <c r="E677" s="362"/>
      <c r="F677" s="272"/>
      <c r="G677" s="460"/>
      <c r="H677" s="272"/>
      <c r="I677" s="399"/>
      <c r="J677" s="241" t="b">
        <f>Age_Sex_BY[[#This Row],[Total Spending After Applying Truncation at the Member Level]]+Age_Sex_BY[[#This Row],[Total Dollars Excluded from Spending After Applying Truncation at the Member Level]]=Age_Sex_BY[[#This Row],[Total Spending before Truncation is Applied]]</f>
        <v>1</v>
      </c>
    </row>
    <row r="678" spans="1:10" x14ac:dyDescent="0.25">
      <c r="A678" s="342"/>
      <c r="B678" s="4"/>
      <c r="C678" s="16"/>
      <c r="D678" s="457"/>
      <c r="E678" s="363"/>
      <c r="F678" s="273"/>
      <c r="G678" s="226"/>
      <c r="H678" s="273"/>
      <c r="I678" s="400"/>
      <c r="J678" s="241" t="b">
        <f>Age_Sex_BY[[#This Row],[Total Spending After Applying Truncation at the Member Level]]+Age_Sex_BY[[#This Row],[Total Dollars Excluded from Spending After Applying Truncation at the Member Level]]=Age_Sex_BY[[#This Row],[Total Spending before Truncation is Applied]]</f>
        <v>1</v>
      </c>
    </row>
    <row r="679" spans="1:10" x14ac:dyDescent="0.25">
      <c r="A679" s="339"/>
      <c r="B679" s="270"/>
      <c r="C679" s="271"/>
      <c r="D679" s="456"/>
      <c r="E679" s="362"/>
      <c r="F679" s="272"/>
      <c r="G679" s="460"/>
      <c r="H679" s="272"/>
      <c r="I679" s="399"/>
      <c r="J679" s="241" t="b">
        <f>Age_Sex_BY[[#This Row],[Total Spending After Applying Truncation at the Member Level]]+Age_Sex_BY[[#This Row],[Total Dollars Excluded from Spending After Applying Truncation at the Member Level]]=Age_Sex_BY[[#This Row],[Total Spending before Truncation is Applied]]</f>
        <v>1</v>
      </c>
    </row>
    <row r="680" spans="1:10" x14ac:dyDescent="0.25">
      <c r="A680" s="342"/>
      <c r="B680" s="4"/>
      <c r="C680" s="16"/>
      <c r="D680" s="457"/>
      <c r="E680" s="363"/>
      <c r="F680" s="273"/>
      <c r="G680" s="226"/>
      <c r="H680" s="273"/>
      <c r="I680" s="400"/>
      <c r="J680" s="241" t="b">
        <f>Age_Sex_BY[[#This Row],[Total Spending After Applying Truncation at the Member Level]]+Age_Sex_BY[[#This Row],[Total Dollars Excluded from Spending After Applying Truncation at the Member Level]]=Age_Sex_BY[[#This Row],[Total Spending before Truncation is Applied]]</f>
        <v>1</v>
      </c>
    </row>
    <row r="681" spans="1:10" x14ac:dyDescent="0.25">
      <c r="A681" s="339"/>
      <c r="B681" s="270"/>
      <c r="C681" s="271"/>
      <c r="D681" s="456"/>
      <c r="E681" s="362"/>
      <c r="F681" s="272"/>
      <c r="G681" s="460"/>
      <c r="H681" s="272"/>
      <c r="I681" s="399"/>
      <c r="J681" s="241" t="b">
        <f>Age_Sex_BY[[#This Row],[Total Spending After Applying Truncation at the Member Level]]+Age_Sex_BY[[#This Row],[Total Dollars Excluded from Spending After Applying Truncation at the Member Level]]=Age_Sex_BY[[#This Row],[Total Spending before Truncation is Applied]]</f>
        <v>1</v>
      </c>
    </row>
    <row r="682" spans="1:10" x14ac:dyDescent="0.25">
      <c r="A682" s="342"/>
      <c r="B682" s="4"/>
      <c r="C682" s="16"/>
      <c r="D682" s="457"/>
      <c r="E682" s="363"/>
      <c r="F682" s="273"/>
      <c r="G682" s="226"/>
      <c r="H682" s="273"/>
      <c r="I682" s="400"/>
      <c r="J682" s="241" t="b">
        <f>Age_Sex_BY[[#This Row],[Total Spending After Applying Truncation at the Member Level]]+Age_Sex_BY[[#This Row],[Total Dollars Excluded from Spending After Applying Truncation at the Member Level]]=Age_Sex_BY[[#This Row],[Total Spending before Truncation is Applied]]</f>
        <v>1</v>
      </c>
    </row>
    <row r="683" spans="1:10" x14ac:dyDescent="0.25">
      <c r="A683" s="339"/>
      <c r="B683" s="270"/>
      <c r="C683" s="271"/>
      <c r="D683" s="456"/>
      <c r="E683" s="362"/>
      <c r="F683" s="272"/>
      <c r="G683" s="460"/>
      <c r="H683" s="272"/>
      <c r="I683" s="399"/>
      <c r="J683" s="241" t="b">
        <f>Age_Sex_BY[[#This Row],[Total Spending After Applying Truncation at the Member Level]]+Age_Sex_BY[[#This Row],[Total Dollars Excluded from Spending After Applying Truncation at the Member Level]]=Age_Sex_BY[[#This Row],[Total Spending before Truncation is Applied]]</f>
        <v>1</v>
      </c>
    </row>
    <row r="684" spans="1:10" x14ac:dyDescent="0.25">
      <c r="A684" s="342"/>
      <c r="B684" s="4"/>
      <c r="C684" s="16"/>
      <c r="D684" s="457"/>
      <c r="E684" s="363"/>
      <c r="F684" s="273"/>
      <c r="G684" s="226"/>
      <c r="H684" s="273"/>
      <c r="I684" s="400"/>
      <c r="J684" s="241" t="b">
        <f>Age_Sex_BY[[#This Row],[Total Spending After Applying Truncation at the Member Level]]+Age_Sex_BY[[#This Row],[Total Dollars Excluded from Spending After Applying Truncation at the Member Level]]=Age_Sex_BY[[#This Row],[Total Spending before Truncation is Applied]]</f>
        <v>1</v>
      </c>
    </row>
    <row r="685" spans="1:10" x14ac:dyDescent="0.25">
      <c r="A685" s="339"/>
      <c r="B685" s="270"/>
      <c r="C685" s="271"/>
      <c r="D685" s="456"/>
      <c r="E685" s="362"/>
      <c r="F685" s="272"/>
      <c r="G685" s="460"/>
      <c r="H685" s="272"/>
      <c r="I685" s="399"/>
      <c r="J685" s="241" t="b">
        <f>Age_Sex_BY[[#This Row],[Total Spending After Applying Truncation at the Member Level]]+Age_Sex_BY[[#This Row],[Total Dollars Excluded from Spending After Applying Truncation at the Member Level]]=Age_Sex_BY[[#This Row],[Total Spending before Truncation is Applied]]</f>
        <v>1</v>
      </c>
    </row>
    <row r="686" spans="1:10" x14ac:dyDescent="0.25">
      <c r="A686" s="342"/>
      <c r="B686" s="4"/>
      <c r="C686" s="16"/>
      <c r="D686" s="457"/>
      <c r="E686" s="363"/>
      <c r="F686" s="273"/>
      <c r="G686" s="226"/>
      <c r="H686" s="273"/>
      <c r="I686" s="400"/>
      <c r="J686" s="241" t="b">
        <f>Age_Sex_BY[[#This Row],[Total Spending After Applying Truncation at the Member Level]]+Age_Sex_BY[[#This Row],[Total Dollars Excluded from Spending After Applying Truncation at the Member Level]]=Age_Sex_BY[[#This Row],[Total Spending before Truncation is Applied]]</f>
        <v>1</v>
      </c>
    </row>
    <row r="687" spans="1:10" x14ac:dyDescent="0.25">
      <c r="A687" s="339"/>
      <c r="B687" s="270"/>
      <c r="C687" s="271"/>
      <c r="D687" s="456"/>
      <c r="E687" s="362"/>
      <c r="F687" s="272"/>
      <c r="G687" s="460"/>
      <c r="H687" s="272"/>
      <c r="I687" s="399"/>
      <c r="J687" s="241" t="b">
        <f>Age_Sex_BY[[#This Row],[Total Spending After Applying Truncation at the Member Level]]+Age_Sex_BY[[#This Row],[Total Dollars Excluded from Spending After Applying Truncation at the Member Level]]=Age_Sex_BY[[#This Row],[Total Spending before Truncation is Applied]]</f>
        <v>1</v>
      </c>
    </row>
    <row r="688" spans="1:10" x14ac:dyDescent="0.25">
      <c r="A688" s="342"/>
      <c r="B688" s="4"/>
      <c r="C688" s="16"/>
      <c r="D688" s="457"/>
      <c r="E688" s="363"/>
      <c r="F688" s="273"/>
      <c r="G688" s="226"/>
      <c r="H688" s="273"/>
      <c r="I688" s="400"/>
      <c r="J688" s="241" t="b">
        <f>Age_Sex_BY[[#This Row],[Total Spending After Applying Truncation at the Member Level]]+Age_Sex_BY[[#This Row],[Total Dollars Excluded from Spending After Applying Truncation at the Member Level]]=Age_Sex_BY[[#This Row],[Total Spending before Truncation is Applied]]</f>
        <v>1</v>
      </c>
    </row>
    <row r="689" spans="1:10" x14ac:dyDescent="0.25">
      <c r="A689" s="339"/>
      <c r="B689" s="270"/>
      <c r="C689" s="271"/>
      <c r="D689" s="456"/>
      <c r="E689" s="362"/>
      <c r="F689" s="272"/>
      <c r="G689" s="460"/>
      <c r="H689" s="272"/>
      <c r="I689" s="399"/>
      <c r="J689" s="241" t="b">
        <f>Age_Sex_BY[[#This Row],[Total Spending After Applying Truncation at the Member Level]]+Age_Sex_BY[[#This Row],[Total Dollars Excluded from Spending After Applying Truncation at the Member Level]]=Age_Sex_BY[[#This Row],[Total Spending before Truncation is Applied]]</f>
        <v>1</v>
      </c>
    </row>
    <row r="690" spans="1:10" x14ac:dyDescent="0.25">
      <c r="A690" s="342"/>
      <c r="B690" s="4"/>
      <c r="C690" s="16"/>
      <c r="D690" s="457"/>
      <c r="E690" s="363"/>
      <c r="F690" s="273"/>
      <c r="G690" s="226"/>
      <c r="H690" s="273"/>
      <c r="I690" s="400"/>
      <c r="J690" s="241" t="b">
        <f>Age_Sex_BY[[#This Row],[Total Spending After Applying Truncation at the Member Level]]+Age_Sex_BY[[#This Row],[Total Dollars Excluded from Spending After Applying Truncation at the Member Level]]=Age_Sex_BY[[#This Row],[Total Spending before Truncation is Applied]]</f>
        <v>1</v>
      </c>
    </row>
    <row r="691" spans="1:10" x14ac:dyDescent="0.25">
      <c r="A691" s="339"/>
      <c r="B691" s="270"/>
      <c r="C691" s="271"/>
      <c r="D691" s="456"/>
      <c r="E691" s="362"/>
      <c r="F691" s="272"/>
      <c r="G691" s="460"/>
      <c r="H691" s="272"/>
      <c r="I691" s="399"/>
      <c r="J691" s="241" t="b">
        <f>Age_Sex_BY[[#This Row],[Total Spending After Applying Truncation at the Member Level]]+Age_Sex_BY[[#This Row],[Total Dollars Excluded from Spending After Applying Truncation at the Member Level]]=Age_Sex_BY[[#This Row],[Total Spending before Truncation is Applied]]</f>
        <v>1</v>
      </c>
    </row>
    <row r="692" spans="1:10" x14ac:dyDescent="0.25">
      <c r="A692" s="342"/>
      <c r="B692" s="4"/>
      <c r="C692" s="16"/>
      <c r="D692" s="457"/>
      <c r="E692" s="363"/>
      <c r="F692" s="273"/>
      <c r="G692" s="226"/>
      <c r="H692" s="273"/>
      <c r="I692" s="400"/>
      <c r="J692" s="241" t="b">
        <f>Age_Sex_BY[[#This Row],[Total Spending After Applying Truncation at the Member Level]]+Age_Sex_BY[[#This Row],[Total Dollars Excluded from Spending After Applying Truncation at the Member Level]]=Age_Sex_BY[[#This Row],[Total Spending before Truncation is Applied]]</f>
        <v>1</v>
      </c>
    </row>
    <row r="693" spans="1:10" x14ac:dyDescent="0.25">
      <c r="A693" s="339"/>
      <c r="B693" s="270"/>
      <c r="C693" s="271"/>
      <c r="D693" s="456"/>
      <c r="E693" s="362"/>
      <c r="F693" s="272"/>
      <c r="G693" s="460"/>
      <c r="H693" s="272"/>
      <c r="I693" s="399"/>
      <c r="J693" s="241" t="b">
        <f>Age_Sex_BY[[#This Row],[Total Spending After Applying Truncation at the Member Level]]+Age_Sex_BY[[#This Row],[Total Dollars Excluded from Spending After Applying Truncation at the Member Level]]=Age_Sex_BY[[#This Row],[Total Spending before Truncation is Applied]]</f>
        <v>1</v>
      </c>
    </row>
    <row r="694" spans="1:10" x14ac:dyDescent="0.25">
      <c r="A694" s="342"/>
      <c r="B694" s="4"/>
      <c r="C694" s="16"/>
      <c r="D694" s="457"/>
      <c r="E694" s="363"/>
      <c r="F694" s="273"/>
      <c r="G694" s="226"/>
      <c r="H694" s="273"/>
      <c r="I694" s="400"/>
      <c r="J694" s="241" t="b">
        <f>Age_Sex_BY[[#This Row],[Total Spending After Applying Truncation at the Member Level]]+Age_Sex_BY[[#This Row],[Total Dollars Excluded from Spending After Applying Truncation at the Member Level]]=Age_Sex_BY[[#This Row],[Total Spending before Truncation is Applied]]</f>
        <v>1</v>
      </c>
    </row>
    <row r="695" spans="1:10" x14ac:dyDescent="0.25">
      <c r="A695" s="339"/>
      <c r="B695" s="270"/>
      <c r="C695" s="271"/>
      <c r="D695" s="456"/>
      <c r="E695" s="362"/>
      <c r="F695" s="272"/>
      <c r="G695" s="460"/>
      <c r="H695" s="272"/>
      <c r="I695" s="399"/>
      <c r="J695" s="241" t="b">
        <f>Age_Sex_BY[[#This Row],[Total Spending After Applying Truncation at the Member Level]]+Age_Sex_BY[[#This Row],[Total Dollars Excluded from Spending After Applying Truncation at the Member Level]]=Age_Sex_BY[[#This Row],[Total Spending before Truncation is Applied]]</f>
        <v>1</v>
      </c>
    </row>
    <row r="696" spans="1:10" x14ac:dyDescent="0.25">
      <c r="A696" s="342"/>
      <c r="B696" s="4"/>
      <c r="C696" s="16"/>
      <c r="D696" s="457"/>
      <c r="E696" s="363"/>
      <c r="F696" s="273"/>
      <c r="G696" s="226"/>
      <c r="H696" s="273"/>
      <c r="I696" s="400"/>
      <c r="J696" s="241" t="b">
        <f>Age_Sex_BY[[#This Row],[Total Spending After Applying Truncation at the Member Level]]+Age_Sex_BY[[#This Row],[Total Dollars Excluded from Spending After Applying Truncation at the Member Level]]=Age_Sex_BY[[#This Row],[Total Spending before Truncation is Applied]]</f>
        <v>1</v>
      </c>
    </row>
    <row r="697" spans="1:10" x14ac:dyDescent="0.25">
      <c r="A697" s="339"/>
      <c r="B697" s="270"/>
      <c r="C697" s="271"/>
      <c r="D697" s="456"/>
      <c r="E697" s="362"/>
      <c r="F697" s="272"/>
      <c r="G697" s="460"/>
      <c r="H697" s="272"/>
      <c r="I697" s="399"/>
      <c r="J697" s="241" t="b">
        <f>Age_Sex_BY[[#This Row],[Total Spending After Applying Truncation at the Member Level]]+Age_Sex_BY[[#This Row],[Total Dollars Excluded from Spending After Applying Truncation at the Member Level]]=Age_Sex_BY[[#This Row],[Total Spending before Truncation is Applied]]</f>
        <v>1</v>
      </c>
    </row>
    <row r="698" spans="1:10" x14ac:dyDescent="0.25">
      <c r="A698" s="342"/>
      <c r="B698" s="4"/>
      <c r="C698" s="16"/>
      <c r="D698" s="457"/>
      <c r="E698" s="363"/>
      <c r="F698" s="273"/>
      <c r="G698" s="226"/>
      <c r="H698" s="273"/>
      <c r="I698" s="400"/>
      <c r="J698" s="241" t="b">
        <f>Age_Sex_BY[[#This Row],[Total Spending After Applying Truncation at the Member Level]]+Age_Sex_BY[[#This Row],[Total Dollars Excluded from Spending After Applying Truncation at the Member Level]]=Age_Sex_BY[[#This Row],[Total Spending before Truncation is Applied]]</f>
        <v>1</v>
      </c>
    </row>
    <row r="699" spans="1:10" x14ac:dyDescent="0.25">
      <c r="A699" s="339"/>
      <c r="B699" s="270"/>
      <c r="C699" s="271"/>
      <c r="D699" s="456"/>
      <c r="E699" s="362"/>
      <c r="F699" s="272"/>
      <c r="G699" s="460"/>
      <c r="H699" s="272"/>
      <c r="I699" s="399"/>
      <c r="J699" s="241" t="b">
        <f>Age_Sex_BY[[#This Row],[Total Spending After Applying Truncation at the Member Level]]+Age_Sex_BY[[#This Row],[Total Dollars Excluded from Spending After Applying Truncation at the Member Level]]=Age_Sex_BY[[#This Row],[Total Spending before Truncation is Applied]]</f>
        <v>1</v>
      </c>
    </row>
    <row r="700" spans="1:10" x14ac:dyDescent="0.25">
      <c r="A700" s="342"/>
      <c r="B700" s="4"/>
      <c r="C700" s="16"/>
      <c r="D700" s="457"/>
      <c r="E700" s="363"/>
      <c r="F700" s="273"/>
      <c r="G700" s="226"/>
      <c r="H700" s="273"/>
      <c r="I700" s="400"/>
      <c r="J700" s="241" t="b">
        <f>Age_Sex_BY[[#This Row],[Total Spending After Applying Truncation at the Member Level]]+Age_Sex_BY[[#This Row],[Total Dollars Excluded from Spending After Applying Truncation at the Member Level]]=Age_Sex_BY[[#This Row],[Total Spending before Truncation is Applied]]</f>
        <v>1</v>
      </c>
    </row>
    <row r="701" spans="1:10" x14ac:dyDescent="0.25">
      <c r="A701" s="339"/>
      <c r="B701" s="270"/>
      <c r="C701" s="271"/>
      <c r="D701" s="456"/>
      <c r="E701" s="362"/>
      <c r="F701" s="272"/>
      <c r="G701" s="460"/>
      <c r="H701" s="272"/>
      <c r="I701" s="399"/>
      <c r="J701" s="241" t="b">
        <f>Age_Sex_BY[[#This Row],[Total Spending After Applying Truncation at the Member Level]]+Age_Sex_BY[[#This Row],[Total Dollars Excluded from Spending After Applying Truncation at the Member Level]]=Age_Sex_BY[[#This Row],[Total Spending before Truncation is Applied]]</f>
        <v>1</v>
      </c>
    </row>
    <row r="702" spans="1:10" x14ac:dyDescent="0.25">
      <c r="A702" s="342"/>
      <c r="B702" s="4"/>
      <c r="C702" s="16"/>
      <c r="D702" s="457"/>
      <c r="E702" s="363"/>
      <c r="F702" s="273"/>
      <c r="G702" s="226"/>
      <c r="H702" s="273"/>
      <c r="I702" s="400"/>
      <c r="J702" s="241" t="b">
        <f>Age_Sex_BY[[#This Row],[Total Spending After Applying Truncation at the Member Level]]+Age_Sex_BY[[#This Row],[Total Dollars Excluded from Spending After Applying Truncation at the Member Level]]=Age_Sex_BY[[#This Row],[Total Spending before Truncation is Applied]]</f>
        <v>1</v>
      </c>
    </row>
    <row r="703" spans="1:10" x14ac:dyDescent="0.25">
      <c r="A703" s="339"/>
      <c r="B703" s="270"/>
      <c r="C703" s="271"/>
      <c r="D703" s="456"/>
      <c r="E703" s="362"/>
      <c r="F703" s="272"/>
      <c r="G703" s="460"/>
      <c r="H703" s="272"/>
      <c r="I703" s="399"/>
      <c r="J703" s="241" t="b">
        <f>Age_Sex_BY[[#This Row],[Total Spending After Applying Truncation at the Member Level]]+Age_Sex_BY[[#This Row],[Total Dollars Excluded from Spending After Applying Truncation at the Member Level]]=Age_Sex_BY[[#This Row],[Total Spending before Truncation is Applied]]</f>
        <v>1</v>
      </c>
    </row>
    <row r="704" spans="1:10" x14ac:dyDescent="0.25">
      <c r="A704" s="342"/>
      <c r="B704" s="4"/>
      <c r="C704" s="16"/>
      <c r="D704" s="457"/>
      <c r="E704" s="363"/>
      <c r="F704" s="273"/>
      <c r="G704" s="226"/>
      <c r="H704" s="273"/>
      <c r="I704" s="400"/>
      <c r="J704" s="241" t="b">
        <f>Age_Sex_BY[[#This Row],[Total Spending After Applying Truncation at the Member Level]]+Age_Sex_BY[[#This Row],[Total Dollars Excluded from Spending After Applying Truncation at the Member Level]]=Age_Sex_BY[[#This Row],[Total Spending before Truncation is Applied]]</f>
        <v>1</v>
      </c>
    </row>
    <row r="705" spans="1:10" x14ac:dyDescent="0.25">
      <c r="A705" s="339"/>
      <c r="B705" s="270"/>
      <c r="C705" s="271"/>
      <c r="D705" s="456"/>
      <c r="E705" s="362"/>
      <c r="F705" s="272"/>
      <c r="G705" s="460"/>
      <c r="H705" s="272"/>
      <c r="I705" s="399"/>
      <c r="J705" s="241" t="b">
        <f>Age_Sex_BY[[#This Row],[Total Spending After Applying Truncation at the Member Level]]+Age_Sex_BY[[#This Row],[Total Dollars Excluded from Spending After Applying Truncation at the Member Level]]=Age_Sex_BY[[#This Row],[Total Spending before Truncation is Applied]]</f>
        <v>1</v>
      </c>
    </row>
    <row r="706" spans="1:10" x14ac:dyDescent="0.25">
      <c r="A706" s="342"/>
      <c r="B706" s="4"/>
      <c r="C706" s="16"/>
      <c r="D706" s="457"/>
      <c r="E706" s="363"/>
      <c r="F706" s="273"/>
      <c r="G706" s="226"/>
      <c r="H706" s="273"/>
      <c r="I706" s="400"/>
      <c r="J706" s="241" t="b">
        <f>Age_Sex_BY[[#This Row],[Total Spending After Applying Truncation at the Member Level]]+Age_Sex_BY[[#This Row],[Total Dollars Excluded from Spending After Applying Truncation at the Member Level]]=Age_Sex_BY[[#This Row],[Total Spending before Truncation is Applied]]</f>
        <v>1</v>
      </c>
    </row>
    <row r="707" spans="1:10" x14ac:dyDescent="0.25">
      <c r="A707" s="339"/>
      <c r="B707" s="270"/>
      <c r="C707" s="271"/>
      <c r="D707" s="456"/>
      <c r="E707" s="362"/>
      <c r="F707" s="272"/>
      <c r="G707" s="460"/>
      <c r="H707" s="272"/>
      <c r="I707" s="399"/>
      <c r="J707" s="241" t="b">
        <f>Age_Sex_BY[[#This Row],[Total Spending After Applying Truncation at the Member Level]]+Age_Sex_BY[[#This Row],[Total Dollars Excluded from Spending After Applying Truncation at the Member Level]]=Age_Sex_BY[[#This Row],[Total Spending before Truncation is Applied]]</f>
        <v>1</v>
      </c>
    </row>
    <row r="708" spans="1:10" x14ac:dyDescent="0.25">
      <c r="A708" s="342"/>
      <c r="B708" s="4"/>
      <c r="C708" s="16"/>
      <c r="D708" s="457"/>
      <c r="E708" s="363"/>
      <c r="F708" s="273"/>
      <c r="G708" s="226"/>
      <c r="H708" s="273"/>
      <c r="I708" s="400"/>
      <c r="J708" s="241" t="b">
        <f>Age_Sex_BY[[#This Row],[Total Spending After Applying Truncation at the Member Level]]+Age_Sex_BY[[#This Row],[Total Dollars Excluded from Spending After Applying Truncation at the Member Level]]=Age_Sex_BY[[#This Row],[Total Spending before Truncation is Applied]]</f>
        <v>1</v>
      </c>
    </row>
    <row r="709" spans="1:10" x14ac:dyDescent="0.25">
      <c r="A709" s="339"/>
      <c r="B709" s="270"/>
      <c r="C709" s="271"/>
      <c r="D709" s="456"/>
      <c r="E709" s="362"/>
      <c r="F709" s="272"/>
      <c r="G709" s="460"/>
      <c r="H709" s="272"/>
      <c r="I709" s="399"/>
      <c r="J709" s="241" t="b">
        <f>Age_Sex_BY[[#This Row],[Total Spending After Applying Truncation at the Member Level]]+Age_Sex_BY[[#This Row],[Total Dollars Excluded from Spending After Applying Truncation at the Member Level]]=Age_Sex_BY[[#This Row],[Total Spending before Truncation is Applied]]</f>
        <v>1</v>
      </c>
    </row>
    <row r="710" spans="1:10" x14ac:dyDescent="0.25">
      <c r="A710" s="342"/>
      <c r="B710" s="4"/>
      <c r="C710" s="16"/>
      <c r="D710" s="457"/>
      <c r="E710" s="363"/>
      <c r="F710" s="273"/>
      <c r="G710" s="226"/>
      <c r="H710" s="273"/>
      <c r="I710" s="400"/>
      <c r="J710" s="241" t="b">
        <f>Age_Sex_BY[[#This Row],[Total Spending After Applying Truncation at the Member Level]]+Age_Sex_BY[[#This Row],[Total Dollars Excluded from Spending After Applying Truncation at the Member Level]]=Age_Sex_BY[[#This Row],[Total Spending before Truncation is Applied]]</f>
        <v>1</v>
      </c>
    </row>
    <row r="711" spans="1:10" x14ac:dyDescent="0.25">
      <c r="A711" s="339"/>
      <c r="B711" s="270"/>
      <c r="C711" s="271"/>
      <c r="D711" s="456"/>
      <c r="E711" s="362"/>
      <c r="F711" s="272"/>
      <c r="G711" s="460"/>
      <c r="H711" s="272"/>
      <c r="I711" s="399"/>
      <c r="J711" s="241" t="b">
        <f>Age_Sex_BY[[#This Row],[Total Spending After Applying Truncation at the Member Level]]+Age_Sex_BY[[#This Row],[Total Dollars Excluded from Spending After Applying Truncation at the Member Level]]=Age_Sex_BY[[#This Row],[Total Spending before Truncation is Applied]]</f>
        <v>1</v>
      </c>
    </row>
    <row r="712" spans="1:10" x14ac:dyDescent="0.25">
      <c r="A712" s="342"/>
      <c r="B712" s="4"/>
      <c r="C712" s="16"/>
      <c r="D712" s="457"/>
      <c r="E712" s="363"/>
      <c r="F712" s="273"/>
      <c r="G712" s="226"/>
      <c r="H712" s="273"/>
      <c r="I712" s="400"/>
      <c r="J712" s="241" t="b">
        <f>Age_Sex_BY[[#This Row],[Total Spending After Applying Truncation at the Member Level]]+Age_Sex_BY[[#This Row],[Total Dollars Excluded from Spending After Applying Truncation at the Member Level]]=Age_Sex_BY[[#This Row],[Total Spending before Truncation is Applied]]</f>
        <v>1</v>
      </c>
    </row>
    <row r="713" spans="1:10" x14ac:dyDescent="0.25">
      <c r="A713" s="339"/>
      <c r="B713" s="270"/>
      <c r="C713" s="271"/>
      <c r="D713" s="456"/>
      <c r="E713" s="362"/>
      <c r="F713" s="272"/>
      <c r="G713" s="460"/>
      <c r="H713" s="272"/>
      <c r="I713" s="399"/>
      <c r="J713" s="241" t="b">
        <f>Age_Sex_BY[[#This Row],[Total Spending After Applying Truncation at the Member Level]]+Age_Sex_BY[[#This Row],[Total Dollars Excluded from Spending After Applying Truncation at the Member Level]]=Age_Sex_BY[[#This Row],[Total Spending before Truncation is Applied]]</f>
        <v>1</v>
      </c>
    </row>
    <row r="714" spans="1:10" x14ac:dyDescent="0.25">
      <c r="A714" s="342"/>
      <c r="B714" s="4"/>
      <c r="C714" s="16"/>
      <c r="D714" s="457"/>
      <c r="E714" s="363"/>
      <c r="F714" s="273"/>
      <c r="G714" s="226"/>
      <c r="H714" s="273"/>
      <c r="I714" s="400"/>
      <c r="J714" s="241" t="b">
        <f>Age_Sex_BY[[#This Row],[Total Spending After Applying Truncation at the Member Level]]+Age_Sex_BY[[#This Row],[Total Dollars Excluded from Spending After Applying Truncation at the Member Level]]=Age_Sex_BY[[#This Row],[Total Spending before Truncation is Applied]]</f>
        <v>1</v>
      </c>
    </row>
    <row r="715" spans="1:10" x14ac:dyDescent="0.25">
      <c r="A715" s="339"/>
      <c r="B715" s="270"/>
      <c r="C715" s="271"/>
      <c r="D715" s="456"/>
      <c r="E715" s="362"/>
      <c r="F715" s="272"/>
      <c r="G715" s="460"/>
      <c r="H715" s="272"/>
      <c r="I715" s="399"/>
      <c r="J715" s="241" t="b">
        <f>Age_Sex_BY[[#This Row],[Total Spending After Applying Truncation at the Member Level]]+Age_Sex_BY[[#This Row],[Total Dollars Excluded from Spending After Applying Truncation at the Member Level]]=Age_Sex_BY[[#This Row],[Total Spending before Truncation is Applied]]</f>
        <v>1</v>
      </c>
    </row>
    <row r="716" spans="1:10" x14ac:dyDescent="0.25">
      <c r="A716" s="342"/>
      <c r="B716" s="4"/>
      <c r="C716" s="16"/>
      <c r="D716" s="457"/>
      <c r="E716" s="363"/>
      <c r="F716" s="273"/>
      <c r="G716" s="226"/>
      <c r="H716" s="273"/>
      <c r="I716" s="400"/>
      <c r="J716" s="241" t="b">
        <f>Age_Sex_BY[[#This Row],[Total Spending After Applying Truncation at the Member Level]]+Age_Sex_BY[[#This Row],[Total Dollars Excluded from Spending After Applying Truncation at the Member Level]]=Age_Sex_BY[[#This Row],[Total Spending before Truncation is Applied]]</f>
        <v>1</v>
      </c>
    </row>
    <row r="717" spans="1:10" x14ac:dyDescent="0.25">
      <c r="A717" s="339"/>
      <c r="B717" s="270"/>
      <c r="C717" s="271"/>
      <c r="D717" s="456"/>
      <c r="E717" s="362"/>
      <c r="F717" s="272"/>
      <c r="G717" s="460"/>
      <c r="H717" s="272"/>
      <c r="I717" s="399"/>
      <c r="J717" s="241" t="b">
        <f>Age_Sex_BY[[#This Row],[Total Spending After Applying Truncation at the Member Level]]+Age_Sex_BY[[#This Row],[Total Dollars Excluded from Spending After Applying Truncation at the Member Level]]=Age_Sex_BY[[#This Row],[Total Spending before Truncation is Applied]]</f>
        <v>1</v>
      </c>
    </row>
    <row r="718" spans="1:10" x14ac:dyDescent="0.25">
      <c r="A718" s="342"/>
      <c r="B718" s="4"/>
      <c r="C718" s="16"/>
      <c r="D718" s="457"/>
      <c r="E718" s="363"/>
      <c r="F718" s="273"/>
      <c r="G718" s="226"/>
      <c r="H718" s="273"/>
      <c r="I718" s="400"/>
      <c r="J718" s="241" t="b">
        <f>Age_Sex_BY[[#This Row],[Total Spending After Applying Truncation at the Member Level]]+Age_Sex_BY[[#This Row],[Total Dollars Excluded from Spending After Applying Truncation at the Member Level]]=Age_Sex_BY[[#This Row],[Total Spending before Truncation is Applied]]</f>
        <v>1</v>
      </c>
    </row>
    <row r="719" spans="1:10" x14ac:dyDescent="0.25">
      <c r="A719" s="339"/>
      <c r="B719" s="270"/>
      <c r="C719" s="271"/>
      <c r="D719" s="456"/>
      <c r="E719" s="362"/>
      <c r="F719" s="272"/>
      <c r="G719" s="460"/>
      <c r="H719" s="272"/>
      <c r="I719" s="399"/>
      <c r="J719" s="241" t="b">
        <f>Age_Sex_BY[[#This Row],[Total Spending After Applying Truncation at the Member Level]]+Age_Sex_BY[[#This Row],[Total Dollars Excluded from Spending After Applying Truncation at the Member Level]]=Age_Sex_BY[[#This Row],[Total Spending before Truncation is Applied]]</f>
        <v>1</v>
      </c>
    </row>
    <row r="720" spans="1:10" x14ac:dyDescent="0.25">
      <c r="A720" s="342"/>
      <c r="B720" s="4"/>
      <c r="C720" s="16"/>
      <c r="D720" s="457"/>
      <c r="E720" s="363"/>
      <c r="F720" s="273"/>
      <c r="G720" s="226"/>
      <c r="H720" s="273"/>
      <c r="I720" s="400"/>
      <c r="J720" s="241" t="b">
        <f>Age_Sex_BY[[#This Row],[Total Spending After Applying Truncation at the Member Level]]+Age_Sex_BY[[#This Row],[Total Dollars Excluded from Spending After Applying Truncation at the Member Level]]=Age_Sex_BY[[#This Row],[Total Spending before Truncation is Applied]]</f>
        <v>1</v>
      </c>
    </row>
    <row r="721" spans="1:10" x14ac:dyDescent="0.25">
      <c r="A721" s="339"/>
      <c r="B721" s="270"/>
      <c r="C721" s="271"/>
      <c r="D721" s="456"/>
      <c r="E721" s="362"/>
      <c r="F721" s="272"/>
      <c r="G721" s="460"/>
      <c r="H721" s="272"/>
      <c r="I721" s="399"/>
      <c r="J721" s="241" t="b">
        <f>Age_Sex_BY[[#This Row],[Total Spending After Applying Truncation at the Member Level]]+Age_Sex_BY[[#This Row],[Total Dollars Excluded from Spending After Applying Truncation at the Member Level]]=Age_Sex_BY[[#This Row],[Total Spending before Truncation is Applied]]</f>
        <v>1</v>
      </c>
    </row>
    <row r="722" spans="1:10" x14ac:dyDescent="0.25">
      <c r="A722" s="342"/>
      <c r="B722" s="4"/>
      <c r="C722" s="16"/>
      <c r="D722" s="457"/>
      <c r="E722" s="363"/>
      <c r="F722" s="273"/>
      <c r="G722" s="226"/>
      <c r="H722" s="273"/>
      <c r="I722" s="400"/>
      <c r="J722" s="241" t="b">
        <f>Age_Sex_BY[[#This Row],[Total Spending After Applying Truncation at the Member Level]]+Age_Sex_BY[[#This Row],[Total Dollars Excluded from Spending After Applying Truncation at the Member Level]]=Age_Sex_BY[[#This Row],[Total Spending before Truncation is Applied]]</f>
        <v>1</v>
      </c>
    </row>
    <row r="723" spans="1:10" x14ac:dyDescent="0.25">
      <c r="A723" s="339"/>
      <c r="B723" s="270"/>
      <c r="C723" s="271"/>
      <c r="D723" s="456"/>
      <c r="E723" s="362"/>
      <c r="F723" s="272"/>
      <c r="G723" s="460"/>
      <c r="H723" s="272"/>
      <c r="I723" s="399"/>
      <c r="J723" s="241" t="b">
        <f>Age_Sex_BY[[#This Row],[Total Spending After Applying Truncation at the Member Level]]+Age_Sex_BY[[#This Row],[Total Dollars Excluded from Spending After Applying Truncation at the Member Level]]=Age_Sex_BY[[#This Row],[Total Spending before Truncation is Applied]]</f>
        <v>1</v>
      </c>
    </row>
    <row r="724" spans="1:10" x14ac:dyDescent="0.25">
      <c r="A724" s="342"/>
      <c r="B724" s="4"/>
      <c r="C724" s="16"/>
      <c r="D724" s="457"/>
      <c r="E724" s="363"/>
      <c r="F724" s="273"/>
      <c r="G724" s="226"/>
      <c r="H724" s="273"/>
      <c r="I724" s="400"/>
      <c r="J724" s="241" t="b">
        <f>Age_Sex_BY[[#This Row],[Total Spending After Applying Truncation at the Member Level]]+Age_Sex_BY[[#This Row],[Total Dollars Excluded from Spending After Applying Truncation at the Member Level]]=Age_Sex_BY[[#This Row],[Total Spending before Truncation is Applied]]</f>
        <v>1</v>
      </c>
    </row>
    <row r="725" spans="1:10" x14ac:dyDescent="0.25">
      <c r="A725" s="339"/>
      <c r="B725" s="270"/>
      <c r="C725" s="271"/>
      <c r="D725" s="456"/>
      <c r="E725" s="362"/>
      <c r="F725" s="272"/>
      <c r="G725" s="460"/>
      <c r="H725" s="272"/>
      <c r="I725" s="399"/>
      <c r="J725" s="241" t="b">
        <f>Age_Sex_BY[[#This Row],[Total Spending After Applying Truncation at the Member Level]]+Age_Sex_BY[[#This Row],[Total Dollars Excluded from Spending After Applying Truncation at the Member Level]]=Age_Sex_BY[[#This Row],[Total Spending before Truncation is Applied]]</f>
        <v>1</v>
      </c>
    </row>
    <row r="726" spans="1:10" x14ac:dyDescent="0.25">
      <c r="A726" s="342"/>
      <c r="B726" s="4"/>
      <c r="C726" s="16"/>
      <c r="D726" s="457"/>
      <c r="E726" s="363"/>
      <c r="F726" s="273"/>
      <c r="G726" s="226"/>
      <c r="H726" s="273"/>
      <c r="I726" s="400"/>
      <c r="J726" s="241" t="b">
        <f>Age_Sex_BY[[#This Row],[Total Spending After Applying Truncation at the Member Level]]+Age_Sex_BY[[#This Row],[Total Dollars Excluded from Spending After Applying Truncation at the Member Level]]=Age_Sex_BY[[#This Row],[Total Spending before Truncation is Applied]]</f>
        <v>1</v>
      </c>
    </row>
    <row r="727" spans="1:10" x14ac:dyDescent="0.25">
      <c r="A727" s="339"/>
      <c r="B727" s="270"/>
      <c r="C727" s="271"/>
      <c r="D727" s="456"/>
      <c r="E727" s="362"/>
      <c r="F727" s="272"/>
      <c r="G727" s="460"/>
      <c r="H727" s="272"/>
      <c r="I727" s="399"/>
      <c r="J727" s="241" t="b">
        <f>Age_Sex_BY[[#This Row],[Total Spending After Applying Truncation at the Member Level]]+Age_Sex_BY[[#This Row],[Total Dollars Excluded from Spending After Applying Truncation at the Member Level]]=Age_Sex_BY[[#This Row],[Total Spending before Truncation is Applied]]</f>
        <v>1</v>
      </c>
    </row>
    <row r="728" spans="1:10" x14ac:dyDescent="0.25">
      <c r="A728" s="342"/>
      <c r="B728" s="4"/>
      <c r="C728" s="16"/>
      <c r="D728" s="457"/>
      <c r="E728" s="363"/>
      <c r="F728" s="273"/>
      <c r="G728" s="226"/>
      <c r="H728" s="273"/>
      <c r="I728" s="400"/>
      <c r="J728" s="241" t="b">
        <f>Age_Sex_BY[[#This Row],[Total Spending After Applying Truncation at the Member Level]]+Age_Sex_BY[[#This Row],[Total Dollars Excluded from Spending After Applying Truncation at the Member Level]]=Age_Sex_BY[[#This Row],[Total Spending before Truncation is Applied]]</f>
        <v>1</v>
      </c>
    </row>
    <row r="729" spans="1:10" x14ac:dyDescent="0.25">
      <c r="A729" s="339"/>
      <c r="B729" s="270"/>
      <c r="C729" s="271"/>
      <c r="D729" s="456"/>
      <c r="E729" s="362"/>
      <c r="F729" s="272"/>
      <c r="G729" s="460"/>
      <c r="H729" s="272"/>
      <c r="I729" s="399"/>
      <c r="J729" s="241" t="b">
        <f>Age_Sex_BY[[#This Row],[Total Spending After Applying Truncation at the Member Level]]+Age_Sex_BY[[#This Row],[Total Dollars Excluded from Spending After Applying Truncation at the Member Level]]=Age_Sex_BY[[#This Row],[Total Spending before Truncation is Applied]]</f>
        <v>1</v>
      </c>
    </row>
    <row r="730" spans="1:10" x14ac:dyDescent="0.25">
      <c r="A730" s="342"/>
      <c r="B730" s="4"/>
      <c r="C730" s="16"/>
      <c r="D730" s="457"/>
      <c r="E730" s="363"/>
      <c r="F730" s="273"/>
      <c r="G730" s="226"/>
      <c r="H730" s="273"/>
      <c r="I730" s="400"/>
      <c r="J730" s="241" t="b">
        <f>Age_Sex_BY[[#This Row],[Total Spending After Applying Truncation at the Member Level]]+Age_Sex_BY[[#This Row],[Total Dollars Excluded from Spending After Applying Truncation at the Member Level]]=Age_Sex_BY[[#This Row],[Total Spending before Truncation is Applied]]</f>
        <v>1</v>
      </c>
    </row>
    <row r="731" spans="1:10" x14ac:dyDescent="0.25">
      <c r="A731" s="339"/>
      <c r="B731" s="270"/>
      <c r="C731" s="271"/>
      <c r="D731" s="456"/>
      <c r="E731" s="362"/>
      <c r="F731" s="272"/>
      <c r="G731" s="460"/>
      <c r="H731" s="272"/>
      <c r="I731" s="399"/>
      <c r="J731" s="241" t="b">
        <f>Age_Sex_BY[[#This Row],[Total Spending After Applying Truncation at the Member Level]]+Age_Sex_BY[[#This Row],[Total Dollars Excluded from Spending After Applying Truncation at the Member Level]]=Age_Sex_BY[[#This Row],[Total Spending before Truncation is Applied]]</f>
        <v>1</v>
      </c>
    </row>
    <row r="732" spans="1:10" x14ac:dyDescent="0.25">
      <c r="A732" s="342"/>
      <c r="B732" s="4"/>
      <c r="C732" s="16"/>
      <c r="D732" s="457"/>
      <c r="E732" s="363"/>
      <c r="F732" s="273"/>
      <c r="G732" s="226"/>
      <c r="H732" s="273"/>
      <c r="I732" s="400"/>
      <c r="J732" s="241" t="b">
        <f>Age_Sex_BY[[#This Row],[Total Spending After Applying Truncation at the Member Level]]+Age_Sex_BY[[#This Row],[Total Dollars Excluded from Spending After Applying Truncation at the Member Level]]=Age_Sex_BY[[#This Row],[Total Spending before Truncation is Applied]]</f>
        <v>1</v>
      </c>
    </row>
    <row r="733" spans="1:10" x14ac:dyDescent="0.25">
      <c r="A733" s="339"/>
      <c r="B733" s="270"/>
      <c r="C733" s="271"/>
      <c r="D733" s="456"/>
      <c r="E733" s="362"/>
      <c r="F733" s="272"/>
      <c r="G733" s="460"/>
      <c r="H733" s="272"/>
      <c r="I733" s="399"/>
      <c r="J733" s="241" t="b">
        <f>Age_Sex_BY[[#This Row],[Total Spending After Applying Truncation at the Member Level]]+Age_Sex_BY[[#This Row],[Total Dollars Excluded from Spending After Applying Truncation at the Member Level]]=Age_Sex_BY[[#This Row],[Total Spending before Truncation is Applied]]</f>
        <v>1</v>
      </c>
    </row>
    <row r="734" spans="1:10" x14ac:dyDescent="0.25">
      <c r="A734" s="342"/>
      <c r="B734" s="4"/>
      <c r="C734" s="16"/>
      <c r="D734" s="457"/>
      <c r="E734" s="363"/>
      <c r="F734" s="273"/>
      <c r="G734" s="226"/>
      <c r="H734" s="273"/>
      <c r="I734" s="400"/>
      <c r="J734" s="241" t="b">
        <f>Age_Sex_BY[[#This Row],[Total Spending After Applying Truncation at the Member Level]]+Age_Sex_BY[[#This Row],[Total Dollars Excluded from Spending After Applying Truncation at the Member Level]]=Age_Sex_BY[[#This Row],[Total Spending before Truncation is Applied]]</f>
        <v>1</v>
      </c>
    </row>
    <row r="735" spans="1:10" x14ac:dyDescent="0.25">
      <c r="A735" s="339"/>
      <c r="B735" s="270"/>
      <c r="C735" s="271"/>
      <c r="D735" s="456"/>
      <c r="E735" s="362"/>
      <c r="F735" s="272"/>
      <c r="G735" s="460"/>
      <c r="H735" s="272"/>
      <c r="I735" s="399"/>
      <c r="J735" s="241" t="b">
        <f>Age_Sex_BY[[#This Row],[Total Spending After Applying Truncation at the Member Level]]+Age_Sex_BY[[#This Row],[Total Dollars Excluded from Spending After Applying Truncation at the Member Level]]=Age_Sex_BY[[#This Row],[Total Spending before Truncation is Applied]]</f>
        <v>1</v>
      </c>
    </row>
    <row r="736" spans="1:10" x14ac:dyDescent="0.25">
      <c r="A736" s="342"/>
      <c r="B736" s="4"/>
      <c r="C736" s="16"/>
      <c r="D736" s="457"/>
      <c r="E736" s="363"/>
      <c r="F736" s="273"/>
      <c r="G736" s="226"/>
      <c r="H736" s="273"/>
      <c r="I736" s="400"/>
      <c r="J736" s="241" t="b">
        <f>Age_Sex_BY[[#This Row],[Total Spending After Applying Truncation at the Member Level]]+Age_Sex_BY[[#This Row],[Total Dollars Excluded from Spending After Applying Truncation at the Member Level]]=Age_Sex_BY[[#This Row],[Total Spending before Truncation is Applied]]</f>
        <v>1</v>
      </c>
    </row>
    <row r="737" spans="1:10" x14ac:dyDescent="0.25">
      <c r="A737" s="339"/>
      <c r="B737" s="270"/>
      <c r="C737" s="271"/>
      <c r="D737" s="456"/>
      <c r="E737" s="362"/>
      <c r="F737" s="272"/>
      <c r="G737" s="460"/>
      <c r="H737" s="272"/>
      <c r="I737" s="399"/>
      <c r="J737" s="241" t="b">
        <f>Age_Sex_BY[[#This Row],[Total Spending After Applying Truncation at the Member Level]]+Age_Sex_BY[[#This Row],[Total Dollars Excluded from Spending After Applying Truncation at the Member Level]]=Age_Sex_BY[[#This Row],[Total Spending before Truncation is Applied]]</f>
        <v>1</v>
      </c>
    </row>
    <row r="738" spans="1:10" x14ac:dyDescent="0.25">
      <c r="A738" s="342"/>
      <c r="B738" s="4"/>
      <c r="C738" s="16"/>
      <c r="D738" s="457"/>
      <c r="E738" s="363"/>
      <c r="F738" s="273"/>
      <c r="G738" s="226"/>
      <c r="H738" s="273"/>
      <c r="I738" s="400"/>
      <c r="J738" s="241" t="b">
        <f>Age_Sex_BY[[#This Row],[Total Spending After Applying Truncation at the Member Level]]+Age_Sex_BY[[#This Row],[Total Dollars Excluded from Spending After Applying Truncation at the Member Level]]=Age_Sex_BY[[#This Row],[Total Spending before Truncation is Applied]]</f>
        <v>1</v>
      </c>
    </row>
    <row r="739" spans="1:10" x14ac:dyDescent="0.25">
      <c r="A739" s="339"/>
      <c r="B739" s="270"/>
      <c r="C739" s="271"/>
      <c r="D739" s="456"/>
      <c r="E739" s="362"/>
      <c r="F739" s="272"/>
      <c r="G739" s="460"/>
      <c r="H739" s="272"/>
      <c r="I739" s="399"/>
      <c r="J739" s="241" t="b">
        <f>Age_Sex_BY[[#This Row],[Total Spending After Applying Truncation at the Member Level]]+Age_Sex_BY[[#This Row],[Total Dollars Excluded from Spending After Applying Truncation at the Member Level]]=Age_Sex_BY[[#This Row],[Total Spending before Truncation is Applied]]</f>
        <v>1</v>
      </c>
    </row>
    <row r="740" spans="1:10" x14ac:dyDescent="0.25">
      <c r="A740" s="342"/>
      <c r="B740" s="4"/>
      <c r="C740" s="16"/>
      <c r="D740" s="457"/>
      <c r="E740" s="363"/>
      <c r="F740" s="273"/>
      <c r="G740" s="226"/>
      <c r="H740" s="273"/>
      <c r="I740" s="400"/>
      <c r="J740" s="241" t="b">
        <f>Age_Sex_BY[[#This Row],[Total Spending After Applying Truncation at the Member Level]]+Age_Sex_BY[[#This Row],[Total Dollars Excluded from Spending After Applying Truncation at the Member Level]]=Age_Sex_BY[[#This Row],[Total Spending before Truncation is Applied]]</f>
        <v>1</v>
      </c>
    </row>
    <row r="741" spans="1:10" x14ac:dyDescent="0.25">
      <c r="A741" s="339"/>
      <c r="B741" s="270"/>
      <c r="C741" s="271"/>
      <c r="D741" s="456"/>
      <c r="E741" s="362"/>
      <c r="F741" s="272"/>
      <c r="G741" s="460"/>
      <c r="H741" s="272"/>
      <c r="I741" s="399"/>
      <c r="J741" s="241" t="b">
        <f>Age_Sex_BY[[#This Row],[Total Spending After Applying Truncation at the Member Level]]+Age_Sex_BY[[#This Row],[Total Dollars Excluded from Spending After Applying Truncation at the Member Level]]=Age_Sex_BY[[#This Row],[Total Spending before Truncation is Applied]]</f>
        <v>1</v>
      </c>
    </row>
    <row r="742" spans="1:10" x14ac:dyDescent="0.25">
      <c r="A742" s="342"/>
      <c r="B742" s="4"/>
      <c r="C742" s="16"/>
      <c r="D742" s="457"/>
      <c r="E742" s="363"/>
      <c r="F742" s="273"/>
      <c r="G742" s="226"/>
      <c r="H742" s="273"/>
      <c r="I742" s="400"/>
      <c r="J742" s="241" t="b">
        <f>Age_Sex_BY[[#This Row],[Total Spending After Applying Truncation at the Member Level]]+Age_Sex_BY[[#This Row],[Total Dollars Excluded from Spending After Applying Truncation at the Member Level]]=Age_Sex_BY[[#This Row],[Total Spending before Truncation is Applied]]</f>
        <v>1</v>
      </c>
    </row>
    <row r="743" spans="1:10" x14ac:dyDescent="0.25">
      <c r="A743" s="339"/>
      <c r="B743" s="270"/>
      <c r="C743" s="271"/>
      <c r="D743" s="456"/>
      <c r="E743" s="362"/>
      <c r="F743" s="272"/>
      <c r="G743" s="460"/>
      <c r="H743" s="272"/>
      <c r="I743" s="399"/>
      <c r="J743" s="241" t="b">
        <f>Age_Sex_BY[[#This Row],[Total Spending After Applying Truncation at the Member Level]]+Age_Sex_BY[[#This Row],[Total Dollars Excluded from Spending After Applying Truncation at the Member Level]]=Age_Sex_BY[[#This Row],[Total Spending before Truncation is Applied]]</f>
        <v>1</v>
      </c>
    </row>
    <row r="744" spans="1:10" x14ac:dyDescent="0.25">
      <c r="A744" s="342"/>
      <c r="B744" s="4"/>
      <c r="C744" s="16"/>
      <c r="D744" s="457"/>
      <c r="E744" s="363"/>
      <c r="F744" s="273"/>
      <c r="G744" s="226"/>
      <c r="H744" s="273"/>
      <c r="I744" s="400"/>
      <c r="J744" s="241" t="b">
        <f>Age_Sex_BY[[#This Row],[Total Spending After Applying Truncation at the Member Level]]+Age_Sex_BY[[#This Row],[Total Dollars Excluded from Spending After Applying Truncation at the Member Level]]=Age_Sex_BY[[#This Row],[Total Spending before Truncation is Applied]]</f>
        <v>1</v>
      </c>
    </row>
    <row r="745" spans="1:10" x14ac:dyDescent="0.25">
      <c r="A745" s="339"/>
      <c r="B745" s="270"/>
      <c r="C745" s="271"/>
      <c r="D745" s="456"/>
      <c r="E745" s="362"/>
      <c r="F745" s="272"/>
      <c r="G745" s="460"/>
      <c r="H745" s="272"/>
      <c r="I745" s="399"/>
      <c r="J745" s="241" t="b">
        <f>Age_Sex_BY[[#This Row],[Total Spending After Applying Truncation at the Member Level]]+Age_Sex_BY[[#This Row],[Total Dollars Excluded from Spending After Applying Truncation at the Member Level]]=Age_Sex_BY[[#This Row],[Total Spending before Truncation is Applied]]</f>
        <v>1</v>
      </c>
    </row>
    <row r="746" spans="1:10" x14ac:dyDescent="0.25">
      <c r="A746" s="342"/>
      <c r="B746" s="4"/>
      <c r="C746" s="16"/>
      <c r="D746" s="457"/>
      <c r="E746" s="363"/>
      <c r="F746" s="273"/>
      <c r="G746" s="226"/>
      <c r="H746" s="273"/>
      <c r="I746" s="400"/>
      <c r="J746" s="241" t="b">
        <f>Age_Sex_BY[[#This Row],[Total Spending After Applying Truncation at the Member Level]]+Age_Sex_BY[[#This Row],[Total Dollars Excluded from Spending After Applying Truncation at the Member Level]]=Age_Sex_BY[[#This Row],[Total Spending before Truncation is Applied]]</f>
        <v>1</v>
      </c>
    </row>
    <row r="747" spans="1:10" x14ac:dyDescent="0.25">
      <c r="A747" s="339"/>
      <c r="B747" s="270"/>
      <c r="C747" s="271"/>
      <c r="D747" s="456"/>
      <c r="E747" s="362"/>
      <c r="F747" s="272"/>
      <c r="G747" s="460"/>
      <c r="H747" s="272"/>
      <c r="I747" s="399"/>
      <c r="J747" s="241" t="b">
        <f>Age_Sex_BY[[#This Row],[Total Spending After Applying Truncation at the Member Level]]+Age_Sex_BY[[#This Row],[Total Dollars Excluded from Spending After Applying Truncation at the Member Level]]=Age_Sex_BY[[#This Row],[Total Spending before Truncation is Applied]]</f>
        <v>1</v>
      </c>
    </row>
    <row r="748" spans="1:10" x14ac:dyDescent="0.25">
      <c r="A748" s="342"/>
      <c r="B748" s="4"/>
      <c r="C748" s="16"/>
      <c r="D748" s="457"/>
      <c r="E748" s="363"/>
      <c r="F748" s="273"/>
      <c r="G748" s="226"/>
      <c r="H748" s="273"/>
      <c r="I748" s="400"/>
      <c r="J748" s="241" t="b">
        <f>Age_Sex_BY[[#This Row],[Total Spending After Applying Truncation at the Member Level]]+Age_Sex_BY[[#This Row],[Total Dollars Excluded from Spending After Applying Truncation at the Member Level]]=Age_Sex_BY[[#This Row],[Total Spending before Truncation is Applied]]</f>
        <v>1</v>
      </c>
    </row>
    <row r="749" spans="1:10" x14ac:dyDescent="0.25">
      <c r="A749" s="339"/>
      <c r="B749" s="270"/>
      <c r="C749" s="271"/>
      <c r="D749" s="456"/>
      <c r="E749" s="362"/>
      <c r="F749" s="272"/>
      <c r="G749" s="460"/>
      <c r="H749" s="272"/>
      <c r="I749" s="399"/>
      <c r="J749" s="241" t="b">
        <f>Age_Sex_BY[[#This Row],[Total Spending After Applying Truncation at the Member Level]]+Age_Sex_BY[[#This Row],[Total Dollars Excluded from Spending After Applying Truncation at the Member Level]]=Age_Sex_BY[[#This Row],[Total Spending before Truncation is Applied]]</f>
        <v>1</v>
      </c>
    </row>
    <row r="750" spans="1:10" x14ac:dyDescent="0.25">
      <c r="A750" s="342"/>
      <c r="B750" s="4"/>
      <c r="C750" s="16"/>
      <c r="D750" s="457"/>
      <c r="E750" s="363"/>
      <c r="F750" s="273"/>
      <c r="G750" s="226"/>
      <c r="H750" s="273"/>
      <c r="I750" s="400"/>
      <c r="J750" s="241" t="b">
        <f>Age_Sex_BY[[#This Row],[Total Spending After Applying Truncation at the Member Level]]+Age_Sex_BY[[#This Row],[Total Dollars Excluded from Spending After Applying Truncation at the Member Level]]=Age_Sex_BY[[#This Row],[Total Spending before Truncation is Applied]]</f>
        <v>1</v>
      </c>
    </row>
    <row r="751" spans="1:10" x14ac:dyDescent="0.25">
      <c r="A751" s="339"/>
      <c r="B751" s="270"/>
      <c r="C751" s="271"/>
      <c r="D751" s="456"/>
      <c r="E751" s="362"/>
      <c r="F751" s="272"/>
      <c r="G751" s="460"/>
      <c r="H751" s="272"/>
      <c r="I751" s="399"/>
      <c r="J751" s="241" t="b">
        <f>Age_Sex_BY[[#This Row],[Total Spending After Applying Truncation at the Member Level]]+Age_Sex_BY[[#This Row],[Total Dollars Excluded from Spending After Applying Truncation at the Member Level]]=Age_Sex_BY[[#This Row],[Total Spending before Truncation is Applied]]</f>
        <v>1</v>
      </c>
    </row>
    <row r="752" spans="1:10" x14ac:dyDescent="0.25">
      <c r="A752" s="342"/>
      <c r="B752" s="4"/>
      <c r="C752" s="16"/>
      <c r="D752" s="457"/>
      <c r="E752" s="363"/>
      <c r="F752" s="273"/>
      <c r="G752" s="226"/>
      <c r="H752" s="273"/>
      <c r="I752" s="400"/>
      <c r="J752" s="241" t="b">
        <f>Age_Sex_BY[[#This Row],[Total Spending After Applying Truncation at the Member Level]]+Age_Sex_BY[[#This Row],[Total Dollars Excluded from Spending After Applying Truncation at the Member Level]]=Age_Sex_BY[[#This Row],[Total Spending before Truncation is Applied]]</f>
        <v>1</v>
      </c>
    </row>
    <row r="753" spans="1:10" x14ac:dyDescent="0.25">
      <c r="A753" s="339"/>
      <c r="B753" s="270"/>
      <c r="C753" s="271"/>
      <c r="D753" s="456"/>
      <c r="E753" s="362"/>
      <c r="F753" s="272"/>
      <c r="G753" s="460"/>
      <c r="H753" s="272"/>
      <c r="I753" s="399"/>
      <c r="J753" s="241" t="b">
        <f>Age_Sex_BY[[#This Row],[Total Spending After Applying Truncation at the Member Level]]+Age_Sex_BY[[#This Row],[Total Dollars Excluded from Spending After Applying Truncation at the Member Level]]=Age_Sex_BY[[#This Row],[Total Spending before Truncation is Applied]]</f>
        <v>1</v>
      </c>
    </row>
    <row r="754" spans="1:10" x14ac:dyDescent="0.25">
      <c r="A754" s="342"/>
      <c r="B754" s="4"/>
      <c r="C754" s="16"/>
      <c r="D754" s="457"/>
      <c r="E754" s="363"/>
      <c r="F754" s="273"/>
      <c r="G754" s="226"/>
      <c r="H754" s="273"/>
      <c r="I754" s="400"/>
      <c r="J754" s="241" t="b">
        <f>Age_Sex_BY[[#This Row],[Total Spending After Applying Truncation at the Member Level]]+Age_Sex_BY[[#This Row],[Total Dollars Excluded from Spending After Applying Truncation at the Member Level]]=Age_Sex_BY[[#This Row],[Total Spending before Truncation is Applied]]</f>
        <v>1</v>
      </c>
    </row>
    <row r="755" spans="1:10" x14ac:dyDescent="0.25">
      <c r="A755" s="339"/>
      <c r="B755" s="270"/>
      <c r="C755" s="271"/>
      <c r="D755" s="456"/>
      <c r="E755" s="362"/>
      <c r="F755" s="272"/>
      <c r="G755" s="460"/>
      <c r="H755" s="272"/>
      <c r="I755" s="399"/>
      <c r="J755" s="241" t="b">
        <f>Age_Sex_BY[[#This Row],[Total Spending After Applying Truncation at the Member Level]]+Age_Sex_BY[[#This Row],[Total Dollars Excluded from Spending After Applying Truncation at the Member Level]]=Age_Sex_BY[[#This Row],[Total Spending before Truncation is Applied]]</f>
        <v>1</v>
      </c>
    </row>
    <row r="756" spans="1:10" x14ac:dyDescent="0.25">
      <c r="A756" s="342"/>
      <c r="B756" s="4"/>
      <c r="C756" s="16"/>
      <c r="D756" s="457"/>
      <c r="E756" s="363"/>
      <c r="F756" s="273"/>
      <c r="G756" s="226"/>
      <c r="H756" s="273"/>
      <c r="I756" s="400"/>
      <c r="J756" s="241" t="b">
        <f>Age_Sex_BY[[#This Row],[Total Spending After Applying Truncation at the Member Level]]+Age_Sex_BY[[#This Row],[Total Dollars Excluded from Spending After Applying Truncation at the Member Level]]=Age_Sex_BY[[#This Row],[Total Spending before Truncation is Applied]]</f>
        <v>1</v>
      </c>
    </row>
    <row r="757" spans="1:10" x14ac:dyDescent="0.25">
      <c r="A757" s="339"/>
      <c r="B757" s="270"/>
      <c r="C757" s="271"/>
      <c r="D757" s="456"/>
      <c r="E757" s="362"/>
      <c r="F757" s="272"/>
      <c r="G757" s="460"/>
      <c r="H757" s="272"/>
      <c r="I757" s="399"/>
      <c r="J757" s="241" t="b">
        <f>Age_Sex_BY[[#This Row],[Total Spending After Applying Truncation at the Member Level]]+Age_Sex_BY[[#This Row],[Total Dollars Excluded from Spending After Applying Truncation at the Member Level]]=Age_Sex_BY[[#This Row],[Total Spending before Truncation is Applied]]</f>
        <v>1</v>
      </c>
    </row>
    <row r="758" spans="1:10" x14ac:dyDescent="0.25">
      <c r="A758" s="342"/>
      <c r="B758" s="4"/>
      <c r="C758" s="16"/>
      <c r="D758" s="457"/>
      <c r="E758" s="363"/>
      <c r="F758" s="273"/>
      <c r="G758" s="226"/>
      <c r="H758" s="273"/>
      <c r="I758" s="400"/>
      <c r="J758" s="241" t="b">
        <f>Age_Sex_BY[[#This Row],[Total Spending After Applying Truncation at the Member Level]]+Age_Sex_BY[[#This Row],[Total Dollars Excluded from Spending After Applying Truncation at the Member Level]]=Age_Sex_BY[[#This Row],[Total Spending before Truncation is Applied]]</f>
        <v>1</v>
      </c>
    </row>
    <row r="759" spans="1:10" x14ac:dyDescent="0.25">
      <c r="A759" s="339"/>
      <c r="B759" s="270"/>
      <c r="C759" s="271"/>
      <c r="D759" s="456"/>
      <c r="E759" s="362"/>
      <c r="F759" s="272"/>
      <c r="G759" s="460"/>
      <c r="H759" s="272"/>
      <c r="I759" s="399"/>
      <c r="J759" s="241" t="b">
        <f>Age_Sex_BY[[#This Row],[Total Spending After Applying Truncation at the Member Level]]+Age_Sex_BY[[#This Row],[Total Dollars Excluded from Spending After Applying Truncation at the Member Level]]=Age_Sex_BY[[#This Row],[Total Spending before Truncation is Applied]]</f>
        <v>1</v>
      </c>
    </row>
    <row r="760" spans="1:10" x14ac:dyDescent="0.25">
      <c r="A760" s="342"/>
      <c r="B760" s="4"/>
      <c r="C760" s="16"/>
      <c r="D760" s="457"/>
      <c r="E760" s="363"/>
      <c r="F760" s="273"/>
      <c r="G760" s="226"/>
      <c r="H760" s="273"/>
      <c r="I760" s="400"/>
      <c r="J760" s="241" t="b">
        <f>Age_Sex_BY[[#This Row],[Total Spending After Applying Truncation at the Member Level]]+Age_Sex_BY[[#This Row],[Total Dollars Excluded from Spending After Applying Truncation at the Member Level]]=Age_Sex_BY[[#This Row],[Total Spending before Truncation is Applied]]</f>
        <v>1</v>
      </c>
    </row>
    <row r="761" spans="1:10" x14ac:dyDescent="0.25">
      <c r="A761" s="339"/>
      <c r="B761" s="270"/>
      <c r="C761" s="271"/>
      <c r="D761" s="456"/>
      <c r="E761" s="362"/>
      <c r="F761" s="272"/>
      <c r="G761" s="460"/>
      <c r="H761" s="272"/>
      <c r="I761" s="399"/>
      <c r="J761" s="241" t="b">
        <f>Age_Sex_BY[[#This Row],[Total Spending After Applying Truncation at the Member Level]]+Age_Sex_BY[[#This Row],[Total Dollars Excluded from Spending After Applying Truncation at the Member Level]]=Age_Sex_BY[[#This Row],[Total Spending before Truncation is Applied]]</f>
        <v>1</v>
      </c>
    </row>
    <row r="762" spans="1:10" x14ac:dyDescent="0.25">
      <c r="A762" s="342"/>
      <c r="B762" s="4"/>
      <c r="C762" s="16"/>
      <c r="D762" s="457"/>
      <c r="E762" s="363"/>
      <c r="F762" s="273"/>
      <c r="G762" s="226"/>
      <c r="H762" s="273"/>
      <c r="I762" s="400"/>
      <c r="J762" s="241" t="b">
        <f>Age_Sex_BY[[#This Row],[Total Spending After Applying Truncation at the Member Level]]+Age_Sex_BY[[#This Row],[Total Dollars Excluded from Spending After Applying Truncation at the Member Level]]=Age_Sex_BY[[#This Row],[Total Spending before Truncation is Applied]]</f>
        <v>1</v>
      </c>
    </row>
    <row r="763" spans="1:10" x14ac:dyDescent="0.25">
      <c r="A763" s="339"/>
      <c r="B763" s="270"/>
      <c r="C763" s="271"/>
      <c r="D763" s="456"/>
      <c r="E763" s="362"/>
      <c r="F763" s="272"/>
      <c r="G763" s="460"/>
      <c r="H763" s="272"/>
      <c r="I763" s="399"/>
      <c r="J763" s="241" t="b">
        <f>Age_Sex_BY[[#This Row],[Total Spending After Applying Truncation at the Member Level]]+Age_Sex_BY[[#This Row],[Total Dollars Excluded from Spending After Applying Truncation at the Member Level]]=Age_Sex_BY[[#This Row],[Total Spending before Truncation is Applied]]</f>
        <v>1</v>
      </c>
    </row>
    <row r="764" spans="1:10" x14ac:dyDescent="0.25">
      <c r="A764" s="342"/>
      <c r="B764" s="4"/>
      <c r="C764" s="16"/>
      <c r="D764" s="457"/>
      <c r="E764" s="363"/>
      <c r="F764" s="273"/>
      <c r="G764" s="226"/>
      <c r="H764" s="273"/>
      <c r="I764" s="400"/>
      <c r="J764" s="241" t="b">
        <f>Age_Sex_BY[[#This Row],[Total Spending After Applying Truncation at the Member Level]]+Age_Sex_BY[[#This Row],[Total Dollars Excluded from Spending After Applying Truncation at the Member Level]]=Age_Sex_BY[[#This Row],[Total Spending before Truncation is Applied]]</f>
        <v>1</v>
      </c>
    </row>
    <row r="765" spans="1:10" x14ac:dyDescent="0.25">
      <c r="A765" s="339"/>
      <c r="B765" s="270"/>
      <c r="C765" s="271"/>
      <c r="D765" s="456"/>
      <c r="E765" s="362"/>
      <c r="F765" s="272"/>
      <c r="G765" s="460"/>
      <c r="H765" s="272"/>
      <c r="I765" s="399"/>
      <c r="J765" s="241" t="b">
        <f>Age_Sex_BY[[#This Row],[Total Spending After Applying Truncation at the Member Level]]+Age_Sex_BY[[#This Row],[Total Dollars Excluded from Spending After Applying Truncation at the Member Level]]=Age_Sex_BY[[#This Row],[Total Spending before Truncation is Applied]]</f>
        <v>1</v>
      </c>
    </row>
    <row r="766" spans="1:10" x14ac:dyDescent="0.25">
      <c r="A766" s="342"/>
      <c r="B766" s="4"/>
      <c r="C766" s="16"/>
      <c r="D766" s="457"/>
      <c r="E766" s="363"/>
      <c r="F766" s="273"/>
      <c r="G766" s="226"/>
      <c r="H766" s="273"/>
      <c r="I766" s="400"/>
      <c r="J766" s="241" t="b">
        <f>Age_Sex_BY[[#This Row],[Total Spending After Applying Truncation at the Member Level]]+Age_Sex_BY[[#This Row],[Total Dollars Excluded from Spending After Applying Truncation at the Member Level]]=Age_Sex_BY[[#This Row],[Total Spending before Truncation is Applied]]</f>
        <v>1</v>
      </c>
    </row>
    <row r="767" spans="1:10" x14ac:dyDescent="0.25">
      <c r="A767" s="339"/>
      <c r="B767" s="270"/>
      <c r="C767" s="271"/>
      <c r="D767" s="456"/>
      <c r="E767" s="362"/>
      <c r="F767" s="272"/>
      <c r="G767" s="460"/>
      <c r="H767" s="272"/>
      <c r="I767" s="399"/>
      <c r="J767" s="241" t="b">
        <f>Age_Sex_BY[[#This Row],[Total Spending After Applying Truncation at the Member Level]]+Age_Sex_BY[[#This Row],[Total Dollars Excluded from Spending After Applying Truncation at the Member Level]]=Age_Sex_BY[[#This Row],[Total Spending before Truncation is Applied]]</f>
        <v>1</v>
      </c>
    </row>
    <row r="768" spans="1:10" x14ac:dyDescent="0.25">
      <c r="A768" s="342"/>
      <c r="B768" s="4"/>
      <c r="C768" s="16"/>
      <c r="D768" s="457"/>
      <c r="E768" s="363"/>
      <c r="F768" s="273"/>
      <c r="G768" s="226"/>
      <c r="H768" s="273"/>
      <c r="I768" s="400"/>
      <c r="J768" s="241" t="b">
        <f>Age_Sex_BY[[#This Row],[Total Spending After Applying Truncation at the Member Level]]+Age_Sex_BY[[#This Row],[Total Dollars Excluded from Spending After Applying Truncation at the Member Level]]=Age_Sex_BY[[#This Row],[Total Spending before Truncation is Applied]]</f>
        <v>1</v>
      </c>
    </row>
    <row r="769" spans="1:10" x14ac:dyDescent="0.25">
      <c r="A769" s="339"/>
      <c r="B769" s="270"/>
      <c r="C769" s="271"/>
      <c r="D769" s="456"/>
      <c r="E769" s="362"/>
      <c r="F769" s="272"/>
      <c r="G769" s="460"/>
      <c r="H769" s="272"/>
      <c r="I769" s="399"/>
      <c r="J769" s="241" t="b">
        <f>Age_Sex_BY[[#This Row],[Total Spending After Applying Truncation at the Member Level]]+Age_Sex_BY[[#This Row],[Total Dollars Excluded from Spending After Applying Truncation at the Member Level]]=Age_Sex_BY[[#This Row],[Total Spending before Truncation is Applied]]</f>
        <v>1</v>
      </c>
    </row>
    <row r="770" spans="1:10" x14ac:dyDescent="0.25">
      <c r="A770" s="342"/>
      <c r="B770" s="4"/>
      <c r="C770" s="16"/>
      <c r="D770" s="457"/>
      <c r="E770" s="363"/>
      <c r="F770" s="273"/>
      <c r="G770" s="226"/>
      <c r="H770" s="273"/>
      <c r="I770" s="400"/>
      <c r="J770" s="241" t="b">
        <f>Age_Sex_BY[[#This Row],[Total Spending After Applying Truncation at the Member Level]]+Age_Sex_BY[[#This Row],[Total Dollars Excluded from Spending After Applying Truncation at the Member Level]]=Age_Sex_BY[[#This Row],[Total Spending before Truncation is Applied]]</f>
        <v>1</v>
      </c>
    </row>
    <row r="771" spans="1:10" x14ac:dyDescent="0.25">
      <c r="A771" s="339"/>
      <c r="B771" s="270"/>
      <c r="C771" s="271"/>
      <c r="D771" s="456"/>
      <c r="E771" s="362"/>
      <c r="F771" s="272"/>
      <c r="G771" s="460"/>
      <c r="H771" s="272"/>
      <c r="I771" s="399"/>
      <c r="J771" s="241" t="b">
        <f>Age_Sex_BY[[#This Row],[Total Spending After Applying Truncation at the Member Level]]+Age_Sex_BY[[#This Row],[Total Dollars Excluded from Spending After Applying Truncation at the Member Level]]=Age_Sex_BY[[#This Row],[Total Spending before Truncation is Applied]]</f>
        <v>1</v>
      </c>
    </row>
    <row r="772" spans="1:10" x14ac:dyDescent="0.25">
      <c r="A772" s="342"/>
      <c r="B772" s="4"/>
      <c r="C772" s="16"/>
      <c r="D772" s="457"/>
      <c r="E772" s="363"/>
      <c r="F772" s="273"/>
      <c r="G772" s="226"/>
      <c r="H772" s="273"/>
      <c r="I772" s="400"/>
      <c r="J772" s="241" t="b">
        <f>Age_Sex_BY[[#This Row],[Total Spending After Applying Truncation at the Member Level]]+Age_Sex_BY[[#This Row],[Total Dollars Excluded from Spending After Applying Truncation at the Member Level]]=Age_Sex_BY[[#This Row],[Total Spending before Truncation is Applied]]</f>
        <v>1</v>
      </c>
    </row>
    <row r="773" spans="1:10" x14ac:dyDescent="0.25">
      <c r="A773" s="339"/>
      <c r="B773" s="270"/>
      <c r="C773" s="271"/>
      <c r="D773" s="456"/>
      <c r="E773" s="362"/>
      <c r="F773" s="272"/>
      <c r="G773" s="460"/>
      <c r="H773" s="272"/>
      <c r="I773" s="399"/>
      <c r="J773" s="241" t="b">
        <f>Age_Sex_BY[[#This Row],[Total Spending After Applying Truncation at the Member Level]]+Age_Sex_BY[[#This Row],[Total Dollars Excluded from Spending After Applying Truncation at the Member Level]]=Age_Sex_BY[[#This Row],[Total Spending before Truncation is Applied]]</f>
        <v>1</v>
      </c>
    </row>
    <row r="774" spans="1:10" x14ac:dyDescent="0.25">
      <c r="A774" s="342"/>
      <c r="B774" s="4"/>
      <c r="C774" s="16"/>
      <c r="D774" s="457"/>
      <c r="E774" s="363"/>
      <c r="F774" s="273"/>
      <c r="G774" s="226"/>
      <c r="H774" s="273"/>
      <c r="I774" s="400"/>
      <c r="J774" s="241" t="b">
        <f>Age_Sex_BY[[#This Row],[Total Spending After Applying Truncation at the Member Level]]+Age_Sex_BY[[#This Row],[Total Dollars Excluded from Spending After Applying Truncation at the Member Level]]=Age_Sex_BY[[#This Row],[Total Spending before Truncation is Applied]]</f>
        <v>1</v>
      </c>
    </row>
    <row r="775" spans="1:10" x14ac:dyDescent="0.25">
      <c r="A775" s="339"/>
      <c r="B775" s="270"/>
      <c r="C775" s="271"/>
      <c r="D775" s="456"/>
      <c r="E775" s="362"/>
      <c r="F775" s="272"/>
      <c r="G775" s="460"/>
      <c r="H775" s="272"/>
      <c r="I775" s="399"/>
      <c r="J775" s="241" t="b">
        <f>Age_Sex_BY[[#This Row],[Total Spending After Applying Truncation at the Member Level]]+Age_Sex_BY[[#This Row],[Total Dollars Excluded from Spending After Applying Truncation at the Member Level]]=Age_Sex_BY[[#This Row],[Total Spending before Truncation is Applied]]</f>
        <v>1</v>
      </c>
    </row>
    <row r="776" spans="1:10" x14ac:dyDescent="0.25">
      <c r="A776" s="342"/>
      <c r="B776" s="4"/>
      <c r="C776" s="16"/>
      <c r="D776" s="457"/>
      <c r="E776" s="363"/>
      <c r="F776" s="273"/>
      <c r="G776" s="226"/>
      <c r="H776" s="273"/>
      <c r="I776" s="400"/>
      <c r="J776" s="241" t="b">
        <f>Age_Sex_BY[[#This Row],[Total Spending After Applying Truncation at the Member Level]]+Age_Sex_BY[[#This Row],[Total Dollars Excluded from Spending After Applying Truncation at the Member Level]]=Age_Sex_BY[[#This Row],[Total Spending before Truncation is Applied]]</f>
        <v>1</v>
      </c>
    </row>
    <row r="777" spans="1:10" x14ac:dyDescent="0.25">
      <c r="A777" s="339"/>
      <c r="B777" s="270"/>
      <c r="C777" s="271"/>
      <c r="D777" s="456"/>
      <c r="E777" s="362"/>
      <c r="F777" s="272"/>
      <c r="G777" s="460"/>
      <c r="H777" s="272"/>
      <c r="I777" s="399"/>
      <c r="J777" s="241" t="b">
        <f>Age_Sex_BY[[#This Row],[Total Spending After Applying Truncation at the Member Level]]+Age_Sex_BY[[#This Row],[Total Dollars Excluded from Spending After Applying Truncation at the Member Level]]=Age_Sex_BY[[#This Row],[Total Spending before Truncation is Applied]]</f>
        <v>1</v>
      </c>
    </row>
    <row r="778" spans="1:10" x14ac:dyDescent="0.25">
      <c r="A778" s="342"/>
      <c r="B778" s="4"/>
      <c r="C778" s="16"/>
      <c r="D778" s="457"/>
      <c r="E778" s="363"/>
      <c r="F778" s="273"/>
      <c r="G778" s="226"/>
      <c r="H778" s="273"/>
      <c r="I778" s="400"/>
      <c r="J778" s="241" t="b">
        <f>Age_Sex_BY[[#This Row],[Total Spending After Applying Truncation at the Member Level]]+Age_Sex_BY[[#This Row],[Total Dollars Excluded from Spending After Applying Truncation at the Member Level]]=Age_Sex_BY[[#This Row],[Total Spending before Truncation is Applied]]</f>
        <v>1</v>
      </c>
    </row>
    <row r="779" spans="1:10" x14ac:dyDescent="0.25">
      <c r="A779" s="339"/>
      <c r="B779" s="270"/>
      <c r="C779" s="271"/>
      <c r="D779" s="456"/>
      <c r="E779" s="362"/>
      <c r="F779" s="272"/>
      <c r="G779" s="460"/>
      <c r="H779" s="272"/>
      <c r="I779" s="399"/>
      <c r="J779" s="241" t="b">
        <f>Age_Sex_BY[[#This Row],[Total Spending After Applying Truncation at the Member Level]]+Age_Sex_BY[[#This Row],[Total Dollars Excluded from Spending After Applying Truncation at the Member Level]]=Age_Sex_BY[[#This Row],[Total Spending before Truncation is Applied]]</f>
        <v>1</v>
      </c>
    </row>
    <row r="780" spans="1:10" x14ac:dyDescent="0.25">
      <c r="A780" s="342"/>
      <c r="B780" s="4"/>
      <c r="C780" s="16"/>
      <c r="D780" s="457"/>
      <c r="E780" s="363"/>
      <c r="F780" s="273"/>
      <c r="G780" s="226"/>
      <c r="H780" s="273"/>
      <c r="I780" s="400"/>
      <c r="J780" s="241" t="b">
        <f>Age_Sex_BY[[#This Row],[Total Spending After Applying Truncation at the Member Level]]+Age_Sex_BY[[#This Row],[Total Dollars Excluded from Spending After Applying Truncation at the Member Level]]=Age_Sex_BY[[#This Row],[Total Spending before Truncation is Applied]]</f>
        <v>1</v>
      </c>
    </row>
    <row r="781" spans="1:10" x14ac:dyDescent="0.25">
      <c r="A781" s="339"/>
      <c r="B781" s="270"/>
      <c r="C781" s="271"/>
      <c r="D781" s="456"/>
      <c r="E781" s="362"/>
      <c r="F781" s="272"/>
      <c r="G781" s="460"/>
      <c r="H781" s="272"/>
      <c r="I781" s="399"/>
      <c r="J781" s="241" t="b">
        <f>Age_Sex_BY[[#This Row],[Total Spending After Applying Truncation at the Member Level]]+Age_Sex_BY[[#This Row],[Total Dollars Excluded from Spending After Applying Truncation at the Member Level]]=Age_Sex_BY[[#This Row],[Total Spending before Truncation is Applied]]</f>
        <v>1</v>
      </c>
    </row>
    <row r="782" spans="1:10" x14ac:dyDescent="0.25">
      <c r="A782" s="342"/>
      <c r="B782" s="4"/>
      <c r="C782" s="16"/>
      <c r="D782" s="457"/>
      <c r="E782" s="363"/>
      <c r="F782" s="273"/>
      <c r="G782" s="226"/>
      <c r="H782" s="273"/>
      <c r="I782" s="400"/>
      <c r="J782" s="241" t="b">
        <f>Age_Sex_BY[[#This Row],[Total Spending After Applying Truncation at the Member Level]]+Age_Sex_BY[[#This Row],[Total Dollars Excluded from Spending After Applying Truncation at the Member Level]]=Age_Sex_BY[[#This Row],[Total Spending before Truncation is Applied]]</f>
        <v>1</v>
      </c>
    </row>
    <row r="783" spans="1:10" x14ac:dyDescent="0.25">
      <c r="A783" s="339"/>
      <c r="B783" s="270"/>
      <c r="C783" s="271"/>
      <c r="D783" s="456"/>
      <c r="E783" s="362"/>
      <c r="F783" s="272"/>
      <c r="G783" s="460"/>
      <c r="H783" s="272"/>
      <c r="I783" s="399"/>
      <c r="J783" s="241" t="b">
        <f>Age_Sex_BY[[#This Row],[Total Spending After Applying Truncation at the Member Level]]+Age_Sex_BY[[#This Row],[Total Dollars Excluded from Spending After Applying Truncation at the Member Level]]=Age_Sex_BY[[#This Row],[Total Spending before Truncation is Applied]]</f>
        <v>1</v>
      </c>
    </row>
    <row r="784" spans="1:10" x14ac:dyDescent="0.25">
      <c r="A784" s="342"/>
      <c r="B784" s="4"/>
      <c r="C784" s="16"/>
      <c r="D784" s="457"/>
      <c r="E784" s="363"/>
      <c r="F784" s="273"/>
      <c r="G784" s="226"/>
      <c r="H784" s="273"/>
      <c r="I784" s="400"/>
      <c r="J784" s="241" t="b">
        <f>Age_Sex_BY[[#This Row],[Total Spending After Applying Truncation at the Member Level]]+Age_Sex_BY[[#This Row],[Total Dollars Excluded from Spending After Applying Truncation at the Member Level]]=Age_Sex_BY[[#This Row],[Total Spending before Truncation is Applied]]</f>
        <v>1</v>
      </c>
    </row>
    <row r="785" spans="1:10" x14ac:dyDescent="0.25">
      <c r="A785" s="339"/>
      <c r="B785" s="270"/>
      <c r="C785" s="271"/>
      <c r="D785" s="456"/>
      <c r="E785" s="362"/>
      <c r="F785" s="272"/>
      <c r="G785" s="460"/>
      <c r="H785" s="272"/>
      <c r="I785" s="399"/>
      <c r="J785" s="241" t="b">
        <f>Age_Sex_BY[[#This Row],[Total Spending After Applying Truncation at the Member Level]]+Age_Sex_BY[[#This Row],[Total Dollars Excluded from Spending After Applying Truncation at the Member Level]]=Age_Sex_BY[[#This Row],[Total Spending before Truncation is Applied]]</f>
        <v>1</v>
      </c>
    </row>
    <row r="786" spans="1:10" x14ac:dyDescent="0.25">
      <c r="A786" s="342"/>
      <c r="B786" s="4"/>
      <c r="C786" s="16"/>
      <c r="D786" s="457"/>
      <c r="E786" s="363"/>
      <c r="F786" s="273"/>
      <c r="G786" s="226"/>
      <c r="H786" s="273"/>
      <c r="I786" s="400"/>
      <c r="J786" s="241" t="b">
        <f>Age_Sex_BY[[#This Row],[Total Spending After Applying Truncation at the Member Level]]+Age_Sex_BY[[#This Row],[Total Dollars Excluded from Spending After Applying Truncation at the Member Level]]=Age_Sex_BY[[#This Row],[Total Spending before Truncation is Applied]]</f>
        <v>1</v>
      </c>
    </row>
    <row r="787" spans="1:10" x14ac:dyDescent="0.25">
      <c r="A787" s="339"/>
      <c r="B787" s="270"/>
      <c r="C787" s="271"/>
      <c r="D787" s="456"/>
      <c r="E787" s="362"/>
      <c r="F787" s="272"/>
      <c r="G787" s="460"/>
      <c r="H787" s="272"/>
      <c r="I787" s="399"/>
      <c r="J787" s="241" t="b">
        <f>Age_Sex_BY[[#This Row],[Total Spending After Applying Truncation at the Member Level]]+Age_Sex_BY[[#This Row],[Total Dollars Excluded from Spending After Applying Truncation at the Member Level]]=Age_Sex_BY[[#This Row],[Total Spending before Truncation is Applied]]</f>
        <v>1</v>
      </c>
    </row>
    <row r="788" spans="1:10" x14ac:dyDescent="0.25">
      <c r="A788" s="342"/>
      <c r="B788" s="4"/>
      <c r="C788" s="16"/>
      <c r="D788" s="457"/>
      <c r="E788" s="363"/>
      <c r="F788" s="273"/>
      <c r="G788" s="226"/>
      <c r="H788" s="273"/>
      <c r="I788" s="400"/>
      <c r="J788" s="241" t="b">
        <f>Age_Sex_BY[[#This Row],[Total Spending After Applying Truncation at the Member Level]]+Age_Sex_BY[[#This Row],[Total Dollars Excluded from Spending After Applying Truncation at the Member Level]]=Age_Sex_BY[[#This Row],[Total Spending before Truncation is Applied]]</f>
        <v>1</v>
      </c>
    </row>
    <row r="789" spans="1:10" x14ac:dyDescent="0.25">
      <c r="A789" s="339"/>
      <c r="B789" s="270"/>
      <c r="C789" s="271"/>
      <c r="D789" s="456"/>
      <c r="E789" s="362"/>
      <c r="F789" s="272"/>
      <c r="G789" s="460"/>
      <c r="H789" s="272"/>
      <c r="I789" s="399"/>
      <c r="J789" s="241" t="b">
        <f>Age_Sex_BY[[#This Row],[Total Spending After Applying Truncation at the Member Level]]+Age_Sex_BY[[#This Row],[Total Dollars Excluded from Spending After Applying Truncation at the Member Level]]=Age_Sex_BY[[#This Row],[Total Spending before Truncation is Applied]]</f>
        <v>1</v>
      </c>
    </row>
    <row r="790" spans="1:10" x14ac:dyDescent="0.25">
      <c r="A790" s="342"/>
      <c r="B790" s="4"/>
      <c r="C790" s="16"/>
      <c r="D790" s="457"/>
      <c r="E790" s="363"/>
      <c r="F790" s="273"/>
      <c r="G790" s="226"/>
      <c r="H790" s="273"/>
      <c r="I790" s="400"/>
      <c r="J790" s="241" t="b">
        <f>Age_Sex_BY[[#This Row],[Total Spending After Applying Truncation at the Member Level]]+Age_Sex_BY[[#This Row],[Total Dollars Excluded from Spending After Applying Truncation at the Member Level]]=Age_Sex_BY[[#This Row],[Total Spending before Truncation is Applied]]</f>
        <v>1</v>
      </c>
    </row>
    <row r="791" spans="1:10" x14ac:dyDescent="0.25">
      <c r="A791" s="339"/>
      <c r="B791" s="270"/>
      <c r="C791" s="271"/>
      <c r="D791" s="456"/>
      <c r="E791" s="362"/>
      <c r="F791" s="272"/>
      <c r="G791" s="460"/>
      <c r="H791" s="272"/>
      <c r="I791" s="399"/>
      <c r="J791" s="241" t="b">
        <f>Age_Sex_BY[[#This Row],[Total Spending After Applying Truncation at the Member Level]]+Age_Sex_BY[[#This Row],[Total Dollars Excluded from Spending After Applying Truncation at the Member Level]]=Age_Sex_BY[[#This Row],[Total Spending before Truncation is Applied]]</f>
        <v>1</v>
      </c>
    </row>
    <row r="792" spans="1:10" x14ac:dyDescent="0.25">
      <c r="A792" s="342"/>
      <c r="B792" s="4"/>
      <c r="C792" s="16"/>
      <c r="D792" s="457"/>
      <c r="E792" s="363"/>
      <c r="F792" s="273"/>
      <c r="G792" s="226"/>
      <c r="H792" s="273"/>
      <c r="I792" s="400"/>
      <c r="J792" s="241" t="b">
        <f>Age_Sex_BY[[#This Row],[Total Spending After Applying Truncation at the Member Level]]+Age_Sex_BY[[#This Row],[Total Dollars Excluded from Spending After Applying Truncation at the Member Level]]=Age_Sex_BY[[#This Row],[Total Spending before Truncation is Applied]]</f>
        <v>1</v>
      </c>
    </row>
    <row r="793" spans="1:10" x14ac:dyDescent="0.25">
      <c r="A793" s="339"/>
      <c r="B793" s="270"/>
      <c r="C793" s="271"/>
      <c r="D793" s="456"/>
      <c r="E793" s="362"/>
      <c r="F793" s="272"/>
      <c r="G793" s="460"/>
      <c r="H793" s="272"/>
      <c r="I793" s="399"/>
      <c r="J793" s="241" t="b">
        <f>Age_Sex_BY[[#This Row],[Total Spending After Applying Truncation at the Member Level]]+Age_Sex_BY[[#This Row],[Total Dollars Excluded from Spending After Applying Truncation at the Member Level]]=Age_Sex_BY[[#This Row],[Total Spending before Truncation is Applied]]</f>
        <v>1</v>
      </c>
    </row>
    <row r="794" spans="1:10" x14ac:dyDescent="0.25">
      <c r="A794" s="342"/>
      <c r="B794" s="4"/>
      <c r="C794" s="16"/>
      <c r="D794" s="457"/>
      <c r="E794" s="363"/>
      <c r="F794" s="273"/>
      <c r="G794" s="226"/>
      <c r="H794" s="273"/>
      <c r="I794" s="400"/>
      <c r="J794" s="241" t="b">
        <f>Age_Sex_BY[[#This Row],[Total Spending After Applying Truncation at the Member Level]]+Age_Sex_BY[[#This Row],[Total Dollars Excluded from Spending After Applying Truncation at the Member Level]]=Age_Sex_BY[[#This Row],[Total Spending before Truncation is Applied]]</f>
        <v>1</v>
      </c>
    </row>
    <row r="795" spans="1:10" x14ac:dyDescent="0.25">
      <c r="A795" s="339"/>
      <c r="B795" s="270"/>
      <c r="C795" s="271"/>
      <c r="D795" s="456"/>
      <c r="E795" s="362"/>
      <c r="F795" s="272"/>
      <c r="G795" s="460"/>
      <c r="H795" s="272"/>
      <c r="I795" s="399"/>
      <c r="J795" s="241" t="b">
        <f>Age_Sex_BY[[#This Row],[Total Spending After Applying Truncation at the Member Level]]+Age_Sex_BY[[#This Row],[Total Dollars Excluded from Spending After Applying Truncation at the Member Level]]=Age_Sex_BY[[#This Row],[Total Spending before Truncation is Applied]]</f>
        <v>1</v>
      </c>
    </row>
    <row r="796" spans="1:10" x14ac:dyDescent="0.25">
      <c r="A796" s="342"/>
      <c r="B796" s="4"/>
      <c r="C796" s="16"/>
      <c r="D796" s="457"/>
      <c r="E796" s="363"/>
      <c r="F796" s="273"/>
      <c r="G796" s="226"/>
      <c r="H796" s="273"/>
      <c r="I796" s="400"/>
      <c r="J796" s="241" t="b">
        <f>Age_Sex_BY[[#This Row],[Total Spending After Applying Truncation at the Member Level]]+Age_Sex_BY[[#This Row],[Total Dollars Excluded from Spending After Applying Truncation at the Member Level]]=Age_Sex_BY[[#This Row],[Total Spending before Truncation is Applied]]</f>
        <v>1</v>
      </c>
    </row>
    <row r="797" spans="1:10" x14ac:dyDescent="0.25">
      <c r="A797" s="339"/>
      <c r="B797" s="270"/>
      <c r="C797" s="271"/>
      <c r="D797" s="456"/>
      <c r="E797" s="362"/>
      <c r="F797" s="272"/>
      <c r="G797" s="460"/>
      <c r="H797" s="272"/>
      <c r="I797" s="399"/>
      <c r="J797" s="241" t="b">
        <f>Age_Sex_BY[[#This Row],[Total Spending After Applying Truncation at the Member Level]]+Age_Sex_BY[[#This Row],[Total Dollars Excluded from Spending After Applying Truncation at the Member Level]]=Age_Sex_BY[[#This Row],[Total Spending before Truncation is Applied]]</f>
        <v>1</v>
      </c>
    </row>
    <row r="798" spans="1:10" x14ac:dyDescent="0.25">
      <c r="A798" s="342"/>
      <c r="B798" s="4"/>
      <c r="C798" s="16"/>
      <c r="D798" s="457"/>
      <c r="E798" s="363"/>
      <c r="F798" s="273"/>
      <c r="G798" s="226"/>
      <c r="H798" s="273"/>
      <c r="I798" s="400"/>
      <c r="J798" s="241" t="b">
        <f>Age_Sex_BY[[#This Row],[Total Spending After Applying Truncation at the Member Level]]+Age_Sex_BY[[#This Row],[Total Dollars Excluded from Spending After Applying Truncation at the Member Level]]=Age_Sex_BY[[#This Row],[Total Spending before Truncation is Applied]]</f>
        <v>1</v>
      </c>
    </row>
    <row r="799" spans="1:10" x14ac:dyDescent="0.25">
      <c r="A799" s="339"/>
      <c r="B799" s="270"/>
      <c r="C799" s="271"/>
      <c r="D799" s="456"/>
      <c r="E799" s="362"/>
      <c r="F799" s="272"/>
      <c r="G799" s="460"/>
      <c r="H799" s="272"/>
      <c r="I799" s="399"/>
      <c r="J799" s="241" t="b">
        <f>Age_Sex_BY[[#This Row],[Total Spending After Applying Truncation at the Member Level]]+Age_Sex_BY[[#This Row],[Total Dollars Excluded from Spending After Applying Truncation at the Member Level]]=Age_Sex_BY[[#This Row],[Total Spending before Truncation is Applied]]</f>
        <v>1</v>
      </c>
    </row>
    <row r="800" spans="1:10" x14ac:dyDescent="0.25">
      <c r="A800" s="342"/>
      <c r="B800" s="4"/>
      <c r="C800" s="16"/>
      <c r="D800" s="457"/>
      <c r="E800" s="363"/>
      <c r="F800" s="273"/>
      <c r="G800" s="226"/>
      <c r="H800" s="273"/>
      <c r="I800" s="400"/>
      <c r="J800" s="241" t="b">
        <f>Age_Sex_BY[[#This Row],[Total Spending After Applying Truncation at the Member Level]]+Age_Sex_BY[[#This Row],[Total Dollars Excluded from Spending After Applying Truncation at the Member Level]]=Age_Sex_BY[[#This Row],[Total Spending before Truncation is Applied]]</f>
        <v>1</v>
      </c>
    </row>
    <row r="801" spans="1:10" x14ac:dyDescent="0.25">
      <c r="A801" s="339"/>
      <c r="B801" s="270"/>
      <c r="C801" s="271"/>
      <c r="D801" s="456"/>
      <c r="E801" s="362"/>
      <c r="F801" s="272"/>
      <c r="G801" s="460"/>
      <c r="H801" s="272"/>
      <c r="I801" s="399"/>
      <c r="J801" s="241" t="b">
        <f>Age_Sex_BY[[#This Row],[Total Spending After Applying Truncation at the Member Level]]+Age_Sex_BY[[#This Row],[Total Dollars Excluded from Spending After Applying Truncation at the Member Level]]=Age_Sex_BY[[#This Row],[Total Spending before Truncation is Applied]]</f>
        <v>1</v>
      </c>
    </row>
    <row r="802" spans="1:10" x14ac:dyDescent="0.25">
      <c r="A802" s="342"/>
      <c r="B802" s="4"/>
      <c r="C802" s="16"/>
      <c r="D802" s="457"/>
      <c r="E802" s="363"/>
      <c r="F802" s="273"/>
      <c r="G802" s="226"/>
      <c r="H802" s="273"/>
      <c r="I802" s="400"/>
      <c r="J802" s="241" t="b">
        <f>Age_Sex_BY[[#This Row],[Total Spending After Applying Truncation at the Member Level]]+Age_Sex_BY[[#This Row],[Total Dollars Excluded from Spending After Applying Truncation at the Member Level]]=Age_Sex_BY[[#This Row],[Total Spending before Truncation is Applied]]</f>
        <v>1</v>
      </c>
    </row>
    <row r="803" spans="1:10" x14ac:dyDescent="0.25">
      <c r="A803" s="339"/>
      <c r="B803" s="270"/>
      <c r="C803" s="271"/>
      <c r="D803" s="456"/>
      <c r="E803" s="362"/>
      <c r="F803" s="272"/>
      <c r="G803" s="460"/>
      <c r="H803" s="272"/>
      <c r="I803" s="399"/>
      <c r="J803" s="241" t="b">
        <f>Age_Sex_BY[[#This Row],[Total Spending After Applying Truncation at the Member Level]]+Age_Sex_BY[[#This Row],[Total Dollars Excluded from Spending After Applying Truncation at the Member Level]]=Age_Sex_BY[[#This Row],[Total Spending before Truncation is Applied]]</f>
        <v>1</v>
      </c>
    </row>
    <row r="804" spans="1:10" x14ac:dyDescent="0.25">
      <c r="A804" s="342"/>
      <c r="B804" s="4"/>
      <c r="C804" s="16"/>
      <c r="D804" s="457"/>
      <c r="E804" s="363"/>
      <c r="F804" s="273"/>
      <c r="G804" s="226"/>
      <c r="H804" s="273"/>
      <c r="I804" s="400"/>
      <c r="J804" s="241" t="b">
        <f>Age_Sex_BY[[#This Row],[Total Spending After Applying Truncation at the Member Level]]+Age_Sex_BY[[#This Row],[Total Dollars Excluded from Spending After Applying Truncation at the Member Level]]=Age_Sex_BY[[#This Row],[Total Spending before Truncation is Applied]]</f>
        <v>1</v>
      </c>
    </row>
    <row r="805" spans="1:10" x14ac:dyDescent="0.25">
      <c r="A805" s="339"/>
      <c r="B805" s="270"/>
      <c r="C805" s="271"/>
      <c r="D805" s="456"/>
      <c r="E805" s="362"/>
      <c r="F805" s="272"/>
      <c r="G805" s="460"/>
      <c r="H805" s="272"/>
      <c r="I805" s="399"/>
      <c r="J805" s="241" t="b">
        <f>Age_Sex_BY[[#This Row],[Total Spending After Applying Truncation at the Member Level]]+Age_Sex_BY[[#This Row],[Total Dollars Excluded from Spending After Applying Truncation at the Member Level]]=Age_Sex_BY[[#This Row],[Total Spending before Truncation is Applied]]</f>
        <v>1</v>
      </c>
    </row>
    <row r="806" spans="1:10" x14ac:dyDescent="0.25">
      <c r="A806" s="342"/>
      <c r="B806" s="4"/>
      <c r="C806" s="16"/>
      <c r="D806" s="457"/>
      <c r="E806" s="363"/>
      <c r="F806" s="273"/>
      <c r="G806" s="226"/>
      <c r="H806" s="273"/>
      <c r="I806" s="400"/>
      <c r="J806" s="241" t="b">
        <f>Age_Sex_BY[[#This Row],[Total Spending After Applying Truncation at the Member Level]]+Age_Sex_BY[[#This Row],[Total Dollars Excluded from Spending After Applying Truncation at the Member Level]]=Age_Sex_BY[[#This Row],[Total Spending before Truncation is Applied]]</f>
        <v>1</v>
      </c>
    </row>
    <row r="807" spans="1:10" x14ac:dyDescent="0.25">
      <c r="A807" s="339"/>
      <c r="B807" s="270"/>
      <c r="C807" s="271"/>
      <c r="D807" s="456"/>
      <c r="E807" s="362"/>
      <c r="F807" s="272"/>
      <c r="G807" s="460"/>
      <c r="H807" s="272"/>
      <c r="I807" s="399"/>
      <c r="J807" s="241" t="b">
        <f>Age_Sex_BY[[#This Row],[Total Spending After Applying Truncation at the Member Level]]+Age_Sex_BY[[#This Row],[Total Dollars Excluded from Spending After Applying Truncation at the Member Level]]=Age_Sex_BY[[#This Row],[Total Spending before Truncation is Applied]]</f>
        <v>1</v>
      </c>
    </row>
    <row r="808" spans="1:10" x14ac:dyDescent="0.25">
      <c r="A808" s="342"/>
      <c r="B808" s="4"/>
      <c r="C808" s="16"/>
      <c r="D808" s="457"/>
      <c r="E808" s="363"/>
      <c r="F808" s="273"/>
      <c r="G808" s="226"/>
      <c r="H808" s="273"/>
      <c r="I808" s="400"/>
      <c r="J808" s="241" t="b">
        <f>Age_Sex_BY[[#This Row],[Total Spending After Applying Truncation at the Member Level]]+Age_Sex_BY[[#This Row],[Total Dollars Excluded from Spending After Applying Truncation at the Member Level]]=Age_Sex_BY[[#This Row],[Total Spending before Truncation is Applied]]</f>
        <v>1</v>
      </c>
    </row>
    <row r="809" spans="1:10" x14ac:dyDescent="0.25">
      <c r="A809" s="339"/>
      <c r="B809" s="270"/>
      <c r="C809" s="271"/>
      <c r="D809" s="456"/>
      <c r="E809" s="362"/>
      <c r="F809" s="272"/>
      <c r="G809" s="460"/>
      <c r="H809" s="272"/>
      <c r="I809" s="399"/>
      <c r="J809" s="241" t="b">
        <f>Age_Sex_BY[[#This Row],[Total Spending After Applying Truncation at the Member Level]]+Age_Sex_BY[[#This Row],[Total Dollars Excluded from Spending After Applying Truncation at the Member Level]]=Age_Sex_BY[[#This Row],[Total Spending before Truncation is Applied]]</f>
        <v>1</v>
      </c>
    </row>
    <row r="810" spans="1:10" x14ac:dyDescent="0.25">
      <c r="A810" s="342"/>
      <c r="B810" s="4"/>
      <c r="C810" s="16"/>
      <c r="D810" s="457"/>
      <c r="E810" s="363"/>
      <c r="F810" s="273"/>
      <c r="G810" s="226"/>
      <c r="H810" s="273"/>
      <c r="I810" s="400"/>
      <c r="J810" s="241" t="b">
        <f>Age_Sex_BY[[#This Row],[Total Spending After Applying Truncation at the Member Level]]+Age_Sex_BY[[#This Row],[Total Dollars Excluded from Spending After Applying Truncation at the Member Level]]=Age_Sex_BY[[#This Row],[Total Spending before Truncation is Applied]]</f>
        <v>1</v>
      </c>
    </row>
    <row r="811" spans="1:10" x14ac:dyDescent="0.25">
      <c r="A811" s="339"/>
      <c r="B811" s="270"/>
      <c r="C811" s="271"/>
      <c r="D811" s="456"/>
      <c r="E811" s="362"/>
      <c r="F811" s="272"/>
      <c r="G811" s="460"/>
      <c r="H811" s="272"/>
      <c r="I811" s="399"/>
      <c r="J811" s="241" t="b">
        <f>Age_Sex_BY[[#This Row],[Total Spending After Applying Truncation at the Member Level]]+Age_Sex_BY[[#This Row],[Total Dollars Excluded from Spending After Applying Truncation at the Member Level]]=Age_Sex_BY[[#This Row],[Total Spending before Truncation is Applied]]</f>
        <v>1</v>
      </c>
    </row>
    <row r="812" spans="1:10" x14ac:dyDescent="0.25">
      <c r="A812" s="342"/>
      <c r="B812" s="4"/>
      <c r="C812" s="16"/>
      <c r="D812" s="457"/>
      <c r="E812" s="363"/>
      <c r="F812" s="273"/>
      <c r="G812" s="226"/>
      <c r="H812" s="273"/>
      <c r="I812" s="400"/>
      <c r="J812" s="241" t="b">
        <f>Age_Sex_BY[[#This Row],[Total Spending After Applying Truncation at the Member Level]]+Age_Sex_BY[[#This Row],[Total Dollars Excluded from Spending After Applying Truncation at the Member Level]]=Age_Sex_BY[[#This Row],[Total Spending before Truncation is Applied]]</f>
        <v>1</v>
      </c>
    </row>
    <row r="813" spans="1:10" x14ac:dyDescent="0.25">
      <c r="A813" s="339"/>
      <c r="B813" s="270"/>
      <c r="C813" s="271"/>
      <c r="D813" s="456"/>
      <c r="E813" s="362"/>
      <c r="F813" s="272"/>
      <c r="G813" s="460"/>
      <c r="H813" s="272"/>
      <c r="I813" s="399"/>
      <c r="J813" s="241" t="b">
        <f>Age_Sex_BY[[#This Row],[Total Spending After Applying Truncation at the Member Level]]+Age_Sex_BY[[#This Row],[Total Dollars Excluded from Spending After Applying Truncation at the Member Level]]=Age_Sex_BY[[#This Row],[Total Spending before Truncation is Applied]]</f>
        <v>1</v>
      </c>
    </row>
    <row r="814" spans="1:10" x14ac:dyDescent="0.25">
      <c r="A814" s="342"/>
      <c r="B814" s="4"/>
      <c r="C814" s="16"/>
      <c r="D814" s="457"/>
      <c r="E814" s="363"/>
      <c r="F814" s="273"/>
      <c r="G814" s="226"/>
      <c r="H814" s="273"/>
      <c r="I814" s="400"/>
      <c r="J814" s="241" t="b">
        <f>Age_Sex_BY[[#This Row],[Total Spending After Applying Truncation at the Member Level]]+Age_Sex_BY[[#This Row],[Total Dollars Excluded from Spending After Applying Truncation at the Member Level]]=Age_Sex_BY[[#This Row],[Total Spending before Truncation is Applied]]</f>
        <v>1</v>
      </c>
    </row>
    <row r="815" spans="1:10" x14ac:dyDescent="0.25">
      <c r="A815" s="339"/>
      <c r="B815" s="270"/>
      <c r="C815" s="271"/>
      <c r="D815" s="456"/>
      <c r="E815" s="362"/>
      <c r="F815" s="272"/>
      <c r="G815" s="460"/>
      <c r="H815" s="272"/>
      <c r="I815" s="399"/>
      <c r="J815" s="241" t="b">
        <f>Age_Sex_BY[[#This Row],[Total Spending After Applying Truncation at the Member Level]]+Age_Sex_BY[[#This Row],[Total Dollars Excluded from Spending After Applying Truncation at the Member Level]]=Age_Sex_BY[[#This Row],[Total Spending before Truncation is Applied]]</f>
        <v>1</v>
      </c>
    </row>
    <row r="816" spans="1:10" x14ac:dyDescent="0.25">
      <c r="A816" s="342"/>
      <c r="B816" s="4"/>
      <c r="C816" s="16"/>
      <c r="D816" s="457"/>
      <c r="E816" s="363"/>
      <c r="F816" s="273"/>
      <c r="G816" s="226"/>
      <c r="H816" s="273"/>
      <c r="I816" s="400"/>
      <c r="J816" s="241" t="b">
        <f>Age_Sex_BY[[#This Row],[Total Spending After Applying Truncation at the Member Level]]+Age_Sex_BY[[#This Row],[Total Dollars Excluded from Spending After Applying Truncation at the Member Level]]=Age_Sex_BY[[#This Row],[Total Spending before Truncation is Applied]]</f>
        <v>1</v>
      </c>
    </row>
    <row r="817" spans="1:10" x14ac:dyDescent="0.25">
      <c r="A817" s="339"/>
      <c r="B817" s="270"/>
      <c r="C817" s="271"/>
      <c r="D817" s="456"/>
      <c r="E817" s="362"/>
      <c r="F817" s="272"/>
      <c r="G817" s="460"/>
      <c r="H817" s="272"/>
      <c r="I817" s="399"/>
      <c r="J817" s="241" t="b">
        <f>Age_Sex_BY[[#This Row],[Total Spending After Applying Truncation at the Member Level]]+Age_Sex_BY[[#This Row],[Total Dollars Excluded from Spending After Applying Truncation at the Member Level]]=Age_Sex_BY[[#This Row],[Total Spending before Truncation is Applied]]</f>
        <v>1</v>
      </c>
    </row>
    <row r="818" spans="1:10" x14ac:dyDescent="0.25">
      <c r="A818" s="342"/>
      <c r="B818" s="4"/>
      <c r="C818" s="16"/>
      <c r="D818" s="457"/>
      <c r="E818" s="363"/>
      <c r="F818" s="273"/>
      <c r="G818" s="226"/>
      <c r="H818" s="273"/>
      <c r="I818" s="400"/>
      <c r="J818" s="241" t="b">
        <f>Age_Sex_BY[[#This Row],[Total Spending After Applying Truncation at the Member Level]]+Age_Sex_BY[[#This Row],[Total Dollars Excluded from Spending After Applying Truncation at the Member Level]]=Age_Sex_BY[[#This Row],[Total Spending before Truncation is Applied]]</f>
        <v>1</v>
      </c>
    </row>
    <row r="819" spans="1:10" x14ac:dyDescent="0.25">
      <c r="A819" s="339"/>
      <c r="B819" s="270"/>
      <c r="C819" s="271"/>
      <c r="D819" s="456"/>
      <c r="E819" s="362"/>
      <c r="F819" s="272"/>
      <c r="G819" s="460"/>
      <c r="H819" s="272"/>
      <c r="I819" s="399"/>
      <c r="J819" s="241" t="b">
        <f>Age_Sex_BY[[#This Row],[Total Spending After Applying Truncation at the Member Level]]+Age_Sex_BY[[#This Row],[Total Dollars Excluded from Spending After Applying Truncation at the Member Level]]=Age_Sex_BY[[#This Row],[Total Spending before Truncation is Applied]]</f>
        <v>1</v>
      </c>
    </row>
    <row r="820" spans="1:10" x14ac:dyDescent="0.25">
      <c r="A820" s="342"/>
      <c r="B820" s="4"/>
      <c r="C820" s="16"/>
      <c r="D820" s="457"/>
      <c r="E820" s="363"/>
      <c r="F820" s="273"/>
      <c r="G820" s="226"/>
      <c r="H820" s="273"/>
      <c r="I820" s="400"/>
      <c r="J820" s="241" t="b">
        <f>Age_Sex_BY[[#This Row],[Total Spending After Applying Truncation at the Member Level]]+Age_Sex_BY[[#This Row],[Total Dollars Excluded from Spending After Applying Truncation at the Member Level]]=Age_Sex_BY[[#This Row],[Total Spending before Truncation is Applied]]</f>
        <v>1</v>
      </c>
    </row>
    <row r="821" spans="1:10" x14ac:dyDescent="0.25">
      <c r="A821" s="339"/>
      <c r="B821" s="270"/>
      <c r="C821" s="271"/>
      <c r="D821" s="456"/>
      <c r="E821" s="362"/>
      <c r="F821" s="272"/>
      <c r="G821" s="460"/>
      <c r="H821" s="272"/>
      <c r="I821" s="399"/>
      <c r="J821" s="241" t="b">
        <f>Age_Sex_BY[[#This Row],[Total Spending After Applying Truncation at the Member Level]]+Age_Sex_BY[[#This Row],[Total Dollars Excluded from Spending After Applying Truncation at the Member Level]]=Age_Sex_BY[[#This Row],[Total Spending before Truncation is Applied]]</f>
        <v>1</v>
      </c>
    </row>
    <row r="822" spans="1:10" x14ac:dyDescent="0.25">
      <c r="A822" s="342"/>
      <c r="B822" s="4"/>
      <c r="C822" s="16"/>
      <c r="D822" s="457"/>
      <c r="E822" s="363"/>
      <c r="F822" s="273"/>
      <c r="G822" s="226"/>
      <c r="H822" s="273"/>
      <c r="I822" s="400"/>
      <c r="J822" s="241" t="b">
        <f>Age_Sex_BY[[#This Row],[Total Spending After Applying Truncation at the Member Level]]+Age_Sex_BY[[#This Row],[Total Dollars Excluded from Spending After Applying Truncation at the Member Level]]=Age_Sex_BY[[#This Row],[Total Spending before Truncation is Applied]]</f>
        <v>1</v>
      </c>
    </row>
    <row r="823" spans="1:10" x14ac:dyDescent="0.25">
      <c r="A823" s="339"/>
      <c r="B823" s="270"/>
      <c r="C823" s="271"/>
      <c r="D823" s="456"/>
      <c r="E823" s="362"/>
      <c r="F823" s="272"/>
      <c r="G823" s="460"/>
      <c r="H823" s="272"/>
      <c r="I823" s="399"/>
      <c r="J823" s="241" t="b">
        <f>Age_Sex_BY[[#This Row],[Total Spending After Applying Truncation at the Member Level]]+Age_Sex_BY[[#This Row],[Total Dollars Excluded from Spending After Applying Truncation at the Member Level]]=Age_Sex_BY[[#This Row],[Total Spending before Truncation is Applied]]</f>
        <v>1</v>
      </c>
    </row>
    <row r="824" spans="1:10" x14ac:dyDescent="0.25">
      <c r="A824" s="342"/>
      <c r="B824" s="4"/>
      <c r="C824" s="16"/>
      <c r="D824" s="457"/>
      <c r="E824" s="363"/>
      <c r="F824" s="273"/>
      <c r="G824" s="226"/>
      <c r="H824" s="273"/>
      <c r="I824" s="400"/>
      <c r="J824" s="241" t="b">
        <f>Age_Sex_BY[[#This Row],[Total Spending After Applying Truncation at the Member Level]]+Age_Sex_BY[[#This Row],[Total Dollars Excluded from Spending After Applying Truncation at the Member Level]]=Age_Sex_BY[[#This Row],[Total Spending before Truncation is Applied]]</f>
        <v>1</v>
      </c>
    </row>
    <row r="825" spans="1:10" x14ac:dyDescent="0.25">
      <c r="A825" s="339"/>
      <c r="B825" s="270"/>
      <c r="C825" s="271"/>
      <c r="D825" s="456"/>
      <c r="E825" s="362"/>
      <c r="F825" s="272"/>
      <c r="G825" s="460"/>
      <c r="H825" s="272"/>
      <c r="I825" s="399"/>
      <c r="J825" s="241" t="b">
        <f>Age_Sex_BY[[#This Row],[Total Spending After Applying Truncation at the Member Level]]+Age_Sex_BY[[#This Row],[Total Dollars Excluded from Spending After Applying Truncation at the Member Level]]=Age_Sex_BY[[#This Row],[Total Spending before Truncation is Applied]]</f>
        <v>1</v>
      </c>
    </row>
    <row r="826" spans="1:10" x14ac:dyDescent="0.25">
      <c r="A826" s="342"/>
      <c r="B826" s="4"/>
      <c r="C826" s="16"/>
      <c r="D826" s="457"/>
      <c r="E826" s="363"/>
      <c r="F826" s="273"/>
      <c r="G826" s="226"/>
      <c r="H826" s="273"/>
      <c r="I826" s="400"/>
      <c r="J826" s="241" t="b">
        <f>Age_Sex_BY[[#This Row],[Total Spending After Applying Truncation at the Member Level]]+Age_Sex_BY[[#This Row],[Total Dollars Excluded from Spending After Applying Truncation at the Member Level]]=Age_Sex_BY[[#This Row],[Total Spending before Truncation is Applied]]</f>
        <v>1</v>
      </c>
    </row>
    <row r="827" spans="1:10" x14ac:dyDescent="0.25">
      <c r="A827" s="339"/>
      <c r="B827" s="270"/>
      <c r="C827" s="271"/>
      <c r="D827" s="456"/>
      <c r="E827" s="362"/>
      <c r="F827" s="272"/>
      <c r="G827" s="460"/>
      <c r="H827" s="272"/>
      <c r="I827" s="399"/>
      <c r="J827" s="241" t="b">
        <f>Age_Sex_BY[[#This Row],[Total Spending After Applying Truncation at the Member Level]]+Age_Sex_BY[[#This Row],[Total Dollars Excluded from Spending After Applying Truncation at the Member Level]]=Age_Sex_BY[[#This Row],[Total Spending before Truncation is Applied]]</f>
        <v>1</v>
      </c>
    </row>
    <row r="828" spans="1:10" x14ac:dyDescent="0.25">
      <c r="A828" s="342"/>
      <c r="B828" s="4"/>
      <c r="C828" s="16"/>
      <c r="D828" s="457"/>
      <c r="E828" s="363"/>
      <c r="F828" s="273"/>
      <c r="G828" s="226"/>
      <c r="H828" s="273"/>
      <c r="I828" s="400"/>
      <c r="J828" s="241" t="b">
        <f>Age_Sex_BY[[#This Row],[Total Spending After Applying Truncation at the Member Level]]+Age_Sex_BY[[#This Row],[Total Dollars Excluded from Spending After Applying Truncation at the Member Level]]=Age_Sex_BY[[#This Row],[Total Spending before Truncation is Applied]]</f>
        <v>1</v>
      </c>
    </row>
    <row r="829" spans="1:10" x14ac:dyDescent="0.25">
      <c r="A829" s="339"/>
      <c r="B829" s="270"/>
      <c r="C829" s="271"/>
      <c r="D829" s="456"/>
      <c r="E829" s="362"/>
      <c r="F829" s="272"/>
      <c r="G829" s="460"/>
      <c r="H829" s="272"/>
      <c r="I829" s="399"/>
      <c r="J829" s="241" t="b">
        <f>Age_Sex_BY[[#This Row],[Total Spending After Applying Truncation at the Member Level]]+Age_Sex_BY[[#This Row],[Total Dollars Excluded from Spending After Applying Truncation at the Member Level]]=Age_Sex_BY[[#This Row],[Total Spending before Truncation is Applied]]</f>
        <v>1</v>
      </c>
    </row>
    <row r="830" spans="1:10" x14ac:dyDescent="0.25">
      <c r="A830" s="342"/>
      <c r="B830" s="4"/>
      <c r="C830" s="16"/>
      <c r="D830" s="457"/>
      <c r="E830" s="363"/>
      <c r="F830" s="273"/>
      <c r="G830" s="226"/>
      <c r="H830" s="273"/>
      <c r="I830" s="400"/>
      <c r="J830" s="241" t="b">
        <f>Age_Sex_BY[[#This Row],[Total Spending After Applying Truncation at the Member Level]]+Age_Sex_BY[[#This Row],[Total Dollars Excluded from Spending After Applying Truncation at the Member Level]]=Age_Sex_BY[[#This Row],[Total Spending before Truncation is Applied]]</f>
        <v>1</v>
      </c>
    </row>
    <row r="831" spans="1:10" x14ac:dyDescent="0.25">
      <c r="A831" s="339"/>
      <c r="B831" s="270"/>
      <c r="C831" s="271"/>
      <c r="D831" s="456"/>
      <c r="E831" s="362"/>
      <c r="F831" s="272"/>
      <c r="G831" s="460"/>
      <c r="H831" s="272"/>
      <c r="I831" s="399"/>
      <c r="J831" s="241" t="b">
        <f>Age_Sex_BY[[#This Row],[Total Spending After Applying Truncation at the Member Level]]+Age_Sex_BY[[#This Row],[Total Dollars Excluded from Spending After Applying Truncation at the Member Level]]=Age_Sex_BY[[#This Row],[Total Spending before Truncation is Applied]]</f>
        <v>1</v>
      </c>
    </row>
    <row r="832" spans="1:10" x14ac:dyDescent="0.25">
      <c r="A832" s="342"/>
      <c r="B832" s="4"/>
      <c r="C832" s="16"/>
      <c r="D832" s="457"/>
      <c r="E832" s="363"/>
      <c r="F832" s="273"/>
      <c r="G832" s="226"/>
      <c r="H832" s="273"/>
      <c r="I832" s="400"/>
      <c r="J832" s="241" t="b">
        <f>Age_Sex_BY[[#This Row],[Total Spending After Applying Truncation at the Member Level]]+Age_Sex_BY[[#This Row],[Total Dollars Excluded from Spending After Applying Truncation at the Member Level]]=Age_Sex_BY[[#This Row],[Total Spending before Truncation is Applied]]</f>
        <v>1</v>
      </c>
    </row>
    <row r="833" spans="1:10" x14ac:dyDescent="0.25">
      <c r="A833" s="339"/>
      <c r="B833" s="270"/>
      <c r="C833" s="271"/>
      <c r="D833" s="456"/>
      <c r="E833" s="362"/>
      <c r="F833" s="272"/>
      <c r="G833" s="460"/>
      <c r="H833" s="272"/>
      <c r="I833" s="399"/>
      <c r="J833" s="241" t="b">
        <f>Age_Sex_BY[[#This Row],[Total Spending After Applying Truncation at the Member Level]]+Age_Sex_BY[[#This Row],[Total Dollars Excluded from Spending After Applying Truncation at the Member Level]]=Age_Sex_BY[[#This Row],[Total Spending before Truncation is Applied]]</f>
        <v>1</v>
      </c>
    </row>
    <row r="834" spans="1:10" x14ac:dyDescent="0.25">
      <c r="A834" s="342"/>
      <c r="B834" s="4"/>
      <c r="C834" s="16"/>
      <c r="D834" s="457"/>
      <c r="E834" s="363"/>
      <c r="F834" s="273"/>
      <c r="G834" s="226"/>
      <c r="H834" s="273"/>
      <c r="I834" s="400"/>
      <c r="J834" s="241" t="b">
        <f>Age_Sex_BY[[#This Row],[Total Spending After Applying Truncation at the Member Level]]+Age_Sex_BY[[#This Row],[Total Dollars Excluded from Spending After Applying Truncation at the Member Level]]=Age_Sex_BY[[#This Row],[Total Spending before Truncation is Applied]]</f>
        <v>1</v>
      </c>
    </row>
    <row r="835" spans="1:10" x14ac:dyDescent="0.25">
      <c r="A835" s="339"/>
      <c r="B835" s="270"/>
      <c r="C835" s="271"/>
      <c r="D835" s="456"/>
      <c r="E835" s="362"/>
      <c r="F835" s="272"/>
      <c r="G835" s="460"/>
      <c r="H835" s="272"/>
      <c r="I835" s="399"/>
      <c r="J835" s="241" t="b">
        <f>Age_Sex_BY[[#This Row],[Total Spending After Applying Truncation at the Member Level]]+Age_Sex_BY[[#This Row],[Total Dollars Excluded from Spending After Applying Truncation at the Member Level]]=Age_Sex_BY[[#This Row],[Total Spending before Truncation is Applied]]</f>
        <v>1</v>
      </c>
    </row>
    <row r="836" spans="1:10" x14ac:dyDescent="0.25">
      <c r="A836" s="342"/>
      <c r="B836" s="4"/>
      <c r="C836" s="16"/>
      <c r="D836" s="457"/>
      <c r="E836" s="363"/>
      <c r="F836" s="273"/>
      <c r="G836" s="226"/>
      <c r="H836" s="273"/>
      <c r="I836" s="400"/>
      <c r="J836" s="241" t="b">
        <f>Age_Sex_BY[[#This Row],[Total Spending After Applying Truncation at the Member Level]]+Age_Sex_BY[[#This Row],[Total Dollars Excluded from Spending After Applying Truncation at the Member Level]]=Age_Sex_BY[[#This Row],[Total Spending before Truncation is Applied]]</f>
        <v>1</v>
      </c>
    </row>
    <row r="837" spans="1:10" x14ac:dyDescent="0.25">
      <c r="A837" s="339"/>
      <c r="B837" s="270"/>
      <c r="C837" s="271"/>
      <c r="D837" s="456"/>
      <c r="E837" s="362"/>
      <c r="F837" s="272"/>
      <c r="G837" s="460"/>
      <c r="H837" s="272"/>
      <c r="I837" s="399"/>
      <c r="J837" s="241" t="b">
        <f>Age_Sex_BY[[#This Row],[Total Spending After Applying Truncation at the Member Level]]+Age_Sex_BY[[#This Row],[Total Dollars Excluded from Spending After Applying Truncation at the Member Level]]=Age_Sex_BY[[#This Row],[Total Spending before Truncation is Applied]]</f>
        <v>1</v>
      </c>
    </row>
    <row r="838" spans="1:10" x14ac:dyDescent="0.25">
      <c r="A838" s="342"/>
      <c r="B838" s="4"/>
      <c r="C838" s="16"/>
      <c r="D838" s="457"/>
      <c r="E838" s="363"/>
      <c r="F838" s="273"/>
      <c r="G838" s="226"/>
      <c r="H838" s="273"/>
      <c r="I838" s="400"/>
      <c r="J838" s="241" t="b">
        <f>Age_Sex_BY[[#This Row],[Total Spending After Applying Truncation at the Member Level]]+Age_Sex_BY[[#This Row],[Total Dollars Excluded from Spending After Applying Truncation at the Member Level]]=Age_Sex_BY[[#This Row],[Total Spending before Truncation is Applied]]</f>
        <v>1</v>
      </c>
    </row>
    <row r="839" spans="1:10" x14ac:dyDescent="0.25">
      <c r="A839" s="339"/>
      <c r="B839" s="270"/>
      <c r="C839" s="271"/>
      <c r="D839" s="456"/>
      <c r="E839" s="362"/>
      <c r="F839" s="272"/>
      <c r="G839" s="460"/>
      <c r="H839" s="272"/>
      <c r="I839" s="399"/>
      <c r="J839" s="241" t="b">
        <f>Age_Sex_BY[[#This Row],[Total Spending After Applying Truncation at the Member Level]]+Age_Sex_BY[[#This Row],[Total Dollars Excluded from Spending After Applying Truncation at the Member Level]]=Age_Sex_BY[[#This Row],[Total Spending before Truncation is Applied]]</f>
        <v>1</v>
      </c>
    </row>
    <row r="840" spans="1:10" x14ac:dyDescent="0.25">
      <c r="A840" s="342"/>
      <c r="B840" s="4"/>
      <c r="C840" s="16"/>
      <c r="D840" s="457"/>
      <c r="E840" s="363"/>
      <c r="F840" s="273"/>
      <c r="G840" s="226"/>
      <c r="H840" s="273"/>
      <c r="I840" s="400"/>
      <c r="J840" s="241" t="b">
        <f>Age_Sex_BY[[#This Row],[Total Spending After Applying Truncation at the Member Level]]+Age_Sex_BY[[#This Row],[Total Dollars Excluded from Spending After Applying Truncation at the Member Level]]=Age_Sex_BY[[#This Row],[Total Spending before Truncation is Applied]]</f>
        <v>1</v>
      </c>
    </row>
    <row r="841" spans="1:10" x14ac:dyDescent="0.25">
      <c r="A841" s="339"/>
      <c r="B841" s="270"/>
      <c r="C841" s="271"/>
      <c r="D841" s="456"/>
      <c r="E841" s="362"/>
      <c r="F841" s="272"/>
      <c r="G841" s="460"/>
      <c r="H841" s="272"/>
      <c r="I841" s="399"/>
      <c r="J841" s="241" t="b">
        <f>Age_Sex_BY[[#This Row],[Total Spending After Applying Truncation at the Member Level]]+Age_Sex_BY[[#This Row],[Total Dollars Excluded from Spending After Applying Truncation at the Member Level]]=Age_Sex_BY[[#This Row],[Total Spending before Truncation is Applied]]</f>
        <v>1</v>
      </c>
    </row>
    <row r="842" spans="1:10" x14ac:dyDescent="0.25">
      <c r="A842" s="342"/>
      <c r="B842" s="4"/>
      <c r="C842" s="16"/>
      <c r="D842" s="457"/>
      <c r="E842" s="363"/>
      <c r="F842" s="273"/>
      <c r="G842" s="226"/>
      <c r="H842" s="273"/>
      <c r="I842" s="400"/>
      <c r="J842" s="241" t="b">
        <f>Age_Sex_BY[[#This Row],[Total Spending After Applying Truncation at the Member Level]]+Age_Sex_BY[[#This Row],[Total Dollars Excluded from Spending After Applying Truncation at the Member Level]]=Age_Sex_BY[[#This Row],[Total Spending before Truncation is Applied]]</f>
        <v>1</v>
      </c>
    </row>
    <row r="843" spans="1:10" x14ac:dyDescent="0.25">
      <c r="A843" s="339"/>
      <c r="B843" s="270"/>
      <c r="C843" s="271"/>
      <c r="D843" s="456"/>
      <c r="E843" s="362"/>
      <c r="F843" s="272"/>
      <c r="G843" s="460"/>
      <c r="H843" s="272"/>
      <c r="I843" s="399"/>
      <c r="J843" s="241" t="b">
        <f>Age_Sex_BY[[#This Row],[Total Spending After Applying Truncation at the Member Level]]+Age_Sex_BY[[#This Row],[Total Dollars Excluded from Spending After Applying Truncation at the Member Level]]=Age_Sex_BY[[#This Row],[Total Spending before Truncation is Applied]]</f>
        <v>1</v>
      </c>
    </row>
    <row r="844" spans="1:10" x14ac:dyDescent="0.25">
      <c r="A844" s="342"/>
      <c r="B844" s="4"/>
      <c r="C844" s="16"/>
      <c r="D844" s="457"/>
      <c r="E844" s="363"/>
      <c r="F844" s="273"/>
      <c r="G844" s="226"/>
      <c r="H844" s="273"/>
      <c r="I844" s="400"/>
      <c r="J844" s="241" t="b">
        <f>Age_Sex_BY[[#This Row],[Total Spending After Applying Truncation at the Member Level]]+Age_Sex_BY[[#This Row],[Total Dollars Excluded from Spending After Applying Truncation at the Member Level]]=Age_Sex_BY[[#This Row],[Total Spending before Truncation is Applied]]</f>
        <v>1</v>
      </c>
    </row>
    <row r="845" spans="1:10" x14ac:dyDescent="0.25">
      <c r="A845" s="339"/>
      <c r="B845" s="270"/>
      <c r="C845" s="271"/>
      <c r="D845" s="456"/>
      <c r="E845" s="362"/>
      <c r="F845" s="272"/>
      <c r="G845" s="460"/>
      <c r="H845" s="272"/>
      <c r="I845" s="399"/>
      <c r="J845" s="241" t="b">
        <f>Age_Sex_BY[[#This Row],[Total Spending After Applying Truncation at the Member Level]]+Age_Sex_BY[[#This Row],[Total Dollars Excluded from Spending After Applying Truncation at the Member Level]]=Age_Sex_BY[[#This Row],[Total Spending before Truncation is Applied]]</f>
        <v>1</v>
      </c>
    </row>
    <row r="846" spans="1:10" x14ac:dyDescent="0.25">
      <c r="A846" s="342"/>
      <c r="B846" s="4"/>
      <c r="C846" s="16"/>
      <c r="D846" s="457"/>
      <c r="E846" s="363"/>
      <c r="F846" s="273"/>
      <c r="G846" s="226"/>
      <c r="H846" s="273"/>
      <c r="I846" s="400"/>
      <c r="J846" s="241" t="b">
        <f>Age_Sex_BY[[#This Row],[Total Spending After Applying Truncation at the Member Level]]+Age_Sex_BY[[#This Row],[Total Dollars Excluded from Spending After Applying Truncation at the Member Level]]=Age_Sex_BY[[#This Row],[Total Spending before Truncation is Applied]]</f>
        <v>1</v>
      </c>
    </row>
    <row r="847" spans="1:10" x14ac:dyDescent="0.25">
      <c r="A847" s="339"/>
      <c r="B847" s="270"/>
      <c r="C847" s="271"/>
      <c r="D847" s="456"/>
      <c r="E847" s="362"/>
      <c r="F847" s="272"/>
      <c r="G847" s="460"/>
      <c r="H847" s="272"/>
      <c r="I847" s="399"/>
      <c r="J847" s="241" t="b">
        <f>Age_Sex_BY[[#This Row],[Total Spending After Applying Truncation at the Member Level]]+Age_Sex_BY[[#This Row],[Total Dollars Excluded from Spending After Applying Truncation at the Member Level]]=Age_Sex_BY[[#This Row],[Total Spending before Truncation is Applied]]</f>
        <v>1</v>
      </c>
    </row>
    <row r="848" spans="1:10" x14ac:dyDescent="0.25">
      <c r="A848" s="342"/>
      <c r="B848" s="4"/>
      <c r="C848" s="16"/>
      <c r="D848" s="457"/>
      <c r="E848" s="363"/>
      <c r="F848" s="273"/>
      <c r="G848" s="226"/>
      <c r="H848" s="273"/>
      <c r="I848" s="400"/>
      <c r="J848" s="241" t="b">
        <f>Age_Sex_BY[[#This Row],[Total Spending After Applying Truncation at the Member Level]]+Age_Sex_BY[[#This Row],[Total Dollars Excluded from Spending After Applying Truncation at the Member Level]]=Age_Sex_BY[[#This Row],[Total Spending before Truncation is Applied]]</f>
        <v>1</v>
      </c>
    </row>
    <row r="849" spans="1:10" x14ac:dyDescent="0.25">
      <c r="A849" s="339"/>
      <c r="B849" s="270"/>
      <c r="C849" s="271"/>
      <c r="D849" s="456"/>
      <c r="E849" s="362"/>
      <c r="F849" s="272"/>
      <c r="G849" s="460"/>
      <c r="H849" s="272"/>
      <c r="I849" s="399"/>
      <c r="J849" s="241" t="b">
        <f>Age_Sex_BY[[#This Row],[Total Spending After Applying Truncation at the Member Level]]+Age_Sex_BY[[#This Row],[Total Dollars Excluded from Spending After Applying Truncation at the Member Level]]=Age_Sex_BY[[#This Row],[Total Spending before Truncation is Applied]]</f>
        <v>1</v>
      </c>
    </row>
    <row r="850" spans="1:10" x14ac:dyDescent="0.25">
      <c r="A850" s="342"/>
      <c r="B850" s="4"/>
      <c r="C850" s="16"/>
      <c r="D850" s="457"/>
      <c r="E850" s="363"/>
      <c r="F850" s="273"/>
      <c r="G850" s="226"/>
      <c r="H850" s="273"/>
      <c r="I850" s="400"/>
      <c r="J850" s="241" t="b">
        <f>Age_Sex_BY[[#This Row],[Total Spending After Applying Truncation at the Member Level]]+Age_Sex_BY[[#This Row],[Total Dollars Excluded from Spending After Applying Truncation at the Member Level]]=Age_Sex_BY[[#This Row],[Total Spending before Truncation is Applied]]</f>
        <v>1</v>
      </c>
    </row>
    <row r="851" spans="1:10" x14ac:dyDescent="0.25">
      <c r="A851" s="339"/>
      <c r="B851" s="270"/>
      <c r="C851" s="271"/>
      <c r="D851" s="456"/>
      <c r="E851" s="362"/>
      <c r="F851" s="272"/>
      <c r="G851" s="460"/>
      <c r="H851" s="272"/>
      <c r="I851" s="399"/>
      <c r="J851" s="241" t="b">
        <f>Age_Sex_BY[[#This Row],[Total Spending After Applying Truncation at the Member Level]]+Age_Sex_BY[[#This Row],[Total Dollars Excluded from Spending After Applying Truncation at the Member Level]]=Age_Sex_BY[[#This Row],[Total Spending before Truncation is Applied]]</f>
        <v>1</v>
      </c>
    </row>
    <row r="852" spans="1:10" x14ac:dyDescent="0.25">
      <c r="A852" s="342"/>
      <c r="B852" s="4"/>
      <c r="C852" s="16"/>
      <c r="D852" s="457"/>
      <c r="E852" s="363"/>
      <c r="F852" s="273"/>
      <c r="G852" s="226"/>
      <c r="H852" s="273"/>
      <c r="I852" s="400"/>
      <c r="J852" s="241" t="b">
        <f>Age_Sex_BY[[#This Row],[Total Spending After Applying Truncation at the Member Level]]+Age_Sex_BY[[#This Row],[Total Dollars Excluded from Spending After Applying Truncation at the Member Level]]=Age_Sex_BY[[#This Row],[Total Spending before Truncation is Applied]]</f>
        <v>1</v>
      </c>
    </row>
    <row r="853" spans="1:10" x14ac:dyDescent="0.25">
      <c r="A853" s="339"/>
      <c r="B853" s="270"/>
      <c r="C853" s="271"/>
      <c r="D853" s="456"/>
      <c r="E853" s="362"/>
      <c r="F853" s="272"/>
      <c r="G853" s="460"/>
      <c r="H853" s="272"/>
      <c r="I853" s="399"/>
      <c r="J853" s="241" t="b">
        <f>Age_Sex_BY[[#This Row],[Total Spending After Applying Truncation at the Member Level]]+Age_Sex_BY[[#This Row],[Total Dollars Excluded from Spending After Applying Truncation at the Member Level]]=Age_Sex_BY[[#This Row],[Total Spending before Truncation is Applied]]</f>
        <v>1</v>
      </c>
    </row>
    <row r="854" spans="1:10" x14ac:dyDescent="0.25">
      <c r="A854" s="342"/>
      <c r="B854" s="4"/>
      <c r="C854" s="16"/>
      <c r="D854" s="457"/>
      <c r="E854" s="363"/>
      <c r="F854" s="273"/>
      <c r="G854" s="226"/>
      <c r="H854" s="273"/>
      <c r="I854" s="400"/>
      <c r="J854" s="241" t="b">
        <f>Age_Sex_BY[[#This Row],[Total Spending After Applying Truncation at the Member Level]]+Age_Sex_BY[[#This Row],[Total Dollars Excluded from Spending After Applying Truncation at the Member Level]]=Age_Sex_BY[[#This Row],[Total Spending before Truncation is Applied]]</f>
        <v>1</v>
      </c>
    </row>
    <row r="855" spans="1:10" x14ac:dyDescent="0.25">
      <c r="A855" s="339"/>
      <c r="B855" s="270"/>
      <c r="C855" s="271"/>
      <c r="D855" s="456"/>
      <c r="E855" s="362"/>
      <c r="F855" s="272"/>
      <c r="G855" s="460"/>
      <c r="H855" s="272"/>
      <c r="I855" s="399"/>
      <c r="J855" s="241" t="b">
        <f>Age_Sex_BY[[#This Row],[Total Spending After Applying Truncation at the Member Level]]+Age_Sex_BY[[#This Row],[Total Dollars Excluded from Spending After Applying Truncation at the Member Level]]=Age_Sex_BY[[#This Row],[Total Spending before Truncation is Applied]]</f>
        <v>1</v>
      </c>
    </row>
    <row r="856" spans="1:10" x14ac:dyDescent="0.25">
      <c r="A856" s="342"/>
      <c r="B856" s="4"/>
      <c r="C856" s="16"/>
      <c r="D856" s="457"/>
      <c r="E856" s="363"/>
      <c r="F856" s="273"/>
      <c r="G856" s="226"/>
      <c r="H856" s="273"/>
      <c r="I856" s="400"/>
      <c r="J856" s="241" t="b">
        <f>Age_Sex_BY[[#This Row],[Total Spending After Applying Truncation at the Member Level]]+Age_Sex_BY[[#This Row],[Total Dollars Excluded from Spending After Applying Truncation at the Member Level]]=Age_Sex_BY[[#This Row],[Total Spending before Truncation is Applied]]</f>
        <v>1</v>
      </c>
    </row>
    <row r="857" spans="1:10" x14ac:dyDescent="0.25">
      <c r="A857" s="339"/>
      <c r="B857" s="270"/>
      <c r="C857" s="271"/>
      <c r="D857" s="456"/>
      <c r="E857" s="362"/>
      <c r="F857" s="272"/>
      <c r="G857" s="460"/>
      <c r="H857" s="272"/>
      <c r="I857" s="399"/>
      <c r="J857" s="241" t="b">
        <f>Age_Sex_BY[[#This Row],[Total Spending After Applying Truncation at the Member Level]]+Age_Sex_BY[[#This Row],[Total Dollars Excluded from Spending After Applying Truncation at the Member Level]]=Age_Sex_BY[[#This Row],[Total Spending before Truncation is Applied]]</f>
        <v>1</v>
      </c>
    </row>
    <row r="858" spans="1:10" x14ac:dyDescent="0.25">
      <c r="A858" s="342"/>
      <c r="B858" s="4"/>
      <c r="C858" s="16"/>
      <c r="D858" s="457"/>
      <c r="E858" s="363"/>
      <c r="F858" s="273"/>
      <c r="G858" s="226"/>
      <c r="H858" s="273"/>
      <c r="I858" s="400"/>
      <c r="J858" s="241" t="b">
        <f>Age_Sex_BY[[#This Row],[Total Spending After Applying Truncation at the Member Level]]+Age_Sex_BY[[#This Row],[Total Dollars Excluded from Spending After Applying Truncation at the Member Level]]=Age_Sex_BY[[#This Row],[Total Spending before Truncation is Applied]]</f>
        <v>1</v>
      </c>
    </row>
    <row r="859" spans="1:10" x14ac:dyDescent="0.25">
      <c r="A859" s="339"/>
      <c r="B859" s="270"/>
      <c r="C859" s="271"/>
      <c r="D859" s="456"/>
      <c r="E859" s="362"/>
      <c r="F859" s="272"/>
      <c r="G859" s="460"/>
      <c r="H859" s="272"/>
      <c r="I859" s="399"/>
      <c r="J859" s="241" t="b">
        <f>Age_Sex_BY[[#This Row],[Total Spending After Applying Truncation at the Member Level]]+Age_Sex_BY[[#This Row],[Total Dollars Excluded from Spending After Applying Truncation at the Member Level]]=Age_Sex_BY[[#This Row],[Total Spending before Truncation is Applied]]</f>
        <v>1</v>
      </c>
    </row>
    <row r="860" spans="1:10" x14ac:dyDescent="0.25">
      <c r="A860" s="342"/>
      <c r="B860" s="4"/>
      <c r="C860" s="16"/>
      <c r="D860" s="457"/>
      <c r="E860" s="363"/>
      <c r="F860" s="273"/>
      <c r="G860" s="226"/>
      <c r="H860" s="273"/>
      <c r="I860" s="400"/>
      <c r="J860" s="241" t="b">
        <f>Age_Sex_BY[[#This Row],[Total Spending After Applying Truncation at the Member Level]]+Age_Sex_BY[[#This Row],[Total Dollars Excluded from Spending After Applying Truncation at the Member Level]]=Age_Sex_BY[[#This Row],[Total Spending before Truncation is Applied]]</f>
        <v>1</v>
      </c>
    </row>
    <row r="861" spans="1:10" x14ac:dyDescent="0.25">
      <c r="A861" s="339"/>
      <c r="B861" s="270"/>
      <c r="C861" s="271"/>
      <c r="D861" s="456"/>
      <c r="E861" s="362"/>
      <c r="F861" s="272"/>
      <c r="G861" s="460"/>
      <c r="H861" s="272"/>
      <c r="I861" s="399"/>
      <c r="J861" s="241" t="b">
        <f>Age_Sex_BY[[#This Row],[Total Spending After Applying Truncation at the Member Level]]+Age_Sex_BY[[#This Row],[Total Dollars Excluded from Spending After Applying Truncation at the Member Level]]=Age_Sex_BY[[#This Row],[Total Spending before Truncation is Applied]]</f>
        <v>1</v>
      </c>
    </row>
    <row r="862" spans="1:10" x14ac:dyDescent="0.25">
      <c r="A862" s="342"/>
      <c r="B862" s="4"/>
      <c r="C862" s="16"/>
      <c r="D862" s="457"/>
      <c r="E862" s="363"/>
      <c r="F862" s="273"/>
      <c r="G862" s="226"/>
      <c r="H862" s="273"/>
      <c r="I862" s="400"/>
      <c r="J862" s="241" t="b">
        <f>Age_Sex_BY[[#This Row],[Total Spending After Applying Truncation at the Member Level]]+Age_Sex_BY[[#This Row],[Total Dollars Excluded from Spending After Applying Truncation at the Member Level]]=Age_Sex_BY[[#This Row],[Total Spending before Truncation is Applied]]</f>
        <v>1</v>
      </c>
    </row>
    <row r="863" spans="1:10" x14ac:dyDescent="0.25">
      <c r="A863" s="339"/>
      <c r="B863" s="270"/>
      <c r="C863" s="271"/>
      <c r="D863" s="456"/>
      <c r="E863" s="362"/>
      <c r="F863" s="272"/>
      <c r="G863" s="460"/>
      <c r="H863" s="272"/>
      <c r="I863" s="399"/>
      <c r="J863" s="241" t="b">
        <f>Age_Sex_BY[[#This Row],[Total Spending After Applying Truncation at the Member Level]]+Age_Sex_BY[[#This Row],[Total Dollars Excluded from Spending After Applying Truncation at the Member Level]]=Age_Sex_BY[[#This Row],[Total Spending before Truncation is Applied]]</f>
        <v>1</v>
      </c>
    </row>
    <row r="864" spans="1:10" x14ac:dyDescent="0.25">
      <c r="A864" s="342"/>
      <c r="B864" s="4"/>
      <c r="C864" s="16"/>
      <c r="D864" s="457"/>
      <c r="E864" s="363"/>
      <c r="F864" s="273"/>
      <c r="G864" s="226"/>
      <c r="H864" s="273"/>
      <c r="I864" s="400"/>
      <c r="J864" s="241" t="b">
        <f>Age_Sex_BY[[#This Row],[Total Spending After Applying Truncation at the Member Level]]+Age_Sex_BY[[#This Row],[Total Dollars Excluded from Spending After Applying Truncation at the Member Level]]=Age_Sex_BY[[#This Row],[Total Spending before Truncation is Applied]]</f>
        <v>1</v>
      </c>
    </row>
    <row r="865" spans="1:10" x14ac:dyDescent="0.25">
      <c r="A865" s="339"/>
      <c r="B865" s="270"/>
      <c r="C865" s="271"/>
      <c r="D865" s="456"/>
      <c r="E865" s="362"/>
      <c r="F865" s="272"/>
      <c r="G865" s="460"/>
      <c r="H865" s="272"/>
      <c r="I865" s="399"/>
      <c r="J865" s="241" t="b">
        <f>Age_Sex_BY[[#This Row],[Total Spending After Applying Truncation at the Member Level]]+Age_Sex_BY[[#This Row],[Total Dollars Excluded from Spending After Applying Truncation at the Member Level]]=Age_Sex_BY[[#This Row],[Total Spending before Truncation is Applied]]</f>
        <v>1</v>
      </c>
    </row>
    <row r="866" spans="1:10" x14ac:dyDescent="0.25">
      <c r="A866" s="342"/>
      <c r="B866" s="4"/>
      <c r="C866" s="16"/>
      <c r="D866" s="457"/>
      <c r="E866" s="363"/>
      <c r="F866" s="273"/>
      <c r="G866" s="226"/>
      <c r="H866" s="273"/>
      <c r="I866" s="400"/>
      <c r="J866" s="241" t="b">
        <f>Age_Sex_BY[[#This Row],[Total Spending After Applying Truncation at the Member Level]]+Age_Sex_BY[[#This Row],[Total Dollars Excluded from Spending After Applying Truncation at the Member Level]]=Age_Sex_BY[[#This Row],[Total Spending before Truncation is Applied]]</f>
        <v>1</v>
      </c>
    </row>
    <row r="867" spans="1:10" x14ac:dyDescent="0.25">
      <c r="A867" s="339"/>
      <c r="B867" s="270"/>
      <c r="C867" s="271"/>
      <c r="D867" s="456"/>
      <c r="E867" s="362"/>
      <c r="F867" s="272"/>
      <c r="G867" s="460"/>
      <c r="H867" s="272"/>
      <c r="I867" s="399"/>
      <c r="J867" s="241" t="b">
        <f>Age_Sex_BY[[#This Row],[Total Spending After Applying Truncation at the Member Level]]+Age_Sex_BY[[#This Row],[Total Dollars Excluded from Spending After Applying Truncation at the Member Level]]=Age_Sex_BY[[#This Row],[Total Spending before Truncation is Applied]]</f>
        <v>1</v>
      </c>
    </row>
    <row r="868" spans="1:10" x14ac:dyDescent="0.25">
      <c r="A868" s="342"/>
      <c r="B868" s="4"/>
      <c r="C868" s="16"/>
      <c r="D868" s="457"/>
      <c r="E868" s="363"/>
      <c r="F868" s="273"/>
      <c r="G868" s="226"/>
      <c r="H868" s="273"/>
      <c r="I868" s="400"/>
      <c r="J868" s="241" t="b">
        <f>Age_Sex_BY[[#This Row],[Total Spending After Applying Truncation at the Member Level]]+Age_Sex_BY[[#This Row],[Total Dollars Excluded from Spending After Applying Truncation at the Member Level]]=Age_Sex_BY[[#This Row],[Total Spending before Truncation is Applied]]</f>
        <v>1</v>
      </c>
    </row>
    <row r="869" spans="1:10" x14ac:dyDescent="0.25">
      <c r="A869" s="339"/>
      <c r="B869" s="270"/>
      <c r="C869" s="271"/>
      <c r="D869" s="456"/>
      <c r="E869" s="362"/>
      <c r="F869" s="272"/>
      <c r="G869" s="460"/>
      <c r="H869" s="272"/>
      <c r="I869" s="399"/>
      <c r="J869" s="241" t="b">
        <f>Age_Sex_BY[[#This Row],[Total Spending After Applying Truncation at the Member Level]]+Age_Sex_BY[[#This Row],[Total Dollars Excluded from Spending After Applying Truncation at the Member Level]]=Age_Sex_BY[[#This Row],[Total Spending before Truncation is Applied]]</f>
        <v>1</v>
      </c>
    </row>
    <row r="870" spans="1:10" x14ac:dyDescent="0.25">
      <c r="A870" s="342"/>
      <c r="B870" s="4"/>
      <c r="C870" s="16"/>
      <c r="D870" s="457"/>
      <c r="E870" s="363"/>
      <c r="F870" s="273"/>
      <c r="G870" s="226"/>
      <c r="H870" s="273"/>
      <c r="I870" s="400"/>
      <c r="J870" s="241" t="b">
        <f>Age_Sex_BY[[#This Row],[Total Spending After Applying Truncation at the Member Level]]+Age_Sex_BY[[#This Row],[Total Dollars Excluded from Spending After Applying Truncation at the Member Level]]=Age_Sex_BY[[#This Row],[Total Spending before Truncation is Applied]]</f>
        <v>1</v>
      </c>
    </row>
    <row r="871" spans="1:10" x14ac:dyDescent="0.25">
      <c r="A871" s="339"/>
      <c r="B871" s="270"/>
      <c r="C871" s="271"/>
      <c r="D871" s="456"/>
      <c r="E871" s="362"/>
      <c r="F871" s="272"/>
      <c r="G871" s="460"/>
      <c r="H871" s="272"/>
      <c r="I871" s="399"/>
      <c r="J871" s="241" t="b">
        <f>Age_Sex_BY[[#This Row],[Total Spending After Applying Truncation at the Member Level]]+Age_Sex_BY[[#This Row],[Total Dollars Excluded from Spending After Applying Truncation at the Member Level]]=Age_Sex_BY[[#This Row],[Total Spending before Truncation is Applied]]</f>
        <v>1</v>
      </c>
    </row>
    <row r="872" spans="1:10" x14ac:dyDescent="0.25">
      <c r="A872" s="342"/>
      <c r="B872" s="4"/>
      <c r="C872" s="16"/>
      <c r="D872" s="457"/>
      <c r="E872" s="363"/>
      <c r="F872" s="273"/>
      <c r="G872" s="226"/>
      <c r="H872" s="273"/>
      <c r="I872" s="400"/>
      <c r="J872" s="241" t="b">
        <f>Age_Sex_BY[[#This Row],[Total Spending After Applying Truncation at the Member Level]]+Age_Sex_BY[[#This Row],[Total Dollars Excluded from Spending After Applying Truncation at the Member Level]]=Age_Sex_BY[[#This Row],[Total Spending before Truncation is Applied]]</f>
        <v>1</v>
      </c>
    </row>
    <row r="873" spans="1:10" x14ac:dyDescent="0.25">
      <c r="A873" s="339"/>
      <c r="B873" s="270"/>
      <c r="C873" s="271"/>
      <c r="D873" s="456"/>
      <c r="E873" s="362"/>
      <c r="F873" s="272"/>
      <c r="G873" s="460"/>
      <c r="H873" s="272"/>
      <c r="I873" s="399"/>
      <c r="J873" s="241" t="b">
        <f>Age_Sex_BY[[#This Row],[Total Spending After Applying Truncation at the Member Level]]+Age_Sex_BY[[#This Row],[Total Dollars Excluded from Spending After Applying Truncation at the Member Level]]=Age_Sex_BY[[#This Row],[Total Spending before Truncation is Applied]]</f>
        <v>1</v>
      </c>
    </row>
    <row r="874" spans="1:10" x14ac:dyDescent="0.25">
      <c r="A874" s="342"/>
      <c r="B874" s="4"/>
      <c r="C874" s="16"/>
      <c r="D874" s="457"/>
      <c r="E874" s="363"/>
      <c r="F874" s="273"/>
      <c r="G874" s="226"/>
      <c r="H874" s="273"/>
      <c r="I874" s="400"/>
      <c r="J874" s="241" t="b">
        <f>Age_Sex_BY[[#This Row],[Total Spending After Applying Truncation at the Member Level]]+Age_Sex_BY[[#This Row],[Total Dollars Excluded from Spending After Applying Truncation at the Member Level]]=Age_Sex_BY[[#This Row],[Total Spending before Truncation is Applied]]</f>
        <v>1</v>
      </c>
    </row>
    <row r="875" spans="1:10" x14ac:dyDescent="0.25">
      <c r="A875" s="339"/>
      <c r="B875" s="270"/>
      <c r="C875" s="271"/>
      <c r="D875" s="456"/>
      <c r="E875" s="362"/>
      <c r="F875" s="272"/>
      <c r="G875" s="460"/>
      <c r="H875" s="272"/>
      <c r="I875" s="399"/>
      <c r="J875" s="241" t="b">
        <f>Age_Sex_BY[[#This Row],[Total Spending After Applying Truncation at the Member Level]]+Age_Sex_BY[[#This Row],[Total Dollars Excluded from Spending After Applying Truncation at the Member Level]]=Age_Sex_BY[[#This Row],[Total Spending before Truncation is Applied]]</f>
        <v>1</v>
      </c>
    </row>
    <row r="876" spans="1:10" x14ac:dyDescent="0.25">
      <c r="A876" s="342"/>
      <c r="B876" s="4"/>
      <c r="C876" s="16"/>
      <c r="D876" s="457"/>
      <c r="E876" s="363"/>
      <c r="F876" s="273"/>
      <c r="G876" s="226"/>
      <c r="H876" s="273"/>
      <c r="I876" s="400"/>
      <c r="J876" s="241" t="b">
        <f>Age_Sex_BY[[#This Row],[Total Spending After Applying Truncation at the Member Level]]+Age_Sex_BY[[#This Row],[Total Dollars Excluded from Spending After Applying Truncation at the Member Level]]=Age_Sex_BY[[#This Row],[Total Spending before Truncation is Applied]]</f>
        <v>1</v>
      </c>
    </row>
    <row r="877" spans="1:10" x14ac:dyDescent="0.25">
      <c r="A877" s="339"/>
      <c r="B877" s="270"/>
      <c r="C877" s="271"/>
      <c r="D877" s="456"/>
      <c r="E877" s="362"/>
      <c r="F877" s="272"/>
      <c r="G877" s="460"/>
      <c r="H877" s="272"/>
      <c r="I877" s="399"/>
      <c r="J877" s="241" t="b">
        <f>Age_Sex_BY[[#This Row],[Total Spending After Applying Truncation at the Member Level]]+Age_Sex_BY[[#This Row],[Total Dollars Excluded from Spending After Applying Truncation at the Member Level]]=Age_Sex_BY[[#This Row],[Total Spending before Truncation is Applied]]</f>
        <v>1</v>
      </c>
    </row>
    <row r="878" spans="1:10" x14ac:dyDescent="0.25">
      <c r="A878" s="342"/>
      <c r="B878" s="4"/>
      <c r="C878" s="16"/>
      <c r="D878" s="457"/>
      <c r="E878" s="363"/>
      <c r="F878" s="273"/>
      <c r="G878" s="226"/>
      <c r="H878" s="273"/>
      <c r="I878" s="400"/>
      <c r="J878" s="241" t="b">
        <f>Age_Sex_BY[[#This Row],[Total Spending After Applying Truncation at the Member Level]]+Age_Sex_BY[[#This Row],[Total Dollars Excluded from Spending After Applying Truncation at the Member Level]]=Age_Sex_BY[[#This Row],[Total Spending before Truncation is Applied]]</f>
        <v>1</v>
      </c>
    </row>
    <row r="879" spans="1:10" x14ac:dyDescent="0.25">
      <c r="A879" s="339"/>
      <c r="B879" s="270"/>
      <c r="C879" s="271"/>
      <c r="D879" s="456"/>
      <c r="E879" s="362"/>
      <c r="F879" s="272"/>
      <c r="G879" s="460"/>
      <c r="H879" s="272"/>
      <c r="I879" s="399"/>
      <c r="J879" s="241" t="b">
        <f>Age_Sex_BY[[#This Row],[Total Spending After Applying Truncation at the Member Level]]+Age_Sex_BY[[#This Row],[Total Dollars Excluded from Spending After Applying Truncation at the Member Level]]=Age_Sex_BY[[#This Row],[Total Spending before Truncation is Applied]]</f>
        <v>1</v>
      </c>
    </row>
    <row r="880" spans="1:10" x14ac:dyDescent="0.25">
      <c r="A880" s="342"/>
      <c r="B880" s="4"/>
      <c r="C880" s="16"/>
      <c r="D880" s="457"/>
      <c r="E880" s="363"/>
      <c r="F880" s="273"/>
      <c r="G880" s="226"/>
      <c r="H880" s="273"/>
      <c r="I880" s="400"/>
      <c r="J880" s="241" t="b">
        <f>Age_Sex_BY[[#This Row],[Total Spending After Applying Truncation at the Member Level]]+Age_Sex_BY[[#This Row],[Total Dollars Excluded from Spending After Applying Truncation at the Member Level]]=Age_Sex_BY[[#This Row],[Total Spending before Truncation is Applied]]</f>
        <v>1</v>
      </c>
    </row>
    <row r="881" spans="1:10" x14ac:dyDescent="0.25">
      <c r="A881" s="339"/>
      <c r="B881" s="270"/>
      <c r="C881" s="271"/>
      <c r="D881" s="456"/>
      <c r="E881" s="362"/>
      <c r="F881" s="272"/>
      <c r="G881" s="460"/>
      <c r="H881" s="272"/>
      <c r="I881" s="399"/>
      <c r="J881" s="241" t="b">
        <f>Age_Sex_BY[[#This Row],[Total Spending After Applying Truncation at the Member Level]]+Age_Sex_BY[[#This Row],[Total Dollars Excluded from Spending After Applying Truncation at the Member Level]]=Age_Sex_BY[[#This Row],[Total Spending before Truncation is Applied]]</f>
        <v>1</v>
      </c>
    </row>
    <row r="882" spans="1:10" x14ac:dyDescent="0.25">
      <c r="A882" s="342"/>
      <c r="B882" s="4"/>
      <c r="C882" s="16"/>
      <c r="D882" s="457"/>
      <c r="E882" s="363"/>
      <c r="F882" s="273"/>
      <c r="G882" s="226"/>
      <c r="H882" s="273"/>
      <c r="I882" s="400"/>
      <c r="J882" s="241" t="b">
        <f>Age_Sex_BY[[#This Row],[Total Spending After Applying Truncation at the Member Level]]+Age_Sex_BY[[#This Row],[Total Dollars Excluded from Spending After Applying Truncation at the Member Level]]=Age_Sex_BY[[#This Row],[Total Spending before Truncation is Applied]]</f>
        <v>1</v>
      </c>
    </row>
    <row r="883" spans="1:10" x14ac:dyDescent="0.25">
      <c r="A883" s="339"/>
      <c r="B883" s="270"/>
      <c r="C883" s="271"/>
      <c r="D883" s="456"/>
      <c r="E883" s="362"/>
      <c r="F883" s="272"/>
      <c r="G883" s="460"/>
      <c r="H883" s="272"/>
      <c r="I883" s="399"/>
      <c r="J883" s="241" t="b">
        <f>Age_Sex_BY[[#This Row],[Total Spending After Applying Truncation at the Member Level]]+Age_Sex_BY[[#This Row],[Total Dollars Excluded from Spending After Applying Truncation at the Member Level]]=Age_Sex_BY[[#This Row],[Total Spending before Truncation is Applied]]</f>
        <v>1</v>
      </c>
    </row>
    <row r="884" spans="1:10" x14ac:dyDescent="0.25">
      <c r="A884" s="342"/>
      <c r="B884" s="4"/>
      <c r="C884" s="16"/>
      <c r="D884" s="457"/>
      <c r="E884" s="363"/>
      <c r="F884" s="273"/>
      <c r="G884" s="226"/>
      <c r="H884" s="273"/>
      <c r="I884" s="400"/>
      <c r="J884" s="241" t="b">
        <f>Age_Sex_BY[[#This Row],[Total Spending After Applying Truncation at the Member Level]]+Age_Sex_BY[[#This Row],[Total Dollars Excluded from Spending After Applying Truncation at the Member Level]]=Age_Sex_BY[[#This Row],[Total Spending before Truncation is Applied]]</f>
        <v>1</v>
      </c>
    </row>
    <row r="885" spans="1:10" x14ac:dyDescent="0.25">
      <c r="A885" s="339"/>
      <c r="B885" s="270"/>
      <c r="C885" s="271"/>
      <c r="D885" s="456"/>
      <c r="E885" s="362"/>
      <c r="F885" s="272"/>
      <c r="G885" s="460"/>
      <c r="H885" s="272"/>
      <c r="I885" s="399"/>
      <c r="J885" s="241" t="b">
        <f>Age_Sex_BY[[#This Row],[Total Spending After Applying Truncation at the Member Level]]+Age_Sex_BY[[#This Row],[Total Dollars Excluded from Spending After Applying Truncation at the Member Level]]=Age_Sex_BY[[#This Row],[Total Spending before Truncation is Applied]]</f>
        <v>1</v>
      </c>
    </row>
    <row r="886" spans="1:10" x14ac:dyDescent="0.25">
      <c r="A886" s="342"/>
      <c r="B886" s="4"/>
      <c r="C886" s="16"/>
      <c r="D886" s="457"/>
      <c r="E886" s="363"/>
      <c r="F886" s="273"/>
      <c r="G886" s="226"/>
      <c r="H886" s="273"/>
      <c r="I886" s="400"/>
      <c r="J886" s="241" t="b">
        <f>Age_Sex_BY[[#This Row],[Total Spending After Applying Truncation at the Member Level]]+Age_Sex_BY[[#This Row],[Total Dollars Excluded from Spending After Applying Truncation at the Member Level]]=Age_Sex_BY[[#This Row],[Total Spending before Truncation is Applied]]</f>
        <v>1</v>
      </c>
    </row>
    <row r="887" spans="1:10" x14ac:dyDescent="0.25">
      <c r="A887" s="339"/>
      <c r="B887" s="270"/>
      <c r="C887" s="271"/>
      <c r="D887" s="456"/>
      <c r="E887" s="362"/>
      <c r="F887" s="272"/>
      <c r="G887" s="460"/>
      <c r="H887" s="272"/>
      <c r="I887" s="399"/>
      <c r="J887" s="241" t="b">
        <f>Age_Sex_BY[[#This Row],[Total Spending After Applying Truncation at the Member Level]]+Age_Sex_BY[[#This Row],[Total Dollars Excluded from Spending After Applying Truncation at the Member Level]]=Age_Sex_BY[[#This Row],[Total Spending before Truncation is Applied]]</f>
        <v>1</v>
      </c>
    </row>
    <row r="888" spans="1:10" x14ac:dyDescent="0.25">
      <c r="A888" s="342"/>
      <c r="B888" s="4"/>
      <c r="C888" s="16"/>
      <c r="D888" s="457"/>
      <c r="E888" s="363"/>
      <c r="F888" s="273"/>
      <c r="G888" s="226"/>
      <c r="H888" s="273"/>
      <c r="I888" s="400"/>
      <c r="J888" s="241" t="b">
        <f>Age_Sex_BY[[#This Row],[Total Spending After Applying Truncation at the Member Level]]+Age_Sex_BY[[#This Row],[Total Dollars Excluded from Spending After Applying Truncation at the Member Level]]=Age_Sex_BY[[#This Row],[Total Spending before Truncation is Applied]]</f>
        <v>1</v>
      </c>
    </row>
    <row r="889" spans="1:10" x14ac:dyDescent="0.25">
      <c r="A889" s="339"/>
      <c r="B889" s="270"/>
      <c r="C889" s="271"/>
      <c r="D889" s="456"/>
      <c r="E889" s="362"/>
      <c r="F889" s="272"/>
      <c r="G889" s="460"/>
      <c r="H889" s="272"/>
      <c r="I889" s="399"/>
      <c r="J889" s="241" t="b">
        <f>Age_Sex_BY[[#This Row],[Total Spending After Applying Truncation at the Member Level]]+Age_Sex_BY[[#This Row],[Total Dollars Excluded from Spending After Applying Truncation at the Member Level]]=Age_Sex_BY[[#This Row],[Total Spending before Truncation is Applied]]</f>
        <v>1</v>
      </c>
    </row>
    <row r="890" spans="1:10" x14ac:dyDescent="0.25">
      <c r="A890" s="342"/>
      <c r="B890" s="4"/>
      <c r="C890" s="16"/>
      <c r="D890" s="457"/>
      <c r="E890" s="363"/>
      <c r="F890" s="273"/>
      <c r="G890" s="226"/>
      <c r="H890" s="273"/>
      <c r="I890" s="400"/>
      <c r="J890" s="241" t="b">
        <f>Age_Sex_BY[[#This Row],[Total Spending After Applying Truncation at the Member Level]]+Age_Sex_BY[[#This Row],[Total Dollars Excluded from Spending After Applying Truncation at the Member Level]]=Age_Sex_BY[[#This Row],[Total Spending before Truncation is Applied]]</f>
        <v>1</v>
      </c>
    </row>
    <row r="891" spans="1:10" x14ac:dyDescent="0.25">
      <c r="A891" s="339"/>
      <c r="B891" s="270"/>
      <c r="C891" s="271"/>
      <c r="D891" s="456"/>
      <c r="E891" s="362"/>
      <c r="F891" s="272"/>
      <c r="G891" s="460"/>
      <c r="H891" s="272"/>
      <c r="I891" s="399"/>
      <c r="J891" s="241" t="b">
        <f>Age_Sex_BY[[#This Row],[Total Spending After Applying Truncation at the Member Level]]+Age_Sex_BY[[#This Row],[Total Dollars Excluded from Spending After Applying Truncation at the Member Level]]=Age_Sex_BY[[#This Row],[Total Spending before Truncation is Applied]]</f>
        <v>1</v>
      </c>
    </row>
    <row r="892" spans="1:10" x14ac:dyDescent="0.25">
      <c r="A892" s="342"/>
      <c r="B892" s="4"/>
      <c r="C892" s="16"/>
      <c r="D892" s="457"/>
      <c r="E892" s="363"/>
      <c r="F892" s="273"/>
      <c r="G892" s="226"/>
      <c r="H892" s="273"/>
      <c r="I892" s="400"/>
      <c r="J892" s="241" t="b">
        <f>Age_Sex_BY[[#This Row],[Total Spending After Applying Truncation at the Member Level]]+Age_Sex_BY[[#This Row],[Total Dollars Excluded from Spending After Applying Truncation at the Member Level]]=Age_Sex_BY[[#This Row],[Total Spending before Truncation is Applied]]</f>
        <v>1</v>
      </c>
    </row>
    <row r="893" spans="1:10" x14ac:dyDescent="0.25">
      <c r="A893" s="339"/>
      <c r="B893" s="270"/>
      <c r="C893" s="271"/>
      <c r="D893" s="456"/>
      <c r="E893" s="362"/>
      <c r="F893" s="272"/>
      <c r="G893" s="460"/>
      <c r="H893" s="272"/>
      <c r="I893" s="399"/>
      <c r="J893" s="241" t="b">
        <f>Age_Sex_BY[[#This Row],[Total Spending After Applying Truncation at the Member Level]]+Age_Sex_BY[[#This Row],[Total Dollars Excluded from Spending After Applying Truncation at the Member Level]]=Age_Sex_BY[[#This Row],[Total Spending before Truncation is Applied]]</f>
        <v>1</v>
      </c>
    </row>
    <row r="894" spans="1:10" x14ac:dyDescent="0.25">
      <c r="A894" s="342"/>
      <c r="B894" s="4"/>
      <c r="C894" s="16"/>
      <c r="D894" s="457"/>
      <c r="E894" s="363"/>
      <c r="F894" s="273"/>
      <c r="G894" s="226"/>
      <c r="H894" s="273"/>
      <c r="I894" s="400"/>
      <c r="J894" s="241" t="b">
        <f>Age_Sex_BY[[#This Row],[Total Spending After Applying Truncation at the Member Level]]+Age_Sex_BY[[#This Row],[Total Dollars Excluded from Spending After Applying Truncation at the Member Level]]=Age_Sex_BY[[#This Row],[Total Spending before Truncation is Applied]]</f>
        <v>1</v>
      </c>
    </row>
    <row r="895" spans="1:10" x14ac:dyDescent="0.25">
      <c r="A895" s="339"/>
      <c r="B895" s="270"/>
      <c r="C895" s="271"/>
      <c r="D895" s="456"/>
      <c r="E895" s="362"/>
      <c r="F895" s="272"/>
      <c r="G895" s="460"/>
      <c r="H895" s="272"/>
      <c r="I895" s="399"/>
      <c r="J895" s="241" t="b">
        <f>Age_Sex_BY[[#This Row],[Total Spending After Applying Truncation at the Member Level]]+Age_Sex_BY[[#This Row],[Total Dollars Excluded from Spending After Applying Truncation at the Member Level]]=Age_Sex_BY[[#This Row],[Total Spending before Truncation is Applied]]</f>
        <v>1</v>
      </c>
    </row>
    <row r="896" spans="1:10" x14ac:dyDescent="0.25">
      <c r="A896" s="342"/>
      <c r="B896" s="4"/>
      <c r="C896" s="16"/>
      <c r="D896" s="457"/>
      <c r="E896" s="363"/>
      <c r="F896" s="273"/>
      <c r="G896" s="226"/>
      <c r="H896" s="273"/>
      <c r="I896" s="400"/>
      <c r="J896" s="241" t="b">
        <f>Age_Sex_BY[[#This Row],[Total Spending After Applying Truncation at the Member Level]]+Age_Sex_BY[[#This Row],[Total Dollars Excluded from Spending After Applying Truncation at the Member Level]]=Age_Sex_BY[[#This Row],[Total Spending before Truncation is Applied]]</f>
        <v>1</v>
      </c>
    </row>
    <row r="897" spans="1:10" x14ac:dyDescent="0.25">
      <c r="A897" s="339"/>
      <c r="B897" s="270"/>
      <c r="C897" s="271"/>
      <c r="D897" s="456"/>
      <c r="E897" s="362"/>
      <c r="F897" s="272"/>
      <c r="G897" s="460"/>
      <c r="H897" s="272"/>
      <c r="I897" s="399"/>
      <c r="J897" s="241" t="b">
        <f>Age_Sex_BY[[#This Row],[Total Spending After Applying Truncation at the Member Level]]+Age_Sex_BY[[#This Row],[Total Dollars Excluded from Spending After Applying Truncation at the Member Level]]=Age_Sex_BY[[#This Row],[Total Spending before Truncation is Applied]]</f>
        <v>1</v>
      </c>
    </row>
    <row r="898" spans="1:10" x14ac:dyDescent="0.25">
      <c r="A898" s="342"/>
      <c r="B898" s="4"/>
      <c r="C898" s="16"/>
      <c r="D898" s="457"/>
      <c r="E898" s="363"/>
      <c r="F898" s="273"/>
      <c r="G898" s="226"/>
      <c r="H898" s="273"/>
      <c r="I898" s="400"/>
      <c r="J898" s="241" t="b">
        <f>Age_Sex_BY[[#This Row],[Total Spending After Applying Truncation at the Member Level]]+Age_Sex_BY[[#This Row],[Total Dollars Excluded from Spending After Applying Truncation at the Member Level]]=Age_Sex_BY[[#This Row],[Total Spending before Truncation is Applied]]</f>
        <v>1</v>
      </c>
    </row>
    <row r="899" spans="1:10" x14ac:dyDescent="0.25">
      <c r="A899" s="339"/>
      <c r="B899" s="270"/>
      <c r="C899" s="271"/>
      <c r="D899" s="456"/>
      <c r="E899" s="362"/>
      <c r="F899" s="272"/>
      <c r="G899" s="460"/>
      <c r="H899" s="272"/>
      <c r="I899" s="399"/>
      <c r="J899" s="241" t="b">
        <f>Age_Sex_BY[[#This Row],[Total Spending After Applying Truncation at the Member Level]]+Age_Sex_BY[[#This Row],[Total Dollars Excluded from Spending After Applying Truncation at the Member Level]]=Age_Sex_BY[[#This Row],[Total Spending before Truncation is Applied]]</f>
        <v>1</v>
      </c>
    </row>
    <row r="900" spans="1:10" x14ac:dyDescent="0.25">
      <c r="A900" s="342"/>
      <c r="B900" s="4"/>
      <c r="C900" s="16"/>
      <c r="D900" s="457"/>
      <c r="E900" s="363"/>
      <c r="F900" s="273"/>
      <c r="G900" s="226"/>
      <c r="H900" s="273"/>
      <c r="I900" s="400"/>
      <c r="J900" s="241" t="b">
        <f>Age_Sex_BY[[#This Row],[Total Spending After Applying Truncation at the Member Level]]+Age_Sex_BY[[#This Row],[Total Dollars Excluded from Spending After Applying Truncation at the Member Level]]=Age_Sex_BY[[#This Row],[Total Spending before Truncation is Applied]]</f>
        <v>1</v>
      </c>
    </row>
    <row r="901" spans="1:10" x14ac:dyDescent="0.25">
      <c r="A901" s="339"/>
      <c r="B901" s="270"/>
      <c r="C901" s="271"/>
      <c r="D901" s="456"/>
      <c r="E901" s="362"/>
      <c r="F901" s="272"/>
      <c r="G901" s="460"/>
      <c r="H901" s="272"/>
      <c r="I901" s="399"/>
      <c r="J901" s="241" t="b">
        <f>Age_Sex_BY[[#This Row],[Total Spending After Applying Truncation at the Member Level]]+Age_Sex_BY[[#This Row],[Total Dollars Excluded from Spending After Applying Truncation at the Member Level]]=Age_Sex_BY[[#This Row],[Total Spending before Truncation is Applied]]</f>
        <v>1</v>
      </c>
    </row>
    <row r="902" spans="1:10" x14ac:dyDescent="0.25">
      <c r="A902" s="342"/>
      <c r="B902" s="4"/>
      <c r="C902" s="16"/>
      <c r="D902" s="457"/>
      <c r="E902" s="363"/>
      <c r="F902" s="273"/>
      <c r="G902" s="226"/>
      <c r="H902" s="273"/>
      <c r="I902" s="400"/>
      <c r="J902" s="241" t="b">
        <f>Age_Sex_BY[[#This Row],[Total Spending After Applying Truncation at the Member Level]]+Age_Sex_BY[[#This Row],[Total Dollars Excluded from Spending After Applying Truncation at the Member Level]]=Age_Sex_BY[[#This Row],[Total Spending before Truncation is Applied]]</f>
        <v>1</v>
      </c>
    </row>
    <row r="903" spans="1:10" x14ac:dyDescent="0.25">
      <c r="A903" s="339"/>
      <c r="B903" s="270"/>
      <c r="C903" s="271"/>
      <c r="D903" s="456"/>
      <c r="E903" s="362"/>
      <c r="F903" s="272"/>
      <c r="G903" s="460"/>
      <c r="H903" s="272"/>
      <c r="I903" s="399"/>
      <c r="J903" s="241" t="b">
        <f>Age_Sex_BY[[#This Row],[Total Spending After Applying Truncation at the Member Level]]+Age_Sex_BY[[#This Row],[Total Dollars Excluded from Spending After Applying Truncation at the Member Level]]=Age_Sex_BY[[#This Row],[Total Spending before Truncation is Applied]]</f>
        <v>1</v>
      </c>
    </row>
    <row r="904" spans="1:10" x14ac:dyDescent="0.25">
      <c r="A904" s="342"/>
      <c r="B904" s="4"/>
      <c r="C904" s="16"/>
      <c r="D904" s="457"/>
      <c r="E904" s="363"/>
      <c r="F904" s="273"/>
      <c r="G904" s="226"/>
      <c r="H904" s="273"/>
      <c r="I904" s="400"/>
      <c r="J904" s="241" t="b">
        <f>Age_Sex_BY[[#This Row],[Total Spending After Applying Truncation at the Member Level]]+Age_Sex_BY[[#This Row],[Total Dollars Excluded from Spending After Applying Truncation at the Member Level]]=Age_Sex_BY[[#This Row],[Total Spending before Truncation is Applied]]</f>
        <v>1</v>
      </c>
    </row>
    <row r="905" spans="1:10" x14ac:dyDescent="0.25">
      <c r="A905" s="339"/>
      <c r="B905" s="270"/>
      <c r="C905" s="271"/>
      <c r="D905" s="456"/>
      <c r="E905" s="362"/>
      <c r="F905" s="272"/>
      <c r="G905" s="460"/>
      <c r="H905" s="272"/>
      <c r="I905" s="399"/>
      <c r="J905" s="241" t="b">
        <f>Age_Sex_BY[[#This Row],[Total Spending After Applying Truncation at the Member Level]]+Age_Sex_BY[[#This Row],[Total Dollars Excluded from Spending After Applying Truncation at the Member Level]]=Age_Sex_BY[[#This Row],[Total Spending before Truncation is Applied]]</f>
        <v>1</v>
      </c>
    </row>
    <row r="906" spans="1:10" x14ac:dyDescent="0.25">
      <c r="A906" s="342"/>
      <c r="B906" s="4"/>
      <c r="C906" s="16"/>
      <c r="D906" s="457"/>
      <c r="E906" s="363"/>
      <c r="F906" s="273"/>
      <c r="G906" s="226"/>
      <c r="H906" s="273"/>
      <c r="I906" s="400"/>
      <c r="J906" s="241" t="b">
        <f>Age_Sex_BY[[#This Row],[Total Spending After Applying Truncation at the Member Level]]+Age_Sex_BY[[#This Row],[Total Dollars Excluded from Spending After Applying Truncation at the Member Level]]=Age_Sex_BY[[#This Row],[Total Spending before Truncation is Applied]]</f>
        <v>1</v>
      </c>
    </row>
    <row r="907" spans="1:10" x14ac:dyDescent="0.25">
      <c r="A907" s="339"/>
      <c r="B907" s="270"/>
      <c r="C907" s="271"/>
      <c r="D907" s="456"/>
      <c r="E907" s="362"/>
      <c r="F907" s="272"/>
      <c r="G907" s="460"/>
      <c r="H907" s="272"/>
      <c r="I907" s="399"/>
      <c r="J907" s="241" t="b">
        <f>Age_Sex_BY[[#This Row],[Total Spending After Applying Truncation at the Member Level]]+Age_Sex_BY[[#This Row],[Total Dollars Excluded from Spending After Applying Truncation at the Member Level]]=Age_Sex_BY[[#This Row],[Total Spending before Truncation is Applied]]</f>
        <v>1</v>
      </c>
    </row>
    <row r="908" spans="1:10" x14ac:dyDescent="0.25">
      <c r="A908" s="342"/>
      <c r="B908" s="4"/>
      <c r="C908" s="16"/>
      <c r="D908" s="457"/>
      <c r="E908" s="363"/>
      <c r="F908" s="273"/>
      <c r="G908" s="226"/>
      <c r="H908" s="273"/>
      <c r="I908" s="400"/>
      <c r="J908" s="241" t="b">
        <f>Age_Sex_BY[[#This Row],[Total Spending After Applying Truncation at the Member Level]]+Age_Sex_BY[[#This Row],[Total Dollars Excluded from Spending After Applying Truncation at the Member Level]]=Age_Sex_BY[[#This Row],[Total Spending before Truncation is Applied]]</f>
        <v>1</v>
      </c>
    </row>
    <row r="909" spans="1:10" x14ac:dyDescent="0.25">
      <c r="A909" s="339"/>
      <c r="B909" s="270"/>
      <c r="C909" s="271"/>
      <c r="D909" s="456"/>
      <c r="E909" s="362"/>
      <c r="F909" s="272"/>
      <c r="G909" s="460"/>
      <c r="H909" s="272"/>
      <c r="I909" s="399"/>
      <c r="J909" s="241" t="b">
        <f>Age_Sex_BY[[#This Row],[Total Spending After Applying Truncation at the Member Level]]+Age_Sex_BY[[#This Row],[Total Dollars Excluded from Spending After Applying Truncation at the Member Level]]=Age_Sex_BY[[#This Row],[Total Spending before Truncation is Applied]]</f>
        <v>1</v>
      </c>
    </row>
    <row r="910" spans="1:10" x14ac:dyDescent="0.25">
      <c r="A910" s="342"/>
      <c r="B910" s="4"/>
      <c r="C910" s="16"/>
      <c r="D910" s="457"/>
      <c r="E910" s="363"/>
      <c r="F910" s="273"/>
      <c r="G910" s="226"/>
      <c r="H910" s="273"/>
      <c r="I910" s="400"/>
      <c r="J910" s="241" t="b">
        <f>Age_Sex_BY[[#This Row],[Total Spending After Applying Truncation at the Member Level]]+Age_Sex_BY[[#This Row],[Total Dollars Excluded from Spending After Applying Truncation at the Member Level]]=Age_Sex_BY[[#This Row],[Total Spending before Truncation is Applied]]</f>
        <v>1</v>
      </c>
    </row>
    <row r="911" spans="1:10" x14ac:dyDescent="0.25">
      <c r="A911" s="339"/>
      <c r="B911" s="270"/>
      <c r="C911" s="271"/>
      <c r="D911" s="456"/>
      <c r="E911" s="362"/>
      <c r="F911" s="272"/>
      <c r="G911" s="460"/>
      <c r="H911" s="272"/>
      <c r="I911" s="399"/>
      <c r="J911" s="241" t="b">
        <f>Age_Sex_BY[[#This Row],[Total Spending After Applying Truncation at the Member Level]]+Age_Sex_BY[[#This Row],[Total Dollars Excluded from Spending After Applying Truncation at the Member Level]]=Age_Sex_BY[[#This Row],[Total Spending before Truncation is Applied]]</f>
        <v>1</v>
      </c>
    </row>
    <row r="912" spans="1:10" x14ac:dyDescent="0.25">
      <c r="A912" s="342"/>
      <c r="B912" s="4"/>
      <c r="C912" s="16"/>
      <c r="D912" s="457"/>
      <c r="E912" s="363"/>
      <c r="F912" s="273"/>
      <c r="G912" s="226"/>
      <c r="H912" s="273"/>
      <c r="I912" s="400"/>
      <c r="J912" s="241" t="b">
        <f>Age_Sex_BY[[#This Row],[Total Spending After Applying Truncation at the Member Level]]+Age_Sex_BY[[#This Row],[Total Dollars Excluded from Spending After Applying Truncation at the Member Level]]=Age_Sex_BY[[#This Row],[Total Spending before Truncation is Applied]]</f>
        <v>1</v>
      </c>
    </row>
    <row r="913" spans="1:10" x14ac:dyDescent="0.25">
      <c r="A913" s="339"/>
      <c r="B913" s="270"/>
      <c r="C913" s="271"/>
      <c r="D913" s="456"/>
      <c r="E913" s="362"/>
      <c r="F913" s="272"/>
      <c r="G913" s="460"/>
      <c r="H913" s="272"/>
      <c r="I913" s="399"/>
      <c r="J913" s="241" t="b">
        <f>Age_Sex_BY[[#This Row],[Total Spending After Applying Truncation at the Member Level]]+Age_Sex_BY[[#This Row],[Total Dollars Excluded from Spending After Applying Truncation at the Member Level]]=Age_Sex_BY[[#This Row],[Total Spending before Truncation is Applied]]</f>
        <v>1</v>
      </c>
    </row>
    <row r="914" spans="1:10" x14ac:dyDescent="0.25">
      <c r="A914" s="342"/>
      <c r="B914" s="4"/>
      <c r="C914" s="16"/>
      <c r="D914" s="457"/>
      <c r="E914" s="363"/>
      <c r="F914" s="273"/>
      <c r="G914" s="226"/>
      <c r="H914" s="273"/>
      <c r="I914" s="400"/>
      <c r="J914" s="241" t="b">
        <f>Age_Sex_BY[[#This Row],[Total Spending After Applying Truncation at the Member Level]]+Age_Sex_BY[[#This Row],[Total Dollars Excluded from Spending After Applying Truncation at the Member Level]]=Age_Sex_BY[[#This Row],[Total Spending before Truncation is Applied]]</f>
        <v>1</v>
      </c>
    </row>
    <row r="915" spans="1:10" x14ac:dyDescent="0.25">
      <c r="A915" s="339"/>
      <c r="B915" s="270"/>
      <c r="C915" s="271"/>
      <c r="D915" s="456"/>
      <c r="E915" s="362"/>
      <c r="F915" s="272"/>
      <c r="G915" s="460"/>
      <c r="H915" s="272"/>
      <c r="I915" s="399"/>
      <c r="J915" s="241" t="b">
        <f>Age_Sex_BY[[#This Row],[Total Spending After Applying Truncation at the Member Level]]+Age_Sex_BY[[#This Row],[Total Dollars Excluded from Spending After Applying Truncation at the Member Level]]=Age_Sex_BY[[#This Row],[Total Spending before Truncation is Applied]]</f>
        <v>1</v>
      </c>
    </row>
    <row r="916" spans="1:10" x14ac:dyDescent="0.25">
      <c r="A916" s="342"/>
      <c r="B916" s="4"/>
      <c r="C916" s="16"/>
      <c r="D916" s="457"/>
      <c r="E916" s="363"/>
      <c r="F916" s="273"/>
      <c r="G916" s="226"/>
      <c r="H916" s="273"/>
      <c r="I916" s="400"/>
      <c r="J916" s="241" t="b">
        <f>Age_Sex_BY[[#This Row],[Total Spending After Applying Truncation at the Member Level]]+Age_Sex_BY[[#This Row],[Total Dollars Excluded from Spending After Applying Truncation at the Member Level]]=Age_Sex_BY[[#This Row],[Total Spending before Truncation is Applied]]</f>
        <v>1</v>
      </c>
    </row>
    <row r="917" spans="1:10" x14ac:dyDescent="0.25">
      <c r="A917" s="339"/>
      <c r="B917" s="270"/>
      <c r="C917" s="271"/>
      <c r="D917" s="456"/>
      <c r="E917" s="362"/>
      <c r="F917" s="272"/>
      <c r="G917" s="460"/>
      <c r="H917" s="272"/>
      <c r="I917" s="399"/>
      <c r="J917" s="241" t="b">
        <f>Age_Sex_BY[[#This Row],[Total Spending After Applying Truncation at the Member Level]]+Age_Sex_BY[[#This Row],[Total Dollars Excluded from Spending After Applying Truncation at the Member Level]]=Age_Sex_BY[[#This Row],[Total Spending before Truncation is Applied]]</f>
        <v>1</v>
      </c>
    </row>
    <row r="918" spans="1:10" x14ac:dyDescent="0.25">
      <c r="A918" s="342"/>
      <c r="B918" s="4"/>
      <c r="C918" s="16"/>
      <c r="D918" s="457"/>
      <c r="E918" s="363"/>
      <c r="F918" s="273"/>
      <c r="G918" s="226"/>
      <c r="H918" s="273"/>
      <c r="I918" s="400"/>
      <c r="J918" s="241" t="b">
        <f>Age_Sex_BY[[#This Row],[Total Spending After Applying Truncation at the Member Level]]+Age_Sex_BY[[#This Row],[Total Dollars Excluded from Spending After Applying Truncation at the Member Level]]=Age_Sex_BY[[#This Row],[Total Spending before Truncation is Applied]]</f>
        <v>1</v>
      </c>
    </row>
    <row r="919" spans="1:10" x14ac:dyDescent="0.25">
      <c r="A919" s="339"/>
      <c r="B919" s="270"/>
      <c r="C919" s="271"/>
      <c r="D919" s="456"/>
      <c r="E919" s="362"/>
      <c r="F919" s="272"/>
      <c r="G919" s="460"/>
      <c r="H919" s="272"/>
      <c r="I919" s="399"/>
      <c r="J919" s="241" t="b">
        <f>Age_Sex_BY[[#This Row],[Total Spending After Applying Truncation at the Member Level]]+Age_Sex_BY[[#This Row],[Total Dollars Excluded from Spending After Applying Truncation at the Member Level]]=Age_Sex_BY[[#This Row],[Total Spending before Truncation is Applied]]</f>
        <v>1</v>
      </c>
    </row>
    <row r="920" spans="1:10" x14ac:dyDescent="0.25">
      <c r="A920" s="342"/>
      <c r="B920" s="4"/>
      <c r="C920" s="16"/>
      <c r="D920" s="457"/>
      <c r="E920" s="363"/>
      <c r="F920" s="273"/>
      <c r="G920" s="226"/>
      <c r="H920" s="273"/>
      <c r="I920" s="400"/>
      <c r="J920" s="241" t="b">
        <f>Age_Sex_BY[[#This Row],[Total Spending After Applying Truncation at the Member Level]]+Age_Sex_BY[[#This Row],[Total Dollars Excluded from Spending After Applying Truncation at the Member Level]]=Age_Sex_BY[[#This Row],[Total Spending before Truncation is Applied]]</f>
        <v>1</v>
      </c>
    </row>
    <row r="921" spans="1:10" x14ac:dyDescent="0.25">
      <c r="A921" s="339"/>
      <c r="B921" s="270"/>
      <c r="C921" s="271"/>
      <c r="D921" s="456"/>
      <c r="E921" s="362"/>
      <c r="F921" s="272"/>
      <c r="G921" s="460"/>
      <c r="H921" s="272"/>
      <c r="I921" s="399"/>
      <c r="J921" s="241" t="b">
        <f>Age_Sex_BY[[#This Row],[Total Spending After Applying Truncation at the Member Level]]+Age_Sex_BY[[#This Row],[Total Dollars Excluded from Spending After Applying Truncation at the Member Level]]=Age_Sex_BY[[#This Row],[Total Spending before Truncation is Applied]]</f>
        <v>1</v>
      </c>
    </row>
    <row r="922" spans="1:10" x14ac:dyDescent="0.25">
      <c r="A922" s="342"/>
      <c r="B922" s="4"/>
      <c r="C922" s="16"/>
      <c r="D922" s="457"/>
      <c r="E922" s="363"/>
      <c r="F922" s="273"/>
      <c r="G922" s="226"/>
      <c r="H922" s="273"/>
      <c r="I922" s="400"/>
      <c r="J922" s="241" t="b">
        <f>Age_Sex_BY[[#This Row],[Total Spending After Applying Truncation at the Member Level]]+Age_Sex_BY[[#This Row],[Total Dollars Excluded from Spending After Applying Truncation at the Member Level]]=Age_Sex_BY[[#This Row],[Total Spending before Truncation is Applied]]</f>
        <v>1</v>
      </c>
    </row>
    <row r="923" spans="1:10" x14ac:dyDescent="0.25">
      <c r="A923" s="339"/>
      <c r="B923" s="270"/>
      <c r="C923" s="271"/>
      <c r="D923" s="456"/>
      <c r="E923" s="362"/>
      <c r="F923" s="272"/>
      <c r="G923" s="460"/>
      <c r="H923" s="272"/>
      <c r="I923" s="399"/>
      <c r="J923" s="241" t="b">
        <f>Age_Sex_BY[[#This Row],[Total Spending After Applying Truncation at the Member Level]]+Age_Sex_BY[[#This Row],[Total Dollars Excluded from Spending After Applying Truncation at the Member Level]]=Age_Sex_BY[[#This Row],[Total Spending before Truncation is Applied]]</f>
        <v>1</v>
      </c>
    </row>
    <row r="924" spans="1:10" x14ac:dyDescent="0.25">
      <c r="A924" s="342"/>
      <c r="B924" s="4"/>
      <c r="C924" s="16"/>
      <c r="D924" s="457"/>
      <c r="E924" s="363"/>
      <c r="F924" s="273"/>
      <c r="G924" s="226"/>
      <c r="H924" s="273"/>
      <c r="I924" s="400"/>
      <c r="J924" s="241" t="b">
        <f>Age_Sex_BY[[#This Row],[Total Spending After Applying Truncation at the Member Level]]+Age_Sex_BY[[#This Row],[Total Dollars Excluded from Spending After Applying Truncation at the Member Level]]=Age_Sex_BY[[#This Row],[Total Spending before Truncation is Applied]]</f>
        <v>1</v>
      </c>
    </row>
    <row r="925" spans="1:10" x14ac:dyDescent="0.25">
      <c r="A925" s="339"/>
      <c r="B925" s="270"/>
      <c r="C925" s="271"/>
      <c r="D925" s="456"/>
      <c r="E925" s="362"/>
      <c r="F925" s="272"/>
      <c r="G925" s="460"/>
      <c r="H925" s="272"/>
      <c r="I925" s="399"/>
      <c r="J925" s="241" t="b">
        <f>Age_Sex_BY[[#This Row],[Total Spending After Applying Truncation at the Member Level]]+Age_Sex_BY[[#This Row],[Total Dollars Excluded from Spending After Applying Truncation at the Member Level]]=Age_Sex_BY[[#This Row],[Total Spending before Truncation is Applied]]</f>
        <v>1</v>
      </c>
    </row>
    <row r="926" spans="1:10" x14ac:dyDescent="0.25">
      <c r="A926" s="342"/>
      <c r="B926" s="4"/>
      <c r="C926" s="16"/>
      <c r="D926" s="457"/>
      <c r="E926" s="363"/>
      <c r="F926" s="273"/>
      <c r="G926" s="226"/>
      <c r="H926" s="273"/>
      <c r="I926" s="400"/>
      <c r="J926" s="241" t="b">
        <f>Age_Sex_BY[[#This Row],[Total Spending After Applying Truncation at the Member Level]]+Age_Sex_BY[[#This Row],[Total Dollars Excluded from Spending After Applying Truncation at the Member Level]]=Age_Sex_BY[[#This Row],[Total Spending before Truncation is Applied]]</f>
        <v>1</v>
      </c>
    </row>
    <row r="927" spans="1:10" x14ac:dyDescent="0.25">
      <c r="A927" s="339"/>
      <c r="B927" s="270"/>
      <c r="C927" s="271"/>
      <c r="D927" s="456"/>
      <c r="E927" s="362"/>
      <c r="F927" s="272"/>
      <c r="G927" s="460"/>
      <c r="H927" s="272"/>
      <c r="I927" s="399"/>
      <c r="J927" s="241" t="b">
        <f>Age_Sex_BY[[#This Row],[Total Spending After Applying Truncation at the Member Level]]+Age_Sex_BY[[#This Row],[Total Dollars Excluded from Spending After Applying Truncation at the Member Level]]=Age_Sex_BY[[#This Row],[Total Spending before Truncation is Applied]]</f>
        <v>1</v>
      </c>
    </row>
    <row r="928" spans="1:10" x14ac:dyDescent="0.25">
      <c r="A928" s="342"/>
      <c r="B928" s="4"/>
      <c r="C928" s="16"/>
      <c r="D928" s="457"/>
      <c r="E928" s="363"/>
      <c r="F928" s="273"/>
      <c r="G928" s="226"/>
      <c r="H928" s="273"/>
      <c r="I928" s="400"/>
      <c r="J928" s="241" t="b">
        <f>Age_Sex_BY[[#This Row],[Total Spending After Applying Truncation at the Member Level]]+Age_Sex_BY[[#This Row],[Total Dollars Excluded from Spending After Applying Truncation at the Member Level]]=Age_Sex_BY[[#This Row],[Total Spending before Truncation is Applied]]</f>
        <v>1</v>
      </c>
    </row>
    <row r="929" spans="1:10" x14ac:dyDescent="0.25">
      <c r="A929" s="339"/>
      <c r="B929" s="270"/>
      <c r="C929" s="271"/>
      <c r="D929" s="456"/>
      <c r="E929" s="362"/>
      <c r="F929" s="272"/>
      <c r="G929" s="460"/>
      <c r="H929" s="272"/>
      <c r="I929" s="399"/>
      <c r="J929" s="241" t="b">
        <f>Age_Sex_BY[[#This Row],[Total Spending After Applying Truncation at the Member Level]]+Age_Sex_BY[[#This Row],[Total Dollars Excluded from Spending After Applying Truncation at the Member Level]]=Age_Sex_BY[[#This Row],[Total Spending before Truncation is Applied]]</f>
        <v>1</v>
      </c>
    </row>
    <row r="930" spans="1:10" x14ac:dyDescent="0.25">
      <c r="A930" s="342"/>
      <c r="B930" s="4"/>
      <c r="C930" s="16"/>
      <c r="D930" s="457"/>
      <c r="E930" s="363"/>
      <c r="F930" s="273"/>
      <c r="G930" s="226"/>
      <c r="H930" s="273"/>
      <c r="I930" s="400"/>
      <c r="J930" s="241" t="b">
        <f>Age_Sex_BY[[#This Row],[Total Spending After Applying Truncation at the Member Level]]+Age_Sex_BY[[#This Row],[Total Dollars Excluded from Spending After Applying Truncation at the Member Level]]=Age_Sex_BY[[#This Row],[Total Spending before Truncation is Applied]]</f>
        <v>1</v>
      </c>
    </row>
    <row r="931" spans="1:10" x14ac:dyDescent="0.25">
      <c r="A931" s="339"/>
      <c r="B931" s="270"/>
      <c r="C931" s="271"/>
      <c r="D931" s="456"/>
      <c r="E931" s="362"/>
      <c r="F931" s="272"/>
      <c r="G931" s="460"/>
      <c r="H931" s="272"/>
      <c r="I931" s="399"/>
      <c r="J931" s="241" t="b">
        <f>Age_Sex_BY[[#This Row],[Total Spending After Applying Truncation at the Member Level]]+Age_Sex_BY[[#This Row],[Total Dollars Excluded from Spending After Applying Truncation at the Member Level]]=Age_Sex_BY[[#This Row],[Total Spending before Truncation is Applied]]</f>
        <v>1</v>
      </c>
    </row>
    <row r="932" spans="1:10" x14ac:dyDescent="0.25">
      <c r="A932" s="342"/>
      <c r="B932" s="4"/>
      <c r="C932" s="16"/>
      <c r="D932" s="457"/>
      <c r="E932" s="363"/>
      <c r="F932" s="273"/>
      <c r="G932" s="226"/>
      <c r="H932" s="273"/>
      <c r="I932" s="400"/>
      <c r="J932" s="241" t="b">
        <f>Age_Sex_BY[[#This Row],[Total Spending After Applying Truncation at the Member Level]]+Age_Sex_BY[[#This Row],[Total Dollars Excluded from Spending After Applying Truncation at the Member Level]]=Age_Sex_BY[[#This Row],[Total Spending before Truncation is Applied]]</f>
        <v>1</v>
      </c>
    </row>
    <row r="933" spans="1:10" x14ac:dyDescent="0.25">
      <c r="A933" s="339"/>
      <c r="B933" s="270"/>
      <c r="C933" s="271"/>
      <c r="D933" s="456"/>
      <c r="E933" s="362"/>
      <c r="F933" s="272"/>
      <c r="G933" s="460"/>
      <c r="H933" s="272"/>
      <c r="I933" s="399"/>
      <c r="J933" s="241" t="b">
        <f>Age_Sex_BY[[#This Row],[Total Spending After Applying Truncation at the Member Level]]+Age_Sex_BY[[#This Row],[Total Dollars Excluded from Spending After Applying Truncation at the Member Level]]=Age_Sex_BY[[#This Row],[Total Spending before Truncation is Applied]]</f>
        <v>1</v>
      </c>
    </row>
    <row r="934" spans="1:10" x14ac:dyDescent="0.25">
      <c r="A934" s="342"/>
      <c r="B934" s="4"/>
      <c r="C934" s="16"/>
      <c r="D934" s="457"/>
      <c r="E934" s="363"/>
      <c r="F934" s="273"/>
      <c r="G934" s="226"/>
      <c r="H934" s="273"/>
      <c r="I934" s="400"/>
      <c r="J934" s="241" t="b">
        <f>Age_Sex_BY[[#This Row],[Total Spending After Applying Truncation at the Member Level]]+Age_Sex_BY[[#This Row],[Total Dollars Excluded from Spending After Applying Truncation at the Member Level]]=Age_Sex_BY[[#This Row],[Total Spending before Truncation is Applied]]</f>
        <v>1</v>
      </c>
    </row>
    <row r="935" spans="1:10" x14ac:dyDescent="0.25">
      <c r="A935" s="339"/>
      <c r="B935" s="270"/>
      <c r="C935" s="271"/>
      <c r="D935" s="456"/>
      <c r="E935" s="362"/>
      <c r="F935" s="272"/>
      <c r="G935" s="460"/>
      <c r="H935" s="272"/>
      <c r="I935" s="399"/>
      <c r="J935" s="241" t="b">
        <f>Age_Sex_BY[[#This Row],[Total Spending After Applying Truncation at the Member Level]]+Age_Sex_BY[[#This Row],[Total Dollars Excluded from Spending After Applying Truncation at the Member Level]]=Age_Sex_BY[[#This Row],[Total Spending before Truncation is Applied]]</f>
        <v>1</v>
      </c>
    </row>
    <row r="936" spans="1:10" x14ac:dyDescent="0.25">
      <c r="A936" s="342"/>
      <c r="B936" s="4"/>
      <c r="C936" s="16"/>
      <c r="D936" s="457"/>
      <c r="E936" s="363"/>
      <c r="F936" s="273"/>
      <c r="G936" s="226"/>
      <c r="H936" s="273"/>
      <c r="I936" s="400"/>
      <c r="J936" s="241" t="b">
        <f>Age_Sex_BY[[#This Row],[Total Spending After Applying Truncation at the Member Level]]+Age_Sex_BY[[#This Row],[Total Dollars Excluded from Spending After Applying Truncation at the Member Level]]=Age_Sex_BY[[#This Row],[Total Spending before Truncation is Applied]]</f>
        <v>1</v>
      </c>
    </row>
    <row r="937" spans="1:10" x14ac:dyDescent="0.25">
      <c r="A937" s="339"/>
      <c r="B937" s="270"/>
      <c r="C937" s="271"/>
      <c r="D937" s="456"/>
      <c r="E937" s="362"/>
      <c r="F937" s="272"/>
      <c r="G937" s="460"/>
      <c r="H937" s="272"/>
      <c r="I937" s="399"/>
      <c r="J937" s="241" t="b">
        <f>Age_Sex_BY[[#This Row],[Total Spending After Applying Truncation at the Member Level]]+Age_Sex_BY[[#This Row],[Total Dollars Excluded from Spending After Applying Truncation at the Member Level]]=Age_Sex_BY[[#This Row],[Total Spending before Truncation is Applied]]</f>
        <v>1</v>
      </c>
    </row>
    <row r="938" spans="1:10" x14ac:dyDescent="0.25">
      <c r="A938" s="342"/>
      <c r="B938" s="4"/>
      <c r="C938" s="16"/>
      <c r="D938" s="457"/>
      <c r="E938" s="363"/>
      <c r="F938" s="273"/>
      <c r="G938" s="226"/>
      <c r="H938" s="273"/>
      <c r="I938" s="400"/>
      <c r="J938" s="241" t="b">
        <f>Age_Sex_BY[[#This Row],[Total Spending After Applying Truncation at the Member Level]]+Age_Sex_BY[[#This Row],[Total Dollars Excluded from Spending After Applying Truncation at the Member Level]]=Age_Sex_BY[[#This Row],[Total Spending before Truncation is Applied]]</f>
        <v>1</v>
      </c>
    </row>
    <row r="939" spans="1:10" x14ac:dyDescent="0.25">
      <c r="A939" s="339"/>
      <c r="B939" s="270"/>
      <c r="C939" s="271"/>
      <c r="D939" s="456"/>
      <c r="E939" s="362"/>
      <c r="F939" s="272"/>
      <c r="G939" s="460"/>
      <c r="H939" s="272"/>
      <c r="I939" s="399"/>
      <c r="J939" s="241" t="b">
        <f>Age_Sex_BY[[#This Row],[Total Spending After Applying Truncation at the Member Level]]+Age_Sex_BY[[#This Row],[Total Dollars Excluded from Spending After Applying Truncation at the Member Level]]=Age_Sex_BY[[#This Row],[Total Spending before Truncation is Applied]]</f>
        <v>1</v>
      </c>
    </row>
    <row r="940" spans="1:10" x14ac:dyDescent="0.25">
      <c r="A940" s="342"/>
      <c r="B940" s="4"/>
      <c r="C940" s="16"/>
      <c r="D940" s="457"/>
      <c r="E940" s="363"/>
      <c r="F940" s="273"/>
      <c r="G940" s="226"/>
      <c r="H940" s="273"/>
      <c r="I940" s="400"/>
      <c r="J940" s="241" t="b">
        <f>Age_Sex_BY[[#This Row],[Total Spending After Applying Truncation at the Member Level]]+Age_Sex_BY[[#This Row],[Total Dollars Excluded from Spending After Applying Truncation at the Member Level]]=Age_Sex_BY[[#This Row],[Total Spending before Truncation is Applied]]</f>
        <v>1</v>
      </c>
    </row>
    <row r="941" spans="1:10" x14ac:dyDescent="0.25">
      <c r="A941" s="339"/>
      <c r="B941" s="270"/>
      <c r="C941" s="271"/>
      <c r="D941" s="456"/>
      <c r="E941" s="362"/>
      <c r="F941" s="272"/>
      <c r="G941" s="460"/>
      <c r="H941" s="272"/>
      <c r="I941" s="399"/>
      <c r="J941" s="241" t="b">
        <f>Age_Sex_BY[[#This Row],[Total Spending After Applying Truncation at the Member Level]]+Age_Sex_BY[[#This Row],[Total Dollars Excluded from Spending After Applying Truncation at the Member Level]]=Age_Sex_BY[[#This Row],[Total Spending before Truncation is Applied]]</f>
        <v>1</v>
      </c>
    </row>
    <row r="942" spans="1:10" x14ac:dyDescent="0.25">
      <c r="A942" s="342"/>
      <c r="B942" s="4"/>
      <c r="C942" s="16"/>
      <c r="D942" s="457"/>
      <c r="E942" s="363"/>
      <c r="F942" s="273"/>
      <c r="G942" s="226"/>
      <c r="H942" s="273"/>
      <c r="I942" s="400"/>
      <c r="J942" s="241" t="b">
        <f>Age_Sex_BY[[#This Row],[Total Spending After Applying Truncation at the Member Level]]+Age_Sex_BY[[#This Row],[Total Dollars Excluded from Spending After Applying Truncation at the Member Level]]=Age_Sex_BY[[#This Row],[Total Spending before Truncation is Applied]]</f>
        <v>1</v>
      </c>
    </row>
    <row r="943" spans="1:10" x14ac:dyDescent="0.25">
      <c r="A943" s="339"/>
      <c r="B943" s="270"/>
      <c r="C943" s="271"/>
      <c r="D943" s="456"/>
      <c r="E943" s="362"/>
      <c r="F943" s="272"/>
      <c r="G943" s="460"/>
      <c r="H943" s="272"/>
      <c r="I943" s="399"/>
      <c r="J943" s="241" t="b">
        <f>Age_Sex_BY[[#This Row],[Total Spending After Applying Truncation at the Member Level]]+Age_Sex_BY[[#This Row],[Total Dollars Excluded from Spending After Applying Truncation at the Member Level]]=Age_Sex_BY[[#This Row],[Total Spending before Truncation is Applied]]</f>
        <v>1</v>
      </c>
    </row>
    <row r="944" spans="1:10" x14ac:dyDescent="0.25">
      <c r="A944" s="342"/>
      <c r="B944" s="4"/>
      <c r="C944" s="16"/>
      <c r="D944" s="457"/>
      <c r="E944" s="363"/>
      <c r="F944" s="273"/>
      <c r="G944" s="226"/>
      <c r="H944" s="273"/>
      <c r="I944" s="400"/>
      <c r="J944" s="241" t="b">
        <f>Age_Sex_BY[[#This Row],[Total Spending After Applying Truncation at the Member Level]]+Age_Sex_BY[[#This Row],[Total Dollars Excluded from Spending After Applying Truncation at the Member Level]]=Age_Sex_BY[[#This Row],[Total Spending before Truncation is Applied]]</f>
        <v>1</v>
      </c>
    </row>
    <row r="945" spans="1:10" x14ac:dyDescent="0.25">
      <c r="A945" s="339"/>
      <c r="B945" s="270"/>
      <c r="C945" s="271"/>
      <c r="D945" s="456"/>
      <c r="E945" s="362"/>
      <c r="F945" s="272"/>
      <c r="G945" s="460"/>
      <c r="H945" s="272"/>
      <c r="I945" s="399"/>
      <c r="J945" s="241" t="b">
        <f>Age_Sex_BY[[#This Row],[Total Spending After Applying Truncation at the Member Level]]+Age_Sex_BY[[#This Row],[Total Dollars Excluded from Spending After Applying Truncation at the Member Level]]=Age_Sex_BY[[#This Row],[Total Spending before Truncation is Applied]]</f>
        <v>1</v>
      </c>
    </row>
    <row r="946" spans="1:10" x14ac:dyDescent="0.25">
      <c r="A946" s="342"/>
      <c r="B946" s="4"/>
      <c r="C946" s="16"/>
      <c r="D946" s="457"/>
      <c r="E946" s="363"/>
      <c r="F946" s="273"/>
      <c r="G946" s="226"/>
      <c r="H946" s="273"/>
      <c r="I946" s="400"/>
      <c r="J946" s="241" t="b">
        <f>Age_Sex_BY[[#This Row],[Total Spending After Applying Truncation at the Member Level]]+Age_Sex_BY[[#This Row],[Total Dollars Excluded from Spending After Applying Truncation at the Member Level]]=Age_Sex_BY[[#This Row],[Total Spending before Truncation is Applied]]</f>
        <v>1</v>
      </c>
    </row>
    <row r="947" spans="1:10" x14ac:dyDescent="0.25">
      <c r="A947" s="339"/>
      <c r="B947" s="270"/>
      <c r="C947" s="271"/>
      <c r="D947" s="456"/>
      <c r="E947" s="362"/>
      <c r="F947" s="272"/>
      <c r="G947" s="460"/>
      <c r="H947" s="272"/>
      <c r="I947" s="399"/>
      <c r="J947" s="241" t="b">
        <f>Age_Sex_BY[[#This Row],[Total Spending After Applying Truncation at the Member Level]]+Age_Sex_BY[[#This Row],[Total Dollars Excluded from Spending After Applying Truncation at the Member Level]]=Age_Sex_BY[[#This Row],[Total Spending before Truncation is Applied]]</f>
        <v>1</v>
      </c>
    </row>
    <row r="948" spans="1:10" x14ac:dyDescent="0.25">
      <c r="A948" s="342"/>
      <c r="B948" s="4"/>
      <c r="C948" s="16"/>
      <c r="D948" s="457"/>
      <c r="E948" s="363"/>
      <c r="F948" s="273"/>
      <c r="G948" s="226"/>
      <c r="H948" s="273"/>
      <c r="I948" s="400"/>
      <c r="J948" s="241" t="b">
        <f>Age_Sex_BY[[#This Row],[Total Spending After Applying Truncation at the Member Level]]+Age_Sex_BY[[#This Row],[Total Dollars Excluded from Spending After Applying Truncation at the Member Level]]=Age_Sex_BY[[#This Row],[Total Spending before Truncation is Applied]]</f>
        <v>1</v>
      </c>
    </row>
    <row r="949" spans="1:10" x14ac:dyDescent="0.25">
      <c r="A949" s="339"/>
      <c r="B949" s="270"/>
      <c r="C949" s="271"/>
      <c r="D949" s="456"/>
      <c r="E949" s="362"/>
      <c r="F949" s="272"/>
      <c r="G949" s="460"/>
      <c r="H949" s="272"/>
      <c r="I949" s="399"/>
      <c r="J949" s="241" t="b">
        <f>Age_Sex_BY[[#This Row],[Total Spending After Applying Truncation at the Member Level]]+Age_Sex_BY[[#This Row],[Total Dollars Excluded from Spending After Applying Truncation at the Member Level]]=Age_Sex_BY[[#This Row],[Total Spending before Truncation is Applied]]</f>
        <v>1</v>
      </c>
    </row>
    <row r="950" spans="1:10" x14ac:dyDescent="0.25">
      <c r="A950" s="342"/>
      <c r="B950" s="4"/>
      <c r="C950" s="16"/>
      <c r="D950" s="457"/>
      <c r="E950" s="363"/>
      <c r="F950" s="273"/>
      <c r="G950" s="226"/>
      <c r="H950" s="273"/>
      <c r="I950" s="400"/>
      <c r="J950" s="241" t="b">
        <f>Age_Sex_BY[[#This Row],[Total Spending After Applying Truncation at the Member Level]]+Age_Sex_BY[[#This Row],[Total Dollars Excluded from Spending After Applying Truncation at the Member Level]]=Age_Sex_BY[[#This Row],[Total Spending before Truncation is Applied]]</f>
        <v>1</v>
      </c>
    </row>
    <row r="951" spans="1:10" x14ac:dyDescent="0.25">
      <c r="A951" s="339"/>
      <c r="B951" s="270"/>
      <c r="C951" s="271"/>
      <c r="D951" s="456"/>
      <c r="E951" s="362"/>
      <c r="F951" s="272"/>
      <c r="G951" s="460"/>
      <c r="H951" s="272"/>
      <c r="I951" s="399"/>
      <c r="J951" s="241" t="b">
        <f>Age_Sex_BY[[#This Row],[Total Spending After Applying Truncation at the Member Level]]+Age_Sex_BY[[#This Row],[Total Dollars Excluded from Spending After Applying Truncation at the Member Level]]=Age_Sex_BY[[#This Row],[Total Spending before Truncation is Applied]]</f>
        <v>1</v>
      </c>
    </row>
    <row r="952" spans="1:10" x14ac:dyDescent="0.25">
      <c r="A952" s="342"/>
      <c r="B952" s="4"/>
      <c r="C952" s="16"/>
      <c r="D952" s="457"/>
      <c r="E952" s="363"/>
      <c r="F952" s="273"/>
      <c r="G952" s="226"/>
      <c r="H952" s="273"/>
      <c r="I952" s="400"/>
      <c r="J952" s="241" t="b">
        <f>Age_Sex_BY[[#This Row],[Total Spending After Applying Truncation at the Member Level]]+Age_Sex_BY[[#This Row],[Total Dollars Excluded from Spending After Applying Truncation at the Member Level]]=Age_Sex_BY[[#This Row],[Total Spending before Truncation is Applied]]</f>
        <v>1</v>
      </c>
    </row>
    <row r="953" spans="1:10" x14ac:dyDescent="0.25">
      <c r="A953" s="339"/>
      <c r="B953" s="270"/>
      <c r="C953" s="271"/>
      <c r="D953" s="456"/>
      <c r="E953" s="362"/>
      <c r="F953" s="272"/>
      <c r="G953" s="460"/>
      <c r="H953" s="272"/>
      <c r="I953" s="399"/>
      <c r="J953" s="241" t="b">
        <f>Age_Sex_BY[[#This Row],[Total Spending After Applying Truncation at the Member Level]]+Age_Sex_BY[[#This Row],[Total Dollars Excluded from Spending After Applying Truncation at the Member Level]]=Age_Sex_BY[[#This Row],[Total Spending before Truncation is Applied]]</f>
        <v>1</v>
      </c>
    </row>
    <row r="954" spans="1:10" x14ac:dyDescent="0.25">
      <c r="A954" s="342"/>
      <c r="B954" s="4"/>
      <c r="C954" s="16"/>
      <c r="D954" s="457"/>
      <c r="E954" s="363"/>
      <c r="F954" s="273"/>
      <c r="G954" s="226"/>
      <c r="H954" s="273"/>
      <c r="I954" s="400"/>
      <c r="J954" s="241" t="b">
        <f>Age_Sex_BY[[#This Row],[Total Spending After Applying Truncation at the Member Level]]+Age_Sex_BY[[#This Row],[Total Dollars Excluded from Spending After Applying Truncation at the Member Level]]=Age_Sex_BY[[#This Row],[Total Spending before Truncation is Applied]]</f>
        <v>1</v>
      </c>
    </row>
    <row r="955" spans="1:10" x14ac:dyDescent="0.25">
      <c r="A955" s="339"/>
      <c r="B955" s="270"/>
      <c r="C955" s="271"/>
      <c r="D955" s="456"/>
      <c r="E955" s="362"/>
      <c r="F955" s="272"/>
      <c r="G955" s="460"/>
      <c r="H955" s="272"/>
      <c r="I955" s="399"/>
      <c r="J955" s="241" t="b">
        <f>Age_Sex_BY[[#This Row],[Total Spending After Applying Truncation at the Member Level]]+Age_Sex_BY[[#This Row],[Total Dollars Excluded from Spending After Applying Truncation at the Member Level]]=Age_Sex_BY[[#This Row],[Total Spending before Truncation is Applied]]</f>
        <v>1</v>
      </c>
    </row>
    <row r="956" spans="1:10" x14ac:dyDescent="0.25">
      <c r="A956" s="342"/>
      <c r="B956" s="4"/>
      <c r="C956" s="16"/>
      <c r="D956" s="457"/>
      <c r="E956" s="363"/>
      <c r="F956" s="273"/>
      <c r="G956" s="226"/>
      <c r="H956" s="273"/>
      <c r="I956" s="400"/>
      <c r="J956" s="241" t="b">
        <f>Age_Sex_BY[[#This Row],[Total Spending After Applying Truncation at the Member Level]]+Age_Sex_BY[[#This Row],[Total Dollars Excluded from Spending After Applying Truncation at the Member Level]]=Age_Sex_BY[[#This Row],[Total Spending before Truncation is Applied]]</f>
        <v>1</v>
      </c>
    </row>
    <row r="957" spans="1:10" x14ac:dyDescent="0.25">
      <c r="A957" s="339"/>
      <c r="B957" s="270"/>
      <c r="C957" s="271"/>
      <c r="D957" s="456"/>
      <c r="E957" s="362"/>
      <c r="F957" s="272"/>
      <c r="G957" s="460"/>
      <c r="H957" s="272"/>
      <c r="I957" s="399"/>
      <c r="J957" s="241" t="b">
        <f>Age_Sex_BY[[#This Row],[Total Spending After Applying Truncation at the Member Level]]+Age_Sex_BY[[#This Row],[Total Dollars Excluded from Spending After Applying Truncation at the Member Level]]=Age_Sex_BY[[#This Row],[Total Spending before Truncation is Applied]]</f>
        <v>1</v>
      </c>
    </row>
    <row r="958" spans="1:10" x14ac:dyDescent="0.25">
      <c r="A958" s="342"/>
      <c r="B958" s="4"/>
      <c r="C958" s="16"/>
      <c r="D958" s="457"/>
      <c r="E958" s="363"/>
      <c r="F958" s="273"/>
      <c r="G958" s="226"/>
      <c r="H958" s="273"/>
      <c r="I958" s="400"/>
      <c r="J958" s="241" t="b">
        <f>Age_Sex_BY[[#This Row],[Total Spending After Applying Truncation at the Member Level]]+Age_Sex_BY[[#This Row],[Total Dollars Excluded from Spending After Applying Truncation at the Member Level]]=Age_Sex_BY[[#This Row],[Total Spending before Truncation is Applied]]</f>
        <v>1</v>
      </c>
    </row>
    <row r="959" spans="1:10" x14ac:dyDescent="0.25">
      <c r="A959" s="339"/>
      <c r="B959" s="270"/>
      <c r="C959" s="271"/>
      <c r="D959" s="456"/>
      <c r="E959" s="362"/>
      <c r="F959" s="272"/>
      <c r="G959" s="460"/>
      <c r="H959" s="272"/>
      <c r="I959" s="399"/>
      <c r="J959" s="241" t="b">
        <f>Age_Sex_BY[[#This Row],[Total Spending After Applying Truncation at the Member Level]]+Age_Sex_BY[[#This Row],[Total Dollars Excluded from Spending After Applying Truncation at the Member Level]]=Age_Sex_BY[[#This Row],[Total Spending before Truncation is Applied]]</f>
        <v>1</v>
      </c>
    </row>
    <row r="960" spans="1:10" x14ac:dyDescent="0.25">
      <c r="A960" s="342"/>
      <c r="B960" s="4"/>
      <c r="C960" s="16"/>
      <c r="D960" s="457"/>
      <c r="E960" s="363"/>
      <c r="F960" s="273"/>
      <c r="G960" s="226"/>
      <c r="H960" s="273"/>
      <c r="I960" s="400"/>
      <c r="J960" s="241" t="b">
        <f>Age_Sex_BY[[#This Row],[Total Spending After Applying Truncation at the Member Level]]+Age_Sex_BY[[#This Row],[Total Dollars Excluded from Spending After Applying Truncation at the Member Level]]=Age_Sex_BY[[#This Row],[Total Spending before Truncation is Applied]]</f>
        <v>1</v>
      </c>
    </row>
    <row r="961" spans="1:10" x14ac:dyDescent="0.25">
      <c r="A961" s="339"/>
      <c r="B961" s="270"/>
      <c r="C961" s="271"/>
      <c r="D961" s="456"/>
      <c r="E961" s="362"/>
      <c r="F961" s="272"/>
      <c r="G961" s="460"/>
      <c r="H961" s="272"/>
      <c r="I961" s="399"/>
      <c r="J961" s="241" t="b">
        <f>Age_Sex_BY[[#This Row],[Total Spending After Applying Truncation at the Member Level]]+Age_Sex_BY[[#This Row],[Total Dollars Excluded from Spending After Applying Truncation at the Member Level]]=Age_Sex_BY[[#This Row],[Total Spending before Truncation is Applied]]</f>
        <v>1</v>
      </c>
    </row>
    <row r="962" spans="1:10" x14ac:dyDescent="0.25">
      <c r="A962" s="342"/>
      <c r="B962" s="4"/>
      <c r="C962" s="16"/>
      <c r="D962" s="457"/>
      <c r="E962" s="363"/>
      <c r="F962" s="273"/>
      <c r="G962" s="226"/>
      <c r="H962" s="273"/>
      <c r="I962" s="400"/>
      <c r="J962" s="241" t="b">
        <f>Age_Sex_BY[[#This Row],[Total Spending After Applying Truncation at the Member Level]]+Age_Sex_BY[[#This Row],[Total Dollars Excluded from Spending After Applying Truncation at the Member Level]]=Age_Sex_BY[[#This Row],[Total Spending before Truncation is Applied]]</f>
        <v>1</v>
      </c>
    </row>
    <row r="963" spans="1:10" x14ac:dyDescent="0.25">
      <c r="A963" s="339"/>
      <c r="B963" s="270"/>
      <c r="C963" s="271"/>
      <c r="D963" s="456"/>
      <c r="E963" s="362"/>
      <c r="F963" s="272"/>
      <c r="G963" s="460"/>
      <c r="H963" s="272"/>
      <c r="I963" s="399"/>
      <c r="J963" s="241" t="b">
        <f>Age_Sex_BY[[#This Row],[Total Spending After Applying Truncation at the Member Level]]+Age_Sex_BY[[#This Row],[Total Dollars Excluded from Spending After Applying Truncation at the Member Level]]=Age_Sex_BY[[#This Row],[Total Spending before Truncation is Applied]]</f>
        <v>1</v>
      </c>
    </row>
    <row r="964" spans="1:10" x14ac:dyDescent="0.25">
      <c r="A964" s="342"/>
      <c r="B964" s="4"/>
      <c r="C964" s="16"/>
      <c r="D964" s="457"/>
      <c r="E964" s="363"/>
      <c r="F964" s="273"/>
      <c r="G964" s="226"/>
      <c r="H964" s="273"/>
      <c r="I964" s="400"/>
      <c r="J964" s="241" t="b">
        <f>Age_Sex_BY[[#This Row],[Total Spending After Applying Truncation at the Member Level]]+Age_Sex_BY[[#This Row],[Total Dollars Excluded from Spending After Applying Truncation at the Member Level]]=Age_Sex_BY[[#This Row],[Total Spending before Truncation is Applied]]</f>
        <v>1</v>
      </c>
    </row>
    <row r="965" spans="1:10" x14ac:dyDescent="0.25">
      <c r="A965" s="339"/>
      <c r="B965" s="270"/>
      <c r="C965" s="271"/>
      <c r="D965" s="456"/>
      <c r="E965" s="362"/>
      <c r="F965" s="272"/>
      <c r="G965" s="460"/>
      <c r="H965" s="272"/>
      <c r="I965" s="399"/>
      <c r="J965" s="241" t="b">
        <f>Age_Sex_BY[[#This Row],[Total Spending After Applying Truncation at the Member Level]]+Age_Sex_BY[[#This Row],[Total Dollars Excluded from Spending After Applying Truncation at the Member Level]]=Age_Sex_BY[[#This Row],[Total Spending before Truncation is Applied]]</f>
        <v>1</v>
      </c>
    </row>
    <row r="966" spans="1:10" x14ac:dyDescent="0.25">
      <c r="A966" s="342"/>
      <c r="B966" s="4"/>
      <c r="C966" s="16"/>
      <c r="D966" s="457"/>
      <c r="E966" s="363"/>
      <c r="F966" s="273"/>
      <c r="G966" s="226"/>
      <c r="H966" s="273"/>
      <c r="I966" s="400"/>
      <c r="J966" s="241" t="b">
        <f>Age_Sex_BY[[#This Row],[Total Spending After Applying Truncation at the Member Level]]+Age_Sex_BY[[#This Row],[Total Dollars Excluded from Spending After Applying Truncation at the Member Level]]=Age_Sex_BY[[#This Row],[Total Spending before Truncation is Applied]]</f>
        <v>1</v>
      </c>
    </row>
    <row r="967" spans="1:10" x14ac:dyDescent="0.25">
      <c r="A967" s="339"/>
      <c r="B967" s="270"/>
      <c r="C967" s="271"/>
      <c r="D967" s="456"/>
      <c r="E967" s="362"/>
      <c r="F967" s="272"/>
      <c r="G967" s="460"/>
      <c r="H967" s="272"/>
      <c r="I967" s="399"/>
      <c r="J967" s="241" t="b">
        <f>Age_Sex_BY[[#This Row],[Total Spending After Applying Truncation at the Member Level]]+Age_Sex_BY[[#This Row],[Total Dollars Excluded from Spending After Applying Truncation at the Member Level]]=Age_Sex_BY[[#This Row],[Total Spending before Truncation is Applied]]</f>
        <v>1</v>
      </c>
    </row>
    <row r="968" spans="1:10" x14ac:dyDescent="0.25">
      <c r="A968" s="342"/>
      <c r="B968" s="4"/>
      <c r="C968" s="16"/>
      <c r="D968" s="457"/>
      <c r="E968" s="363"/>
      <c r="F968" s="273"/>
      <c r="G968" s="226"/>
      <c r="H968" s="273"/>
      <c r="I968" s="400"/>
      <c r="J968" s="241" t="b">
        <f>Age_Sex_BY[[#This Row],[Total Spending After Applying Truncation at the Member Level]]+Age_Sex_BY[[#This Row],[Total Dollars Excluded from Spending After Applying Truncation at the Member Level]]=Age_Sex_BY[[#This Row],[Total Spending before Truncation is Applied]]</f>
        <v>1</v>
      </c>
    </row>
    <row r="969" spans="1:10" x14ac:dyDescent="0.25">
      <c r="A969" s="339"/>
      <c r="B969" s="270"/>
      <c r="C969" s="271"/>
      <c r="D969" s="456"/>
      <c r="E969" s="362"/>
      <c r="F969" s="272"/>
      <c r="G969" s="460"/>
      <c r="H969" s="272"/>
      <c r="I969" s="399"/>
      <c r="J969" s="241" t="b">
        <f>Age_Sex_BY[[#This Row],[Total Spending After Applying Truncation at the Member Level]]+Age_Sex_BY[[#This Row],[Total Dollars Excluded from Spending After Applying Truncation at the Member Level]]=Age_Sex_BY[[#This Row],[Total Spending before Truncation is Applied]]</f>
        <v>1</v>
      </c>
    </row>
    <row r="970" spans="1:10" x14ac:dyDescent="0.25">
      <c r="A970" s="342"/>
      <c r="B970" s="4"/>
      <c r="C970" s="16"/>
      <c r="D970" s="457"/>
      <c r="E970" s="363"/>
      <c r="F970" s="273"/>
      <c r="G970" s="226"/>
      <c r="H970" s="273"/>
      <c r="I970" s="400"/>
      <c r="J970" s="241" t="b">
        <f>Age_Sex_BY[[#This Row],[Total Spending After Applying Truncation at the Member Level]]+Age_Sex_BY[[#This Row],[Total Dollars Excluded from Spending After Applying Truncation at the Member Level]]=Age_Sex_BY[[#This Row],[Total Spending before Truncation is Applied]]</f>
        <v>1</v>
      </c>
    </row>
    <row r="971" spans="1:10" x14ac:dyDescent="0.25">
      <c r="A971" s="339"/>
      <c r="B971" s="270"/>
      <c r="C971" s="271"/>
      <c r="D971" s="456"/>
      <c r="E971" s="362"/>
      <c r="F971" s="272"/>
      <c r="G971" s="460"/>
      <c r="H971" s="272"/>
      <c r="I971" s="399"/>
      <c r="J971" s="241" t="b">
        <f>Age_Sex_BY[[#This Row],[Total Spending After Applying Truncation at the Member Level]]+Age_Sex_BY[[#This Row],[Total Dollars Excluded from Spending After Applying Truncation at the Member Level]]=Age_Sex_BY[[#This Row],[Total Spending before Truncation is Applied]]</f>
        <v>1</v>
      </c>
    </row>
    <row r="972" spans="1:10" x14ac:dyDescent="0.25">
      <c r="A972" s="342"/>
      <c r="B972" s="4"/>
      <c r="C972" s="16"/>
      <c r="D972" s="457"/>
      <c r="E972" s="363"/>
      <c r="F972" s="273"/>
      <c r="G972" s="226"/>
      <c r="H972" s="273"/>
      <c r="I972" s="400"/>
      <c r="J972" s="241" t="b">
        <f>Age_Sex_BY[[#This Row],[Total Spending After Applying Truncation at the Member Level]]+Age_Sex_BY[[#This Row],[Total Dollars Excluded from Spending After Applying Truncation at the Member Level]]=Age_Sex_BY[[#This Row],[Total Spending before Truncation is Applied]]</f>
        <v>1</v>
      </c>
    </row>
    <row r="973" spans="1:10" x14ac:dyDescent="0.25">
      <c r="A973" s="339"/>
      <c r="B973" s="270"/>
      <c r="C973" s="271"/>
      <c r="D973" s="456"/>
      <c r="E973" s="362"/>
      <c r="F973" s="272"/>
      <c r="G973" s="460"/>
      <c r="H973" s="272"/>
      <c r="I973" s="399"/>
      <c r="J973" s="241" t="b">
        <f>Age_Sex_BY[[#This Row],[Total Spending After Applying Truncation at the Member Level]]+Age_Sex_BY[[#This Row],[Total Dollars Excluded from Spending After Applying Truncation at the Member Level]]=Age_Sex_BY[[#This Row],[Total Spending before Truncation is Applied]]</f>
        <v>1</v>
      </c>
    </row>
    <row r="974" spans="1:10" x14ac:dyDescent="0.25">
      <c r="A974" s="342"/>
      <c r="B974" s="4"/>
      <c r="C974" s="16"/>
      <c r="D974" s="457"/>
      <c r="E974" s="363"/>
      <c r="F974" s="273"/>
      <c r="G974" s="226"/>
      <c r="H974" s="273"/>
      <c r="I974" s="400"/>
      <c r="J974" s="241" t="b">
        <f>Age_Sex_BY[[#This Row],[Total Spending After Applying Truncation at the Member Level]]+Age_Sex_BY[[#This Row],[Total Dollars Excluded from Spending After Applying Truncation at the Member Level]]=Age_Sex_BY[[#This Row],[Total Spending before Truncation is Applied]]</f>
        <v>1</v>
      </c>
    </row>
    <row r="975" spans="1:10" x14ac:dyDescent="0.25">
      <c r="A975" s="339"/>
      <c r="B975" s="270"/>
      <c r="C975" s="271"/>
      <c r="D975" s="456"/>
      <c r="E975" s="362"/>
      <c r="F975" s="272"/>
      <c r="G975" s="460"/>
      <c r="H975" s="272"/>
      <c r="I975" s="399"/>
      <c r="J975" s="241" t="b">
        <f>Age_Sex_BY[[#This Row],[Total Spending After Applying Truncation at the Member Level]]+Age_Sex_BY[[#This Row],[Total Dollars Excluded from Spending After Applying Truncation at the Member Level]]=Age_Sex_BY[[#This Row],[Total Spending before Truncation is Applied]]</f>
        <v>1</v>
      </c>
    </row>
    <row r="976" spans="1:10" x14ac:dyDescent="0.25">
      <c r="A976" s="342"/>
      <c r="B976" s="4"/>
      <c r="C976" s="16"/>
      <c r="D976" s="457"/>
      <c r="E976" s="363"/>
      <c r="F976" s="273"/>
      <c r="G976" s="226"/>
      <c r="H976" s="273"/>
      <c r="I976" s="400"/>
      <c r="J976" s="241" t="b">
        <f>Age_Sex_BY[[#This Row],[Total Spending After Applying Truncation at the Member Level]]+Age_Sex_BY[[#This Row],[Total Dollars Excluded from Spending After Applying Truncation at the Member Level]]=Age_Sex_BY[[#This Row],[Total Spending before Truncation is Applied]]</f>
        <v>1</v>
      </c>
    </row>
    <row r="977" spans="1:10" x14ac:dyDescent="0.25">
      <c r="A977" s="339"/>
      <c r="B977" s="270"/>
      <c r="C977" s="271"/>
      <c r="D977" s="456"/>
      <c r="E977" s="362"/>
      <c r="F977" s="272"/>
      <c r="G977" s="460"/>
      <c r="H977" s="272"/>
      <c r="I977" s="399"/>
      <c r="J977" s="241" t="b">
        <f>Age_Sex_BY[[#This Row],[Total Spending After Applying Truncation at the Member Level]]+Age_Sex_BY[[#This Row],[Total Dollars Excluded from Spending After Applying Truncation at the Member Level]]=Age_Sex_BY[[#This Row],[Total Spending before Truncation is Applied]]</f>
        <v>1</v>
      </c>
    </row>
    <row r="978" spans="1:10" x14ac:dyDescent="0.25">
      <c r="A978" s="342"/>
      <c r="B978" s="4"/>
      <c r="C978" s="16"/>
      <c r="D978" s="457"/>
      <c r="E978" s="363"/>
      <c r="F978" s="273"/>
      <c r="G978" s="226"/>
      <c r="H978" s="273"/>
      <c r="I978" s="400"/>
      <c r="J978" s="241" t="b">
        <f>Age_Sex_BY[[#This Row],[Total Spending After Applying Truncation at the Member Level]]+Age_Sex_BY[[#This Row],[Total Dollars Excluded from Spending After Applying Truncation at the Member Level]]=Age_Sex_BY[[#This Row],[Total Spending before Truncation is Applied]]</f>
        <v>1</v>
      </c>
    </row>
    <row r="979" spans="1:10" x14ac:dyDescent="0.25">
      <c r="A979" s="339"/>
      <c r="B979" s="270"/>
      <c r="C979" s="271"/>
      <c r="D979" s="456"/>
      <c r="E979" s="362"/>
      <c r="F979" s="272"/>
      <c r="G979" s="460"/>
      <c r="H979" s="272"/>
      <c r="I979" s="399"/>
      <c r="J979" s="241" t="b">
        <f>Age_Sex_BY[[#This Row],[Total Spending After Applying Truncation at the Member Level]]+Age_Sex_BY[[#This Row],[Total Dollars Excluded from Spending After Applying Truncation at the Member Level]]=Age_Sex_BY[[#This Row],[Total Spending before Truncation is Applied]]</f>
        <v>1</v>
      </c>
    </row>
    <row r="980" spans="1:10" x14ac:dyDescent="0.25">
      <c r="A980" s="342"/>
      <c r="B980" s="4"/>
      <c r="C980" s="16"/>
      <c r="D980" s="457"/>
      <c r="E980" s="363"/>
      <c r="F980" s="273"/>
      <c r="G980" s="226"/>
      <c r="H980" s="273"/>
      <c r="I980" s="400"/>
      <c r="J980" s="241" t="b">
        <f>Age_Sex_BY[[#This Row],[Total Spending After Applying Truncation at the Member Level]]+Age_Sex_BY[[#This Row],[Total Dollars Excluded from Spending After Applying Truncation at the Member Level]]=Age_Sex_BY[[#This Row],[Total Spending before Truncation is Applied]]</f>
        <v>1</v>
      </c>
    </row>
    <row r="981" spans="1:10" x14ac:dyDescent="0.25">
      <c r="A981" s="339"/>
      <c r="B981" s="270"/>
      <c r="C981" s="271"/>
      <c r="D981" s="456"/>
      <c r="E981" s="362"/>
      <c r="F981" s="272"/>
      <c r="G981" s="460"/>
      <c r="H981" s="272"/>
      <c r="I981" s="399"/>
      <c r="J981" s="241" t="b">
        <f>Age_Sex_BY[[#This Row],[Total Spending After Applying Truncation at the Member Level]]+Age_Sex_BY[[#This Row],[Total Dollars Excluded from Spending After Applying Truncation at the Member Level]]=Age_Sex_BY[[#This Row],[Total Spending before Truncation is Applied]]</f>
        <v>1</v>
      </c>
    </row>
    <row r="982" spans="1:10" x14ac:dyDescent="0.25">
      <c r="A982" s="342"/>
      <c r="B982" s="4"/>
      <c r="C982" s="16"/>
      <c r="D982" s="457"/>
      <c r="E982" s="363"/>
      <c r="F982" s="273"/>
      <c r="G982" s="226"/>
      <c r="H982" s="273"/>
      <c r="I982" s="400"/>
      <c r="J982" s="241" t="b">
        <f>Age_Sex_BY[[#This Row],[Total Spending After Applying Truncation at the Member Level]]+Age_Sex_BY[[#This Row],[Total Dollars Excluded from Spending After Applying Truncation at the Member Level]]=Age_Sex_BY[[#This Row],[Total Spending before Truncation is Applied]]</f>
        <v>1</v>
      </c>
    </row>
    <row r="983" spans="1:10" x14ac:dyDescent="0.25">
      <c r="A983" s="339"/>
      <c r="B983" s="270"/>
      <c r="C983" s="271"/>
      <c r="D983" s="456"/>
      <c r="E983" s="362"/>
      <c r="F983" s="272"/>
      <c r="G983" s="460"/>
      <c r="H983" s="272"/>
      <c r="I983" s="399"/>
      <c r="J983" s="241" t="b">
        <f>Age_Sex_BY[[#This Row],[Total Spending After Applying Truncation at the Member Level]]+Age_Sex_BY[[#This Row],[Total Dollars Excluded from Spending After Applying Truncation at the Member Level]]=Age_Sex_BY[[#This Row],[Total Spending before Truncation is Applied]]</f>
        <v>1</v>
      </c>
    </row>
    <row r="984" spans="1:10" x14ac:dyDescent="0.25">
      <c r="A984" s="342"/>
      <c r="B984" s="4"/>
      <c r="C984" s="16"/>
      <c r="D984" s="457"/>
      <c r="E984" s="363"/>
      <c r="F984" s="273"/>
      <c r="G984" s="226"/>
      <c r="H984" s="273"/>
      <c r="I984" s="400"/>
      <c r="J984" s="241" t="b">
        <f>Age_Sex_BY[[#This Row],[Total Spending After Applying Truncation at the Member Level]]+Age_Sex_BY[[#This Row],[Total Dollars Excluded from Spending After Applying Truncation at the Member Level]]=Age_Sex_BY[[#This Row],[Total Spending before Truncation is Applied]]</f>
        <v>1</v>
      </c>
    </row>
    <row r="985" spans="1:10" x14ac:dyDescent="0.25">
      <c r="A985" s="339"/>
      <c r="B985" s="270"/>
      <c r="C985" s="271"/>
      <c r="D985" s="456"/>
      <c r="E985" s="362"/>
      <c r="F985" s="272"/>
      <c r="G985" s="460"/>
      <c r="H985" s="272"/>
      <c r="I985" s="399"/>
      <c r="J985" s="241" t="b">
        <f>Age_Sex_BY[[#This Row],[Total Spending After Applying Truncation at the Member Level]]+Age_Sex_BY[[#This Row],[Total Dollars Excluded from Spending After Applying Truncation at the Member Level]]=Age_Sex_BY[[#This Row],[Total Spending before Truncation is Applied]]</f>
        <v>1</v>
      </c>
    </row>
    <row r="986" spans="1:10" x14ac:dyDescent="0.25">
      <c r="A986" s="342"/>
      <c r="B986" s="4"/>
      <c r="C986" s="16"/>
      <c r="D986" s="457"/>
      <c r="E986" s="363"/>
      <c r="F986" s="273"/>
      <c r="G986" s="226"/>
      <c r="H986" s="273"/>
      <c r="I986" s="400"/>
      <c r="J986" s="241" t="b">
        <f>Age_Sex_BY[[#This Row],[Total Spending After Applying Truncation at the Member Level]]+Age_Sex_BY[[#This Row],[Total Dollars Excluded from Spending After Applying Truncation at the Member Level]]=Age_Sex_BY[[#This Row],[Total Spending before Truncation is Applied]]</f>
        <v>1</v>
      </c>
    </row>
    <row r="987" spans="1:10" x14ac:dyDescent="0.25">
      <c r="A987" s="339"/>
      <c r="B987" s="270"/>
      <c r="C987" s="271"/>
      <c r="D987" s="456"/>
      <c r="E987" s="362"/>
      <c r="F987" s="272"/>
      <c r="G987" s="460"/>
      <c r="H987" s="272"/>
      <c r="I987" s="399"/>
      <c r="J987" s="241" t="b">
        <f>Age_Sex_BY[[#This Row],[Total Spending After Applying Truncation at the Member Level]]+Age_Sex_BY[[#This Row],[Total Dollars Excluded from Spending After Applying Truncation at the Member Level]]=Age_Sex_BY[[#This Row],[Total Spending before Truncation is Applied]]</f>
        <v>1</v>
      </c>
    </row>
    <row r="988" spans="1:10" x14ac:dyDescent="0.25">
      <c r="A988" s="342"/>
      <c r="B988" s="4"/>
      <c r="C988" s="16"/>
      <c r="D988" s="457"/>
      <c r="E988" s="363"/>
      <c r="F988" s="273"/>
      <c r="G988" s="226"/>
      <c r="H988" s="273"/>
      <c r="I988" s="400"/>
      <c r="J988" s="241" t="b">
        <f>Age_Sex_BY[[#This Row],[Total Spending After Applying Truncation at the Member Level]]+Age_Sex_BY[[#This Row],[Total Dollars Excluded from Spending After Applying Truncation at the Member Level]]=Age_Sex_BY[[#This Row],[Total Spending before Truncation is Applied]]</f>
        <v>1</v>
      </c>
    </row>
    <row r="989" spans="1:10" x14ac:dyDescent="0.25">
      <c r="A989" s="339"/>
      <c r="B989" s="270"/>
      <c r="C989" s="271"/>
      <c r="D989" s="456"/>
      <c r="E989" s="362"/>
      <c r="F989" s="272"/>
      <c r="G989" s="460"/>
      <c r="H989" s="272"/>
      <c r="I989" s="399"/>
      <c r="J989" s="241" t="b">
        <f>Age_Sex_BY[[#This Row],[Total Spending After Applying Truncation at the Member Level]]+Age_Sex_BY[[#This Row],[Total Dollars Excluded from Spending After Applying Truncation at the Member Level]]=Age_Sex_BY[[#This Row],[Total Spending before Truncation is Applied]]</f>
        <v>1</v>
      </c>
    </row>
    <row r="990" spans="1:10" x14ac:dyDescent="0.25">
      <c r="A990" s="342"/>
      <c r="B990" s="4"/>
      <c r="C990" s="16"/>
      <c r="D990" s="457"/>
      <c r="E990" s="363"/>
      <c r="F990" s="273"/>
      <c r="G990" s="226"/>
      <c r="H990" s="273"/>
      <c r="I990" s="400"/>
      <c r="J990" s="241" t="b">
        <f>Age_Sex_BY[[#This Row],[Total Spending After Applying Truncation at the Member Level]]+Age_Sex_BY[[#This Row],[Total Dollars Excluded from Spending After Applying Truncation at the Member Level]]=Age_Sex_BY[[#This Row],[Total Spending before Truncation is Applied]]</f>
        <v>1</v>
      </c>
    </row>
    <row r="991" spans="1:10" x14ac:dyDescent="0.25">
      <c r="A991" s="339"/>
      <c r="B991" s="270"/>
      <c r="C991" s="271"/>
      <c r="D991" s="456"/>
      <c r="E991" s="362"/>
      <c r="F991" s="272"/>
      <c r="G991" s="460"/>
      <c r="H991" s="272"/>
      <c r="I991" s="399"/>
      <c r="J991" s="241" t="b">
        <f>Age_Sex_BY[[#This Row],[Total Spending After Applying Truncation at the Member Level]]+Age_Sex_BY[[#This Row],[Total Dollars Excluded from Spending After Applying Truncation at the Member Level]]=Age_Sex_BY[[#This Row],[Total Spending before Truncation is Applied]]</f>
        <v>1</v>
      </c>
    </row>
    <row r="992" spans="1:10" x14ac:dyDescent="0.25">
      <c r="A992" s="342"/>
      <c r="B992" s="4"/>
      <c r="C992" s="16"/>
      <c r="D992" s="457"/>
      <c r="E992" s="363"/>
      <c r="F992" s="273"/>
      <c r="G992" s="226"/>
      <c r="H992" s="273"/>
      <c r="I992" s="400"/>
      <c r="J992" s="241" t="b">
        <f>Age_Sex_BY[[#This Row],[Total Spending After Applying Truncation at the Member Level]]+Age_Sex_BY[[#This Row],[Total Dollars Excluded from Spending After Applying Truncation at the Member Level]]=Age_Sex_BY[[#This Row],[Total Spending before Truncation is Applied]]</f>
        <v>1</v>
      </c>
    </row>
    <row r="993" spans="1:10" x14ac:dyDescent="0.25">
      <c r="A993" s="339"/>
      <c r="B993" s="270"/>
      <c r="C993" s="271"/>
      <c r="D993" s="456"/>
      <c r="E993" s="362"/>
      <c r="F993" s="272"/>
      <c r="G993" s="460"/>
      <c r="H993" s="272"/>
      <c r="I993" s="399"/>
      <c r="J993" s="241" t="b">
        <f>Age_Sex_BY[[#This Row],[Total Spending After Applying Truncation at the Member Level]]+Age_Sex_BY[[#This Row],[Total Dollars Excluded from Spending After Applying Truncation at the Member Level]]=Age_Sex_BY[[#This Row],[Total Spending before Truncation is Applied]]</f>
        <v>1</v>
      </c>
    </row>
    <row r="994" spans="1:10" x14ac:dyDescent="0.25">
      <c r="A994" s="342"/>
      <c r="B994" s="4"/>
      <c r="C994" s="16"/>
      <c r="D994" s="457"/>
      <c r="E994" s="363"/>
      <c r="F994" s="273"/>
      <c r="G994" s="226"/>
      <c r="H994" s="273"/>
      <c r="I994" s="400"/>
      <c r="J994" s="241" t="b">
        <f>Age_Sex_BY[[#This Row],[Total Spending After Applying Truncation at the Member Level]]+Age_Sex_BY[[#This Row],[Total Dollars Excluded from Spending After Applying Truncation at the Member Level]]=Age_Sex_BY[[#This Row],[Total Spending before Truncation is Applied]]</f>
        <v>1</v>
      </c>
    </row>
    <row r="995" spans="1:10" x14ac:dyDescent="0.25">
      <c r="A995" s="339"/>
      <c r="B995" s="270"/>
      <c r="C995" s="271"/>
      <c r="D995" s="456"/>
      <c r="E995" s="362"/>
      <c r="F995" s="272"/>
      <c r="G995" s="460"/>
      <c r="H995" s="272"/>
      <c r="I995" s="399"/>
      <c r="J995" s="241" t="b">
        <f>Age_Sex_BY[[#This Row],[Total Spending After Applying Truncation at the Member Level]]+Age_Sex_BY[[#This Row],[Total Dollars Excluded from Spending After Applying Truncation at the Member Level]]=Age_Sex_BY[[#This Row],[Total Spending before Truncation is Applied]]</f>
        <v>1</v>
      </c>
    </row>
    <row r="996" spans="1:10" x14ac:dyDescent="0.25">
      <c r="A996" s="342"/>
      <c r="B996" s="4"/>
      <c r="C996" s="16"/>
      <c r="D996" s="457"/>
      <c r="E996" s="363"/>
      <c r="F996" s="273"/>
      <c r="G996" s="226"/>
      <c r="H996" s="273"/>
      <c r="I996" s="400"/>
      <c r="J996" s="241" t="b">
        <f>Age_Sex_BY[[#This Row],[Total Spending After Applying Truncation at the Member Level]]+Age_Sex_BY[[#This Row],[Total Dollars Excluded from Spending After Applying Truncation at the Member Level]]=Age_Sex_BY[[#This Row],[Total Spending before Truncation is Applied]]</f>
        <v>1</v>
      </c>
    </row>
    <row r="997" spans="1:10" x14ac:dyDescent="0.25">
      <c r="A997" s="339"/>
      <c r="B997" s="270"/>
      <c r="C997" s="271"/>
      <c r="D997" s="456"/>
      <c r="E997" s="362"/>
      <c r="F997" s="272"/>
      <c r="G997" s="460"/>
      <c r="H997" s="272"/>
      <c r="I997" s="399"/>
      <c r="J997" s="241" t="b">
        <f>Age_Sex_BY[[#This Row],[Total Spending After Applying Truncation at the Member Level]]+Age_Sex_BY[[#This Row],[Total Dollars Excluded from Spending After Applying Truncation at the Member Level]]=Age_Sex_BY[[#This Row],[Total Spending before Truncation is Applied]]</f>
        <v>1</v>
      </c>
    </row>
    <row r="998" spans="1:10" x14ac:dyDescent="0.25">
      <c r="A998" s="342"/>
      <c r="B998" s="4"/>
      <c r="C998" s="16"/>
      <c r="D998" s="457"/>
      <c r="E998" s="363"/>
      <c r="F998" s="273"/>
      <c r="G998" s="226"/>
      <c r="H998" s="273"/>
      <c r="I998" s="400"/>
      <c r="J998" s="241" t="b">
        <f>Age_Sex_BY[[#This Row],[Total Spending After Applying Truncation at the Member Level]]+Age_Sex_BY[[#This Row],[Total Dollars Excluded from Spending After Applying Truncation at the Member Level]]=Age_Sex_BY[[#This Row],[Total Spending before Truncation is Applied]]</f>
        <v>1</v>
      </c>
    </row>
    <row r="999" spans="1:10" x14ac:dyDescent="0.25">
      <c r="A999" s="339"/>
      <c r="B999" s="270"/>
      <c r="C999" s="271"/>
      <c r="D999" s="456"/>
      <c r="E999" s="362"/>
      <c r="F999" s="272"/>
      <c r="G999" s="460"/>
      <c r="H999" s="272"/>
      <c r="I999" s="399"/>
      <c r="J999" s="241" t="b">
        <f>Age_Sex_BY[[#This Row],[Total Spending After Applying Truncation at the Member Level]]+Age_Sex_BY[[#This Row],[Total Dollars Excluded from Spending After Applying Truncation at the Member Level]]=Age_Sex_BY[[#This Row],[Total Spending before Truncation is Applied]]</f>
        <v>1</v>
      </c>
    </row>
    <row r="1000" spans="1:10" x14ac:dyDescent="0.25">
      <c r="A1000" s="342"/>
      <c r="B1000" s="4"/>
      <c r="C1000" s="16"/>
      <c r="D1000" s="457"/>
      <c r="E1000" s="363"/>
      <c r="F1000" s="273"/>
      <c r="G1000" s="226"/>
      <c r="H1000" s="273"/>
      <c r="I1000" s="400"/>
      <c r="J1000" s="241" t="b">
        <f>Age_Sex_BY[[#This Row],[Total Spending After Applying Truncation at the Member Level]]+Age_Sex_BY[[#This Row],[Total Dollars Excluded from Spending After Applying Truncation at the Member Level]]=Age_Sex_BY[[#This Row],[Total Spending before Truncation is Applied]]</f>
        <v>1</v>
      </c>
    </row>
    <row r="1001" spans="1:10" x14ac:dyDescent="0.25">
      <c r="A1001" s="339"/>
      <c r="B1001" s="270"/>
      <c r="C1001" s="271"/>
      <c r="D1001" s="456"/>
      <c r="E1001" s="362"/>
      <c r="F1001" s="272"/>
      <c r="G1001" s="460"/>
      <c r="H1001" s="272"/>
      <c r="I1001" s="399"/>
      <c r="J1001" s="241" t="b">
        <f>Age_Sex_BY[[#This Row],[Total Spending After Applying Truncation at the Member Level]]+Age_Sex_BY[[#This Row],[Total Dollars Excluded from Spending After Applying Truncation at the Member Level]]=Age_Sex_BY[[#This Row],[Total Spending before Truncation is Applied]]</f>
        <v>1</v>
      </c>
    </row>
    <row r="1002" spans="1:10" x14ac:dyDescent="0.25">
      <c r="A1002" s="342"/>
      <c r="B1002" s="4"/>
      <c r="C1002" s="16"/>
      <c r="D1002" s="457"/>
      <c r="E1002" s="363"/>
      <c r="F1002" s="273"/>
      <c r="G1002" s="226"/>
      <c r="H1002" s="273"/>
      <c r="I1002" s="400"/>
      <c r="J1002" s="241" t="b">
        <f>Age_Sex_BY[[#This Row],[Total Spending After Applying Truncation at the Member Level]]+Age_Sex_BY[[#This Row],[Total Dollars Excluded from Spending After Applying Truncation at the Member Level]]=Age_Sex_BY[[#This Row],[Total Spending before Truncation is Applied]]</f>
        <v>1</v>
      </c>
    </row>
    <row r="1003" spans="1:10" x14ac:dyDescent="0.25">
      <c r="A1003" s="342"/>
      <c r="B1003" s="4"/>
      <c r="C1003" s="16"/>
      <c r="D1003" s="457"/>
      <c r="E1003" s="391"/>
      <c r="F1003" s="392"/>
      <c r="G1003" s="461"/>
      <c r="H1003" s="392"/>
      <c r="I1003" s="401"/>
      <c r="J1003" s="241" t="b">
        <f>Age_Sex_BY[[#This Row],[Total Spending After Applying Truncation at the Member Level]]+Age_Sex_BY[[#This Row],[Total Dollars Excluded from Spending After Applying Truncation at the Member Level]]=Age_Sex_BY[[#This Row],[Total Spending before Truncation is Applied]]</f>
        <v>1</v>
      </c>
    </row>
    <row r="1004" spans="1:10" x14ac:dyDescent="0.25">
      <c r="A1004" s="393"/>
      <c r="B1004" s="387"/>
      <c r="C1004" s="388"/>
      <c r="D1004" s="458"/>
      <c r="E1004" s="389"/>
      <c r="F1004" s="390"/>
      <c r="G1004" s="462"/>
      <c r="H1004" s="390"/>
      <c r="I1004" s="402"/>
      <c r="J1004" s="241" t="b">
        <f>Age_Sex_BY[[#This Row],[Total Spending After Applying Truncation at the Member Level]]+Age_Sex_BY[[#This Row],[Total Dollars Excluded from Spending After Applying Truncation at the Member Level]]=Age_Sex_BY[[#This Row],[Total Spending before Truncation is Applied]]</f>
        <v>1</v>
      </c>
    </row>
    <row r="1005" spans="1:10" x14ac:dyDescent="0.25">
      <c r="A1005" s="393"/>
      <c r="B1005" s="387"/>
      <c r="C1005" s="388"/>
      <c r="D1005" s="458"/>
      <c r="E1005" s="389"/>
      <c r="F1005" s="390"/>
      <c r="G1005" s="462"/>
      <c r="H1005" s="390"/>
      <c r="I1005" s="402"/>
      <c r="J1005" s="241" t="b">
        <f>Age_Sex_BY[[#This Row],[Total Spending After Applying Truncation at the Member Level]]+Age_Sex_BY[[#This Row],[Total Dollars Excluded from Spending After Applying Truncation at the Member Level]]=Age_Sex_BY[[#This Row],[Total Spending before Truncation is Applied]]</f>
        <v>1</v>
      </c>
    </row>
    <row r="1006" spans="1:10" x14ac:dyDescent="0.25">
      <c r="A1006" s="393"/>
      <c r="B1006" s="387"/>
      <c r="C1006" s="388"/>
      <c r="D1006" s="458"/>
      <c r="E1006" s="389"/>
      <c r="F1006" s="390"/>
      <c r="G1006" s="462"/>
      <c r="H1006" s="390"/>
      <c r="I1006" s="402"/>
      <c r="J1006" s="241" t="b">
        <f>Age_Sex_BY[[#This Row],[Total Spending After Applying Truncation at the Member Level]]+Age_Sex_BY[[#This Row],[Total Dollars Excluded from Spending After Applying Truncation at the Member Level]]=Age_Sex_BY[[#This Row],[Total Spending before Truncation is Applied]]</f>
        <v>1</v>
      </c>
    </row>
    <row r="1007" spans="1:10" x14ac:dyDescent="0.25">
      <c r="A1007" s="393"/>
      <c r="B1007" s="387"/>
      <c r="C1007" s="388"/>
      <c r="D1007" s="458"/>
      <c r="E1007" s="389"/>
      <c r="F1007" s="390"/>
      <c r="G1007" s="462"/>
      <c r="H1007" s="390"/>
      <c r="I1007" s="402"/>
      <c r="J1007" s="241" t="b">
        <f>Age_Sex_BY[[#This Row],[Total Spending After Applying Truncation at the Member Level]]+Age_Sex_BY[[#This Row],[Total Dollars Excluded from Spending After Applying Truncation at the Member Level]]=Age_Sex_BY[[#This Row],[Total Spending before Truncation is Applied]]</f>
        <v>1</v>
      </c>
    </row>
    <row r="1008" spans="1:10" x14ac:dyDescent="0.25">
      <c r="A1008" s="393"/>
      <c r="B1008" s="387"/>
      <c r="C1008" s="388"/>
      <c r="D1008" s="458"/>
      <c r="E1008" s="389"/>
      <c r="F1008" s="390"/>
      <c r="G1008" s="462"/>
      <c r="H1008" s="390"/>
      <c r="I1008" s="402"/>
      <c r="J1008" s="241" t="b">
        <f>Age_Sex_BY[[#This Row],[Total Spending After Applying Truncation at the Member Level]]+Age_Sex_BY[[#This Row],[Total Dollars Excluded from Spending After Applying Truncation at the Member Level]]=Age_Sex_BY[[#This Row],[Total Spending before Truncation is Applied]]</f>
        <v>1</v>
      </c>
    </row>
    <row r="1009" spans="1:10" x14ac:dyDescent="0.25">
      <c r="A1009" s="393"/>
      <c r="B1009" s="387"/>
      <c r="C1009" s="388"/>
      <c r="D1009" s="458"/>
      <c r="E1009" s="389"/>
      <c r="F1009" s="390"/>
      <c r="G1009" s="462"/>
      <c r="H1009" s="390"/>
      <c r="I1009" s="402"/>
      <c r="J1009" s="241" t="b">
        <f>Age_Sex_BY[[#This Row],[Total Spending After Applying Truncation at the Member Level]]+Age_Sex_BY[[#This Row],[Total Dollars Excluded from Spending After Applying Truncation at the Member Level]]=Age_Sex_BY[[#This Row],[Total Spending before Truncation is Applied]]</f>
        <v>1</v>
      </c>
    </row>
    <row r="1010" spans="1:10" x14ac:dyDescent="0.25">
      <c r="A1010" s="393"/>
      <c r="B1010" s="387"/>
      <c r="C1010" s="388"/>
      <c r="D1010" s="458"/>
      <c r="E1010" s="389"/>
      <c r="F1010" s="390"/>
      <c r="G1010" s="462"/>
      <c r="H1010" s="390"/>
      <c r="I1010" s="402"/>
      <c r="J1010" s="241" t="b">
        <f>Age_Sex_BY[[#This Row],[Total Spending After Applying Truncation at the Member Level]]+Age_Sex_BY[[#This Row],[Total Dollars Excluded from Spending After Applying Truncation at the Member Level]]=Age_Sex_BY[[#This Row],[Total Spending before Truncation is Applied]]</f>
        <v>1</v>
      </c>
    </row>
    <row r="1011" spans="1:10" x14ac:dyDescent="0.25">
      <c r="A1011" s="393"/>
      <c r="B1011" s="387"/>
      <c r="C1011" s="388"/>
      <c r="D1011" s="458"/>
      <c r="E1011" s="389"/>
      <c r="F1011" s="390"/>
      <c r="G1011" s="462"/>
      <c r="H1011" s="390"/>
      <c r="I1011" s="402"/>
      <c r="J1011" s="241" t="b">
        <f>Age_Sex_BY[[#This Row],[Total Spending After Applying Truncation at the Member Level]]+Age_Sex_BY[[#This Row],[Total Dollars Excluded from Spending After Applying Truncation at the Member Level]]=Age_Sex_BY[[#This Row],[Total Spending before Truncation is Applied]]</f>
        <v>1</v>
      </c>
    </row>
    <row r="1012" spans="1:10" x14ac:dyDescent="0.25">
      <c r="A1012" s="393"/>
      <c r="B1012" s="387"/>
      <c r="C1012" s="388"/>
      <c r="D1012" s="458"/>
      <c r="E1012" s="389"/>
      <c r="F1012" s="390"/>
      <c r="G1012" s="462"/>
      <c r="H1012" s="390"/>
      <c r="I1012" s="402"/>
      <c r="J1012" s="241" t="b">
        <f>Age_Sex_BY[[#This Row],[Total Spending After Applying Truncation at the Member Level]]+Age_Sex_BY[[#This Row],[Total Dollars Excluded from Spending After Applying Truncation at the Member Level]]=Age_Sex_BY[[#This Row],[Total Spending before Truncation is Applied]]</f>
        <v>1</v>
      </c>
    </row>
    <row r="1013" spans="1:10" x14ac:dyDescent="0.25">
      <c r="A1013" s="393"/>
      <c r="B1013" s="387"/>
      <c r="C1013" s="388"/>
      <c r="D1013" s="458"/>
      <c r="E1013" s="389"/>
      <c r="F1013" s="390"/>
      <c r="G1013" s="462"/>
      <c r="H1013" s="390"/>
      <c r="I1013" s="402"/>
      <c r="J1013" s="241" t="b">
        <f>Age_Sex_BY[[#This Row],[Total Spending After Applying Truncation at the Member Level]]+Age_Sex_BY[[#This Row],[Total Dollars Excluded from Spending After Applying Truncation at the Member Level]]=Age_Sex_BY[[#This Row],[Total Spending before Truncation is Applied]]</f>
        <v>1</v>
      </c>
    </row>
    <row r="1014" spans="1:10" x14ac:dyDescent="0.25">
      <c r="A1014" s="393"/>
      <c r="B1014" s="387"/>
      <c r="C1014" s="388"/>
      <c r="D1014" s="458"/>
      <c r="E1014" s="389"/>
      <c r="F1014" s="390"/>
      <c r="G1014" s="462"/>
      <c r="H1014" s="390"/>
      <c r="I1014" s="402"/>
      <c r="J1014" s="241" t="b">
        <f>Age_Sex_BY[[#This Row],[Total Spending After Applying Truncation at the Member Level]]+Age_Sex_BY[[#This Row],[Total Dollars Excluded from Spending After Applying Truncation at the Member Level]]=Age_Sex_BY[[#This Row],[Total Spending before Truncation is Applied]]</f>
        <v>1</v>
      </c>
    </row>
    <row r="1015" spans="1:10" x14ac:dyDescent="0.25">
      <c r="A1015" s="393"/>
      <c r="B1015" s="387"/>
      <c r="C1015" s="388"/>
      <c r="D1015" s="458"/>
      <c r="E1015" s="389"/>
      <c r="F1015" s="390"/>
      <c r="G1015" s="462"/>
      <c r="H1015" s="390"/>
      <c r="I1015" s="402"/>
      <c r="J1015" s="241" t="b">
        <f>Age_Sex_BY[[#This Row],[Total Spending After Applying Truncation at the Member Level]]+Age_Sex_BY[[#This Row],[Total Dollars Excluded from Spending After Applying Truncation at the Member Level]]=Age_Sex_BY[[#This Row],[Total Spending before Truncation is Applied]]</f>
        <v>1</v>
      </c>
    </row>
    <row r="1016" spans="1:10" x14ac:dyDescent="0.25">
      <c r="A1016" s="393"/>
      <c r="B1016" s="387"/>
      <c r="C1016" s="388"/>
      <c r="D1016" s="458"/>
      <c r="E1016" s="389"/>
      <c r="F1016" s="390"/>
      <c r="G1016" s="462"/>
      <c r="H1016" s="390"/>
      <c r="I1016" s="402"/>
      <c r="J1016" s="241" t="b">
        <f>Age_Sex_BY[[#This Row],[Total Spending After Applying Truncation at the Member Level]]+Age_Sex_BY[[#This Row],[Total Dollars Excluded from Spending After Applying Truncation at the Member Level]]=Age_Sex_BY[[#This Row],[Total Spending before Truncation is Applied]]</f>
        <v>1</v>
      </c>
    </row>
    <row r="1017" spans="1:10" x14ac:dyDescent="0.25">
      <c r="A1017" s="393"/>
      <c r="B1017" s="387"/>
      <c r="C1017" s="388"/>
      <c r="D1017" s="458"/>
      <c r="E1017" s="389"/>
      <c r="F1017" s="390"/>
      <c r="G1017" s="462"/>
      <c r="H1017" s="390"/>
      <c r="I1017" s="402"/>
      <c r="J1017" s="241" t="b">
        <f>Age_Sex_BY[[#This Row],[Total Spending After Applying Truncation at the Member Level]]+Age_Sex_BY[[#This Row],[Total Dollars Excluded from Spending After Applying Truncation at the Member Level]]=Age_Sex_BY[[#This Row],[Total Spending before Truncation is Applied]]</f>
        <v>1</v>
      </c>
    </row>
    <row r="1018" spans="1:10" x14ac:dyDescent="0.25">
      <c r="A1018" s="393"/>
      <c r="B1018" s="387"/>
      <c r="C1018" s="388"/>
      <c r="D1018" s="458"/>
      <c r="E1018" s="389"/>
      <c r="F1018" s="390"/>
      <c r="G1018" s="462"/>
      <c r="H1018" s="390"/>
      <c r="I1018" s="402"/>
      <c r="J1018" s="241" t="b">
        <f>Age_Sex_BY[[#This Row],[Total Spending After Applying Truncation at the Member Level]]+Age_Sex_BY[[#This Row],[Total Dollars Excluded from Spending After Applying Truncation at the Member Level]]=Age_Sex_BY[[#This Row],[Total Spending before Truncation is Applied]]</f>
        <v>1</v>
      </c>
    </row>
    <row r="1019" spans="1:10" x14ac:dyDescent="0.25">
      <c r="A1019" s="393"/>
      <c r="B1019" s="387"/>
      <c r="C1019" s="388"/>
      <c r="D1019" s="458"/>
      <c r="E1019" s="389"/>
      <c r="F1019" s="390"/>
      <c r="G1019" s="462"/>
      <c r="H1019" s="390"/>
      <c r="I1019" s="402"/>
      <c r="J1019" s="241" t="b">
        <f>Age_Sex_BY[[#This Row],[Total Spending After Applying Truncation at the Member Level]]+Age_Sex_BY[[#This Row],[Total Dollars Excluded from Spending After Applying Truncation at the Member Level]]=Age_Sex_BY[[#This Row],[Total Spending before Truncation is Applied]]</f>
        <v>1</v>
      </c>
    </row>
    <row r="1020" spans="1:10" x14ac:dyDescent="0.25">
      <c r="A1020" s="393"/>
      <c r="B1020" s="387"/>
      <c r="C1020" s="388"/>
      <c r="D1020" s="458"/>
      <c r="E1020" s="389"/>
      <c r="F1020" s="390"/>
      <c r="G1020" s="462"/>
      <c r="H1020" s="390"/>
      <c r="I1020" s="402"/>
      <c r="J1020" s="241" t="b">
        <f>Age_Sex_BY[[#This Row],[Total Spending After Applying Truncation at the Member Level]]+Age_Sex_BY[[#This Row],[Total Dollars Excluded from Spending After Applying Truncation at the Member Level]]=Age_Sex_BY[[#This Row],[Total Spending before Truncation is Applied]]</f>
        <v>1</v>
      </c>
    </row>
    <row r="1021" spans="1:10" x14ac:dyDescent="0.25">
      <c r="A1021" s="393"/>
      <c r="B1021" s="387"/>
      <c r="C1021" s="388"/>
      <c r="D1021" s="458"/>
      <c r="E1021" s="389"/>
      <c r="F1021" s="390"/>
      <c r="G1021" s="462"/>
      <c r="H1021" s="390"/>
      <c r="I1021" s="402"/>
      <c r="J1021" s="241" t="b">
        <f>Age_Sex_BY[[#This Row],[Total Spending After Applying Truncation at the Member Level]]+Age_Sex_BY[[#This Row],[Total Dollars Excluded from Spending After Applying Truncation at the Member Level]]=Age_Sex_BY[[#This Row],[Total Spending before Truncation is Applied]]</f>
        <v>1</v>
      </c>
    </row>
    <row r="1022" spans="1:10" x14ac:dyDescent="0.25">
      <c r="A1022" s="393"/>
      <c r="B1022" s="387"/>
      <c r="C1022" s="388"/>
      <c r="D1022" s="458"/>
      <c r="E1022" s="389"/>
      <c r="F1022" s="390"/>
      <c r="G1022" s="462"/>
      <c r="H1022" s="390"/>
      <c r="I1022" s="402"/>
      <c r="J1022" s="241" t="b">
        <f>Age_Sex_BY[[#This Row],[Total Spending After Applying Truncation at the Member Level]]+Age_Sex_BY[[#This Row],[Total Dollars Excluded from Spending After Applying Truncation at the Member Level]]=Age_Sex_BY[[#This Row],[Total Spending before Truncation is Applied]]</f>
        <v>1</v>
      </c>
    </row>
    <row r="1023" spans="1:10" x14ac:dyDescent="0.25">
      <c r="A1023" s="393"/>
      <c r="B1023" s="387"/>
      <c r="C1023" s="388"/>
      <c r="D1023" s="458"/>
      <c r="E1023" s="389"/>
      <c r="F1023" s="390"/>
      <c r="G1023" s="462"/>
      <c r="H1023" s="390"/>
      <c r="I1023" s="402"/>
      <c r="J1023" s="241" t="b">
        <f>Age_Sex_BY[[#This Row],[Total Spending After Applying Truncation at the Member Level]]+Age_Sex_BY[[#This Row],[Total Dollars Excluded from Spending After Applying Truncation at the Member Level]]=Age_Sex_BY[[#This Row],[Total Spending before Truncation is Applied]]</f>
        <v>1</v>
      </c>
    </row>
    <row r="1024" spans="1:10" x14ac:dyDescent="0.25">
      <c r="A1024" s="393"/>
      <c r="B1024" s="387"/>
      <c r="C1024" s="388"/>
      <c r="D1024" s="458"/>
      <c r="E1024" s="389"/>
      <c r="F1024" s="390"/>
      <c r="G1024" s="462"/>
      <c r="H1024" s="390"/>
      <c r="I1024" s="402"/>
      <c r="J1024" s="241" t="b">
        <f>Age_Sex_BY[[#This Row],[Total Spending After Applying Truncation at the Member Level]]+Age_Sex_BY[[#This Row],[Total Dollars Excluded from Spending After Applying Truncation at the Member Level]]=Age_Sex_BY[[#This Row],[Total Spending before Truncation is Applied]]</f>
        <v>1</v>
      </c>
    </row>
    <row r="1025" spans="1:10" x14ac:dyDescent="0.25">
      <c r="A1025" s="393"/>
      <c r="B1025" s="387"/>
      <c r="C1025" s="388"/>
      <c r="D1025" s="458"/>
      <c r="E1025" s="389"/>
      <c r="F1025" s="390"/>
      <c r="G1025" s="462"/>
      <c r="H1025" s="390"/>
      <c r="I1025" s="402"/>
      <c r="J1025" s="241" t="b">
        <f>Age_Sex_BY[[#This Row],[Total Spending After Applying Truncation at the Member Level]]+Age_Sex_BY[[#This Row],[Total Dollars Excluded from Spending After Applying Truncation at the Member Level]]=Age_Sex_BY[[#This Row],[Total Spending before Truncation is Applied]]</f>
        <v>1</v>
      </c>
    </row>
    <row r="1026" spans="1:10" x14ac:dyDescent="0.25">
      <c r="A1026" s="393"/>
      <c r="B1026" s="387"/>
      <c r="C1026" s="388"/>
      <c r="D1026" s="458"/>
      <c r="E1026" s="389"/>
      <c r="F1026" s="390"/>
      <c r="G1026" s="462"/>
      <c r="H1026" s="390"/>
      <c r="I1026" s="402"/>
      <c r="J1026" s="241" t="b">
        <f>Age_Sex_BY[[#This Row],[Total Spending After Applying Truncation at the Member Level]]+Age_Sex_BY[[#This Row],[Total Dollars Excluded from Spending After Applying Truncation at the Member Level]]=Age_Sex_BY[[#This Row],[Total Spending before Truncation is Applied]]</f>
        <v>1</v>
      </c>
    </row>
    <row r="1027" spans="1:10" x14ac:dyDescent="0.25">
      <c r="A1027" s="393"/>
      <c r="B1027" s="387"/>
      <c r="C1027" s="388"/>
      <c r="D1027" s="458"/>
      <c r="E1027" s="389"/>
      <c r="F1027" s="390"/>
      <c r="G1027" s="462"/>
      <c r="H1027" s="390"/>
      <c r="I1027" s="402"/>
      <c r="J1027" s="241" t="b">
        <f>Age_Sex_BY[[#This Row],[Total Spending After Applying Truncation at the Member Level]]+Age_Sex_BY[[#This Row],[Total Dollars Excluded from Spending After Applying Truncation at the Member Level]]=Age_Sex_BY[[#This Row],[Total Spending before Truncation is Applied]]</f>
        <v>1</v>
      </c>
    </row>
    <row r="1028" spans="1:10" x14ac:dyDescent="0.25">
      <c r="A1028" s="393"/>
      <c r="B1028" s="387"/>
      <c r="C1028" s="388"/>
      <c r="D1028" s="458"/>
      <c r="E1028" s="389"/>
      <c r="F1028" s="390"/>
      <c r="G1028" s="462"/>
      <c r="H1028" s="390"/>
      <c r="I1028" s="402"/>
      <c r="J1028" s="241" t="b">
        <f>Age_Sex_BY[[#This Row],[Total Spending After Applying Truncation at the Member Level]]+Age_Sex_BY[[#This Row],[Total Dollars Excluded from Spending After Applying Truncation at the Member Level]]=Age_Sex_BY[[#This Row],[Total Spending before Truncation is Applied]]</f>
        <v>1</v>
      </c>
    </row>
    <row r="1029" spans="1:10" x14ac:dyDescent="0.25">
      <c r="A1029" s="393"/>
      <c r="B1029" s="387"/>
      <c r="C1029" s="388"/>
      <c r="D1029" s="458"/>
      <c r="E1029" s="389"/>
      <c r="F1029" s="390"/>
      <c r="G1029" s="462"/>
      <c r="H1029" s="390"/>
      <c r="I1029" s="402"/>
      <c r="J1029" s="241" t="b">
        <f>Age_Sex_BY[[#This Row],[Total Spending After Applying Truncation at the Member Level]]+Age_Sex_BY[[#This Row],[Total Dollars Excluded from Spending After Applying Truncation at the Member Level]]=Age_Sex_BY[[#This Row],[Total Spending before Truncation is Applied]]</f>
        <v>1</v>
      </c>
    </row>
    <row r="1030" spans="1:10" x14ac:dyDescent="0.25">
      <c r="A1030" s="393"/>
      <c r="B1030" s="387"/>
      <c r="C1030" s="388"/>
      <c r="D1030" s="458"/>
      <c r="E1030" s="389"/>
      <c r="F1030" s="390"/>
      <c r="G1030" s="462"/>
      <c r="H1030" s="390"/>
      <c r="I1030" s="402"/>
      <c r="J1030" s="241" t="b">
        <f>Age_Sex_BY[[#This Row],[Total Spending After Applying Truncation at the Member Level]]+Age_Sex_BY[[#This Row],[Total Dollars Excluded from Spending After Applying Truncation at the Member Level]]=Age_Sex_BY[[#This Row],[Total Spending before Truncation is Applied]]</f>
        <v>1</v>
      </c>
    </row>
    <row r="1031" spans="1:10" x14ac:dyDescent="0.25">
      <c r="A1031" s="393"/>
      <c r="B1031" s="387"/>
      <c r="C1031" s="388"/>
      <c r="D1031" s="458"/>
      <c r="E1031" s="389"/>
      <c r="F1031" s="390"/>
      <c r="G1031" s="462"/>
      <c r="H1031" s="390"/>
      <c r="I1031" s="402"/>
      <c r="J1031" s="241" t="b">
        <f>Age_Sex_BY[[#This Row],[Total Spending After Applying Truncation at the Member Level]]+Age_Sex_BY[[#This Row],[Total Dollars Excluded from Spending After Applying Truncation at the Member Level]]=Age_Sex_BY[[#This Row],[Total Spending before Truncation is Applied]]</f>
        <v>1</v>
      </c>
    </row>
    <row r="1032" spans="1:10" x14ac:dyDescent="0.25">
      <c r="A1032" s="393"/>
      <c r="B1032" s="387"/>
      <c r="C1032" s="388"/>
      <c r="D1032" s="458"/>
      <c r="E1032" s="389"/>
      <c r="F1032" s="390"/>
      <c r="G1032" s="462"/>
      <c r="H1032" s="390"/>
      <c r="I1032" s="402"/>
      <c r="J1032" s="241" t="b">
        <f>Age_Sex_BY[[#This Row],[Total Spending After Applying Truncation at the Member Level]]+Age_Sex_BY[[#This Row],[Total Dollars Excluded from Spending After Applying Truncation at the Member Level]]=Age_Sex_BY[[#This Row],[Total Spending before Truncation is Applied]]</f>
        <v>1</v>
      </c>
    </row>
    <row r="1033" spans="1:10" x14ac:dyDescent="0.25">
      <c r="A1033" s="393"/>
      <c r="B1033" s="387"/>
      <c r="C1033" s="388"/>
      <c r="D1033" s="458"/>
      <c r="E1033" s="389"/>
      <c r="F1033" s="390"/>
      <c r="G1033" s="462"/>
      <c r="H1033" s="390"/>
      <c r="I1033" s="402"/>
      <c r="J1033" s="241" t="b">
        <f>Age_Sex_BY[[#This Row],[Total Spending After Applying Truncation at the Member Level]]+Age_Sex_BY[[#This Row],[Total Dollars Excluded from Spending After Applying Truncation at the Member Level]]=Age_Sex_BY[[#This Row],[Total Spending before Truncation is Applied]]</f>
        <v>1</v>
      </c>
    </row>
    <row r="1034" spans="1:10" x14ac:dyDescent="0.25">
      <c r="A1034" s="393"/>
      <c r="B1034" s="387"/>
      <c r="C1034" s="388"/>
      <c r="D1034" s="458"/>
      <c r="E1034" s="389"/>
      <c r="F1034" s="390"/>
      <c r="G1034" s="462"/>
      <c r="H1034" s="390"/>
      <c r="I1034" s="402"/>
      <c r="J1034" s="241" t="b">
        <f>Age_Sex_BY[[#This Row],[Total Spending After Applying Truncation at the Member Level]]+Age_Sex_BY[[#This Row],[Total Dollars Excluded from Spending After Applying Truncation at the Member Level]]=Age_Sex_BY[[#This Row],[Total Spending before Truncation is Applied]]</f>
        <v>1</v>
      </c>
    </row>
    <row r="1035" spans="1:10" x14ac:dyDescent="0.25">
      <c r="A1035" s="393"/>
      <c r="B1035" s="387"/>
      <c r="C1035" s="388"/>
      <c r="D1035" s="458"/>
      <c r="E1035" s="389"/>
      <c r="F1035" s="390"/>
      <c r="G1035" s="462"/>
      <c r="H1035" s="390"/>
      <c r="I1035" s="402"/>
      <c r="J1035" s="241" t="b">
        <f>Age_Sex_BY[[#This Row],[Total Spending After Applying Truncation at the Member Level]]+Age_Sex_BY[[#This Row],[Total Dollars Excluded from Spending After Applying Truncation at the Member Level]]=Age_Sex_BY[[#This Row],[Total Spending before Truncation is Applied]]</f>
        <v>1</v>
      </c>
    </row>
    <row r="1036" spans="1:10" x14ac:dyDescent="0.25">
      <c r="A1036" s="393"/>
      <c r="B1036" s="387"/>
      <c r="C1036" s="388"/>
      <c r="D1036" s="458"/>
      <c r="E1036" s="389"/>
      <c r="F1036" s="390"/>
      <c r="G1036" s="462"/>
      <c r="H1036" s="390"/>
      <c r="I1036" s="402"/>
      <c r="J1036" s="241" t="b">
        <f>Age_Sex_BY[[#This Row],[Total Spending After Applying Truncation at the Member Level]]+Age_Sex_BY[[#This Row],[Total Dollars Excluded from Spending After Applying Truncation at the Member Level]]=Age_Sex_BY[[#This Row],[Total Spending before Truncation is Applied]]</f>
        <v>1</v>
      </c>
    </row>
    <row r="1037" spans="1:10" x14ac:dyDescent="0.25">
      <c r="A1037" s="393"/>
      <c r="B1037" s="387"/>
      <c r="C1037" s="388"/>
      <c r="D1037" s="458"/>
      <c r="E1037" s="389"/>
      <c r="F1037" s="390"/>
      <c r="G1037" s="462"/>
      <c r="H1037" s="390"/>
      <c r="I1037" s="402"/>
      <c r="J1037" s="241" t="b">
        <f>Age_Sex_BY[[#This Row],[Total Spending After Applying Truncation at the Member Level]]+Age_Sex_BY[[#This Row],[Total Dollars Excluded from Spending After Applying Truncation at the Member Level]]=Age_Sex_BY[[#This Row],[Total Spending before Truncation is Applied]]</f>
        <v>1</v>
      </c>
    </row>
    <row r="1038" spans="1:10" x14ac:dyDescent="0.25">
      <c r="A1038" s="393"/>
      <c r="B1038" s="387"/>
      <c r="C1038" s="388"/>
      <c r="D1038" s="458"/>
      <c r="E1038" s="389"/>
      <c r="F1038" s="390"/>
      <c r="G1038" s="462"/>
      <c r="H1038" s="390"/>
      <c r="I1038" s="402"/>
      <c r="J1038" s="241" t="b">
        <f>Age_Sex_BY[[#This Row],[Total Spending After Applying Truncation at the Member Level]]+Age_Sex_BY[[#This Row],[Total Dollars Excluded from Spending After Applying Truncation at the Member Level]]=Age_Sex_BY[[#This Row],[Total Spending before Truncation is Applied]]</f>
        <v>1</v>
      </c>
    </row>
    <row r="1039" spans="1:10" x14ac:dyDescent="0.25">
      <c r="A1039" s="393"/>
      <c r="B1039" s="387"/>
      <c r="C1039" s="388"/>
      <c r="D1039" s="458"/>
      <c r="E1039" s="389"/>
      <c r="F1039" s="390"/>
      <c r="G1039" s="462"/>
      <c r="H1039" s="390"/>
      <c r="I1039" s="402"/>
      <c r="J1039" s="241" t="b">
        <f>Age_Sex_BY[[#This Row],[Total Spending After Applying Truncation at the Member Level]]+Age_Sex_BY[[#This Row],[Total Dollars Excluded from Spending After Applying Truncation at the Member Level]]=Age_Sex_BY[[#This Row],[Total Spending before Truncation is Applied]]</f>
        <v>1</v>
      </c>
    </row>
    <row r="1040" spans="1:10" x14ac:dyDescent="0.25">
      <c r="A1040" s="393"/>
      <c r="B1040" s="387"/>
      <c r="C1040" s="388"/>
      <c r="D1040" s="458"/>
      <c r="E1040" s="389"/>
      <c r="F1040" s="390"/>
      <c r="G1040" s="462"/>
      <c r="H1040" s="390"/>
      <c r="I1040" s="402"/>
      <c r="J1040" s="241" t="b">
        <f>Age_Sex_BY[[#This Row],[Total Spending After Applying Truncation at the Member Level]]+Age_Sex_BY[[#This Row],[Total Dollars Excluded from Spending After Applying Truncation at the Member Level]]=Age_Sex_BY[[#This Row],[Total Spending before Truncation is Applied]]</f>
        <v>1</v>
      </c>
    </row>
    <row r="1041" spans="1:10" x14ac:dyDescent="0.25">
      <c r="A1041" s="393"/>
      <c r="B1041" s="387"/>
      <c r="C1041" s="388"/>
      <c r="D1041" s="458"/>
      <c r="E1041" s="389"/>
      <c r="F1041" s="390"/>
      <c r="G1041" s="462"/>
      <c r="H1041" s="390"/>
      <c r="I1041" s="402"/>
      <c r="J1041" s="241" t="b">
        <f>Age_Sex_BY[[#This Row],[Total Spending After Applying Truncation at the Member Level]]+Age_Sex_BY[[#This Row],[Total Dollars Excluded from Spending After Applying Truncation at the Member Level]]=Age_Sex_BY[[#This Row],[Total Spending before Truncation is Applied]]</f>
        <v>1</v>
      </c>
    </row>
    <row r="1042" spans="1:10" x14ac:dyDescent="0.25">
      <c r="A1042" s="393"/>
      <c r="B1042" s="387"/>
      <c r="C1042" s="388"/>
      <c r="D1042" s="458"/>
      <c r="E1042" s="389"/>
      <c r="F1042" s="390"/>
      <c r="G1042" s="462"/>
      <c r="H1042" s="390"/>
      <c r="I1042" s="402"/>
      <c r="J1042" s="241" t="b">
        <f>Age_Sex_BY[[#This Row],[Total Spending After Applying Truncation at the Member Level]]+Age_Sex_BY[[#This Row],[Total Dollars Excluded from Spending After Applying Truncation at the Member Level]]=Age_Sex_BY[[#This Row],[Total Spending before Truncation is Applied]]</f>
        <v>1</v>
      </c>
    </row>
    <row r="1043" spans="1:10" x14ac:dyDescent="0.25">
      <c r="A1043" s="393"/>
      <c r="B1043" s="387"/>
      <c r="C1043" s="388"/>
      <c r="D1043" s="458"/>
      <c r="E1043" s="389"/>
      <c r="F1043" s="390"/>
      <c r="G1043" s="462"/>
      <c r="H1043" s="390"/>
      <c r="I1043" s="402"/>
      <c r="J1043" s="241" t="b">
        <f>Age_Sex_BY[[#This Row],[Total Spending After Applying Truncation at the Member Level]]+Age_Sex_BY[[#This Row],[Total Dollars Excluded from Spending After Applying Truncation at the Member Level]]=Age_Sex_BY[[#This Row],[Total Spending before Truncation is Applied]]</f>
        <v>1</v>
      </c>
    </row>
    <row r="1044" spans="1:10" x14ac:dyDescent="0.25">
      <c r="A1044" s="393"/>
      <c r="B1044" s="387"/>
      <c r="C1044" s="388"/>
      <c r="D1044" s="458"/>
      <c r="E1044" s="389"/>
      <c r="F1044" s="390"/>
      <c r="G1044" s="462"/>
      <c r="H1044" s="390"/>
      <c r="I1044" s="402"/>
      <c r="J1044" s="241" t="b">
        <f>Age_Sex_BY[[#This Row],[Total Spending After Applying Truncation at the Member Level]]+Age_Sex_BY[[#This Row],[Total Dollars Excluded from Spending After Applying Truncation at the Member Level]]=Age_Sex_BY[[#This Row],[Total Spending before Truncation is Applied]]</f>
        <v>1</v>
      </c>
    </row>
    <row r="1045" spans="1:10" x14ac:dyDescent="0.25">
      <c r="A1045" s="393"/>
      <c r="B1045" s="387"/>
      <c r="C1045" s="388"/>
      <c r="D1045" s="458"/>
      <c r="E1045" s="389"/>
      <c r="F1045" s="390"/>
      <c r="G1045" s="462"/>
      <c r="H1045" s="390"/>
      <c r="I1045" s="402"/>
      <c r="J1045" s="241" t="b">
        <f>Age_Sex_BY[[#This Row],[Total Spending After Applying Truncation at the Member Level]]+Age_Sex_BY[[#This Row],[Total Dollars Excluded from Spending After Applying Truncation at the Member Level]]=Age_Sex_BY[[#This Row],[Total Spending before Truncation is Applied]]</f>
        <v>1</v>
      </c>
    </row>
    <row r="1046" spans="1:10" x14ac:dyDescent="0.25">
      <c r="A1046" s="393"/>
      <c r="B1046" s="387"/>
      <c r="C1046" s="388"/>
      <c r="D1046" s="458"/>
      <c r="E1046" s="389"/>
      <c r="F1046" s="390"/>
      <c r="G1046" s="462"/>
      <c r="H1046" s="390"/>
      <c r="I1046" s="402"/>
      <c r="J1046" s="241" t="b">
        <f>Age_Sex_BY[[#This Row],[Total Spending After Applying Truncation at the Member Level]]+Age_Sex_BY[[#This Row],[Total Dollars Excluded from Spending After Applying Truncation at the Member Level]]=Age_Sex_BY[[#This Row],[Total Spending before Truncation is Applied]]</f>
        <v>1</v>
      </c>
    </row>
    <row r="1047" spans="1:10" x14ac:dyDescent="0.25">
      <c r="A1047" s="393"/>
      <c r="B1047" s="387"/>
      <c r="C1047" s="388"/>
      <c r="D1047" s="458"/>
      <c r="E1047" s="389"/>
      <c r="F1047" s="390"/>
      <c r="G1047" s="462"/>
      <c r="H1047" s="390"/>
      <c r="I1047" s="402"/>
      <c r="J1047" s="241" t="b">
        <f>Age_Sex_BY[[#This Row],[Total Spending After Applying Truncation at the Member Level]]+Age_Sex_BY[[#This Row],[Total Dollars Excluded from Spending After Applying Truncation at the Member Level]]=Age_Sex_BY[[#This Row],[Total Spending before Truncation is Applied]]</f>
        <v>1</v>
      </c>
    </row>
    <row r="1048" spans="1:10" x14ac:dyDescent="0.25">
      <c r="A1048" s="393"/>
      <c r="B1048" s="387"/>
      <c r="C1048" s="388"/>
      <c r="D1048" s="458"/>
      <c r="E1048" s="389"/>
      <c r="F1048" s="390"/>
      <c r="G1048" s="462"/>
      <c r="H1048" s="390"/>
      <c r="I1048" s="402"/>
      <c r="J1048" s="241" t="b">
        <f>Age_Sex_BY[[#This Row],[Total Spending After Applying Truncation at the Member Level]]+Age_Sex_BY[[#This Row],[Total Dollars Excluded from Spending After Applying Truncation at the Member Level]]=Age_Sex_BY[[#This Row],[Total Spending before Truncation is Applied]]</f>
        <v>1</v>
      </c>
    </row>
    <row r="1049" spans="1:10" x14ac:dyDescent="0.25">
      <c r="A1049" s="393"/>
      <c r="B1049" s="387"/>
      <c r="C1049" s="388"/>
      <c r="D1049" s="458"/>
      <c r="E1049" s="389"/>
      <c r="F1049" s="390"/>
      <c r="G1049" s="462"/>
      <c r="H1049" s="390"/>
      <c r="I1049" s="402"/>
      <c r="J1049" s="241" t="b">
        <f>Age_Sex_BY[[#This Row],[Total Spending After Applying Truncation at the Member Level]]+Age_Sex_BY[[#This Row],[Total Dollars Excluded from Spending After Applying Truncation at the Member Level]]=Age_Sex_BY[[#This Row],[Total Spending before Truncation is Applied]]</f>
        <v>1</v>
      </c>
    </row>
    <row r="1050" spans="1:10" x14ac:dyDescent="0.25">
      <c r="A1050" s="393"/>
      <c r="B1050" s="387"/>
      <c r="C1050" s="388"/>
      <c r="D1050" s="458"/>
      <c r="E1050" s="389"/>
      <c r="F1050" s="390"/>
      <c r="G1050" s="462"/>
      <c r="H1050" s="390"/>
      <c r="I1050" s="402"/>
      <c r="J1050" s="241" t="b">
        <f>Age_Sex_BY[[#This Row],[Total Spending After Applying Truncation at the Member Level]]+Age_Sex_BY[[#This Row],[Total Dollars Excluded from Spending After Applying Truncation at the Member Level]]=Age_Sex_BY[[#This Row],[Total Spending before Truncation is Applied]]</f>
        <v>1</v>
      </c>
    </row>
    <row r="1051" spans="1:10" x14ac:dyDescent="0.25">
      <c r="A1051" s="393"/>
      <c r="B1051" s="387"/>
      <c r="C1051" s="388"/>
      <c r="D1051" s="458"/>
      <c r="E1051" s="389"/>
      <c r="F1051" s="390"/>
      <c r="G1051" s="462"/>
      <c r="H1051" s="390"/>
      <c r="I1051" s="402"/>
      <c r="J1051" s="241" t="b">
        <f>Age_Sex_BY[[#This Row],[Total Spending After Applying Truncation at the Member Level]]+Age_Sex_BY[[#This Row],[Total Dollars Excluded from Spending After Applying Truncation at the Member Level]]=Age_Sex_BY[[#This Row],[Total Spending before Truncation is Applied]]</f>
        <v>1</v>
      </c>
    </row>
    <row r="1052" spans="1:10" x14ac:dyDescent="0.25">
      <c r="A1052" s="393"/>
      <c r="B1052" s="387"/>
      <c r="C1052" s="388"/>
      <c r="D1052" s="458"/>
      <c r="E1052" s="389"/>
      <c r="F1052" s="390"/>
      <c r="G1052" s="462"/>
      <c r="H1052" s="390"/>
      <c r="I1052" s="402"/>
      <c r="J1052" s="241" t="b">
        <f>Age_Sex_BY[[#This Row],[Total Spending After Applying Truncation at the Member Level]]+Age_Sex_BY[[#This Row],[Total Dollars Excluded from Spending After Applying Truncation at the Member Level]]=Age_Sex_BY[[#This Row],[Total Spending before Truncation is Applied]]</f>
        <v>1</v>
      </c>
    </row>
    <row r="1053" spans="1:10" x14ac:dyDescent="0.25">
      <c r="A1053" s="393"/>
      <c r="B1053" s="387"/>
      <c r="C1053" s="388"/>
      <c r="D1053" s="458"/>
      <c r="E1053" s="389"/>
      <c r="F1053" s="390"/>
      <c r="G1053" s="462"/>
      <c r="H1053" s="390"/>
      <c r="I1053" s="402"/>
      <c r="J1053" s="241" t="b">
        <f>Age_Sex_BY[[#This Row],[Total Spending After Applying Truncation at the Member Level]]+Age_Sex_BY[[#This Row],[Total Dollars Excluded from Spending After Applying Truncation at the Member Level]]=Age_Sex_BY[[#This Row],[Total Spending before Truncation is Applied]]</f>
        <v>1</v>
      </c>
    </row>
    <row r="1054" spans="1:10" x14ac:dyDescent="0.25">
      <c r="A1054" s="393"/>
      <c r="B1054" s="387"/>
      <c r="C1054" s="388"/>
      <c r="D1054" s="458"/>
      <c r="E1054" s="389"/>
      <c r="F1054" s="390"/>
      <c r="G1054" s="462"/>
      <c r="H1054" s="390"/>
      <c r="I1054" s="402"/>
      <c r="J1054" s="241" t="b">
        <f>Age_Sex_BY[[#This Row],[Total Spending After Applying Truncation at the Member Level]]+Age_Sex_BY[[#This Row],[Total Dollars Excluded from Spending After Applying Truncation at the Member Level]]=Age_Sex_BY[[#This Row],[Total Spending before Truncation is Applied]]</f>
        <v>1</v>
      </c>
    </row>
    <row r="1055" spans="1:10" x14ac:dyDescent="0.25">
      <c r="A1055" s="393"/>
      <c r="B1055" s="387"/>
      <c r="C1055" s="388"/>
      <c r="D1055" s="458"/>
      <c r="E1055" s="389"/>
      <c r="F1055" s="390"/>
      <c r="G1055" s="462"/>
      <c r="H1055" s="390"/>
      <c r="I1055" s="402"/>
      <c r="J1055" s="241" t="b">
        <f>Age_Sex_BY[[#This Row],[Total Spending After Applying Truncation at the Member Level]]+Age_Sex_BY[[#This Row],[Total Dollars Excluded from Spending After Applying Truncation at the Member Level]]=Age_Sex_BY[[#This Row],[Total Spending before Truncation is Applied]]</f>
        <v>1</v>
      </c>
    </row>
    <row r="1056" spans="1:10" x14ac:dyDescent="0.25">
      <c r="A1056" s="393"/>
      <c r="B1056" s="387"/>
      <c r="C1056" s="388"/>
      <c r="D1056" s="458"/>
      <c r="E1056" s="389"/>
      <c r="F1056" s="390"/>
      <c r="G1056" s="462"/>
      <c r="H1056" s="390"/>
      <c r="I1056" s="402"/>
      <c r="J1056" s="241" t="b">
        <f>Age_Sex_BY[[#This Row],[Total Spending After Applying Truncation at the Member Level]]+Age_Sex_BY[[#This Row],[Total Dollars Excluded from Spending After Applying Truncation at the Member Level]]=Age_Sex_BY[[#This Row],[Total Spending before Truncation is Applied]]</f>
        <v>1</v>
      </c>
    </row>
    <row r="1057" spans="1:10" x14ac:dyDescent="0.25">
      <c r="A1057" s="393"/>
      <c r="B1057" s="387"/>
      <c r="C1057" s="388"/>
      <c r="D1057" s="458"/>
      <c r="E1057" s="389"/>
      <c r="F1057" s="390"/>
      <c r="G1057" s="462"/>
      <c r="H1057" s="390"/>
      <c r="I1057" s="402"/>
      <c r="J1057" s="241" t="b">
        <f>Age_Sex_BY[[#This Row],[Total Spending After Applying Truncation at the Member Level]]+Age_Sex_BY[[#This Row],[Total Dollars Excluded from Spending After Applying Truncation at the Member Level]]=Age_Sex_BY[[#This Row],[Total Spending before Truncation is Applied]]</f>
        <v>1</v>
      </c>
    </row>
    <row r="1058" spans="1:10" x14ac:dyDescent="0.25">
      <c r="A1058" s="393"/>
      <c r="B1058" s="387"/>
      <c r="C1058" s="388"/>
      <c r="D1058" s="458"/>
      <c r="E1058" s="389"/>
      <c r="F1058" s="390"/>
      <c r="G1058" s="462"/>
      <c r="H1058" s="390"/>
      <c r="I1058" s="402"/>
      <c r="J1058" s="241" t="b">
        <f>Age_Sex_BY[[#This Row],[Total Spending After Applying Truncation at the Member Level]]+Age_Sex_BY[[#This Row],[Total Dollars Excluded from Spending After Applying Truncation at the Member Level]]=Age_Sex_BY[[#This Row],[Total Spending before Truncation is Applied]]</f>
        <v>1</v>
      </c>
    </row>
    <row r="1059" spans="1:10" x14ac:dyDescent="0.25">
      <c r="A1059" s="393"/>
      <c r="B1059" s="387"/>
      <c r="C1059" s="388"/>
      <c r="D1059" s="458"/>
      <c r="E1059" s="389"/>
      <c r="F1059" s="390"/>
      <c r="G1059" s="462"/>
      <c r="H1059" s="390"/>
      <c r="I1059" s="402"/>
      <c r="J1059" s="241" t="b">
        <f>Age_Sex_BY[[#This Row],[Total Spending After Applying Truncation at the Member Level]]+Age_Sex_BY[[#This Row],[Total Dollars Excluded from Spending After Applying Truncation at the Member Level]]=Age_Sex_BY[[#This Row],[Total Spending before Truncation is Applied]]</f>
        <v>1</v>
      </c>
    </row>
    <row r="1060" spans="1:10" x14ac:dyDescent="0.25">
      <c r="A1060" s="393"/>
      <c r="B1060" s="387"/>
      <c r="C1060" s="388"/>
      <c r="D1060" s="458"/>
      <c r="E1060" s="389"/>
      <c r="F1060" s="390"/>
      <c r="G1060" s="462"/>
      <c r="H1060" s="390"/>
      <c r="I1060" s="402"/>
      <c r="J1060" s="241" t="b">
        <f>Age_Sex_BY[[#This Row],[Total Spending After Applying Truncation at the Member Level]]+Age_Sex_BY[[#This Row],[Total Dollars Excluded from Spending After Applying Truncation at the Member Level]]=Age_Sex_BY[[#This Row],[Total Spending before Truncation is Applied]]</f>
        <v>1</v>
      </c>
    </row>
    <row r="1061" spans="1:10" x14ac:dyDescent="0.25">
      <c r="A1061" s="393"/>
      <c r="B1061" s="387"/>
      <c r="C1061" s="388"/>
      <c r="D1061" s="458"/>
      <c r="E1061" s="389"/>
      <c r="F1061" s="390"/>
      <c r="G1061" s="462"/>
      <c r="H1061" s="390"/>
      <c r="I1061" s="402"/>
      <c r="J1061" s="241" t="b">
        <f>Age_Sex_BY[[#This Row],[Total Spending After Applying Truncation at the Member Level]]+Age_Sex_BY[[#This Row],[Total Dollars Excluded from Spending After Applying Truncation at the Member Level]]=Age_Sex_BY[[#This Row],[Total Spending before Truncation is Applied]]</f>
        <v>1</v>
      </c>
    </row>
    <row r="1062" spans="1:10" x14ac:dyDescent="0.25">
      <c r="A1062" s="393"/>
      <c r="B1062" s="387"/>
      <c r="C1062" s="388"/>
      <c r="D1062" s="458"/>
      <c r="E1062" s="389"/>
      <c r="F1062" s="390"/>
      <c r="G1062" s="462"/>
      <c r="H1062" s="390"/>
      <c r="I1062" s="402"/>
      <c r="J1062" s="241" t="b">
        <f>Age_Sex_BY[[#This Row],[Total Spending After Applying Truncation at the Member Level]]+Age_Sex_BY[[#This Row],[Total Dollars Excluded from Spending After Applying Truncation at the Member Level]]=Age_Sex_BY[[#This Row],[Total Spending before Truncation is Applied]]</f>
        <v>1</v>
      </c>
    </row>
    <row r="1063" spans="1:10" x14ac:dyDescent="0.25">
      <c r="A1063" s="393"/>
      <c r="B1063" s="387"/>
      <c r="C1063" s="388"/>
      <c r="D1063" s="458"/>
      <c r="E1063" s="389"/>
      <c r="F1063" s="390"/>
      <c r="G1063" s="462"/>
      <c r="H1063" s="390"/>
      <c r="I1063" s="402"/>
      <c r="J1063" s="241" t="b">
        <f>Age_Sex_BY[[#This Row],[Total Spending After Applying Truncation at the Member Level]]+Age_Sex_BY[[#This Row],[Total Dollars Excluded from Spending After Applying Truncation at the Member Level]]=Age_Sex_BY[[#This Row],[Total Spending before Truncation is Applied]]</f>
        <v>1</v>
      </c>
    </row>
    <row r="1064" spans="1:10" x14ac:dyDescent="0.25">
      <c r="A1064" s="393"/>
      <c r="B1064" s="387"/>
      <c r="C1064" s="388"/>
      <c r="D1064" s="458"/>
      <c r="E1064" s="389"/>
      <c r="F1064" s="390"/>
      <c r="G1064" s="462"/>
      <c r="H1064" s="390"/>
      <c r="I1064" s="402"/>
      <c r="J1064" s="241" t="b">
        <f>Age_Sex_BY[[#This Row],[Total Spending After Applying Truncation at the Member Level]]+Age_Sex_BY[[#This Row],[Total Dollars Excluded from Spending After Applying Truncation at the Member Level]]=Age_Sex_BY[[#This Row],[Total Spending before Truncation is Applied]]</f>
        <v>1</v>
      </c>
    </row>
    <row r="1065" spans="1:10" x14ac:dyDescent="0.25">
      <c r="A1065" s="393"/>
      <c r="B1065" s="387"/>
      <c r="C1065" s="388"/>
      <c r="D1065" s="458"/>
      <c r="E1065" s="389"/>
      <c r="F1065" s="390"/>
      <c r="G1065" s="462"/>
      <c r="H1065" s="390"/>
      <c r="I1065" s="402"/>
      <c r="J1065" s="241" t="b">
        <f>Age_Sex_BY[[#This Row],[Total Spending After Applying Truncation at the Member Level]]+Age_Sex_BY[[#This Row],[Total Dollars Excluded from Spending After Applying Truncation at the Member Level]]=Age_Sex_BY[[#This Row],[Total Spending before Truncation is Applied]]</f>
        <v>1</v>
      </c>
    </row>
    <row r="1066" spans="1:10" x14ac:dyDescent="0.25">
      <c r="A1066" s="393"/>
      <c r="B1066" s="387"/>
      <c r="C1066" s="388"/>
      <c r="D1066" s="458"/>
      <c r="E1066" s="389"/>
      <c r="F1066" s="390"/>
      <c r="G1066" s="462"/>
      <c r="H1066" s="390"/>
      <c r="I1066" s="402"/>
      <c r="J1066" s="241" t="b">
        <f>Age_Sex_BY[[#This Row],[Total Spending After Applying Truncation at the Member Level]]+Age_Sex_BY[[#This Row],[Total Dollars Excluded from Spending After Applying Truncation at the Member Level]]=Age_Sex_BY[[#This Row],[Total Spending before Truncation is Applied]]</f>
        <v>1</v>
      </c>
    </row>
    <row r="1067" spans="1:10" x14ac:dyDescent="0.25">
      <c r="A1067" s="393"/>
      <c r="B1067" s="387"/>
      <c r="C1067" s="388"/>
      <c r="D1067" s="458"/>
      <c r="E1067" s="389"/>
      <c r="F1067" s="390"/>
      <c r="G1067" s="462"/>
      <c r="H1067" s="390"/>
      <c r="I1067" s="402"/>
      <c r="J1067" s="241" t="b">
        <f>Age_Sex_BY[[#This Row],[Total Spending After Applying Truncation at the Member Level]]+Age_Sex_BY[[#This Row],[Total Dollars Excluded from Spending After Applying Truncation at the Member Level]]=Age_Sex_BY[[#This Row],[Total Spending before Truncation is Applied]]</f>
        <v>1</v>
      </c>
    </row>
    <row r="1068" spans="1:10" x14ac:dyDescent="0.25">
      <c r="A1068" s="393"/>
      <c r="B1068" s="387"/>
      <c r="C1068" s="388"/>
      <c r="D1068" s="458"/>
      <c r="E1068" s="389"/>
      <c r="F1068" s="390"/>
      <c r="G1068" s="462"/>
      <c r="H1068" s="390"/>
      <c r="I1068" s="402"/>
      <c r="J1068" s="241" t="b">
        <f>Age_Sex_BY[[#This Row],[Total Spending After Applying Truncation at the Member Level]]+Age_Sex_BY[[#This Row],[Total Dollars Excluded from Spending After Applying Truncation at the Member Level]]=Age_Sex_BY[[#This Row],[Total Spending before Truncation is Applied]]</f>
        <v>1</v>
      </c>
    </row>
    <row r="1069" spans="1:10" x14ac:dyDescent="0.25">
      <c r="A1069" s="393"/>
      <c r="B1069" s="387"/>
      <c r="C1069" s="388"/>
      <c r="D1069" s="458"/>
      <c r="E1069" s="389"/>
      <c r="F1069" s="390"/>
      <c r="G1069" s="462"/>
      <c r="H1069" s="390"/>
      <c r="I1069" s="402"/>
      <c r="J1069" s="241" t="b">
        <f>Age_Sex_BY[[#This Row],[Total Spending After Applying Truncation at the Member Level]]+Age_Sex_BY[[#This Row],[Total Dollars Excluded from Spending After Applying Truncation at the Member Level]]=Age_Sex_BY[[#This Row],[Total Spending before Truncation is Applied]]</f>
        <v>1</v>
      </c>
    </row>
    <row r="1070" spans="1:10" x14ac:dyDescent="0.25">
      <c r="A1070" s="393"/>
      <c r="B1070" s="387"/>
      <c r="C1070" s="388"/>
      <c r="D1070" s="458"/>
      <c r="E1070" s="389"/>
      <c r="F1070" s="390"/>
      <c r="G1070" s="462"/>
      <c r="H1070" s="390"/>
      <c r="I1070" s="402"/>
      <c r="J1070" s="241" t="b">
        <f>Age_Sex_BY[[#This Row],[Total Spending After Applying Truncation at the Member Level]]+Age_Sex_BY[[#This Row],[Total Dollars Excluded from Spending After Applying Truncation at the Member Level]]=Age_Sex_BY[[#This Row],[Total Spending before Truncation is Applied]]</f>
        <v>1</v>
      </c>
    </row>
    <row r="1071" spans="1:10" x14ac:dyDescent="0.25">
      <c r="A1071" s="393"/>
      <c r="B1071" s="387"/>
      <c r="C1071" s="388"/>
      <c r="D1071" s="458"/>
      <c r="E1071" s="389"/>
      <c r="F1071" s="390"/>
      <c r="G1071" s="462"/>
      <c r="H1071" s="390"/>
      <c r="I1071" s="402"/>
      <c r="J1071" s="241" t="b">
        <f>Age_Sex_BY[[#This Row],[Total Spending After Applying Truncation at the Member Level]]+Age_Sex_BY[[#This Row],[Total Dollars Excluded from Spending After Applying Truncation at the Member Level]]=Age_Sex_BY[[#This Row],[Total Spending before Truncation is Applied]]</f>
        <v>1</v>
      </c>
    </row>
    <row r="1072" spans="1:10" x14ac:dyDescent="0.25">
      <c r="A1072" s="393"/>
      <c r="B1072" s="387"/>
      <c r="C1072" s="388"/>
      <c r="D1072" s="458"/>
      <c r="E1072" s="389"/>
      <c r="F1072" s="390"/>
      <c r="G1072" s="462"/>
      <c r="H1072" s="390"/>
      <c r="I1072" s="402"/>
      <c r="J1072" s="241" t="b">
        <f>Age_Sex_BY[[#This Row],[Total Spending After Applying Truncation at the Member Level]]+Age_Sex_BY[[#This Row],[Total Dollars Excluded from Spending After Applying Truncation at the Member Level]]=Age_Sex_BY[[#This Row],[Total Spending before Truncation is Applied]]</f>
        <v>1</v>
      </c>
    </row>
    <row r="1073" spans="1:10" x14ac:dyDescent="0.25">
      <c r="A1073" s="393"/>
      <c r="B1073" s="387"/>
      <c r="C1073" s="388"/>
      <c r="D1073" s="458"/>
      <c r="E1073" s="389"/>
      <c r="F1073" s="390"/>
      <c r="G1073" s="462"/>
      <c r="H1073" s="390"/>
      <c r="I1073" s="402"/>
      <c r="J1073" s="241" t="b">
        <f>Age_Sex_BY[[#This Row],[Total Spending After Applying Truncation at the Member Level]]+Age_Sex_BY[[#This Row],[Total Dollars Excluded from Spending After Applying Truncation at the Member Level]]=Age_Sex_BY[[#This Row],[Total Spending before Truncation is Applied]]</f>
        <v>1</v>
      </c>
    </row>
    <row r="1074" spans="1:10" x14ac:dyDescent="0.25">
      <c r="A1074" s="393"/>
      <c r="B1074" s="387"/>
      <c r="C1074" s="388"/>
      <c r="D1074" s="458"/>
      <c r="E1074" s="389"/>
      <c r="F1074" s="390"/>
      <c r="G1074" s="462"/>
      <c r="H1074" s="390"/>
      <c r="I1074" s="402"/>
      <c r="J1074" s="241" t="b">
        <f>Age_Sex_BY[[#This Row],[Total Spending After Applying Truncation at the Member Level]]+Age_Sex_BY[[#This Row],[Total Dollars Excluded from Spending After Applying Truncation at the Member Level]]=Age_Sex_BY[[#This Row],[Total Spending before Truncation is Applied]]</f>
        <v>1</v>
      </c>
    </row>
    <row r="1075" spans="1:10" x14ac:dyDescent="0.25">
      <c r="A1075" s="393"/>
      <c r="B1075" s="387"/>
      <c r="C1075" s="388"/>
      <c r="D1075" s="458"/>
      <c r="E1075" s="389"/>
      <c r="F1075" s="390"/>
      <c r="G1075" s="462"/>
      <c r="H1075" s="390"/>
      <c r="I1075" s="402"/>
      <c r="J1075" s="241" t="b">
        <f>Age_Sex_BY[[#This Row],[Total Spending After Applying Truncation at the Member Level]]+Age_Sex_BY[[#This Row],[Total Dollars Excluded from Spending After Applying Truncation at the Member Level]]=Age_Sex_BY[[#This Row],[Total Spending before Truncation is Applied]]</f>
        <v>1</v>
      </c>
    </row>
    <row r="1076" spans="1:10" x14ac:dyDescent="0.25">
      <c r="A1076" s="393"/>
      <c r="B1076" s="387"/>
      <c r="C1076" s="388"/>
      <c r="D1076" s="458"/>
      <c r="E1076" s="389"/>
      <c r="F1076" s="390"/>
      <c r="G1076" s="462"/>
      <c r="H1076" s="390"/>
      <c r="I1076" s="402"/>
      <c r="J1076" s="241" t="b">
        <f>Age_Sex_BY[[#This Row],[Total Spending After Applying Truncation at the Member Level]]+Age_Sex_BY[[#This Row],[Total Dollars Excluded from Spending After Applying Truncation at the Member Level]]=Age_Sex_BY[[#This Row],[Total Spending before Truncation is Applied]]</f>
        <v>1</v>
      </c>
    </row>
    <row r="1077" spans="1:10" x14ac:dyDescent="0.25">
      <c r="A1077" s="393"/>
      <c r="B1077" s="387"/>
      <c r="C1077" s="388"/>
      <c r="D1077" s="458"/>
      <c r="E1077" s="389"/>
      <c r="F1077" s="390"/>
      <c r="G1077" s="462"/>
      <c r="H1077" s="390"/>
      <c r="I1077" s="402"/>
      <c r="J1077" s="241" t="b">
        <f>Age_Sex_BY[[#This Row],[Total Spending After Applying Truncation at the Member Level]]+Age_Sex_BY[[#This Row],[Total Dollars Excluded from Spending After Applying Truncation at the Member Level]]=Age_Sex_BY[[#This Row],[Total Spending before Truncation is Applied]]</f>
        <v>1</v>
      </c>
    </row>
    <row r="1078" spans="1:10" x14ac:dyDescent="0.25">
      <c r="A1078" s="393"/>
      <c r="B1078" s="387"/>
      <c r="C1078" s="388"/>
      <c r="D1078" s="458"/>
      <c r="E1078" s="389"/>
      <c r="F1078" s="390"/>
      <c r="G1078" s="462"/>
      <c r="H1078" s="390"/>
      <c r="I1078" s="402"/>
      <c r="J1078" s="241" t="b">
        <f>Age_Sex_BY[[#This Row],[Total Spending After Applying Truncation at the Member Level]]+Age_Sex_BY[[#This Row],[Total Dollars Excluded from Spending After Applying Truncation at the Member Level]]=Age_Sex_BY[[#This Row],[Total Spending before Truncation is Applied]]</f>
        <v>1</v>
      </c>
    </row>
    <row r="1079" spans="1:10" x14ac:dyDescent="0.25">
      <c r="A1079" s="393"/>
      <c r="B1079" s="387"/>
      <c r="C1079" s="388"/>
      <c r="D1079" s="458"/>
      <c r="E1079" s="389"/>
      <c r="F1079" s="390"/>
      <c r="G1079" s="462"/>
      <c r="H1079" s="390"/>
      <c r="I1079" s="402"/>
      <c r="J1079" s="241" t="b">
        <f>Age_Sex_BY[[#This Row],[Total Spending After Applying Truncation at the Member Level]]+Age_Sex_BY[[#This Row],[Total Dollars Excluded from Spending After Applying Truncation at the Member Level]]=Age_Sex_BY[[#This Row],[Total Spending before Truncation is Applied]]</f>
        <v>1</v>
      </c>
    </row>
    <row r="1080" spans="1:10" x14ac:dyDescent="0.25">
      <c r="A1080" s="393"/>
      <c r="B1080" s="387"/>
      <c r="C1080" s="388"/>
      <c r="D1080" s="458"/>
      <c r="E1080" s="389"/>
      <c r="F1080" s="390"/>
      <c r="G1080" s="462"/>
      <c r="H1080" s="390"/>
      <c r="I1080" s="402"/>
      <c r="J1080" s="241" t="b">
        <f>Age_Sex_BY[[#This Row],[Total Spending After Applying Truncation at the Member Level]]+Age_Sex_BY[[#This Row],[Total Dollars Excluded from Spending After Applying Truncation at the Member Level]]=Age_Sex_BY[[#This Row],[Total Spending before Truncation is Applied]]</f>
        <v>1</v>
      </c>
    </row>
    <row r="1081" spans="1:10" x14ac:dyDescent="0.25">
      <c r="A1081" s="393"/>
      <c r="B1081" s="387"/>
      <c r="C1081" s="388"/>
      <c r="D1081" s="458"/>
      <c r="E1081" s="389"/>
      <c r="F1081" s="390"/>
      <c r="G1081" s="462"/>
      <c r="H1081" s="390"/>
      <c r="I1081" s="402"/>
      <c r="J1081" s="241" t="b">
        <f>Age_Sex_BY[[#This Row],[Total Spending After Applying Truncation at the Member Level]]+Age_Sex_BY[[#This Row],[Total Dollars Excluded from Spending After Applying Truncation at the Member Level]]=Age_Sex_BY[[#This Row],[Total Spending before Truncation is Applied]]</f>
        <v>1</v>
      </c>
    </row>
    <row r="1082" spans="1:10" x14ac:dyDescent="0.25">
      <c r="A1082" s="393"/>
      <c r="B1082" s="387"/>
      <c r="C1082" s="388"/>
      <c r="D1082" s="458"/>
      <c r="E1082" s="389"/>
      <c r="F1082" s="390"/>
      <c r="G1082" s="462"/>
      <c r="H1082" s="390"/>
      <c r="I1082" s="402"/>
      <c r="J1082" s="241" t="b">
        <f>Age_Sex_BY[[#This Row],[Total Spending After Applying Truncation at the Member Level]]+Age_Sex_BY[[#This Row],[Total Dollars Excluded from Spending After Applying Truncation at the Member Level]]=Age_Sex_BY[[#This Row],[Total Spending before Truncation is Applied]]</f>
        <v>1</v>
      </c>
    </row>
    <row r="1083" spans="1:10" x14ac:dyDescent="0.25">
      <c r="A1083" s="393"/>
      <c r="B1083" s="387"/>
      <c r="C1083" s="388"/>
      <c r="D1083" s="458"/>
      <c r="E1083" s="389"/>
      <c r="F1083" s="390"/>
      <c r="G1083" s="462"/>
      <c r="H1083" s="390"/>
      <c r="I1083" s="402"/>
      <c r="J1083" s="241" t="b">
        <f>Age_Sex_BY[[#This Row],[Total Spending After Applying Truncation at the Member Level]]+Age_Sex_BY[[#This Row],[Total Dollars Excluded from Spending After Applying Truncation at the Member Level]]=Age_Sex_BY[[#This Row],[Total Spending before Truncation is Applied]]</f>
        <v>1</v>
      </c>
    </row>
    <row r="1084" spans="1:10" x14ac:dyDescent="0.25">
      <c r="A1084" s="393"/>
      <c r="B1084" s="387"/>
      <c r="C1084" s="388"/>
      <c r="D1084" s="458"/>
      <c r="E1084" s="389"/>
      <c r="F1084" s="390"/>
      <c r="G1084" s="462"/>
      <c r="H1084" s="390"/>
      <c r="I1084" s="402"/>
      <c r="J1084" s="241" t="b">
        <f>Age_Sex_BY[[#This Row],[Total Spending After Applying Truncation at the Member Level]]+Age_Sex_BY[[#This Row],[Total Dollars Excluded from Spending After Applying Truncation at the Member Level]]=Age_Sex_BY[[#This Row],[Total Spending before Truncation is Applied]]</f>
        <v>1</v>
      </c>
    </row>
    <row r="1085" spans="1:10" x14ac:dyDescent="0.25">
      <c r="A1085" s="393"/>
      <c r="B1085" s="387"/>
      <c r="C1085" s="388"/>
      <c r="D1085" s="458"/>
      <c r="E1085" s="389"/>
      <c r="F1085" s="390"/>
      <c r="G1085" s="462"/>
      <c r="H1085" s="390"/>
      <c r="I1085" s="402"/>
      <c r="J1085" s="241" t="b">
        <f>Age_Sex_BY[[#This Row],[Total Spending After Applying Truncation at the Member Level]]+Age_Sex_BY[[#This Row],[Total Dollars Excluded from Spending After Applying Truncation at the Member Level]]=Age_Sex_BY[[#This Row],[Total Spending before Truncation is Applied]]</f>
        <v>1</v>
      </c>
    </row>
    <row r="1086" spans="1:10" x14ac:dyDescent="0.25">
      <c r="A1086" s="393"/>
      <c r="B1086" s="387"/>
      <c r="C1086" s="388"/>
      <c r="D1086" s="458"/>
      <c r="E1086" s="389"/>
      <c r="F1086" s="390"/>
      <c r="G1086" s="462"/>
      <c r="H1086" s="390"/>
      <c r="I1086" s="402"/>
      <c r="J1086" s="241" t="b">
        <f>Age_Sex_BY[[#This Row],[Total Spending After Applying Truncation at the Member Level]]+Age_Sex_BY[[#This Row],[Total Dollars Excluded from Spending After Applying Truncation at the Member Level]]=Age_Sex_BY[[#This Row],[Total Spending before Truncation is Applied]]</f>
        <v>1</v>
      </c>
    </row>
    <row r="1087" spans="1:10" x14ac:dyDescent="0.25">
      <c r="A1087" s="393"/>
      <c r="B1087" s="387"/>
      <c r="C1087" s="388"/>
      <c r="D1087" s="458"/>
      <c r="E1087" s="389"/>
      <c r="F1087" s="390"/>
      <c r="G1087" s="462"/>
      <c r="H1087" s="390"/>
      <c r="I1087" s="402"/>
      <c r="J1087" s="241" t="b">
        <f>Age_Sex_BY[[#This Row],[Total Spending After Applying Truncation at the Member Level]]+Age_Sex_BY[[#This Row],[Total Dollars Excluded from Spending After Applying Truncation at the Member Level]]=Age_Sex_BY[[#This Row],[Total Spending before Truncation is Applied]]</f>
        <v>1</v>
      </c>
    </row>
    <row r="1088" spans="1:10" x14ac:dyDescent="0.25">
      <c r="A1088" s="393"/>
      <c r="B1088" s="387"/>
      <c r="C1088" s="388"/>
      <c r="D1088" s="458"/>
      <c r="E1088" s="389"/>
      <c r="F1088" s="390"/>
      <c r="G1088" s="462"/>
      <c r="H1088" s="390"/>
      <c r="I1088" s="402"/>
      <c r="J1088" s="241" t="b">
        <f>Age_Sex_BY[[#This Row],[Total Spending After Applying Truncation at the Member Level]]+Age_Sex_BY[[#This Row],[Total Dollars Excluded from Spending After Applying Truncation at the Member Level]]=Age_Sex_BY[[#This Row],[Total Spending before Truncation is Applied]]</f>
        <v>1</v>
      </c>
    </row>
    <row r="1089" spans="1:10" x14ac:dyDescent="0.25">
      <c r="A1089" s="393"/>
      <c r="B1089" s="387"/>
      <c r="C1089" s="388"/>
      <c r="D1089" s="458"/>
      <c r="E1089" s="389"/>
      <c r="F1089" s="390"/>
      <c r="G1089" s="462"/>
      <c r="H1089" s="390"/>
      <c r="I1089" s="402"/>
      <c r="J1089" s="241" t="b">
        <f>Age_Sex_BY[[#This Row],[Total Spending After Applying Truncation at the Member Level]]+Age_Sex_BY[[#This Row],[Total Dollars Excluded from Spending After Applying Truncation at the Member Level]]=Age_Sex_BY[[#This Row],[Total Spending before Truncation is Applied]]</f>
        <v>1</v>
      </c>
    </row>
    <row r="1090" spans="1:10" x14ac:dyDescent="0.25">
      <c r="A1090" s="393"/>
      <c r="B1090" s="387"/>
      <c r="C1090" s="388"/>
      <c r="D1090" s="458"/>
      <c r="E1090" s="389"/>
      <c r="F1090" s="390"/>
      <c r="G1090" s="462"/>
      <c r="H1090" s="390"/>
      <c r="I1090" s="402"/>
      <c r="J1090" s="241" t="b">
        <f>Age_Sex_BY[[#This Row],[Total Spending After Applying Truncation at the Member Level]]+Age_Sex_BY[[#This Row],[Total Dollars Excluded from Spending After Applying Truncation at the Member Level]]=Age_Sex_BY[[#This Row],[Total Spending before Truncation is Applied]]</f>
        <v>1</v>
      </c>
    </row>
    <row r="1091" spans="1:10" x14ac:dyDescent="0.25">
      <c r="A1091" s="393"/>
      <c r="B1091" s="387"/>
      <c r="C1091" s="388"/>
      <c r="D1091" s="458"/>
      <c r="E1091" s="389"/>
      <c r="F1091" s="390"/>
      <c r="G1091" s="462"/>
      <c r="H1091" s="390"/>
      <c r="I1091" s="402"/>
      <c r="J1091" s="241" t="b">
        <f>Age_Sex_BY[[#This Row],[Total Spending After Applying Truncation at the Member Level]]+Age_Sex_BY[[#This Row],[Total Dollars Excluded from Spending After Applying Truncation at the Member Level]]=Age_Sex_BY[[#This Row],[Total Spending before Truncation is Applied]]</f>
        <v>1</v>
      </c>
    </row>
    <row r="1092" spans="1:10" x14ac:dyDescent="0.25">
      <c r="A1092" s="393"/>
      <c r="B1092" s="387"/>
      <c r="C1092" s="388"/>
      <c r="D1092" s="458"/>
      <c r="E1092" s="389"/>
      <c r="F1092" s="390"/>
      <c r="G1092" s="462"/>
      <c r="H1092" s="390"/>
      <c r="I1092" s="402"/>
      <c r="J1092" s="241" t="b">
        <f>Age_Sex_BY[[#This Row],[Total Spending After Applying Truncation at the Member Level]]+Age_Sex_BY[[#This Row],[Total Dollars Excluded from Spending After Applying Truncation at the Member Level]]=Age_Sex_BY[[#This Row],[Total Spending before Truncation is Applied]]</f>
        <v>1</v>
      </c>
    </row>
    <row r="1093" spans="1:10" x14ac:dyDescent="0.25">
      <c r="A1093" s="393"/>
      <c r="B1093" s="387"/>
      <c r="C1093" s="388"/>
      <c r="D1093" s="458"/>
      <c r="E1093" s="389"/>
      <c r="F1093" s="390"/>
      <c r="G1093" s="462"/>
      <c r="H1093" s="390"/>
      <c r="I1093" s="402"/>
      <c r="J1093" s="241" t="b">
        <f>Age_Sex_BY[[#This Row],[Total Spending After Applying Truncation at the Member Level]]+Age_Sex_BY[[#This Row],[Total Dollars Excluded from Spending After Applying Truncation at the Member Level]]=Age_Sex_BY[[#This Row],[Total Spending before Truncation is Applied]]</f>
        <v>1</v>
      </c>
    </row>
    <row r="1094" spans="1:10" x14ac:dyDescent="0.25">
      <c r="A1094" s="393"/>
      <c r="B1094" s="387"/>
      <c r="C1094" s="388"/>
      <c r="D1094" s="458"/>
      <c r="E1094" s="389"/>
      <c r="F1094" s="390"/>
      <c r="G1094" s="462"/>
      <c r="H1094" s="390"/>
      <c r="I1094" s="402"/>
      <c r="J1094" s="241" t="b">
        <f>Age_Sex_BY[[#This Row],[Total Spending After Applying Truncation at the Member Level]]+Age_Sex_BY[[#This Row],[Total Dollars Excluded from Spending After Applying Truncation at the Member Level]]=Age_Sex_BY[[#This Row],[Total Spending before Truncation is Applied]]</f>
        <v>1</v>
      </c>
    </row>
    <row r="1095" spans="1:10" x14ac:dyDescent="0.25">
      <c r="A1095" s="393"/>
      <c r="B1095" s="387"/>
      <c r="C1095" s="388"/>
      <c r="D1095" s="458"/>
      <c r="E1095" s="389"/>
      <c r="F1095" s="390"/>
      <c r="G1095" s="462"/>
      <c r="H1095" s="390"/>
      <c r="I1095" s="402"/>
      <c r="J1095" s="241" t="b">
        <f>Age_Sex_BY[[#This Row],[Total Spending After Applying Truncation at the Member Level]]+Age_Sex_BY[[#This Row],[Total Dollars Excluded from Spending After Applying Truncation at the Member Level]]=Age_Sex_BY[[#This Row],[Total Spending before Truncation is Applied]]</f>
        <v>1</v>
      </c>
    </row>
    <row r="1096" spans="1:10" x14ac:dyDescent="0.25">
      <c r="A1096" s="393"/>
      <c r="B1096" s="387"/>
      <c r="C1096" s="388"/>
      <c r="D1096" s="458"/>
      <c r="E1096" s="389"/>
      <c r="F1096" s="390"/>
      <c r="G1096" s="462"/>
      <c r="H1096" s="390"/>
      <c r="I1096" s="402"/>
      <c r="J1096" s="241" t="b">
        <f>Age_Sex_BY[[#This Row],[Total Spending After Applying Truncation at the Member Level]]+Age_Sex_BY[[#This Row],[Total Dollars Excluded from Spending After Applying Truncation at the Member Level]]=Age_Sex_BY[[#This Row],[Total Spending before Truncation is Applied]]</f>
        <v>1</v>
      </c>
    </row>
    <row r="1097" spans="1:10" x14ac:dyDescent="0.25">
      <c r="A1097" s="393"/>
      <c r="B1097" s="387"/>
      <c r="C1097" s="388"/>
      <c r="D1097" s="458"/>
      <c r="E1097" s="389"/>
      <c r="F1097" s="390"/>
      <c r="G1097" s="462"/>
      <c r="H1097" s="390"/>
      <c r="I1097" s="402"/>
      <c r="J1097" s="241" t="b">
        <f>Age_Sex_BY[[#This Row],[Total Spending After Applying Truncation at the Member Level]]+Age_Sex_BY[[#This Row],[Total Dollars Excluded from Spending After Applying Truncation at the Member Level]]=Age_Sex_BY[[#This Row],[Total Spending before Truncation is Applied]]</f>
        <v>1</v>
      </c>
    </row>
    <row r="1098" spans="1:10" x14ac:dyDescent="0.25">
      <c r="A1098" s="393"/>
      <c r="B1098" s="387"/>
      <c r="C1098" s="388"/>
      <c r="D1098" s="458"/>
      <c r="E1098" s="389"/>
      <c r="F1098" s="390"/>
      <c r="G1098" s="462"/>
      <c r="H1098" s="390"/>
      <c r="I1098" s="402"/>
      <c r="J1098" s="241" t="b">
        <f>Age_Sex_BY[[#This Row],[Total Spending After Applying Truncation at the Member Level]]+Age_Sex_BY[[#This Row],[Total Dollars Excluded from Spending After Applying Truncation at the Member Level]]=Age_Sex_BY[[#This Row],[Total Spending before Truncation is Applied]]</f>
        <v>1</v>
      </c>
    </row>
    <row r="1099" spans="1:10" x14ac:dyDescent="0.25">
      <c r="A1099" s="393"/>
      <c r="B1099" s="387"/>
      <c r="C1099" s="388"/>
      <c r="D1099" s="458"/>
      <c r="E1099" s="389"/>
      <c r="F1099" s="390"/>
      <c r="G1099" s="462"/>
      <c r="H1099" s="390"/>
      <c r="I1099" s="402"/>
      <c r="J1099" s="241" t="b">
        <f>Age_Sex_BY[[#This Row],[Total Spending After Applying Truncation at the Member Level]]+Age_Sex_BY[[#This Row],[Total Dollars Excluded from Spending After Applying Truncation at the Member Level]]=Age_Sex_BY[[#This Row],[Total Spending before Truncation is Applied]]</f>
        <v>1</v>
      </c>
    </row>
    <row r="1100" spans="1:10" x14ac:dyDescent="0.25">
      <c r="A1100" s="393"/>
      <c r="B1100" s="387"/>
      <c r="C1100" s="388"/>
      <c r="D1100" s="458"/>
      <c r="E1100" s="389"/>
      <c r="F1100" s="390"/>
      <c r="G1100" s="462"/>
      <c r="H1100" s="390"/>
      <c r="I1100" s="402"/>
      <c r="J1100" s="241" t="b">
        <f>Age_Sex_BY[[#This Row],[Total Spending After Applying Truncation at the Member Level]]+Age_Sex_BY[[#This Row],[Total Dollars Excluded from Spending After Applying Truncation at the Member Level]]=Age_Sex_BY[[#This Row],[Total Spending before Truncation is Applied]]</f>
        <v>1</v>
      </c>
    </row>
    <row r="1101" spans="1:10" x14ac:dyDescent="0.25">
      <c r="A1101" s="393"/>
      <c r="B1101" s="387"/>
      <c r="C1101" s="388"/>
      <c r="D1101" s="458"/>
      <c r="E1101" s="389"/>
      <c r="F1101" s="390"/>
      <c r="G1101" s="462"/>
      <c r="H1101" s="390"/>
      <c r="I1101" s="402"/>
      <c r="J1101" s="241" t="b">
        <f>Age_Sex_BY[[#This Row],[Total Spending After Applying Truncation at the Member Level]]+Age_Sex_BY[[#This Row],[Total Dollars Excluded from Spending After Applying Truncation at the Member Level]]=Age_Sex_BY[[#This Row],[Total Spending before Truncation is Applied]]</f>
        <v>1</v>
      </c>
    </row>
    <row r="1102" spans="1:10" x14ac:dyDescent="0.25">
      <c r="A1102" s="393"/>
      <c r="B1102" s="387"/>
      <c r="C1102" s="388"/>
      <c r="D1102" s="458"/>
      <c r="E1102" s="389"/>
      <c r="F1102" s="390"/>
      <c r="G1102" s="462"/>
      <c r="H1102" s="390"/>
      <c r="I1102" s="402"/>
      <c r="J1102" s="241" t="b">
        <f>Age_Sex_BY[[#This Row],[Total Spending After Applying Truncation at the Member Level]]+Age_Sex_BY[[#This Row],[Total Dollars Excluded from Spending After Applying Truncation at the Member Level]]=Age_Sex_BY[[#This Row],[Total Spending before Truncation is Applied]]</f>
        <v>1</v>
      </c>
    </row>
    <row r="1103" spans="1:10" x14ac:dyDescent="0.25">
      <c r="A1103" s="393"/>
      <c r="B1103" s="387"/>
      <c r="C1103" s="388"/>
      <c r="D1103" s="458"/>
      <c r="E1103" s="389"/>
      <c r="F1103" s="390"/>
      <c r="G1103" s="462"/>
      <c r="H1103" s="390"/>
      <c r="I1103" s="402"/>
      <c r="J1103" s="241" t="b">
        <f>Age_Sex_BY[[#This Row],[Total Spending After Applying Truncation at the Member Level]]+Age_Sex_BY[[#This Row],[Total Dollars Excluded from Spending After Applying Truncation at the Member Level]]=Age_Sex_BY[[#This Row],[Total Spending before Truncation is Applied]]</f>
        <v>1</v>
      </c>
    </row>
    <row r="1104" spans="1:10" x14ac:dyDescent="0.25">
      <c r="A1104" s="393"/>
      <c r="B1104" s="387"/>
      <c r="C1104" s="388"/>
      <c r="D1104" s="458"/>
      <c r="E1104" s="389"/>
      <c r="F1104" s="390"/>
      <c r="G1104" s="462"/>
      <c r="H1104" s="390"/>
      <c r="I1104" s="402"/>
      <c r="J1104" s="241" t="b">
        <f>Age_Sex_BY[[#This Row],[Total Spending After Applying Truncation at the Member Level]]+Age_Sex_BY[[#This Row],[Total Dollars Excluded from Spending After Applying Truncation at the Member Level]]=Age_Sex_BY[[#This Row],[Total Spending before Truncation is Applied]]</f>
        <v>1</v>
      </c>
    </row>
    <row r="1105" spans="1:10" x14ac:dyDescent="0.25">
      <c r="A1105" s="393"/>
      <c r="B1105" s="387"/>
      <c r="C1105" s="388"/>
      <c r="D1105" s="458"/>
      <c r="E1105" s="389"/>
      <c r="F1105" s="390"/>
      <c r="G1105" s="462"/>
      <c r="H1105" s="390"/>
      <c r="I1105" s="402"/>
      <c r="J1105" s="241" t="b">
        <f>Age_Sex_BY[[#This Row],[Total Spending After Applying Truncation at the Member Level]]+Age_Sex_BY[[#This Row],[Total Dollars Excluded from Spending After Applying Truncation at the Member Level]]=Age_Sex_BY[[#This Row],[Total Spending before Truncation is Applied]]</f>
        <v>1</v>
      </c>
    </row>
    <row r="1106" spans="1:10" x14ac:dyDescent="0.25">
      <c r="A1106" s="394"/>
      <c r="B1106" s="395"/>
      <c r="C1106" s="396"/>
      <c r="D1106" s="459"/>
      <c r="E1106" s="397"/>
      <c r="F1106" s="398"/>
      <c r="G1106" s="463"/>
      <c r="H1106" s="398"/>
      <c r="I1106" s="403"/>
      <c r="J1106" s="241" t="b">
        <f>Age_Sex_BY[[#This Row],[Total Spending After Applying Truncation at the Member Level]]+Age_Sex_BY[[#This Row],[Total Dollars Excluded from Spending After Applying Truncation at the Member Level]]=Age_Sex_BY[[#This Row],[Total Spending before Truncation is Applied]]</f>
        <v>1</v>
      </c>
    </row>
    <row r="1107" spans="1:10" x14ac:dyDescent="0.25">
      <c r="A1107" s="393"/>
      <c r="B1107" s="387"/>
      <c r="C1107" s="388"/>
      <c r="D1107" s="458"/>
      <c r="E1107" s="389"/>
      <c r="F1107" s="390"/>
      <c r="G1107" s="462"/>
      <c r="H1107" s="390"/>
      <c r="I1107" s="402"/>
      <c r="J1107" s="241" t="b">
        <f>Age_Sex_BY[[#This Row],[Total Spending After Applying Truncation at the Member Level]]+Age_Sex_BY[[#This Row],[Total Dollars Excluded from Spending After Applying Truncation at the Member Level]]=Age_Sex_BY[[#This Row],[Total Spending before Truncation is Applied]]</f>
        <v>1</v>
      </c>
    </row>
    <row r="1108" spans="1:10" x14ac:dyDescent="0.25">
      <c r="A1108" s="394"/>
      <c r="B1108" s="395"/>
      <c r="C1108" s="396"/>
      <c r="D1108" s="459"/>
      <c r="E1108" s="397"/>
      <c r="F1108" s="398"/>
      <c r="G1108" s="463"/>
      <c r="H1108" s="398"/>
      <c r="I1108" s="403"/>
      <c r="J1108" s="241" t="b">
        <f>Age_Sex_BY[[#This Row],[Total Spending After Applying Truncation at the Member Level]]+Age_Sex_BY[[#This Row],[Total Dollars Excluded from Spending After Applying Truncation at the Member Level]]=Age_Sex_BY[[#This Row],[Total Spending before Truncation is Applied]]</f>
        <v>1</v>
      </c>
    </row>
    <row r="1109" spans="1:10" x14ac:dyDescent="0.25">
      <c r="A1109" s="393"/>
      <c r="B1109" s="387"/>
      <c r="C1109" s="388"/>
      <c r="D1109" s="458"/>
      <c r="E1109" s="389"/>
      <c r="F1109" s="390"/>
      <c r="G1109" s="462"/>
      <c r="H1109" s="390"/>
      <c r="I1109" s="402"/>
      <c r="J1109" s="241" t="b">
        <f>Age_Sex_BY[[#This Row],[Total Spending After Applying Truncation at the Member Level]]+Age_Sex_BY[[#This Row],[Total Dollars Excluded from Spending After Applying Truncation at the Member Level]]=Age_Sex_BY[[#This Row],[Total Spending before Truncation is Applied]]</f>
        <v>1</v>
      </c>
    </row>
    <row r="1110" spans="1:10" x14ac:dyDescent="0.25">
      <c r="A1110" s="394"/>
      <c r="B1110" s="395"/>
      <c r="C1110" s="396"/>
      <c r="D1110" s="459"/>
      <c r="E1110" s="397"/>
      <c r="F1110" s="398"/>
      <c r="G1110" s="463"/>
      <c r="H1110" s="398"/>
      <c r="I1110" s="403"/>
      <c r="J1110" s="241" t="b">
        <f>Age_Sex_BY[[#This Row],[Total Spending After Applying Truncation at the Member Level]]+Age_Sex_BY[[#This Row],[Total Dollars Excluded from Spending After Applying Truncation at the Member Level]]=Age_Sex_BY[[#This Row],[Total Spending before Truncation is Applied]]</f>
        <v>1</v>
      </c>
    </row>
    <row r="1111" spans="1:10" x14ac:dyDescent="0.25">
      <c r="A1111" s="393"/>
      <c r="B1111" s="387"/>
      <c r="C1111" s="388"/>
      <c r="D1111" s="458"/>
      <c r="E1111" s="389"/>
      <c r="F1111" s="390"/>
      <c r="G1111" s="462"/>
      <c r="H1111" s="390"/>
      <c r="I1111" s="402"/>
      <c r="J1111" s="241" t="b">
        <f>Age_Sex_BY[[#This Row],[Total Spending After Applying Truncation at the Member Level]]+Age_Sex_BY[[#This Row],[Total Dollars Excluded from Spending After Applying Truncation at the Member Level]]=Age_Sex_BY[[#This Row],[Total Spending before Truncation is Applied]]</f>
        <v>1</v>
      </c>
    </row>
    <row r="1112" spans="1:10" x14ac:dyDescent="0.25">
      <c r="A1112" s="394"/>
      <c r="B1112" s="395"/>
      <c r="C1112" s="396"/>
      <c r="D1112" s="459"/>
      <c r="E1112" s="397"/>
      <c r="F1112" s="398"/>
      <c r="G1112" s="463"/>
      <c r="H1112" s="398"/>
      <c r="I1112" s="403"/>
      <c r="J1112" s="241" t="b">
        <f>Age_Sex_BY[[#This Row],[Total Spending After Applying Truncation at the Member Level]]+Age_Sex_BY[[#This Row],[Total Dollars Excluded from Spending After Applying Truncation at the Member Level]]=Age_Sex_BY[[#This Row],[Total Spending before Truncation is Applied]]</f>
        <v>1</v>
      </c>
    </row>
    <row r="1113" spans="1:10" x14ac:dyDescent="0.25">
      <c r="A1113" s="393"/>
      <c r="B1113" s="387"/>
      <c r="C1113" s="388"/>
      <c r="D1113" s="458"/>
      <c r="E1113" s="389"/>
      <c r="F1113" s="390"/>
      <c r="G1113" s="462"/>
      <c r="H1113" s="390"/>
      <c r="I1113" s="402"/>
      <c r="J1113" s="241" t="b">
        <f>Age_Sex_BY[[#This Row],[Total Spending After Applying Truncation at the Member Level]]+Age_Sex_BY[[#This Row],[Total Dollars Excluded from Spending After Applying Truncation at the Member Level]]=Age_Sex_BY[[#This Row],[Total Spending before Truncation is Applied]]</f>
        <v>1</v>
      </c>
    </row>
    <row r="1114" spans="1:10" x14ac:dyDescent="0.25">
      <c r="A1114" s="394"/>
      <c r="B1114" s="395"/>
      <c r="C1114" s="396"/>
      <c r="D1114" s="459"/>
      <c r="E1114" s="397"/>
      <c r="F1114" s="398"/>
      <c r="G1114" s="463"/>
      <c r="H1114" s="398"/>
      <c r="I1114" s="403"/>
      <c r="J1114" s="241" t="b">
        <f>Age_Sex_BY[[#This Row],[Total Spending After Applying Truncation at the Member Level]]+Age_Sex_BY[[#This Row],[Total Dollars Excluded from Spending After Applying Truncation at the Member Level]]=Age_Sex_BY[[#This Row],[Total Spending before Truncation is Applied]]</f>
        <v>1</v>
      </c>
    </row>
    <row r="1115" spans="1:10" x14ac:dyDescent="0.25">
      <c r="A1115" s="393"/>
      <c r="B1115" s="387"/>
      <c r="C1115" s="388"/>
      <c r="D1115" s="458"/>
      <c r="E1115" s="389"/>
      <c r="F1115" s="390"/>
      <c r="G1115" s="462"/>
      <c r="H1115" s="390"/>
      <c r="I1115" s="402"/>
      <c r="J1115" s="241" t="b">
        <f>Age_Sex_BY[[#This Row],[Total Spending After Applying Truncation at the Member Level]]+Age_Sex_BY[[#This Row],[Total Dollars Excluded from Spending After Applying Truncation at the Member Level]]=Age_Sex_BY[[#This Row],[Total Spending before Truncation is Applied]]</f>
        <v>1</v>
      </c>
    </row>
    <row r="1116" spans="1:10" x14ac:dyDescent="0.25">
      <c r="A1116" s="394"/>
      <c r="B1116" s="395"/>
      <c r="C1116" s="396"/>
      <c r="D1116" s="459"/>
      <c r="E1116" s="397"/>
      <c r="F1116" s="398"/>
      <c r="G1116" s="463"/>
      <c r="H1116" s="398"/>
      <c r="I1116" s="403"/>
      <c r="J1116" s="241" t="b">
        <f>Age_Sex_BY[[#This Row],[Total Spending After Applying Truncation at the Member Level]]+Age_Sex_BY[[#This Row],[Total Dollars Excluded from Spending After Applying Truncation at the Member Level]]=Age_Sex_BY[[#This Row],[Total Spending before Truncation is Applied]]</f>
        <v>1</v>
      </c>
    </row>
    <row r="1117" spans="1:10" x14ac:dyDescent="0.25">
      <c r="A1117" s="393"/>
      <c r="B1117" s="387"/>
      <c r="C1117" s="388"/>
      <c r="D1117" s="458"/>
      <c r="E1117" s="389"/>
      <c r="F1117" s="390"/>
      <c r="G1117" s="462"/>
      <c r="H1117" s="390"/>
      <c r="I1117" s="402"/>
      <c r="J1117" s="241" t="b">
        <f>Age_Sex_BY[[#This Row],[Total Spending After Applying Truncation at the Member Level]]+Age_Sex_BY[[#This Row],[Total Dollars Excluded from Spending After Applying Truncation at the Member Level]]=Age_Sex_BY[[#This Row],[Total Spending before Truncation is Applied]]</f>
        <v>1</v>
      </c>
    </row>
    <row r="1118" spans="1:10" x14ac:dyDescent="0.25">
      <c r="A1118" s="394"/>
      <c r="B1118" s="395"/>
      <c r="C1118" s="396"/>
      <c r="D1118" s="459"/>
      <c r="E1118" s="397"/>
      <c r="F1118" s="398"/>
      <c r="G1118" s="463"/>
      <c r="H1118" s="398"/>
      <c r="I1118" s="403"/>
      <c r="J1118" s="241" t="b">
        <f>Age_Sex_BY[[#This Row],[Total Spending After Applying Truncation at the Member Level]]+Age_Sex_BY[[#This Row],[Total Dollars Excluded from Spending After Applying Truncation at the Member Level]]=Age_Sex_BY[[#This Row],[Total Spending before Truncation is Applied]]</f>
        <v>1</v>
      </c>
    </row>
    <row r="1119" spans="1:10" x14ac:dyDescent="0.25">
      <c r="A1119" s="393"/>
      <c r="B1119" s="387"/>
      <c r="C1119" s="388"/>
      <c r="D1119" s="458"/>
      <c r="E1119" s="389"/>
      <c r="F1119" s="390"/>
      <c r="G1119" s="462"/>
      <c r="H1119" s="390"/>
      <c r="I1119" s="402"/>
      <c r="J1119" s="241" t="b">
        <f>Age_Sex_BY[[#This Row],[Total Spending After Applying Truncation at the Member Level]]+Age_Sex_BY[[#This Row],[Total Dollars Excluded from Spending After Applying Truncation at the Member Level]]=Age_Sex_BY[[#This Row],[Total Spending before Truncation is Applied]]</f>
        <v>1</v>
      </c>
    </row>
    <row r="1120" spans="1:10" x14ac:dyDescent="0.25">
      <c r="A1120" s="394"/>
      <c r="B1120" s="395"/>
      <c r="C1120" s="396"/>
      <c r="D1120" s="459"/>
      <c r="E1120" s="397"/>
      <c r="F1120" s="398"/>
      <c r="G1120" s="463"/>
      <c r="H1120" s="398"/>
      <c r="I1120" s="403"/>
      <c r="J1120" s="241" t="b">
        <f>Age_Sex_BY[[#This Row],[Total Spending After Applying Truncation at the Member Level]]+Age_Sex_BY[[#This Row],[Total Dollars Excluded from Spending After Applying Truncation at the Member Level]]=Age_Sex_BY[[#This Row],[Total Spending before Truncation is Applied]]</f>
        <v>1</v>
      </c>
    </row>
    <row r="1121" spans="1:10" x14ac:dyDescent="0.25">
      <c r="A1121" s="393"/>
      <c r="B1121" s="387"/>
      <c r="C1121" s="388"/>
      <c r="D1121" s="458"/>
      <c r="E1121" s="389"/>
      <c r="F1121" s="390"/>
      <c r="G1121" s="462"/>
      <c r="H1121" s="390"/>
      <c r="I1121" s="402"/>
      <c r="J1121" s="241" t="b">
        <f>Age_Sex_BY[[#This Row],[Total Spending After Applying Truncation at the Member Level]]+Age_Sex_BY[[#This Row],[Total Dollars Excluded from Spending After Applying Truncation at the Member Level]]=Age_Sex_BY[[#This Row],[Total Spending before Truncation is Applied]]</f>
        <v>1</v>
      </c>
    </row>
    <row r="1122" spans="1:10" x14ac:dyDescent="0.25">
      <c r="A1122" s="394"/>
      <c r="B1122" s="395"/>
      <c r="C1122" s="396"/>
      <c r="D1122" s="459"/>
      <c r="E1122" s="397"/>
      <c r="F1122" s="398"/>
      <c r="G1122" s="463"/>
      <c r="H1122" s="398"/>
      <c r="I1122" s="403"/>
      <c r="J1122" s="241" t="b">
        <f>Age_Sex_BY[[#This Row],[Total Spending After Applying Truncation at the Member Level]]+Age_Sex_BY[[#This Row],[Total Dollars Excluded from Spending After Applying Truncation at the Member Level]]=Age_Sex_BY[[#This Row],[Total Spending before Truncation is Applied]]</f>
        <v>1</v>
      </c>
    </row>
    <row r="1123" spans="1:10" x14ac:dyDescent="0.25">
      <c r="A1123" s="393"/>
      <c r="B1123" s="387"/>
      <c r="C1123" s="388"/>
      <c r="D1123" s="458"/>
      <c r="E1123" s="389"/>
      <c r="F1123" s="390"/>
      <c r="G1123" s="462"/>
      <c r="H1123" s="390"/>
      <c r="I1123" s="402"/>
      <c r="J1123" s="241" t="b">
        <f>Age_Sex_BY[[#This Row],[Total Spending After Applying Truncation at the Member Level]]+Age_Sex_BY[[#This Row],[Total Dollars Excluded from Spending After Applying Truncation at the Member Level]]=Age_Sex_BY[[#This Row],[Total Spending before Truncation is Applied]]</f>
        <v>1</v>
      </c>
    </row>
    <row r="1124" spans="1:10" x14ac:dyDescent="0.25">
      <c r="A1124" s="394"/>
      <c r="B1124" s="395"/>
      <c r="C1124" s="396"/>
      <c r="D1124" s="459"/>
      <c r="E1124" s="397"/>
      <c r="F1124" s="398"/>
      <c r="G1124" s="463"/>
      <c r="H1124" s="398"/>
      <c r="I1124" s="403"/>
      <c r="J1124" s="241" t="b">
        <f>Age_Sex_BY[[#This Row],[Total Spending After Applying Truncation at the Member Level]]+Age_Sex_BY[[#This Row],[Total Dollars Excluded from Spending After Applying Truncation at the Member Level]]=Age_Sex_BY[[#This Row],[Total Spending before Truncation is Applied]]</f>
        <v>1</v>
      </c>
    </row>
    <row r="1125" spans="1:10" x14ac:dyDescent="0.25">
      <c r="A1125" s="393"/>
      <c r="B1125" s="387"/>
      <c r="C1125" s="388"/>
      <c r="D1125" s="458"/>
      <c r="E1125" s="389"/>
      <c r="F1125" s="390"/>
      <c r="G1125" s="462"/>
      <c r="H1125" s="390"/>
      <c r="I1125" s="402"/>
      <c r="J1125" s="241" t="b">
        <f>Age_Sex_BY[[#This Row],[Total Spending After Applying Truncation at the Member Level]]+Age_Sex_BY[[#This Row],[Total Dollars Excluded from Spending After Applying Truncation at the Member Level]]=Age_Sex_BY[[#This Row],[Total Spending before Truncation is Applied]]</f>
        <v>1</v>
      </c>
    </row>
    <row r="1126" spans="1:10" x14ac:dyDescent="0.25">
      <c r="A1126" s="394"/>
      <c r="B1126" s="395"/>
      <c r="C1126" s="396"/>
      <c r="D1126" s="459"/>
      <c r="E1126" s="397"/>
      <c r="F1126" s="398"/>
      <c r="G1126" s="463"/>
      <c r="H1126" s="398"/>
      <c r="I1126" s="403"/>
      <c r="J1126" s="241" t="b">
        <f>Age_Sex_BY[[#This Row],[Total Spending After Applying Truncation at the Member Level]]+Age_Sex_BY[[#This Row],[Total Dollars Excluded from Spending After Applying Truncation at the Member Level]]=Age_Sex_BY[[#This Row],[Total Spending before Truncation is Applied]]</f>
        <v>1</v>
      </c>
    </row>
    <row r="1127" spans="1:10" x14ac:dyDescent="0.25">
      <c r="A1127" s="393"/>
      <c r="B1127" s="387"/>
      <c r="C1127" s="388"/>
      <c r="D1127" s="458"/>
      <c r="E1127" s="389"/>
      <c r="F1127" s="390"/>
      <c r="G1127" s="462"/>
      <c r="H1127" s="390"/>
      <c r="I1127" s="402"/>
      <c r="J1127" s="241" t="b">
        <f>Age_Sex_BY[[#This Row],[Total Spending After Applying Truncation at the Member Level]]+Age_Sex_BY[[#This Row],[Total Dollars Excluded from Spending After Applying Truncation at the Member Level]]=Age_Sex_BY[[#This Row],[Total Spending before Truncation is Applied]]</f>
        <v>1</v>
      </c>
    </row>
    <row r="1128" spans="1:10" x14ac:dyDescent="0.25">
      <c r="A1128" s="394"/>
      <c r="B1128" s="395"/>
      <c r="C1128" s="396"/>
      <c r="D1128" s="459"/>
      <c r="E1128" s="397"/>
      <c r="F1128" s="398"/>
      <c r="G1128" s="463"/>
      <c r="H1128" s="398"/>
      <c r="I1128" s="403"/>
      <c r="J1128" s="241" t="b">
        <f>Age_Sex_BY[[#This Row],[Total Spending After Applying Truncation at the Member Level]]+Age_Sex_BY[[#This Row],[Total Dollars Excluded from Spending After Applying Truncation at the Member Level]]=Age_Sex_BY[[#This Row],[Total Spending before Truncation is Applied]]</f>
        <v>1</v>
      </c>
    </row>
    <row r="1129" spans="1:10" x14ac:dyDescent="0.25">
      <c r="A1129" s="393"/>
      <c r="B1129" s="387"/>
      <c r="C1129" s="388"/>
      <c r="D1129" s="458"/>
      <c r="E1129" s="389"/>
      <c r="F1129" s="390"/>
      <c r="G1129" s="462"/>
      <c r="H1129" s="390"/>
      <c r="I1129" s="402"/>
      <c r="J1129" s="241" t="b">
        <f>Age_Sex_BY[[#This Row],[Total Spending After Applying Truncation at the Member Level]]+Age_Sex_BY[[#This Row],[Total Dollars Excluded from Spending After Applying Truncation at the Member Level]]=Age_Sex_BY[[#This Row],[Total Spending before Truncation is Applied]]</f>
        <v>1</v>
      </c>
    </row>
    <row r="1130" spans="1:10" x14ac:dyDescent="0.25">
      <c r="A1130" s="394"/>
      <c r="B1130" s="395"/>
      <c r="C1130" s="396"/>
      <c r="D1130" s="459"/>
      <c r="E1130" s="397"/>
      <c r="F1130" s="398"/>
      <c r="G1130" s="463"/>
      <c r="H1130" s="398"/>
      <c r="I1130" s="403"/>
      <c r="J1130" s="241" t="b">
        <f>Age_Sex_BY[[#This Row],[Total Spending After Applying Truncation at the Member Level]]+Age_Sex_BY[[#This Row],[Total Dollars Excluded from Spending After Applying Truncation at the Member Level]]=Age_Sex_BY[[#This Row],[Total Spending before Truncation is Applied]]</f>
        <v>1</v>
      </c>
    </row>
    <row r="1131" spans="1:10" x14ac:dyDescent="0.25">
      <c r="A1131" s="393"/>
      <c r="B1131" s="387"/>
      <c r="C1131" s="388"/>
      <c r="D1131" s="458"/>
      <c r="E1131" s="389"/>
      <c r="F1131" s="390"/>
      <c r="G1131" s="462"/>
      <c r="H1131" s="390"/>
      <c r="I1131" s="402"/>
      <c r="J1131" s="241" t="b">
        <f>Age_Sex_BY[[#This Row],[Total Spending After Applying Truncation at the Member Level]]+Age_Sex_BY[[#This Row],[Total Dollars Excluded from Spending After Applying Truncation at the Member Level]]=Age_Sex_BY[[#This Row],[Total Spending before Truncation is Applied]]</f>
        <v>1</v>
      </c>
    </row>
    <row r="1132" spans="1:10" x14ac:dyDescent="0.25">
      <c r="A1132" s="394"/>
      <c r="B1132" s="395"/>
      <c r="C1132" s="396"/>
      <c r="D1132" s="459"/>
      <c r="E1132" s="397"/>
      <c r="F1132" s="398"/>
      <c r="G1132" s="463"/>
      <c r="H1132" s="398"/>
      <c r="I1132" s="403"/>
      <c r="J1132" s="241" t="b">
        <f>Age_Sex_BY[[#This Row],[Total Spending After Applying Truncation at the Member Level]]+Age_Sex_BY[[#This Row],[Total Dollars Excluded from Spending After Applying Truncation at the Member Level]]=Age_Sex_BY[[#This Row],[Total Spending before Truncation is Applied]]</f>
        <v>1</v>
      </c>
    </row>
    <row r="1133" spans="1:10" x14ac:dyDescent="0.25">
      <c r="A1133" s="393"/>
      <c r="B1133" s="387"/>
      <c r="C1133" s="388"/>
      <c r="D1133" s="458"/>
      <c r="E1133" s="389"/>
      <c r="F1133" s="390"/>
      <c r="G1133" s="462"/>
      <c r="H1133" s="390"/>
      <c r="I1133" s="402"/>
      <c r="J1133" s="241" t="b">
        <f>Age_Sex_BY[[#This Row],[Total Spending After Applying Truncation at the Member Level]]+Age_Sex_BY[[#This Row],[Total Dollars Excluded from Spending After Applying Truncation at the Member Level]]=Age_Sex_BY[[#This Row],[Total Spending before Truncation is Applied]]</f>
        <v>1</v>
      </c>
    </row>
    <row r="1134" spans="1:10" x14ac:dyDescent="0.25">
      <c r="A1134" s="394"/>
      <c r="B1134" s="395"/>
      <c r="C1134" s="396"/>
      <c r="D1134" s="459"/>
      <c r="E1134" s="397"/>
      <c r="F1134" s="398"/>
      <c r="G1134" s="463"/>
      <c r="H1134" s="398"/>
      <c r="I1134" s="403"/>
      <c r="J1134" s="241" t="b">
        <f>Age_Sex_BY[[#This Row],[Total Spending After Applying Truncation at the Member Level]]+Age_Sex_BY[[#This Row],[Total Dollars Excluded from Spending After Applying Truncation at the Member Level]]=Age_Sex_BY[[#This Row],[Total Spending before Truncation is Applied]]</f>
        <v>1</v>
      </c>
    </row>
    <row r="1135" spans="1:10" x14ac:dyDescent="0.25">
      <c r="A1135" s="393"/>
      <c r="B1135" s="387"/>
      <c r="C1135" s="388"/>
      <c r="D1135" s="458"/>
      <c r="E1135" s="389"/>
      <c r="F1135" s="390"/>
      <c r="G1135" s="462"/>
      <c r="H1135" s="390"/>
      <c r="I1135" s="402"/>
      <c r="J1135" s="241" t="b">
        <f>Age_Sex_BY[[#This Row],[Total Spending After Applying Truncation at the Member Level]]+Age_Sex_BY[[#This Row],[Total Dollars Excluded from Spending After Applying Truncation at the Member Level]]=Age_Sex_BY[[#This Row],[Total Spending before Truncation is Applied]]</f>
        <v>1</v>
      </c>
    </row>
    <row r="1136" spans="1:10" x14ac:dyDescent="0.25">
      <c r="A1136" s="394"/>
      <c r="B1136" s="395"/>
      <c r="C1136" s="396"/>
      <c r="D1136" s="459"/>
      <c r="E1136" s="397"/>
      <c r="F1136" s="398"/>
      <c r="G1136" s="463"/>
      <c r="H1136" s="398"/>
      <c r="I1136" s="403"/>
      <c r="J1136" s="241" t="b">
        <f>Age_Sex_BY[[#This Row],[Total Spending After Applying Truncation at the Member Level]]+Age_Sex_BY[[#This Row],[Total Dollars Excluded from Spending After Applying Truncation at the Member Level]]=Age_Sex_BY[[#This Row],[Total Spending before Truncation is Applied]]</f>
        <v>1</v>
      </c>
    </row>
    <row r="1137" spans="1:10" x14ac:dyDescent="0.25">
      <c r="A1137" s="393"/>
      <c r="B1137" s="387"/>
      <c r="C1137" s="388"/>
      <c r="D1137" s="458"/>
      <c r="E1137" s="389"/>
      <c r="F1137" s="390"/>
      <c r="G1137" s="462"/>
      <c r="H1137" s="390"/>
      <c r="I1137" s="402"/>
      <c r="J1137" s="241" t="b">
        <f>Age_Sex_BY[[#This Row],[Total Spending After Applying Truncation at the Member Level]]+Age_Sex_BY[[#This Row],[Total Dollars Excluded from Spending After Applying Truncation at the Member Level]]=Age_Sex_BY[[#This Row],[Total Spending before Truncation is Applied]]</f>
        <v>1</v>
      </c>
    </row>
    <row r="1138" spans="1:10" x14ac:dyDescent="0.25">
      <c r="A1138" s="394"/>
      <c r="B1138" s="395"/>
      <c r="C1138" s="396"/>
      <c r="D1138" s="459"/>
      <c r="E1138" s="397"/>
      <c r="F1138" s="398"/>
      <c r="G1138" s="463"/>
      <c r="H1138" s="398"/>
      <c r="I1138" s="403"/>
      <c r="J1138" s="241" t="b">
        <f>Age_Sex_BY[[#This Row],[Total Spending After Applying Truncation at the Member Level]]+Age_Sex_BY[[#This Row],[Total Dollars Excluded from Spending After Applying Truncation at the Member Level]]=Age_Sex_BY[[#This Row],[Total Spending before Truncation is Applied]]</f>
        <v>1</v>
      </c>
    </row>
    <row r="1139" spans="1:10" x14ac:dyDescent="0.25">
      <c r="A1139" s="393"/>
      <c r="B1139" s="387"/>
      <c r="C1139" s="388"/>
      <c r="D1139" s="458"/>
      <c r="E1139" s="389"/>
      <c r="F1139" s="390"/>
      <c r="G1139" s="462"/>
      <c r="H1139" s="390"/>
      <c r="I1139" s="402"/>
      <c r="J1139" s="241" t="b">
        <f>Age_Sex_BY[[#This Row],[Total Spending After Applying Truncation at the Member Level]]+Age_Sex_BY[[#This Row],[Total Dollars Excluded from Spending After Applying Truncation at the Member Level]]=Age_Sex_BY[[#This Row],[Total Spending before Truncation is Applied]]</f>
        <v>1</v>
      </c>
    </row>
    <row r="1140" spans="1:10" x14ac:dyDescent="0.25">
      <c r="A1140" s="394"/>
      <c r="B1140" s="395"/>
      <c r="C1140" s="396"/>
      <c r="D1140" s="459"/>
      <c r="E1140" s="397"/>
      <c r="F1140" s="398"/>
      <c r="G1140" s="463"/>
      <c r="H1140" s="398"/>
      <c r="I1140" s="403"/>
      <c r="J1140" s="241" t="b">
        <f>Age_Sex_BY[[#This Row],[Total Spending After Applying Truncation at the Member Level]]+Age_Sex_BY[[#This Row],[Total Dollars Excluded from Spending After Applying Truncation at the Member Level]]=Age_Sex_BY[[#This Row],[Total Spending before Truncation is Applied]]</f>
        <v>1</v>
      </c>
    </row>
    <row r="1141" spans="1:10" x14ac:dyDescent="0.25">
      <c r="A1141" s="393"/>
      <c r="B1141" s="387"/>
      <c r="C1141" s="388"/>
      <c r="D1141" s="458"/>
      <c r="E1141" s="389"/>
      <c r="F1141" s="390"/>
      <c r="G1141" s="462"/>
      <c r="H1141" s="390"/>
      <c r="I1141" s="402"/>
      <c r="J1141" s="241" t="b">
        <f>Age_Sex_BY[[#This Row],[Total Spending After Applying Truncation at the Member Level]]+Age_Sex_BY[[#This Row],[Total Dollars Excluded from Spending After Applying Truncation at the Member Level]]=Age_Sex_BY[[#This Row],[Total Spending before Truncation is Applied]]</f>
        <v>1</v>
      </c>
    </row>
    <row r="1142" spans="1:10" x14ac:dyDescent="0.25">
      <c r="A1142" s="394"/>
      <c r="B1142" s="395"/>
      <c r="C1142" s="396"/>
      <c r="D1142" s="459"/>
      <c r="E1142" s="397"/>
      <c r="F1142" s="398"/>
      <c r="G1142" s="463"/>
      <c r="H1142" s="398"/>
      <c r="I1142" s="403"/>
      <c r="J1142" s="241" t="b">
        <f>Age_Sex_BY[[#This Row],[Total Spending After Applying Truncation at the Member Level]]+Age_Sex_BY[[#This Row],[Total Dollars Excluded from Spending After Applying Truncation at the Member Level]]=Age_Sex_BY[[#This Row],[Total Spending before Truncation is Applied]]</f>
        <v>1</v>
      </c>
    </row>
    <row r="1143" spans="1:10" x14ac:dyDescent="0.25">
      <c r="A1143" s="393"/>
      <c r="B1143" s="387"/>
      <c r="C1143" s="388"/>
      <c r="D1143" s="458"/>
      <c r="E1143" s="389"/>
      <c r="F1143" s="390"/>
      <c r="G1143" s="462"/>
      <c r="H1143" s="390"/>
      <c r="I1143" s="402"/>
      <c r="J1143" s="241" t="b">
        <f>Age_Sex_BY[[#This Row],[Total Spending After Applying Truncation at the Member Level]]+Age_Sex_BY[[#This Row],[Total Dollars Excluded from Spending After Applying Truncation at the Member Level]]=Age_Sex_BY[[#This Row],[Total Spending before Truncation is Applied]]</f>
        <v>1</v>
      </c>
    </row>
    <row r="1144" spans="1:10" x14ac:dyDescent="0.25">
      <c r="A1144" s="394"/>
      <c r="B1144" s="395"/>
      <c r="C1144" s="396"/>
      <c r="D1144" s="459"/>
      <c r="E1144" s="397"/>
      <c r="F1144" s="398"/>
      <c r="G1144" s="463"/>
      <c r="H1144" s="398"/>
      <c r="I1144" s="403"/>
      <c r="J1144" s="241" t="b">
        <f>Age_Sex_BY[[#This Row],[Total Spending After Applying Truncation at the Member Level]]+Age_Sex_BY[[#This Row],[Total Dollars Excluded from Spending After Applying Truncation at the Member Level]]=Age_Sex_BY[[#This Row],[Total Spending before Truncation is Applied]]</f>
        <v>1</v>
      </c>
    </row>
    <row r="1145" spans="1:10" x14ac:dyDescent="0.25">
      <c r="A1145" s="393"/>
      <c r="B1145" s="387"/>
      <c r="C1145" s="388"/>
      <c r="D1145" s="458"/>
      <c r="E1145" s="389"/>
      <c r="F1145" s="390"/>
      <c r="G1145" s="462"/>
      <c r="H1145" s="390"/>
      <c r="I1145" s="402"/>
      <c r="J1145" s="241" t="b">
        <f>Age_Sex_BY[[#This Row],[Total Spending After Applying Truncation at the Member Level]]+Age_Sex_BY[[#This Row],[Total Dollars Excluded from Spending After Applying Truncation at the Member Level]]=Age_Sex_BY[[#This Row],[Total Spending before Truncation is Applied]]</f>
        <v>1</v>
      </c>
    </row>
    <row r="1146" spans="1:10" x14ac:dyDescent="0.25">
      <c r="A1146" s="394"/>
      <c r="B1146" s="395"/>
      <c r="C1146" s="396"/>
      <c r="D1146" s="459"/>
      <c r="E1146" s="397"/>
      <c r="F1146" s="398"/>
      <c r="G1146" s="463"/>
      <c r="H1146" s="398"/>
      <c r="I1146" s="403"/>
      <c r="J1146" s="241" t="b">
        <f>Age_Sex_BY[[#This Row],[Total Spending After Applying Truncation at the Member Level]]+Age_Sex_BY[[#This Row],[Total Dollars Excluded from Spending After Applying Truncation at the Member Level]]=Age_Sex_BY[[#This Row],[Total Spending before Truncation is Applied]]</f>
        <v>1</v>
      </c>
    </row>
    <row r="1147" spans="1:10" x14ac:dyDescent="0.25">
      <c r="A1147" s="393"/>
      <c r="B1147" s="387"/>
      <c r="C1147" s="388"/>
      <c r="D1147" s="458"/>
      <c r="E1147" s="389"/>
      <c r="F1147" s="390"/>
      <c r="G1147" s="462"/>
      <c r="H1147" s="390"/>
      <c r="I1147" s="402"/>
      <c r="J1147" s="241" t="b">
        <f>Age_Sex_BY[[#This Row],[Total Spending After Applying Truncation at the Member Level]]+Age_Sex_BY[[#This Row],[Total Dollars Excluded from Spending After Applying Truncation at the Member Level]]=Age_Sex_BY[[#This Row],[Total Spending before Truncation is Applied]]</f>
        <v>1</v>
      </c>
    </row>
    <row r="1148" spans="1:10" x14ac:dyDescent="0.25">
      <c r="A1148" s="394"/>
      <c r="B1148" s="395"/>
      <c r="C1148" s="396"/>
      <c r="D1148" s="459"/>
      <c r="E1148" s="397"/>
      <c r="F1148" s="398"/>
      <c r="G1148" s="463"/>
      <c r="H1148" s="398"/>
      <c r="I1148" s="403"/>
      <c r="J1148" s="241" t="b">
        <f>Age_Sex_BY[[#This Row],[Total Spending After Applying Truncation at the Member Level]]+Age_Sex_BY[[#This Row],[Total Dollars Excluded from Spending After Applying Truncation at the Member Level]]=Age_Sex_BY[[#This Row],[Total Spending before Truncation is Applied]]</f>
        <v>1</v>
      </c>
    </row>
    <row r="1149" spans="1:10" x14ac:dyDescent="0.25">
      <c r="A1149" s="393"/>
      <c r="B1149" s="387"/>
      <c r="C1149" s="388"/>
      <c r="D1149" s="458"/>
      <c r="E1149" s="389"/>
      <c r="F1149" s="390"/>
      <c r="G1149" s="462"/>
      <c r="H1149" s="390"/>
      <c r="I1149" s="402"/>
      <c r="J1149" s="241" t="b">
        <f>Age_Sex_BY[[#This Row],[Total Spending After Applying Truncation at the Member Level]]+Age_Sex_BY[[#This Row],[Total Dollars Excluded from Spending After Applying Truncation at the Member Level]]=Age_Sex_BY[[#This Row],[Total Spending before Truncation is Applied]]</f>
        <v>1</v>
      </c>
    </row>
    <row r="1150" spans="1:10" x14ac:dyDescent="0.25">
      <c r="A1150" s="394"/>
      <c r="B1150" s="395"/>
      <c r="C1150" s="396"/>
      <c r="D1150" s="459"/>
      <c r="E1150" s="397"/>
      <c r="F1150" s="398"/>
      <c r="G1150" s="463"/>
      <c r="H1150" s="398"/>
      <c r="I1150" s="403"/>
      <c r="J1150" s="241" t="b">
        <f>Age_Sex_BY[[#This Row],[Total Spending After Applying Truncation at the Member Level]]+Age_Sex_BY[[#This Row],[Total Dollars Excluded from Spending After Applying Truncation at the Member Level]]=Age_Sex_BY[[#This Row],[Total Spending before Truncation is Applied]]</f>
        <v>1</v>
      </c>
    </row>
    <row r="1151" spans="1:10" x14ac:dyDescent="0.25">
      <c r="A1151" s="393"/>
      <c r="B1151" s="387"/>
      <c r="C1151" s="388"/>
      <c r="D1151" s="458"/>
      <c r="E1151" s="389"/>
      <c r="F1151" s="390"/>
      <c r="G1151" s="462"/>
      <c r="H1151" s="390"/>
      <c r="I1151" s="402"/>
      <c r="J1151" s="241" t="b">
        <f>Age_Sex_BY[[#This Row],[Total Spending After Applying Truncation at the Member Level]]+Age_Sex_BY[[#This Row],[Total Dollars Excluded from Spending After Applying Truncation at the Member Level]]=Age_Sex_BY[[#This Row],[Total Spending before Truncation is Applied]]</f>
        <v>1</v>
      </c>
    </row>
    <row r="1152" spans="1:10" x14ac:dyDescent="0.25">
      <c r="A1152" s="394"/>
      <c r="B1152" s="395"/>
      <c r="C1152" s="396"/>
      <c r="D1152" s="459"/>
      <c r="E1152" s="397"/>
      <c r="F1152" s="398"/>
      <c r="G1152" s="463"/>
      <c r="H1152" s="398"/>
      <c r="I1152" s="403"/>
      <c r="J1152" s="241" t="b">
        <f>Age_Sex_BY[[#This Row],[Total Spending After Applying Truncation at the Member Level]]+Age_Sex_BY[[#This Row],[Total Dollars Excluded from Spending After Applying Truncation at the Member Level]]=Age_Sex_BY[[#This Row],[Total Spending before Truncation is Applied]]</f>
        <v>1</v>
      </c>
    </row>
    <row r="1153" spans="1:10" x14ac:dyDescent="0.25">
      <c r="A1153" s="393"/>
      <c r="B1153" s="387"/>
      <c r="C1153" s="388"/>
      <c r="D1153" s="458"/>
      <c r="E1153" s="389"/>
      <c r="F1153" s="390"/>
      <c r="G1153" s="462"/>
      <c r="H1153" s="390"/>
      <c r="I1153" s="402"/>
      <c r="J1153" s="241" t="b">
        <f>Age_Sex_BY[[#This Row],[Total Spending After Applying Truncation at the Member Level]]+Age_Sex_BY[[#This Row],[Total Dollars Excluded from Spending After Applying Truncation at the Member Level]]=Age_Sex_BY[[#This Row],[Total Spending before Truncation is Applied]]</f>
        <v>1</v>
      </c>
    </row>
    <row r="1154" spans="1:10" x14ac:dyDescent="0.25">
      <c r="A1154" s="394"/>
      <c r="B1154" s="395"/>
      <c r="C1154" s="396"/>
      <c r="D1154" s="459"/>
      <c r="E1154" s="397"/>
      <c r="F1154" s="398"/>
      <c r="G1154" s="463"/>
      <c r="H1154" s="398"/>
      <c r="I1154" s="403"/>
      <c r="J1154" s="241" t="b">
        <f>Age_Sex_BY[[#This Row],[Total Spending After Applying Truncation at the Member Level]]+Age_Sex_BY[[#This Row],[Total Dollars Excluded from Spending After Applying Truncation at the Member Level]]=Age_Sex_BY[[#This Row],[Total Spending before Truncation is Applied]]</f>
        <v>1</v>
      </c>
    </row>
    <row r="1155" spans="1:10" x14ac:dyDescent="0.25">
      <c r="A1155" s="393"/>
      <c r="B1155" s="387"/>
      <c r="C1155" s="388"/>
      <c r="D1155" s="458"/>
      <c r="E1155" s="389"/>
      <c r="F1155" s="390"/>
      <c r="G1155" s="462"/>
      <c r="H1155" s="390"/>
      <c r="I1155" s="402"/>
      <c r="J1155" s="241" t="b">
        <f>Age_Sex_BY[[#This Row],[Total Spending After Applying Truncation at the Member Level]]+Age_Sex_BY[[#This Row],[Total Dollars Excluded from Spending After Applying Truncation at the Member Level]]=Age_Sex_BY[[#This Row],[Total Spending before Truncation is Applied]]</f>
        <v>1</v>
      </c>
    </row>
    <row r="1156" spans="1:10" x14ac:dyDescent="0.25">
      <c r="A1156" s="394"/>
      <c r="B1156" s="395"/>
      <c r="C1156" s="396"/>
      <c r="D1156" s="459"/>
      <c r="E1156" s="397"/>
      <c r="F1156" s="398"/>
      <c r="G1156" s="463"/>
      <c r="H1156" s="398"/>
      <c r="I1156" s="403"/>
      <c r="J1156" s="241" t="b">
        <f>Age_Sex_BY[[#This Row],[Total Spending After Applying Truncation at the Member Level]]+Age_Sex_BY[[#This Row],[Total Dollars Excluded from Spending After Applying Truncation at the Member Level]]=Age_Sex_BY[[#This Row],[Total Spending before Truncation is Applied]]</f>
        <v>1</v>
      </c>
    </row>
    <row r="1157" spans="1:10" x14ac:dyDescent="0.25">
      <c r="A1157" s="393"/>
      <c r="B1157" s="387"/>
      <c r="C1157" s="388"/>
      <c r="D1157" s="458"/>
      <c r="E1157" s="389"/>
      <c r="F1157" s="390"/>
      <c r="G1157" s="462"/>
      <c r="H1157" s="390"/>
      <c r="I1157" s="402"/>
      <c r="J1157" s="241" t="b">
        <f>Age_Sex_BY[[#This Row],[Total Spending After Applying Truncation at the Member Level]]+Age_Sex_BY[[#This Row],[Total Dollars Excluded from Spending After Applying Truncation at the Member Level]]=Age_Sex_BY[[#This Row],[Total Spending before Truncation is Applied]]</f>
        <v>1</v>
      </c>
    </row>
    <row r="1158" spans="1:10" x14ac:dyDescent="0.25">
      <c r="A1158" s="394"/>
      <c r="B1158" s="395"/>
      <c r="C1158" s="396"/>
      <c r="D1158" s="459"/>
      <c r="E1158" s="397"/>
      <c r="F1158" s="398"/>
      <c r="G1158" s="463"/>
      <c r="H1158" s="398"/>
      <c r="I1158" s="403"/>
      <c r="J1158" s="241" t="b">
        <f>Age_Sex_BY[[#This Row],[Total Spending After Applying Truncation at the Member Level]]+Age_Sex_BY[[#This Row],[Total Dollars Excluded from Spending After Applying Truncation at the Member Level]]=Age_Sex_BY[[#This Row],[Total Spending before Truncation is Applied]]</f>
        <v>1</v>
      </c>
    </row>
    <row r="1159" spans="1:10" x14ac:dyDescent="0.25">
      <c r="A1159" s="393"/>
      <c r="B1159" s="387"/>
      <c r="C1159" s="388"/>
      <c r="D1159" s="458"/>
      <c r="E1159" s="389"/>
      <c r="F1159" s="390"/>
      <c r="G1159" s="462"/>
      <c r="H1159" s="390"/>
      <c r="I1159" s="402"/>
      <c r="J1159" s="241" t="b">
        <f>Age_Sex_BY[[#This Row],[Total Spending After Applying Truncation at the Member Level]]+Age_Sex_BY[[#This Row],[Total Dollars Excluded from Spending After Applying Truncation at the Member Level]]=Age_Sex_BY[[#This Row],[Total Spending before Truncation is Applied]]</f>
        <v>1</v>
      </c>
    </row>
    <row r="1160" spans="1:10" x14ac:dyDescent="0.25">
      <c r="A1160" s="394"/>
      <c r="B1160" s="395"/>
      <c r="C1160" s="396"/>
      <c r="D1160" s="459"/>
      <c r="E1160" s="397"/>
      <c r="F1160" s="398"/>
      <c r="G1160" s="463"/>
      <c r="H1160" s="398"/>
      <c r="I1160" s="403"/>
      <c r="J1160" s="241" t="b">
        <f>Age_Sex_BY[[#This Row],[Total Spending After Applying Truncation at the Member Level]]+Age_Sex_BY[[#This Row],[Total Dollars Excluded from Spending After Applying Truncation at the Member Level]]=Age_Sex_BY[[#This Row],[Total Spending before Truncation is Applied]]</f>
        <v>1</v>
      </c>
    </row>
    <row r="1161" spans="1:10" x14ac:dyDescent="0.25">
      <c r="A1161" s="393"/>
      <c r="B1161" s="387"/>
      <c r="C1161" s="388"/>
      <c r="D1161" s="458"/>
      <c r="E1161" s="389"/>
      <c r="F1161" s="390"/>
      <c r="G1161" s="462"/>
      <c r="H1161" s="390"/>
      <c r="I1161" s="402"/>
      <c r="J1161" s="241" t="b">
        <f>Age_Sex_BY[[#This Row],[Total Spending After Applying Truncation at the Member Level]]+Age_Sex_BY[[#This Row],[Total Dollars Excluded from Spending After Applying Truncation at the Member Level]]=Age_Sex_BY[[#This Row],[Total Spending before Truncation is Applied]]</f>
        <v>1</v>
      </c>
    </row>
    <row r="1162" spans="1:10" x14ac:dyDescent="0.25">
      <c r="A1162" s="394"/>
      <c r="B1162" s="395"/>
      <c r="C1162" s="396"/>
      <c r="D1162" s="459"/>
      <c r="E1162" s="397"/>
      <c r="F1162" s="398"/>
      <c r="G1162" s="463"/>
      <c r="H1162" s="398"/>
      <c r="I1162" s="403"/>
      <c r="J1162" s="241" t="b">
        <f>Age_Sex_BY[[#This Row],[Total Spending After Applying Truncation at the Member Level]]+Age_Sex_BY[[#This Row],[Total Dollars Excluded from Spending After Applying Truncation at the Member Level]]=Age_Sex_BY[[#This Row],[Total Spending before Truncation is Applied]]</f>
        <v>1</v>
      </c>
    </row>
    <row r="1163" spans="1:10" x14ac:dyDescent="0.25">
      <c r="A1163" s="393"/>
      <c r="B1163" s="387"/>
      <c r="C1163" s="388"/>
      <c r="D1163" s="458"/>
      <c r="E1163" s="389"/>
      <c r="F1163" s="390"/>
      <c r="G1163" s="462"/>
      <c r="H1163" s="390"/>
      <c r="I1163" s="402"/>
      <c r="J1163" s="241" t="b">
        <f>Age_Sex_BY[[#This Row],[Total Spending After Applying Truncation at the Member Level]]+Age_Sex_BY[[#This Row],[Total Dollars Excluded from Spending After Applying Truncation at the Member Level]]=Age_Sex_BY[[#This Row],[Total Spending before Truncation is Applied]]</f>
        <v>1</v>
      </c>
    </row>
    <row r="1164" spans="1:10" x14ac:dyDescent="0.25">
      <c r="A1164" s="394"/>
      <c r="B1164" s="395"/>
      <c r="C1164" s="396"/>
      <c r="D1164" s="459"/>
      <c r="E1164" s="397"/>
      <c r="F1164" s="398"/>
      <c r="G1164" s="463"/>
      <c r="H1164" s="398"/>
      <c r="I1164" s="403"/>
      <c r="J1164" s="241" t="b">
        <f>Age_Sex_BY[[#This Row],[Total Spending After Applying Truncation at the Member Level]]+Age_Sex_BY[[#This Row],[Total Dollars Excluded from Spending After Applying Truncation at the Member Level]]=Age_Sex_BY[[#This Row],[Total Spending before Truncation is Applied]]</f>
        <v>1</v>
      </c>
    </row>
    <row r="1165" spans="1:10" x14ac:dyDescent="0.25">
      <c r="A1165" s="393"/>
      <c r="B1165" s="387"/>
      <c r="C1165" s="388"/>
      <c r="D1165" s="458"/>
      <c r="E1165" s="389"/>
      <c r="F1165" s="390"/>
      <c r="G1165" s="462"/>
      <c r="H1165" s="390"/>
      <c r="I1165" s="402"/>
      <c r="J1165" s="241" t="b">
        <f>Age_Sex_BY[[#This Row],[Total Spending After Applying Truncation at the Member Level]]+Age_Sex_BY[[#This Row],[Total Dollars Excluded from Spending After Applying Truncation at the Member Level]]=Age_Sex_BY[[#This Row],[Total Spending before Truncation is Applied]]</f>
        <v>1</v>
      </c>
    </row>
    <row r="1166" spans="1:10" x14ac:dyDescent="0.25">
      <c r="A1166" s="394"/>
      <c r="B1166" s="395"/>
      <c r="C1166" s="396"/>
      <c r="D1166" s="459"/>
      <c r="E1166" s="397"/>
      <c r="F1166" s="398"/>
      <c r="G1166" s="463"/>
      <c r="H1166" s="398"/>
      <c r="I1166" s="403"/>
      <c r="J1166" s="241" t="b">
        <f>Age_Sex_BY[[#This Row],[Total Spending After Applying Truncation at the Member Level]]+Age_Sex_BY[[#This Row],[Total Dollars Excluded from Spending After Applying Truncation at the Member Level]]=Age_Sex_BY[[#This Row],[Total Spending before Truncation is Applied]]</f>
        <v>1</v>
      </c>
    </row>
    <row r="1167" spans="1:10" x14ac:dyDescent="0.25">
      <c r="A1167" s="393"/>
      <c r="B1167" s="387"/>
      <c r="C1167" s="388"/>
      <c r="D1167" s="458"/>
      <c r="E1167" s="389"/>
      <c r="F1167" s="390"/>
      <c r="G1167" s="462"/>
      <c r="H1167" s="390"/>
      <c r="I1167" s="402"/>
      <c r="J1167" s="241" t="b">
        <f>Age_Sex_BY[[#This Row],[Total Spending After Applying Truncation at the Member Level]]+Age_Sex_BY[[#This Row],[Total Dollars Excluded from Spending After Applying Truncation at the Member Level]]=Age_Sex_BY[[#This Row],[Total Spending before Truncation is Applied]]</f>
        <v>1</v>
      </c>
    </row>
    <row r="1168" spans="1:10" x14ac:dyDescent="0.25">
      <c r="A1168" s="394"/>
      <c r="B1168" s="395"/>
      <c r="C1168" s="396"/>
      <c r="D1168" s="459"/>
      <c r="E1168" s="397"/>
      <c r="F1168" s="398"/>
      <c r="G1168" s="463"/>
      <c r="H1168" s="398"/>
      <c r="I1168" s="403"/>
      <c r="J1168" s="241" t="b">
        <f>Age_Sex_BY[[#This Row],[Total Spending After Applying Truncation at the Member Level]]+Age_Sex_BY[[#This Row],[Total Dollars Excluded from Spending After Applying Truncation at the Member Level]]=Age_Sex_BY[[#This Row],[Total Spending before Truncation is Applied]]</f>
        <v>1</v>
      </c>
    </row>
    <row r="1169" spans="1:10" x14ac:dyDescent="0.25">
      <c r="A1169" s="393"/>
      <c r="B1169" s="387"/>
      <c r="C1169" s="388"/>
      <c r="D1169" s="458"/>
      <c r="E1169" s="389"/>
      <c r="F1169" s="390"/>
      <c r="G1169" s="462"/>
      <c r="H1169" s="390"/>
      <c r="I1169" s="402"/>
      <c r="J1169" s="241" t="b">
        <f>Age_Sex_BY[[#This Row],[Total Spending After Applying Truncation at the Member Level]]+Age_Sex_BY[[#This Row],[Total Dollars Excluded from Spending After Applying Truncation at the Member Level]]=Age_Sex_BY[[#This Row],[Total Spending before Truncation is Applied]]</f>
        <v>1</v>
      </c>
    </row>
    <row r="1170" spans="1:10" x14ac:dyDescent="0.25">
      <c r="A1170" s="394"/>
      <c r="B1170" s="395"/>
      <c r="C1170" s="396"/>
      <c r="D1170" s="459"/>
      <c r="E1170" s="397"/>
      <c r="F1170" s="398"/>
      <c r="G1170" s="463"/>
      <c r="H1170" s="398"/>
      <c r="I1170" s="403"/>
      <c r="J1170" s="241" t="b">
        <f>Age_Sex_BY[[#This Row],[Total Spending After Applying Truncation at the Member Level]]+Age_Sex_BY[[#This Row],[Total Dollars Excluded from Spending After Applying Truncation at the Member Level]]=Age_Sex_BY[[#This Row],[Total Spending before Truncation is Applied]]</f>
        <v>1</v>
      </c>
    </row>
    <row r="1171" spans="1:10" x14ac:dyDescent="0.25">
      <c r="A1171" s="393"/>
      <c r="B1171" s="387"/>
      <c r="C1171" s="388"/>
      <c r="D1171" s="458"/>
      <c r="E1171" s="389"/>
      <c r="F1171" s="390"/>
      <c r="G1171" s="462"/>
      <c r="H1171" s="390"/>
      <c r="I1171" s="402"/>
      <c r="J1171" s="241" t="b">
        <f>Age_Sex_BY[[#This Row],[Total Spending After Applying Truncation at the Member Level]]+Age_Sex_BY[[#This Row],[Total Dollars Excluded from Spending After Applying Truncation at the Member Level]]=Age_Sex_BY[[#This Row],[Total Spending before Truncation is Applied]]</f>
        <v>1</v>
      </c>
    </row>
    <row r="1172" spans="1:10" x14ac:dyDescent="0.25">
      <c r="A1172" s="394"/>
      <c r="B1172" s="395"/>
      <c r="C1172" s="396"/>
      <c r="D1172" s="459"/>
      <c r="E1172" s="397"/>
      <c r="F1172" s="398"/>
      <c r="G1172" s="463"/>
      <c r="H1172" s="398"/>
      <c r="I1172" s="403"/>
      <c r="J1172" s="241" t="b">
        <f>Age_Sex_BY[[#This Row],[Total Spending After Applying Truncation at the Member Level]]+Age_Sex_BY[[#This Row],[Total Dollars Excluded from Spending After Applying Truncation at the Member Level]]=Age_Sex_BY[[#This Row],[Total Spending before Truncation is Applied]]</f>
        <v>1</v>
      </c>
    </row>
    <row r="1173" spans="1:10" x14ac:dyDescent="0.25">
      <c r="A1173" s="393"/>
      <c r="B1173" s="387"/>
      <c r="C1173" s="388"/>
      <c r="D1173" s="458"/>
      <c r="E1173" s="389"/>
      <c r="F1173" s="390"/>
      <c r="G1173" s="462"/>
      <c r="H1173" s="390"/>
      <c r="I1173" s="402"/>
      <c r="J1173" s="241" t="b">
        <f>Age_Sex_BY[[#This Row],[Total Spending After Applying Truncation at the Member Level]]+Age_Sex_BY[[#This Row],[Total Dollars Excluded from Spending After Applying Truncation at the Member Level]]=Age_Sex_BY[[#This Row],[Total Spending before Truncation is Applied]]</f>
        <v>1</v>
      </c>
    </row>
    <row r="1174" spans="1:10" x14ac:dyDescent="0.25">
      <c r="A1174" s="394"/>
      <c r="B1174" s="395"/>
      <c r="C1174" s="396"/>
      <c r="D1174" s="459"/>
      <c r="E1174" s="397"/>
      <c r="F1174" s="398"/>
      <c r="G1174" s="463"/>
      <c r="H1174" s="398"/>
      <c r="I1174" s="403"/>
      <c r="J1174" s="241" t="b">
        <f>Age_Sex_BY[[#This Row],[Total Spending After Applying Truncation at the Member Level]]+Age_Sex_BY[[#This Row],[Total Dollars Excluded from Spending After Applying Truncation at the Member Level]]=Age_Sex_BY[[#This Row],[Total Spending before Truncation is Applied]]</f>
        <v>1</v>
      </c>
    </row>
    <row r="1175" spans="1:10" x14ac:dyDescent="0.25">
      <c r="A1175" s="393"/>
      <c r="B1175" s="387"/>
      <c r="C1175" s="388"/>
      <c r="D1175" s="458"/>
      <c r="E1175" s="389"/>
      <c r="F1175" s="390"/>
      <c r="G1175" s="462"/>
      <c r="H1175" s="390"/>
      <c r="I1175" s="402"/>
      <c r="J1175" s="241" t="b">
        <f>Age_Sex_BY[[#This Row],[Total Spending After Applying Truncation at the Member Level]]+Age_Sex_BY[[#This Row],[Total Dollars Excluded from Spending After Applying Truncation at the Member Level]]=Age_Sex_BY[[#This Row],[Total Spending before Truncation is Applied]]</f>
        <v>1</v>
      </c>
    </row>
    <row r="1176" spans="1:10" x14ac:dyDescent="0.25">
      <c r="A1176" s="394"/>
      <c r="B1176" s="395"/>
      <c r="C1176" s="396"/>
      <c r="D1176" s="459"/>
      <c r="E1176" s="397"/>
      <c r="F1176" s="398"/>
      <c r="G1176" s="463"/>
      <c r="H1176" s="398"/>
      <c r="I1176" s="403"/>
      <c r="J1176" s="241" t="b">
        <f>Age_Sex_BY[[#This Row],[Total Spending After Applying Truncation at the Member Level]]+Age_Sex_BY[[#This Row],[Total Dollars Excluded from Spending After Applying Truncation at the Member Level]]=Age_Sex_BY[[#This Row],[Total Spending before Truncation is Applied]]</f>
        <v>1</v>
      </c>
    </row>
    <row r="1177" spans="1:10" x14ac:dyDescent="0.25">
      <c r="A1177" s="393"/>
      <c r="B1177" s="387"/>
      <c r="C1177" s="388"/>
      <c r="D1177" s="458"/>
      <c r="E1177" s="389"/>
      <c r="F1177" s="390"/>
      <c r="G1177" s="462"/>
      <c r="H1177" s="390"/>
      <c r="I1177" s="402"/>
      <c r="J1177" s="241" t="b">
        <f>Age_Sex_BY[[#This Row],[Total Spending After Applying Truncation at the Member Level]]+Age_Sex_BY[[#This Row],[Total Dollars Excluded from Spending After Applying Truncation at the Member Level]]=Age_Sex_BY[[#This Row],[Total Spending before Truncation is Applied]]</f>
        <v>1</v>
      </c>
    </row>
    <row r="1178" spans="1:10" x14ac:dyDescent="0.25">
      <c r="A1178" s="394"/>
      <c r="B1178" s="395"/>
      <c r="C1178" s="396"/>
      <c r="D1178" s="459"/>
      <c r="E1178" s="397"/>
      <c r="F1178" s="398"/>
      <c r="G1178" s="463"/>
      <c r="H1178" s="398"/>
      <c r="I1178" s="403"/>
      <c r="J1178" s="241" t="b">
        <f>Age_Sex_BY[[#This Row],[Total Spending After Applying Truncation at the Member Level]]+Age_Sex_BY[[#This Row],[Total Dollars Excluded from Spending After Applying Truncation at the Member Level]]=Age_Sex_BY[[#This Row],[Total Spending before Truncation is Applied]]</f>
        <v>1</v>
      </c>
    </row>
    <row r="1179" spans="1:10" x14ac:dyDescent="0.25">
      <c r="A1179" s="393"/>
      <c r="B1179" s="387"/>
      <c r="C1179" s="388"/>
      <c r="D1179" s="458"/>
      <c r="E1179" s="389"/>
      <c r="F1179" s="390"/>
      <c r="G1179" s="462"/>
      <c r="H1179" s="390"/>
      <c r="I1179" s="402"/>
      <c r="J1179" s="241" t="b">
        <f>Age_Sex_BY[[#This Row],[Total Spending After Applying Truncation at the Member Level]]+Age_Sex_BY[[#This Row],[Total Dollars Excluded from Spending After Applying Truncation at the Member Level]]=Age_Sex_BY[[#This Row],[Total Spending before Truncation is Applied]]</f>
        <v>1</v>
      </c>
    </row>
    <row r="1180" spans="1:10" x14ac:dyDescent="0.25">
      <c r="A1180" s="394"/>
      <c r="B1180" s="395"/>
      <c r="C1180" s="396"/>
      <c r="D1180" s="459"/>
      <c r="E1180" s="397"/>
      <c r="F1180" s="398"/>
      <c r="G1180" s="463"/>
      <c r="H1180" s="398"/>
      <c r="I1180" s="403"/>
      <c r="J1180" s="241" t="b">
        <f>Age_Sex_BY[[#This Row],[Total Spending After Applying Truncation at the Member Level]]+Age_Sex_BY[[#This Row],[Total Dollars Excluded from Spending After Applying Truncation at the Member Level]]=Age_Sex_BY[[#This Row],[Total Spending before Truncation is Applied]]</f>
        <v>1</v>
      </c>
    </row>
    <row r="1181" spans="1:10" x14ac:dyDescent="0.25">
      <c r="A1181" s="393"/>
      <c r="B1181" s="387"/>
      <c r="C1181" s="388"/>
      <c r="D1181" s="458"/>
      <c r="E1181" s="389"/>
      <c r="F1181" s="390"/>
      <c r="G1181" s="462"/>
      <c r="H1181" s="390"/>
      <c r="I1181" s="402"/>
      <c r="J1181" s="241" t="b">
        <f>Age_Sex_BY[[#This Row],[Total Spending After Applying Truncation at the Member Level]]+Age_Sex_BY[[#This Row],[Total Dollars Excluded from Spending After Applying Truncation at the Member Level]]=Age_Sex_BY[[#This Row],[Total Spending before Truncation is Applied]]</f>
        <v>1</v>
      </c>
    </row>
    <row r="1182" spans="1:10" x14ac:dyDescent="0.25">
      <c r="A1182" s="394"/>
      <c r="B1182" s="395"/>
      <c r="C1182" s="396"/>
      <c r="D1182" s="459"/>
      <c r="E1182" s="397"/>
      <c r="F1182" s="398"/>
      <c r="G1182" s="463"/>
      <c r="H1182" s="398"/>
      <c r="I1182" s="403"/>
      <c r="J1182" s="241" t="b">
        <f>Age_Sex_BY[[#This Row],[Total Spending After Applying Truncation at the Member Level]]+Age_Sex_BY[[#This Row],[Total Dollars Excluded from Spending After Applying Truncation at the Member Level]]=Age_Sex_BY[[#This Row],[Total Spending before Truncation is Applied]]</f>
        <v>1</v>
      </c>
    </row>
    <row r="1183" spans="1:10" x14ac:dyDescent="0.25">
      <c r="A1183" s="393"/>
      <c r="B1183" s="387"/>
      <c r="C1183" s="388"/>
      <c r="D1183" s="458"/>
      <c r="E1183" s="389"/>
      <c r="F1183" s="390"/>
      <c r="G1183" s="462"/>
      <c r="H1183" s="390"/>
      <c r="I1183" s="402"/>
      <c r="J1183" s="241" t="b">
        <f>Age_Sex_BY[[#This Row],[Total Spending After Applying Truncation at the Member Level]]+Age_Sex_BY[[#This Row],[Total Dollars Excluded from Spending After Applying Truncation at the Member Level]]=Age_Sex_BY[[#This Row],[Total Spending before Truncation is Applied]]</f>
        <v>1</v>
      </c>
    </row>
    <row r="1184" spans="1:10" x14ac:dyDescent="0.25">
      <c r="A1184" s="394"/>
      <c r="B1184" s="395"/>
      <c r="C1184" s="396"/>
      <c r="D1184" s="459"/>
      <c r="E1184" s="397"/>
      <c r="F1184" s="398"/>
      <c r="G1184" s="463"/>
      <c r="H1184" s="398"/>
      <c r="I1184" s="403"/>
      <c r="J1184" s="241" t="b">
        <f>Age_Sex_BY[[#This Row],[Total Spending After Applying Truncation at the Member Level]]+Age_Sex_BY[[#This Row],[Total Dollars Excluded from Spending After Applying Truncation at the Member Level]]=Age_Sex_BY[[#This Row],[Total Spending before Truncation is Applied]]</f>
        <v>1</v>
      </c>
    </row>
    <row r="1185" spans="1:10" x14ac:dyDescent="0.25">
      <c r="A1185" s="393"/>
      <c r="B1185" s="387"/>
      <c r="C1185" s="388"/>
      <c r="D1185" s="458"/>
      <c r="E1185" s="389"/>
      <c r="F1185" s="390"/>
      <c r="G1185" s="462"/>
      <c r="H1185" s="390"/>
      <c r="I1185" s="402"/>
      <c r="J1185" s="241" t="b">
        <f>Age_Sex_BY[[#This Row],[Total Spending After Applying Truncation at the Member Level]]+Age_Sex_BY[[#This Row],[Total Dollars Excluded from Spending After Applying Truncation at the Member Level]]=Age_Sex_BY[[#This Row],[Total Spending before Truncation is Applied]]</f>
        <v>1</v>
      </c>
    </row>
    <row r="1186" spans="1:10" x14ac:dyDescent="0.25">
      <c r="A1186" s="394"/>
      <c r="B1186" s="395"/>
      <c r="C1186" s="396"/>
      <c r="D1186" s="459"/>
      <c r="E1186" s="397"/>
      <c r="F1186" s="398"/>
      <c r="G1186" s="463"/>
      <c r="H1186" s="398"/>
      <c r="I1186" s="403"/>
      <c r="J1186" s="241" t="b">
        <f>Age_Sex_BY[[#This Row],[Total Spending After Applying Truncation at the Member Level]]+Age_Sex_BY[[#This Row],[Total Dollars Excluded from Spending After Applying Truncation at the Member Level]]=Age_Sex_BY[[#This Row],[Total Spending before Truncation is Applied]]</f>
        <v>1</v>
      </c>
    </row>
    <row r="1187" spans="1:10" x14ac:dyDescent="0.25">
      <c r="A1187" s="393"/>
      <c r="B1187" s="387"/>
      <c r="C1187" s="388"/>
      <c r="D1187" s="458"/>
      <c r="E1187" s="389"/>
      <c r="F1187" s="390"/>
      <c r="G1187" s="462"/>
      <c r="H1187" s="390"/>
      <c r="I1187" s="402"/>
      <c r="J1187" s="241" t="b">
        <f>Age_Sex_BY[[#This Row],[Total Spending After Applying Truncation at the Member Level]]+Age_Sex_BY[[#This Row],[Total Dollars Excluded from Spending After Applying Truncation at the Member Level]]=Age_Sex_BY[[#This Row],[Total Spending before Truncation is Applied]]</f>
        <v>1</v>
      </c>
    </row>
    <row r="1188" spans="1:10" x14ac:dyDescent="0.25">
      <c r="A1188" s="394"/>
      <c r="B1188" s="395"/>
      <c r="C1188" s="396"/>
      <c r="D1188" s="459"/>
      <c r="E1188" s="397"/>
      <c r="F1188" s="398"/>
      <c r="G1188" s="463"/>
      <c r="H1188" s="398"/>
      <c r="I1188" s="403"/>
      <c r="J1188" s="241" t="b">
        <f>Age_Sex_BY[[#This Row],[Total Spending After Applying Truncation at the Member Level]]+Age_Sex_BY[[#This Row],[Total Dollars Excluded from Spending After Applying Truncation at the Member Level]]=Age_Sex_BY[[#This Row],[Total Spending before Truncation is Applied]]</f>
        <v>1</v>
      </c>
    </row>
    <row r="1189" spans="1:10" x14ac:dyDescent="0.25">
      <c r="A1189" s="393"/>
      <c r="B1189" s="387"/>
      <c r="C1189" s="388"/>
      <c r="D1189" s="458"/>
      <c r="E1189" s="389"/>
      <c r="F1189" s="390"/>
      <c r="G1189" s="462"/>
      <c r="H1189" s="390"/>
      <c r="I1189" s="402"/>
      <c r="J1189" s="241" t="b">
        <f>Age_Sex_BY[[#This Row],[Total Spending After Applying Truncation at the Member Level]]+Age_Sex_BY[[#This Row],[Total Dollars Excluded from Spending After Applying Truncation at the Member Level]]=Age_Sex_BY[[#This Row],[Total Spending before Truncation is Applied]]</f>
        <v>1</v>
      </c>
    </row>
    <row r="1190" spans="1:10" x14ac:dyDescent="0.25">
      <c r="A1190" s="394"/>
      <c r="B1190" s="395"/>
      <c r="C1190" s="396"/>
      <c r="D1190" s="459"/>
      <c r="E1190" s="397"/>
      <c r="F1190" s="398"/>
      <c r="G1190" s="463"/>
      <c r="H1190" s="398"/>
      <c r="I1190" s="403"/>
      <c r="J1190" s="241" t="b">
        <f>Age_Sex_BY[[#This Row],[Total Spending After Applying Truncation at the Member Level]]+Age_Sex_BY[[#This Row],[Total Dollars Excluded from Spending After Applying Truncation at the Member Level]]=Age_Sex_BY[[#This Row],[Total Spending before Truncation is Applied]]</f>
        <v>1</v>
      </c>
    </row>
    <row r="1191" spans="1:10" x14ac:dyDescent="0.25">
      <c r="A1191" s="393"/>
      <c r="B1191" s="387"/>
      <c r="C1191" s="388"/>
      <c r="D1191" s="458"/>
      <c r="E1191" s="389"/>
      <c r="F1191" s="390"/>
      <c r="G1191" s="462"/>
      <c r="H1191" s="390"/>
      <c r="I1191" s="402"/>
      <c r="J1191" s="241" t="b">
        <f>Age_Sex_BY[[#This Row],[Total Spending After Applying Truncation at the Member Level]]+Age_Sex_BY[[#This Row],[Total Dollars Excluded from Spending After Applying Truncation at the Member Level]]=Age_Sex_BY[[#This Row],[Total Spending before Truncation is Applied]]</f>
        <v>1</v>
      </c>
    </row>
    <row r="1192" spans="1:10" x14ac:dyDescent="0.25">
      <c r="A1192" s="394"/>
      <c r="B1192" s="395"/>
      <c r="C1192" s="396"/>
      <c r="D1192" s="459"/>
      <c r="E1192" s="397"/>
      <c r="F1192" s="398"/>
      <c r="G1192" s="463"/>
      <c r="H1192" s="398"/>
      <c r="I1192" s="403"/>
      <c r="J1192" s="241" t="b">
        <f>Age_Sex_BY[[#This Row],[Total Spending After Applying Truncation at the Member Level]]+Age_Sex_BY[[#This Row],[Total Dollars Excluded from Spending After Applying Truncation at the Member Level]]=Age_Sex_BY[[#This Row],[Total Spending before Truncation is Applied]]</f>
        <v>1</v>
      </c>
    </row>
    <row r="1193" spans="1:10" x14ac:dyDescent="0.25">
      <c r="A1193" s="393"/>
      <c r="B1193" s="387"/>
      <c r="C1193" s="388"/>
      <c r="D1193" s="458"/>
      <c r="E1193" s="389"/>
      <c r="F1193" s="390"/>
      <c r="G1193" s="462"/>
      <c r="H1193" s="390"/>
      <c r="I1193" s="402"/>
      <c r="J1193" s="241" t="b">
        <f>Age_Sex_BY[[#This Row],[Total Spending After Applying Truncation at the Member Level]]+Age_Sex_BY[[#This Row],[Total Dollars Excluded from Spending After Applying Truncation at the Member Level]]=Age_Sex_BY[[#This Row],[Total Spending before Truncation is Applied]]</f>
        <v>1</v>
      </c>
    </row>
    <row r="1194" spans="1:10" x14ac:dyDescent="0.25">
      <c r="A1194" s="394"/>
      <c r="B1194" s="395"/>
      <c r="C1194" s="396"/>
      <c r="D1194" s="459"/>
      <c r="E1194" s="397"/>
      <c r="F1194" s="398"/>
      <c r="G1194" s="463"/>
      <c r="H1194" s="398"/>
      <c r="I1194" s="403"/>
      <c r="J1194" s="241" t="b">
        <f>Age_Sex_BY[[#This Row],[Total Spending After Applying Truncation at the Member Level]]+Age_Sex_BY[[#This Row],[Total Dollars Excluded from Spending After Applying Truncation at the Member Level]]=Age_Sex_BY[[#This Row],[Total Spending before Truncation is Applied]]</f>
        <v>1</v>
      </c>
    </row>
    <row r="1195" spans="1:10" x14ac:dyDescent="0.25">
      <c r="A1195" s="393"/>
      <c r="B1195" s="387"/>
      <c r="C1195" s="388"/>
      <c r="D1195" s="458"/>
      <c r="E1195" s="389"/>
      <c r="F1195" s="390"/>
      <c r="G1195" s="462"/>
      <c r="H1195" s="390"/>
      <c r="I1195" s="402"/>
      <c r="J1195" s="241" t="b">
        <f>Age_Sex_BY[[#This Row],[Total Spending After Applying Truncation at the Member Level]]+Age_Sex_BY[[#This Row],[Total Dollars Excluded from Spending After Applying Truncation at the Member Level]]=Age_Sex_BY[[#This Row],[Total Spending before Truncation is Applied]]</f>
        <v>1</v>
      </c>
    </row>
    <row r="1196" spans="1:10" x14ac:dyDescent="0.25">
      <c r="A1196" s="394"/>
      <c r="B1196" s="395"/>
      <c r="C1196" s="396"/>
      <c r="D1196" s="459"/>
      <c r="E1196" s="397"/>
      <c r="F1196" s="398"/>
      <c r="G1196" s="463"/>
      <c r="H1196" s="398"/>
      <c r="I1196" s="403"/>
      <c r="J1196" s="241" t="b">
        <f>Age_Sex_BY[[#This Row],[Total Spending After Applying Truncation at the Member Level]]+Age_Sex_BY[[#This Row],[Total Dollars Excluded from Spending After Applying Truncation at the Member Level]]=Age_Sex_BY[[#This Row],[Total Spending before Truncation is Applied]]</f>
        <v>1</v>
      </c>
    </row>
    <row r="1197" spans="1:10" x14ac:dyDescent="0.25">
      <c r="A1197" s="393"/>
      <c r="B1197" s="387"/>
      <c r="C1197" s="388"/>
      <c r="D1197" s="458"/>
      <c r="E1197" s="389"/>
      <c r="F1197" s="390"/>
      <c r="G1197" s="462"/>
      <c r="H1197" s="390"/>
      <c r="I1197" s="402"/>
      <c r="J1197" s="241" t="b">
        <f>Age_Sex_BY[[#This Row],[Total Spending After Applying Truncation at the Member Level]]+Age_Sex_BY[[#This Row],[Total Dollars Excluded from Spending After Applying Truncation at the Member Level]]=Age_Sex_BY[[#This Row],[Total Spending before Truncation is Applied]]</f>
        <v>1</v>
      </c>
    </row>
    <row r="1198" spans="1:10" x14ac:dyDescent="0.25">
      <c r="A1198" s="394"/>
      <c r="B1198" s="395"/>
      <c r="C1198" s="396"/>
      <c r="D1198" s="459"/>
      <c r="E1198" s="397"/>
      <c r="F1198" s="398"/>
      <c r="G1198" s="463"/>
      <c r="H1198" s="398"/>
      <c r="I1198" s="403"/>
      <c r="J1198" s="241" t="b">
        <f>Age_Sex_BY[[#This Row],[Total Spending After Applying Truncation at the Member Level]]+Age_Sex_BY[[#This Row],[Total Dollars Excluded from Spending After Applying Truncation at the Member Level]]=Age_Sex_BY[[#This Row],[Total Spending before Truncation is Applied]]</f>
        <v>1</v>
      </c>
    </row>
    <row r="1199" spans="1:10" x14ac:dyDescent="0.25">
      <c r="A1199" s="393"/>
      <c r="B1199" s="387"/>
      <c r="C1199" s="388"/>
      <c r="D1199" s="458"/>
      <c r="E1199" s="389"/>
      <c r="F1199" s="390"/>
      <c r="G1199" s="462"/>
      <c r="H1199" s="390"/>
      <c r="I1199" s="402"/>
      <c r="J1199" s="241" t="b">
        <f>Age_Sex_BY[[#This Row],[Total Spending After Applying Truncation at the Member Level]]+Age_Sex_BY[[#This Row],[Total Dollars Excluded from Spending After Applying Truncation at the Member Level]]=Age_Sex_BY[[#This Row],[Total Spending before Truncation is Applied]]</f>
        <v>1</v>
      </c>
    </row>
    <row r="1200" spans="1:10" x14ac:dyDescent="0.25">
      <c r="A1200" s="394"/>
      <c r="B1200" s="395"/>
      <c r="C1200" s="396"/>
      <c r="D1200" s="459"/>
      <c r="E1200" s="397"/>
      <c r="F1200" s="398"/>
      <c r="G1200" s="463"/>
      <c r="H1200" s="398"/>
      <c r="I1200" s="403"/>
      <c r="J1200" s="241" t="b">
        <f>Age_Sex_BY[[#This Row],[Total Spending After Applying Truncation at the Member Level]]+Age_Sex_BY[[#This Row],[Total Dollars Excluded from Spending After Applying Truncation at the Member Level]]=Age_Sex_BY[[#This Row],[Total Spending before Truncation is Applied]]</f>
        <v>1</v>
      </c>
    </row>
    <row r="1201" spans="1:10" x14ac:dyDescent="0.25">
      <c r="A1201" s="393"/>
      <c r="B1201" s="387"/>
      <c r="C1201" s="388"/>
      <c r="D1201" s="458"/>
      <c r="E1201" s="389"/>
      <c r="F1201" s="390"/>
      <c r="G1201" s="462"/>
      <c r="H1201" s="390"/>
      <c r="I1201" s="402"/>
      <c r="J1201" s="241" t="b">
        <f>Age_Sex_BY[[#This Row],[Total Spending After Applying Truncation at the Member Level]]+Age_Sex_BY[[#This Row],[Total Dollars Excluded from Spending After Applying Truncation at the Member Level]]=Age_Sex_BY[[#This Row],[Total Spending before Truncation is Applied]]</f>
        <v>1</v>
      </c>
    </row>
    <row r="1202" spans="1:10" x14ac:dyDescent="0.25">
      <c r="A1202" s="394"/>
      <c r="B1202" s="395"/>
      <c r="C1202" s="396"/>
      <c r="D1202" s="459"/>
      <c r="E1202" s="397"/>
      <c r="F1202" s="398"/>
      <c r="G1202" s="463"/>
      <c r="H1202" s="398"/>
      <c r="I1202" s="403"/>
      <c r="J1202" s="241" t="b">
        <f>Age_Sex_BY[[#This Row],[Total Spending After Applying Truncation at the Member Level]]+Age_Sex_BY[[#This Row],[Total Dollars Excluded from Spending After Applying Truncation at the Member Level]]=Age_Sex_BY[[#This Row],[Total Spending before Truncation is Applied]]</f>
        <v>1</v>
      </c>
    </row>
    <row r="1203" spans="1:10" x14ac:dyDescent="0.25">
      <c r="A1203" s="393"/>
      <c r="B1203" s="387"/>
      <c r="C1203" s="388"/>
      <c r="D1203" s="458"/>
      <c r="E1203" s="389"/>
      <c r="F1203" s="390"/>
      <c r="G1203" s="462"/>
      <c r="H1203" s="390"/>
      <c r="I1203" s="402"/>
      <c r="J1203" s="241" t="b">
        <f>Age_Sex_BY[[#This Row],[Total Spending After Applying Truncation at the Member Level]]+Age_Sex_BY[[#This Row],[Total Dollars Excluded from Spending After Applying Truncation at the Member Level]]=Age_Sex_BY[[#This Row],[Total Spending before Truncation is Applied]]</f>
        <v>1</v>
      </c>
    </row>
    <row r="1204" spans="1:10" x14ac:dyDescent="0.25">
      <c r="A1204" s="394"/>
      <c r="B1204" s="395"/>
      <c r="C1204" s="396"/>
      <c r="D1204" s="459"/>
      <c r="E1204" s="397"/>
      <c r="F1204" s="398"/>
      <c r="G1204" s="463"/>
      <c r="H1204" s="398"/>
      <c r="I1204" s="403"/>
      <c r="J1204" s="241" t="b">
        <f>Age_Sex_BY[[#This Row],[Total Spending After Applying Truncation at the Member Level]]+Age_Sex_BY[[#This Row],[Total Dollars Excluded from Spending After Applying Truncation at the Member Level]]=Age_Sex_BY[[#This Row],[Total Spending before Truncation is Applied]]</f>
        <v>1</v>
      </c>
    </row>
    <row r="1205" spans="1:10" x14ac:dyDescent="0.25">
      <c r="A1205" s="393"/>
      <c r="B1205" s="387"/>
      <c r="C1205" s="388"/>
      <c r="D1205" s="458"/>
      <c r="E1205" s="389"/>
      <c r="F1205" s="390"/>
      <c r="G1205" s="462"/>
      <c r="H1205" s="390"/>
      <c r="I1205" s="402"/>
      <c r="J1205" s="241" t="b">
        <f>Age_Sex_BY[[#This Row],[Total Spending After Applying Truncation at the Member Level]]+Age_Sex_BY[[#This Row],[Total Dollars Excluded from Spending After Applying Truncation at the Member Level]]=Age_Sex_BY[[#This Row],[Total Spending before Truncation is Applied]]</f>
        <v>1</v>
      </c>
    </row>
    <row r="1206" spans="1:10" x14ac:dyDescent="0.25">
      <c r="A1206" s="394"/>
      <c r="B1206" s="395"/>
      <c r="C1206" s="396"/>
      <c r="D1206" s="459"/>
      <c r="E1206" s="397"/>
      <c r="F1206" s="398"/>
      <c r="G1206" s="463"/>
      <c r="H1206" s="398"/>
      <c r="I1206" s="403"/>
      <c r="J1206" s="241" t="b">
        <f>Age_Sex_BY[[#This Row],[Total Spending After Applying Truncation at the Member Level]]+Age_Sex_BY[[#This Row],[Total Dollars Excluded from Spending After Applying Truncation at the Member Level]]=Age_Sex_BY[[#This Row],[Total Spending before Truncation is Applied]]</f>
        <v>1</v>
      </c>
    </row>
    <row r="1207" spans="1:10" x14ac:dyDescent="0.25">
      <c r="A1207" s="393"/>
      <c r="B1207" s="387"/>
      <c r="C1207" s="388"/>
      <c r="D1207" s="458"/>
      <c r="E1207" s="389"/>
      <c r="F1207" s="390"/>
      <c r="G1207" s="462"/>
      <c r="H1207" s="390"/>
      <c r="I1207" s="402"/>
      <c r="J1207" s="241" t="b">
        <f>Age_Sex_BY[[#This Row],[Total Spending After Applying Truncation at the Member Level]]+Age_Sex_BY[[#This Row],[Total Dollars Excluded from Spending After Applying Truncation at the Member Level]]=Age_Sex_BY[[#This Row],[Total Spending before Truncation is Applied]]</f>
        <v>1</v>
      </c>
    </row>
    <row r="1208" spans="1:10" x14ac:dyDescent="0.25">
      <c r="A1208" s="394"/>
      <c r="B1208" s="395"/>
      <c r="C1208" s="396"/>
      <c r="D1208" s="459"/>
      <c r="E1208" s="397"/>
      <c r="F1208" s="398"/>
      <c r="G1208" s="463"/>
      <c r="H1208" s="398"/>
      <c r="I1208" s="403"/>
      <c r="J1208" s="241" t="b">
        <f>Age_Sex_BY[[#This Row],[Total Spending After Applying Truncation at the Member Level]]+Age_Sex_BY[[#This Row],[Total Dollars Excluded from Spending After Applying Truncation at the Member Level]]=Age_Sex_BY[[#This Row],[Total Spending before Truncation is Applied]]</f>
        <v>1</v>
      </c>
    </row>
    <row r="1209" spans="1:10" x14ac:dyDescent="0.25">
      <c r="A1209" s="393"/>
      <c r="B1209" s="387"/>
      <c r="C1209" s="388"/>
      <c r="D1209" s="458"/>
      <c r="E1209" s="389"/>
      <c r="F1209" s="390"/>
      <c r="G1209" s="462"/>
      <c r="H1209" s="390"/>
      <c r="I1209" s="402"/>
      <c r="J1209" s="241" t="b">
        <f>Age_Sex_BY[[#This Row],[Total Spending After Applying Truncation at the Member Level]]+Age_Sex_BY[[#This Row],[Total Dollars Excluded from Spending After Applying Truncation at the Member Level]]=Age_Sex_BY[[#This Row],[Total Spending before Truncation is Applied]]</f>
        <v>1</v>
      </c>
    </row>
    <row r="1210" spans="1:10" x14ac:dyDescent="0.25">
      <c r="A1210" s="394"/>
      <c r="B1210" s="395"/>
      <c r="C1210" s="396"/>
      <c r="D1210" s="459"/>
      <c r="E1210" s="397"/>
      <c r="F1210" s="398"/>
      <c r="G1210" s="463"/>
      <c r="H1210" s="398"/>
      <c r="I1210" s="403"/>
      <c r="J1210" s="241" t="b">
        <f>Age_Sex_BY[[#This Row],[Total Spending After Applying Truncation at the Member Level]]+Age_Sex_BY[[#This Row],[Total Dollars Excluded from Spending After Applying Truncation at the Member Level]]=Age_Sex_BY[[#This Row],[Total Spending before Truncation is Applied]]</f>
        <v>1</v>
      </c>
    </row>
    <row r="1211" spans="1:10" x14ac:dyDescent="0.25">
      <c r="A1211" s="393"/>
      <c r="B1211" s="387"/>
      <c r="C1211" s="388"/>
      <c r="D1211" s="458"/>
      <c r="E1211" s="389"/>
      <c r="F1211" s="390"/>
      <c r="G1211" s="462"/>
      <c r="H1211" s="390"/>
      <c r="I1211" s="402"/>
      <c r="J1211" s="241" t="b">
        <f>Age_Sex_BY[[#This Row],[Total Spending After Applying Truncation at the Member Level]]+Age_Sex_BY[[#This Row],[Total Dollars Excluded from Spending After Applying Truncation at the Member Level]]=Age_Sex_BY[[#This Row],[Total Spending before Truncation is Applied]]</f>
        <v>1</v>
      </c>
    </row>
    <row r="1212" spans="1:10" x14ac:dyDescent="0.25">
      <c r="A1212" s="394"/>
      <c r="B1212" s="395"/>
      <c r="C1212" s="396"/>
      <c r="D1212" s="459"/>
      <c r="E1212" s="397"/>
      <c r="F1212" s="398"/>
      <c r="G1212" s="463"/>
      <c r="H1212" s="398"/>
      <c r="I1212" s="403"/>
      <c r="J1212" s="241" t="b">
        <f>Age_Sex_BY[[#This Row],[Total Spending After Applying Truncation at the Member Level]]+Age_Sex_BY[[#This Row],[Total Dollars Excluded from Spending After Applying Truncation at the Member Level]]=Age_Sex_BY[[#This Row],[Total Spending before Truncation is Applied]]</f>
        <v>1</v>
      </c>
    </row>
    <row r="1213" spans="1:10" x14ac:dyDescent="0.25">
      <c r="A1213" s="393"/>
      <c r="B1213" s="387"/>
      <c r="C1213" s="388"/>
      <c r="D1213" s="458"/>
      <c r="E1213" s="389"/>
      <c r="F1213" s="390"/>
      <c r="G1213" s="462"/>
      <c r="H1213" s="390"/>
      <c r="I1213" s="402"/>
      <c r="J1213" s="241" t="b">
        <f>Age_Sex_BY[[#This Row],[Total Spending After Applying Truncation at the Member Level]]+Age_Sex_BY[[#This Row],[Total Dollars Excluded from Spending After Applying Truncation at the Member Level]]=Age_Sex_BY[[#This Row],[Total Spending before Truncation is Applied]]</f>
        <v>1</v>
      </c>
    </row>
    <row r="1214" spans="1:10" x14ac:dyDescent="0.25">
      <c r="A1214" s="394"/>
      <c r="B1214" s="395"/>
      <c r="C1214" s="396"/>
      <c r="D1214" s="459"/>
      <c r="E1214" s="397"/>
      <c r="F1214" s="398"/>
      <c r="G1214" s="463"/>
      <c r="H1214" s="398"/>
      <c r="I1214" s="403"/>
      <c r="J1214" s="241" t="b">
        <f>Age_Sex_BY[[#This Row],[Total Spending After Applying Truncation at the Member Level]]+Age_Sex_BY[[#This Row],[Total Dollars Excluded from Spending After Applying Truncation at the Member Level]]=Age_Sex_BY[[#This Row],[Total Spending before Truncation is Applied]]</f>
        <v>1</v>
      </c>
    </row>
    <row r="1215" spans="1:10" x14ac:dyDescent="0.25">
      <c r="A1215" s="393"/>
      <c r="B1215" s="387"/>
      <c r="C1215" s="388"/>
      <c r="D1215" s="458"/>
      <c r="E1215" s="389"/>
      <c r="F1215" s="390"/>
      <c r="G1215" s="462"/>
      <c r="H1215" s="390"/>
      <c r="I1215" s="402"/>
      <c r="J1215" s="241" t="b">
        <f>Age_Sex_BY[[#This Row],[Total Spending After Applying Truncation at the Member Level]]+Age_Sex_BY[[#This Row],[Total Dollars Excluded from Spending After Applying Truncation at the Member Level]]=Age_Sex_BY[[#This Row],[Total Spending before Truncation is Applied]]</f>
        <v>1</v>
      </c>
    </row>
    <row r="1216" spans="1:10" x14ac:dyDescent="0.25">
      <c r="A1216" s="394"/>
      <c r="B1216" s="395"/>
      <c r="C1216" s="396"/>
      <c r="D1216" s="459"/>
      <c r="E1216" s="397"/>
      <c r="F1216" s="398"/>
      <c r="G1216" s="463"/>
      <c r="H1216" s="398"/>
      <c r="I1216" s="403"/>
      <c r="J1216" s="241" t="b">
        <f>Age_Sex_BY[[#This Row],[Total Spending After Applying Truncation at the Member Level]]+Age_Sex_BY[[#This Row],[Total Dollars Excluded from Spending After Applying Truncation at the Member Level]]=Age_Sex_BY[[#This Row],[Total Spending before Truncation is Applied]]</f>
        <v>1</v>
      </c>
    </row>
    <row r="1217" spans="1:10" x14ac:dyDescent="0.25">
      <c r="A1217" s="393"/>
      <c r="B1217" s="387"/>
      <c r="C1217" s="388"/>
      <c r="D1217" s="458"/>
      <c r="E1217" s="389"/>
      <c r="F1217" s="390"/>
      <c r="G1217" s="462"/>
      <c r="H1217" s="390"/>
      <c r="I1217" s="402"/>
      <c r="J1217" s="241" t="b">
        <f>Age_Sex_BY[[#This Row],[Total Spending After Applying Truncation at the Member Level]]+Age_Sex_BY[[#This Row],[Total Dollars Excluded from Spending After Applying Truncation at the Member Level]]=Age_Sex_BY[[#This Row],[Total Spending before Truncation is Applied]]</f>
        <v>1</v>
      </c>
    </row>
    <row r="1218" spans="1:10" x14ac:dyDescent="0.25">
      <c r="A1218" s="394"/>
      <c r="B1218" s="395"/>
      <c r="C1218" s="396"/>
      <c r="D1218" s="459"/>
      <c r="E1218" s="397"/>
      <c r="F1218" s="398"/>
      <c r="G1218" s="463"/>
      <c r="H1218" s="398"/>
      <c r="I1218" s="403"/>
      <c r="J1218" s="241" t="b">
        <f>Age_Sex_BY[[#This Row],[Total Spending After Applying Truncation at the Member Level]]+Age_Sex_BY[[#This Row],[Total Dollars Excluded from Spending After Applying Truncation at the Member Level]]=Age_Sex_BY[[#This Row],[Total Spending before Truncation is Applied]]</f>
        <v>1</v>
      </c>
    </row>
    <row r="1219" spans="1:10" x14ac:dyDescent="0.25">
      <c r="A1219" s="393"/>
      <c r="B1219" s="387"/>
      <c r="C1219" s="388"/>
      <c r="D1219" s="458"/>
      <c r="E1219" s="389"/>
      <c r="F1219" s="390"/>
      <c r="G1219" s="462"/>
      <c r="H1219" s="390"/>
      <c r="I1219" s="402"/>
      <c r="J1219" s="241" t="b">
        <f>Age_Sex_BY[[#This Row],[Total Spending After Applying Truncation at the Member Level]]+Age_Sex_BY[[#This Row],[Total Dollars Excluded from Spending After Applying Truncation at the Member Level]]=Age_Sex_BY[[#This Row],[Total Spending before Truncation is Applied]]</f>
        <v>1</v>
      </c>
    </row>
    <row r="1220" spans="1:10" x14ac:dyDescent="0.25">
      <c r="A1220" s="394"/>
      <c r="B1220" s="395"/>
      <c r="C1220" s="396"/>
      <c r="D1220" s="459"/>
      <c r="E1220" s="397"/>
      <c r="F1220" s="398"/>
      <c r="G1220" s="463"/>
      <c r="H1220" s="398"/>
      <c r="I1220" s="403"/>
      <c r="J1220" s="241" t="b">
        <f>Age_Sex_BY[[#This Row],[Total Spending After Applying Truncation at the Member Level]]+Age_Sex_BY[[#This Row],[Total Dollars Excluded from Spending After Applying Truncation at the Member Level]]=Age_Sex_BY[[#This Row],[Total Spending before Truncation is Applied]]</f>
        <v>1</v>
      </c>
    </row>
    <row r="1221" spans="1:10" x14ac:dyDescent="0.25">
      <c r="A1221" s="393"/>
      <c r="B1221" s="387"/>
      <c r="C1221" s="388"/>
      <c r="D1221" s="458"/>
      <c r="E1221" s="389"/>
      <c r="F1221" s="390"/>
      <c r="G1221" s="462"/>
      <c r="H1221" s="390"/>
      <c r="I1221" s="402"/>
      <c r="J1221" s="241" t="b">
        <f>Age_Sex_BY[[#This Row],[Total Spending After Applying Truncation at the Member Level]]+Age_Sex_BY[[#This Row],[Total Dollars Excluded from Spending After Applying Truncation at the Member Level]]=Age_Sex_BY[[#This Row],[Total Spending before Truncation is Applied]]</f>
        <v>1</v>
      </c>
    </row>
    <row r="1222" spans="1:10" x14ac:dyDescent="0.25">
      <c r="A1222" s="394"/>
      <c r="B1222" s="395"/>
      <c r="C1222" s="396"/>
      <c r="D1222" s="459"/>
      <c r="E1222" s="397"/>
      <c r="F1222" s="398"/>
      <c r="G1222" s="463"/>
      <c r="H1222" s="398"/>
      <c r="I1222" s="403"/>
      <c r="J1222" s="241" t="b">
        <f>Age_Sex_BY[[#This Row],[Total Spending After Applying Truncation at the Member Level]]+Age_Sex_BY[[#This Row],[Total Dollars Excluded from Spending After Applying Truncation at the Member Level]]=Age_Sex_BY[[#This Row],[Total Spending before Truncation is Applied]]</f>
        <v>1</v>
      </c>
    </row>
    <row r="1223" spans="1:10" x14ac:dyDescent="0.25">
      <c r="A1223" s="393"/>
      <c r="B1223" s="387"/>
      <c r="C1223" s="388"/>
      <c r="D1223" s="458"/>
      <c r="E1223" s="389"/>
      <c r="F1223" s="390"/>
      <c r="G1223" s="462"/>
      <c r="H1223" s="390"/>
      <c r="I1223" s="402"/>
      <c r="J1223" s="241" t="b">
        <f>Age_Sex_BY[[#This Row],[Total Spending After Applying Truncation at the Member Level]]+Age_Sex_BY[[#This Row],[Total Dollars Excluded from Spending After Applying Truncation at the Member Level]]=Age_Sex_BY[[#This Row],[Total Spending before Truncation is Applied]]</f>
        <v>1</v>
      </c>
    </row>
    <row r="1224" spans="1:10" x14ac:dyDescent="0.25">
      <c r="A1224" s="394"/>
      <c r="B1224" s="395"/>
      <c r="C1224" s="396"/>
      <c r="D1224" s="459"/>
      <c r="E1224" s="397"/>
      <c r="F1224" s="398"/>
      <c r="G1224" s="463"/>
      <c r="H1224" s="398"/>
      <c r="I1224" s="403"/>
      <c r="J1224" s="241" t="b">
        <f>Age_Sex_BY[[#This Row],[Total Spending After Applying Truncation at the Member Level]]+Age_Sex_BY[[#This Row],[Total Dollars Excluded from Spending After Applying Truncation at the Member Level]]=Age_Sex_BY[[#This Row],[Total Spending before Truncation is Applied]]</f>
        <v>1</v>
      </c>
    </row>
    <row r="1225" spans="1:10" x14ac:dyDescent="0.25">
      <c r="A1225" s="393"/>
      <c r="B1225" s="387"/>
      <c r="C1225" s="388"/>
      <c r="D1225" s="458"/>
      <c r="E1225" s="389"/>
      <c r="F1225" s="390"/>
      <c r="G1225" s="462"/>
      <c r="H1225" s="390"/>
      <c r="I1225" s="402"/>
      <c r="J1225" s="241" t="b">
        <f>Age_Sex_BY[[#This Row],[Total Spending After Applying Truncation at the Member Level]]+Age_Sex_BY[[#This Row],[Total Dollars Excluded from Spending After Applying Truncation at the Member Level]]=Age_Sex_BY[[#This Row],[Total Spending before Truncation is Applied]]</f>
        <v>1</v>
      </c>
    </row>
    <row r="1226" spans="1:10" x14ac:dyDescent="0.25">
      <c r="A1226" s="394"/>
      <c r="B1226" s="395"/>
      <c r="C1226" s="396"/>
      <c r="D1226" s="459"/>
      <c r="E1226" s="397"/>
      <c r="F1226" s="398"/>
      <c r="G1226" s="463"/>
      <c r="H1226" s="398"/>
      <c r="I1226" s="403"/>
      <c r="J1226" s="241" t="b">
        <f>Age_Sex_BY[[#This Row],[Total Spending After Applying Truncation at the Member Level]]+Age_Sex_BY[[#This Row],[Total Dollars Excluded from Spending After Applying Truncation at the Member Level]]=Age_Sex_BY[[#This Row],[Total Spending before Truncation is Applied]]</f>
        <v>1</v>
      </c>
    </row>
    <row r="1227" spans="1:10" x14ac:dyDescent="0.25">
      <c r="A1227" s="393"/>
      <c r="B1227" s="387"/>
      <c r="C1227" s="388"/>
      <c r="D1227" s="458"/>
      <c r="E1227" s="389"/>
      <c r="F1227" s="390"/>
      <c r="G1227" s="462"/>
      <c r="H1227" s="390"/>
      <c r="I1227" s="402"/>
      <c r="J1227" s="241" t="b">
        <f>Age_Sex_BY[[#This Row],[Total Spending After Applying Truncation at the Member Level]]+Age_Sex_BY[[#This Row],[Total Dollars Excluded from Spending After Applying Truncation at the Member Level]]=Age_Sex_BY[[#This Row],[Total Spending before Truncation is Applied]]</f>
        <v>1</v>
      </c>
    </row>
    <row r="1228" spans="1:10" x14ac:dyDescent="0.25">
      <c r="A1228" s="394"/>
      <c r="B1228" s="395"/>
      <c r="C1228" s="396"/>
      <c r="D1228" s="459"/>
      <c r="E1228" s="397"/>
      <c r="F1228" s="398"/>
      <c r="G1228" s="463"/>
      <c r="H1228" s="398"/>
      <c r="I1228" s="403"/>
      <c r="J1228" s="241" t="b">
        <f>Age_Sex_BY[[#This Row],[Total Spending After Applying Truncation at the Member Level]]+Age_Sex_BY[[#This Row],[Total Dollars Excluded from Spending After Applying Truncation at the Member Level]]=Age_Sex_BY[[#This Row],[Total Spending before Truncation is Applied]]</f>
        <v>1</v>
      </c>
    </row>
    <row r="1229" spans="1:10" x14ac:dyDescent="0.25">
      <c r="A1229" s="393"/>
      <c r="B1229" s="387"/>
      <c r="C1229" s="388"/>
      <c r="D1229" s="458"/>
      <c r="E1229" s="389"/>
      <c r="F1229" s="390"/>
      <c r="G1229" s="462"/>
      <c r="H1229" s="390"/>
      <c r="I1229" s="402"/>
      <c r="J1229" s="241" t="b">
        <f>Age_Sex_BY[[#This Row],[Total Spending After Applying Truncation at the Member Level]]+Age_Sex_BY[[#This Row],[Total Dollars Excluded from Spending After Applying Truncation at the Member Level]]=Age_Sex_BY[[#This Row],[Total Spending before Truncation is Applied]]</f>
        <v>1</v>
      </c>
    </row>
    <row r="1230" spans="1:10" x14ac:dyDescent="0.25">
      <c r="A1230" s="394"/>
      <c r="B1230" s="395"/>
      <c r="C1230" s="396"/>
      <c r="D1230" s="459"/>
      <c r="E1230" s="397"/>
      <c r="F1230" s="398"/>
      <c r="G1230" s="463"/>
      <c r="H1230" s="398"/>
      <c r="I1230" s="403"/>
      <c r="J1230" s="241" t="b">
        <f>Age_Sex_BY[[#This Row],[Total Spending After Applying Truncation at the Member Level]]+Age_Sex_BY[[#This Row],[Total Dollars Excluded from Spending After Applying Truncation at the Member Level]]=Age_Sex_BY[[#This Row],[Total Spending before Truncation is Applied]]</f>
        <v>1</v>
      </c>
    </row>
    <row r="1231" spans="1:10" x14ac:dyDescent="0.25">
      <c r="A1231" s="393"/>
      <c r="B1231" s="387"/>
      <c r="C1231" s="388"/>
      <c r="D1231" s="458"/>
      <c r="E1231" s="389"/>
      <c r="F1231" s="390"/>
      <c r="G1231" s="462"/>
      <c r="H1231" s="390"/>
      <c r="I1231" s="402"/>
      <c r="J1231" s="241" t="b">
        <f>Age_Sex_BY[[#This Row],[Total Spending After Applying Truncation at the Member Level]]+Age_Sex_BY[[#This Row],[Total Dollars Excluded from Spending After Applying Truncation at the Member Level]]=Age_Sex_BY[[#This Row],[Total Spending before Truncation is Applied]]</f>
        <v>1</v>
      </c>
    </row>
    <row r="1232" spans="1:10" x14ac:dyDescent="0.25">
      <c r="A1232" s="394"/>
      <c r="B1232" s="395"/>
      <c r="C1232" s="396"/>
      <c r="D1232" s="459"/>
      <c r="E1232" s="397"/>
      <c r="F1232" s="398"/>
      <c r="G1232" s="463"/>
      <c r="H1232" s="398"/>
      <c r="I1232" s="403"/>
      <c r="J1232" s="241" t="b">
        <f>Age_Sex_BY[[#This Row],[Total Spending After Applying Truncation at the Member Level]]+Age_Sex_BY[[#This Row],[Total Dollars Excluded from Spending After Applying Truncation at the Member Level]]=Age_Sex_BY[[#This Row],[Total Spending before Truncation is Applied]]</f>
        <v>1</v>
      </c>
    </row>
    <row r="1233" spans="1:10" x14ac:dyDescent="0.25">
      <c r="A1233" s="393"/>
      <c r="B1233" s="387"/>
      <c r="C1233" s="388"/>
      <c r="D1233" s="458"/>
      <c r="E1233" s="389"/>
      <c r="F1233" s="390"/>
      <c r="G1233" s="462"/>
      <c r="H1233" s="390"/>
      <c r="I1233" s="402"/>
      <c r="J1233" s="241" t="b">
        <f>Age_Sex_BY[[#This Row],[Total Spending After Applying Truncation at the Member Level]]+Age_Sex_BY[[#This Row],[Total Dollars Excluded from Spending After Applying Truncation at the Member Level]]=Age_Sex_BY[[#This Row],[Total Spending before Truncation is Applied]]</f>
        <v>1</v>
      </c>
    </row>
    <row r="1234" spans="1:10" x14ac:dyDescent="0.25">
      <c r="A1234" s="394"/>
      <c r="B1234" s="395"/>
      <c r="C1234" s="396"/>
      <c r="D1234" s="459"/>
      <c r="E1234" s="397"/>
      <c r="F1234" s="398"/>
      <c r="G1234" s="463"/>
      <c r="H1234" s="398"/>
      <c r="I1234" s="403"/>
      <c r="J1234" s="241" t="b">
        <f>Age_Sex_BY[[#This Row],[Total Spending After Applying Truncation at the Member Level]]+Age_Sex_BY[[#This Row],[Total Dollars Excluded from Spending After Applying Truncation at the Member Level]]=Age_Sex_BY[[#This Row],[Total Spending before Truncation is Applied]]</f>
        <v>1</v>
      </c>
    </row>
    <row r="1235" spans="1:10" x14ac:dyDescent="0.25">
      <c r="A1235" s="393"/>
      <c r="B1235" s="387"/>
      <c r="C1235" s="388"/>
      <c r="D1235" s="458"/>
      <c r="E1235" s="389"/>
      <c r="F1235" s="390"/>
      <c r="G1235" s="462"/>
      <c r="H1235" s="390"/>
      <c r="I1235" s="402"/>
      <c r="J1235" s="241" t="b">
        <f>Age_Sex_BY[[#This Row],[Total Spending After Applying Truncation at the Member Level]]+Age_Sex_BY[[#This Row],[Total Dollars Excluded from Spending After Applying Truncation at the Member Level]]=Age_Sex_BY[[#This Row],[Total Spending before Truncation is Applied]]</f>
        <v>1</v>
      </c>
    </row>
    <row r="1236" spans="1:10" x14ac:dyDescent="0.25">
      <c r="A1236" s="394"/>
      <c r="B1236" s="395"/>
      <c r="C1236" s="396"/>
      <c r="D1236" s="459"/>
      <c r="E1236" s="397"/>
      <c r="F1236" s="398"/>
      <c r="G1236" s="463"/>
      <c r="H1236" s="398"/>
      <c r="I1236" s="403"/>
      <c r="J1236" s="241" t="b">
        <f>Age_Sex_BY[[#This Row],[Total Spending After Applying Truncation at the Member Level]]+Age_Sex_BY[[#This Row],[Total Dollars Excluded from Spending After Applying Truncation at the Member Level]]=Age_Sex_BY[[#This Row],[Total Spending before Truncation is Applied]]</f>
        <v>1</v>
      </c>
    </row>
    <row r="1237" spans="1:10" x14ac:dyDescent="0.25">
      <c r="A1237" s="393"/>
      <c r="B1237" s="387"/>
      <c r="C1237" s="388"/>
      <c r="D1237" s="458"/>
      <c r="E1237" s="389"/>
      <c r="F1237" s="390"/>
      <c r="G1237" s="462"/>
      <c r="H1237" s="390"/>
      <c r="I1237" s="402"/>
      <c r="J1237" s="241" t="b">
        <f>Age_Sex_BY[[#This Row],[Total Spending After Applying Truncation at the Member Level]]+Age_Sex_BY[[#This Row],[Total Dollars Excluded from Spending After Applying Truncation at the Member Level]]=Age_Sex_BY[[#This Row],[Total Spending before Truncation is Applied]]</f>
        <v>1</v>
      </c>
    </row>
    <row r="1238" spans="1:10" x14ac:dyDescent="0.25">
      <c r="A1238" s="394"/>
      <c r="B1238" s="395"/>
      <c r="C1238" s="396"/>
      <c r="D1238" s="459"/>
      <c r="E1238" s="397"/>
      <c r="F1238" s="398"/>
      <c r="G1238" s="463"/>
      <c r="H1238" s="398"/>
      <c r="I1238" s="403"/>
      <c r="J1238" s="241" t="b">
        <f>Age_Sex_BY[[#This Row],[Total Spending After Applying Truncation at the Member Level]]+Age_Sex_BY[[#This Row],[Total Dollars Excluded from Spending After Applying Truncation at the Member Level]]=Age_Sex_BY[[#This Row],[Total Spending before Truncation is Applied]]</f>
        <v>1</v>
      </c>
    </row>
    <row r="1239" spans="1:10" x14ac:dyDescent="0.25">
      <c r="A1239" s="393"/>
      <c r="B1239" s="387"/>
      <c r="C1239" s="388"/>
      <c r="D1239" s="458"/>
      <c r="E1239" s="389"/>
      <c r="F1239" s="390"/>
      <c r="G1239" s="462"/>
      <c r="H1239" s="390"/>
      <c r="I1239" s="402"/>
      <c r="J1239" s="241" t="b">
        <f>Age_Sex_BY[[#This Row],[Total Spending After Applying Truncation at the Member Level]]+Age_Sex_BY[[#This Row],[Total Dollars Excluded from Spending After Applying Truncation at the Member Level]]=Age_Sex_BY[[#This Row],[Total Spending before Truncation is Applied]]</f>
        <v>1</v>
      </c>
    </row>
    <row r="1240" spans="1:10" x14ac:dyDescent="0.25">
      <c r="A1240" s="394"/>
      <c r="B1240" s="395"/>
      <c r="C1240" s="396"/>
      <c r="D1240" s="459"/>
      <c r="E1240" s="397"/>
      <c r="F1240" s="398"/>
      <c r="G1240" s="463"/>
      <c r="H1240" s="398"/>
      <c r="I1240" s="403"/>
      <c r="J1240" s="241" t="b">
        <f>Age_Sex_BY[[#This Row],[Total Spending After Applying Truncation at the Member Level]]+Age_Sex_BY[[#This Row],[Total Dollars Excluded from Spending After Applying Truncation at the Member Level]]=Age_Sex_BY[[#This Row],[Total Spending before Truncation is Applied]]</f>
        <v>1</v>
      </c>
    </row>
    <row r="1241" spans="1:10" x14ac:dyDescent="0.25">
      <c r="A1241" s="393"/>
      <c r="B1241" s="387"/>
      <c r="C1241" s="388"/>
      <c r="D1241" s="458"/>
      <c r="E1241" s="389"/>
      <c r="F1241" s="390"/>
      <c r="G1241" s="462"/>
      <c r="H1241" s="390"/>
      <c r="I1241" s="402"/>
      <c r="J1241" s="241" t="b">
        <f>Age_Sex_BY[[#This Row],[Total Spending After Applying Truncation at the Member Level]]+Age_Sex_BY[[#This Row],[Total Dollars Excluded from Spending After Applying Truncation at the Member Level]]=Age_Sex_BY[[#This Row],[Total Spending before Truncation is Applied]]</f>
        <v>1</v>
      </c>
    </row>
    <row r="1242" spans="1:10" x14ac:dyDescent="0.25">
      <c r="A1242" s="394"/>
      <c r="B1242" s="395"/>
      <c r="C1242" s="396"/>
      <c r="D1242" s="459"/>
      <c r="E1242" s="397"/>
      <c r="F1242" s="398"/>
      <c r="G1242" s="463"/>
      <c r="H1242" s="398"/>
      <c r="I1242" s="403"/>
      <c r="J1242" s="241" t="b">
        <f>Age_Sex_BY[[#This Row],[Total Spending After Applying Truncation at the Member Level]]+Age_Sex_BY[[#This Row],[Total Dollars Excluded from Spending After Applying Truncation at the Member Level]]=Age_Sex_BY[[#This Row],[Total Spending before Truncation is Applied]]</f>
        <v>1</v>
      </c>
    </row>
    <row r="1243" spans="1:10" x14ac:dyDescent="0.25">
      <c r="A1243" s="393"/>
      <c r="B1243" s="387"/>
      <c r="C1243" s="388"/>
      <c r="D1243" s="458"/>
      <c r="E1243" s="389"/>
      <c r="F1243" s="390"/>
      <c r="G1243" s="462"/>
      <c r="H1243" s="390"/>
      <c r="I1243" s="402"/>
      <c r="J1243" s="241" t="b">
        <f>Age_Sex_BY[[#This Row],[Total Spending After Applying Truncation at the Member Level]]+Age_Sex_BY[[#This Row],[Total Dollars Excluded from Spending After Applying Truncation at the Member Level]]=Age_Sex_BY[[#This Row],[Total Spending before Truncation is Applied]]</f>
        <v>1</v>
      </c>
    </row>
    <row r="1244" spans="1:10" x14ac:dyDescent="0.25">
      <c r="A1244" s="394"/>
      <c r="B1244" s="395"/>
      <c r="C1244" s="396"/>
      <c r="D1244" s="459"/>
      <c r="E1244" s="397"/>
      <c r="F1244" s="398"/>
      <c r="G1244" s="463"/>
      <c r="H1244" s="398"/>
      <c r="I1244" s="403"/>
      <c r="J1244" s="241" t="b">
        <f>Age_Sex_BY[[#This Row],[Total Spending After Applying Truncation at the Member Level]]+Age_Sex_BY[[#This Row],[Total Dollars Excluded from Spending After Applying Truncation at the Member Level]]=Age_Sex_BY[[#This Row],[Total Spending before Truncation is Applied]]</f>
        <v>1</v>
      </c>
    </row>
    <row r="1245" spans="1:10" x14ac:dyDescent="0.25">
      <c r="A1245" s="393"/>
      <c r="B1245" s="387"/>
      <c r="C1245" s="388"/>
      <c r="D1245" s="458"/>
      <c r="E1245" s="389"/>
      <c r="F1245" s="390"/>
      <c r="G1245" s="462"/>
      <c r="H1245" s="390"/>
      <c r="I1245" s="402"/>
      <c r="J1245" s="241" t="b">
        <f>Age_Sex_BY[[#This Row],[Total Spending After Applying Truncation at the Member Level]]+Age_Sex_BY[[#This Row],[Total Dollars Excluded from Spending After Applying Truncation at the Member Level]]=Age_Sex_BY[[#This Row],[Total Spending before Truncation is Applied]]</f>
        <v>1</v>
      </c>
    </row>
    <row r="1246" spans="1:10" x14ac:dyDescent="0.25">
      <c r="A1246" s="394"/>
      <c r="B1246" s="395"/>
      <c r="C1246" s="396"/>
      <c r="D1246" s="459"/>
      <c r="E1246" s="397"/>
      <c r="F1246" s="398"/>
      <c r="G1246" s="463"/>
      <c r="H1246" s="398"/>
      <c r="I1246" s="403"/>
      <c r="J1246" s="241" t="b">
        <f>Age_Sex_BY[[#This Row],[Total Spending After Applying Truncation at the Member Level]]+Age_Sex_BY[[#This Row],[Total Dollars Excluded from Spending After Applying Truncation at the Member Level]]=Age_Sex_BY[[#This Row],[Total Spending before Truncation is Applied]]</f>
        <v>1</v>
      </c>
    </row>
    <row r="1247" spans="1:10" x14ac:dyDescent="0.25">
      <c r="A1247" s="393"/>
      <c r="B1247" s="387"/>
      <c r="C1247" s="388"/>
      <c r="D1247" s="458"/>
      <c r="E1247" s="389"/>
      <c r="F1247" s="390"/>
      <c r="G1247" s="462"/>
      <c r="H1247" s="390"/>
      <c r="I1247" s="402"/>
      <c r="J1247" s="241" t="b">
        <f>Age_Sex_BY[[#This Row],[Total Spending After Applying Truncation at the Member Level]]+Age_Sex_BY[[#This Row],[Total Dollars Excluded from Spending After Applying Truncation at the Member Level]]=Age_Sex_BY[[#This Row],[Total Spending before Truncation is Applied]]</f>
        <v>1</v>
      </c>
    </row>
    <row r="1248" spans="1:10" x14ac:dyDescent="0.25">
      <c r="A1248" s="394"/>
      <c r="B1248" s="395"/>
      <c r="C1248" s="396"/>
      <c r="D1248" s="459"/>
      <c r="E1248" s="397"/>
      <c r="F1248" s="398"/>
      <c r="G1248" s="463"/>
      <c r="H1248" s="398"/>
      <c r="I1248" s="403"/>
      <c r="J1248" s="241" t="b">
        <f>Age_Sex_BY[[#This Row],[Total Spending After Applying Truncation at the Member Level]]+Age_Sex_BY[[#This Row],[Total Dollars Excluded from Spending After Applying Truncation at the Member Level]]=Age_Sex_BY[[#This Row],[Total Spending before Truncation is Applied]]</f>
        <v>1</v>
      </c>
    </row>
    <row r="1249" spans="1:10" x14ac:dyDescent="0.25">
      <c r="A1249" s="393"/>
      <c r="B1249" s="387"/>
      <c r="C1249" s="388"/>
      <c r="D1249" s="458"/>
      <c r="E1249" s="389"/>
      <c r="F1249" s="390"/>
      <c r="G1249" s="462"/>
      <c r="H1249" s="390"/>
      <c r="I1249" s="402"/>
      <c r="J1249" s="241" t="b">
        <f>Age_Sex_BY[[#This Row],[Total Spending After Applying Truncation at the Member Level]]+Age_Sex_BY[[#This Row],[Total Dollars Excluded from Spending After Applying Truncation at the Member Level]]=Age_Sex_BY[[#This Row],[Total Spending before Truncation is Applied]]</f>
        <v>1</v>
      </c>
    </row>
    <row r="1250" spans="1:10" x14ac:dyDescent="0.25">
      <c r="A1250" s="394"/>
      <c r="B1250" s="395"/>
      <c r="C1250" s="396"/>
      <c r="D1250" s="459"/>
      <c r="E1250" s="397"/>
      <c r="F1250" s="398"/>
      <c r="G1250" s="463"/>
      <c r="H1250" s="398"/>
      <c r="I1250" s="403"/>
      <c r="J1250" s="241" t="b">
        <f>Age_Sex_BY[[#This Row],[Total Spending After Applying Truncation at the Member Level]]+Age_Sex_BY[[#This Row],[Total Dollars Excluded from Spending After Applying Truncation at the Member Level]]=Age_Sex_BY[[#This Row],[Total Spending before Truncation is Applied]]</f>
        <v>1</v>
      </c>
    </row>
    <row r="1251" spans="1:10" x14ac:dyDescent="0.25">
      <c r="A1251" s="393"/>
      <c r="B1251" s="387"/>
      <c r="C1251" s="388"/>
      <c r="D1251" s="458"/>
      <c r="E1251" s="389"/>
      <c r="F1251" s="390"/>
      <c r="G1251" s="462"/>
      <c r="H1251" s="390"/>
      <c r="I1251" s="402"/>
      <c r="J1251" s="241" t="b">
        <f>Age_Sex_BY[[#This Row],[Total Spending After Applying Truncation at the Member Level]]+Age_Sex_BY[[#This Row],[Total Dollars Excluded from Spending After Applying Truncation at the Member Level]]=Age_Sex_BY[[#This Row],[Total Spending before Truncation is Applied]]</f>
        <v>1</v>
      </c>
    </row>
    <row r="1252" spans="1:10" x14ac:dyDescent="0.25">
      <c r="A1252" s="394"/>
      <c r="B1252" s="395"/>
      <c r="C1252" s="396"/>
      <c r="D1252" s="459"/>
      <c r="E1252" s="397"/>
      <c r="F1252" s="398"/>
      <c r="G1252" s="463"/>
      <c r="H1252" s="398"/>
      <c r="I1252" s="403"/>
      <c r="J1252" s="241" t="b">
        <f>Age_Sex_BY[[#This Row],[Total Spending After Applying Truncation at the Member Level]]+Age_Sex_BY[[#This Row],[Total Dollars Excluded from Spending After Applying Truncation at the Member Level]]=Age_Sex_BY[[#This Row],[Total Spending before Truncation is Applied]]</f>
        <v>1</v>
      </c>
    </row>
    <row r="1253" spans="1:10" x14ac:dyDescent="0.25">
      <c r="A1253" s="393"/>
      <c r="B1253" s="387"/>
      <c r="C1253" s="388"/>
      <c r="D1253" s="458"/>
      <c r="E1253" s="389"/>
      <c r="F1253" s="390"/>
      <c r="G1253" s="462"/>
      <c r="H1253" s="390"/>
      <c r="I1253" s="402"/>
      <c r="J1253" s="241" t="b">
        <f>Age_Sex_BY[[#This Row],[Total Spending After Applying Truncation at the Member Level]]+Age_Sex_BY[[#This Row],[Total Dollars Excluded from Spending After Applying Truncation at the Member Level]]=Age_Sex_BY[[#This Row],[Total Spending before Truncation is Applied]]</f>
        <v>1</v>
      </c>
    </row>
    <row r="1254" spans="1:10" x14ac:dyDescent="0.25">
      <c r="A1254" s="394"/>
      <c r="B1254" s="395"/>
      <c r="C1254" s="396"/>
      <c r="D1254" s="459"/>
      <c r="E1254" s="397"/>
      <c r="F1254" s="398"/>
      <c r="G1254" s="463"/>
      <c r="H1254" s="398"/>
      <c r="I1254" s="403"/>
      <c r="J1254" s="241" t="b">
        <f>Age_Sex_BY[[#This Row],[Total Spending After Applying Truncation at the Member Level]]+Age_Sex_BY[[#This Row],[Total Dollars Excluded from Spending After Applying Truncation at the Member Level]]=Age_Sex_BY[[#This Row],[Total Spending before Truncation is Applied]]</f>
        <v>1</v>
      </c>
    </row>
    <row r="1255" spans="1:10" x14ac:dyDescent="0.25">
      <c r="A1255" s="393"/>
      <c r="B1255" s="387"/>
      <c r="C1255" s="388"/>
      <c r="D1255" s="458"/>
      <c r="E1255" s="389"/>
      <c r="F1255" s="390"/>
      <c r="G1255" s="462"/>
      <c r="H1255" s="390"/>
      <c r="I1255" s="402"/>
      <c r="J1255" s="241" t="b">
        <f>Age_Sex_BY[[#This Row],[Total Spending After Applying Truncation at the Member Level]]+Age_Sex_BY[[#This Row],[Total Dollars Excluded from Spending After Applying Truncation at the Member Level]]=Age_Sex_BY[[#This Row],[Total Spending before Truncation is Applied]]</f>
        <v>1</v>
      </c>
    </row>
    <row r="1256" spans="1:10" x14ac:dyDescent="0.25">
      <c r="A1256" s="394"/>
      <c r="B1256" s="395"/>
      <c r="C1256" s="396"/>
      <c r="D1256" s="459"/>
      <c r="E1256" s="397"/>
      <c r="F1256" s="398"/>
      <c r="G1256" s="463"/>
      <c r="H1256" s="398"/>
      <c r="I1256" s="403"/>
      <c r="J1256" s="241" t="b">
        <f>Age_Sex_BY[[#This Row],[Total Spending After Applying Truncation at the Member Level]]+Age_Sex_BY[[#This Row],[Total Dollars Excluded from Spending After Applying Truncation at the Member Level]]=Age_Sex_BY[[#This Row],[Total Spending before Truncation is Applied]]</f>
        <v>1</v>
      </c>
    </row>
    <row r="1257" spans="1:10" x14ac:dyDescent="0.25">
      <c r="A1257" s="393"/>
      <c r="B1257" s="387"/>
      <c r="C1257" s="388"/>
      <c r="D1257" s="458"/>
      <c r="E1257" s="389"/>
      <c r="F1257" s="390"/>
      <c r="G1257" s="462"/>
      <c r="H1257" s="390"/>
      <c r="I1257" s="402"/>
      <c r="J1257" s="241" t="b">
        <f>Age_Sex_BY[[#This Row],[Total Spending After Applying Truncation at the Member Level]]+Age_Sex_BY[[#This Row],[Total Dollars Excluded from Spending After Applying Truncation at the Member Level]]=Age_Sex_BY[[#This Row],[Total Spending before Truncation is Applied]]</f>
        <v>1</v>
      </c>
    </row>
    <row r="1258" spans="1:10" x14ac:dyDescent="0.25">
      <c r="A1258" s="394"/>
      <c r="B1258" s="395"/>
      <c r="C1258" s="396"/>
      <c r="D1258" s="459"/>
      <c r="E1258" s="397"/>
      <c r="F1258" s="398"/>
      <c r="G1258" s="463"/>
      <c r="H1258" s="398"/>
      <c r="I1258" s="403"/>
      <c r="J1258" s="241" t="b">
        <f>Age_Sex_BY[[#This Row],[Total Spending After Applying Truncation at the Member Level]]+Age_Sex_BY[[#This Row],[Total Dollars Excluded from Spending After Applying Truncation at the Member Level]]=Age_Sex_BY[[#This Row],[Total Spending before Truncation is Applied]]</f>
        <v>1</v>
      </c>
    </row>
    <row r="1259" spans="1:10" x14ac:dyDescent="0.25">
      <c r="A1259" s="393"/>
      <c r="B1259" s="387"/>
      <c r="C1259" s="388"/>
      <c r="D1259" s="458"/>
      <c r="E1259" s="389"/>
      <c r="F1259" s="390"/>
      <c r="G1259" s="462"/>
      <c r="H1259" s="390"/>
      <c r="I1259" s="402"/>
      <c r="J1259" s="241" t="b">
        <f>Age_Sex_BY[[#This Row],[Total Spending After Applying Truncation at the Member Level]]+Age_Sex_BY[[#This Row],[Total Dollars Excluded from Spending After Applying Truncation at the Member Level]]=Age_Sex_BY[[#This Row],[Total Spending before Truncation is Applied]]</f>
        <v>1</v>
      </c>
    </row>
    <row r="1260" spans="1:10" x14ac:dyDescent="0.25">
      <c r="A1260" s="394"/>
      <c r="B1260" s="395"/>
      <c r="C1260" s="396"/>
      <c r="D1260" s="459"/>
      <c r="E1260" s="397"/>
      <c r="F1260" s="398"/>
      <c r="G1260" s="463"/>
      <c r="H1260" s="398"/>
      <c r="I1260" s="403"/>
      <c r="J1260" s="241" t="b">
        <f>Age_Sex_BY[[#This Row],[Total Spending After Applying Truncation at the Member Level]]+Age_Sex_BY[[#This Row],[Total Dollars Excluded from Spending After Applying Truncation at the Member Level]]=Age_Sex_BY[[#This Row],[Total Spending before Truncation is Applied]]</f>
        <v>1</v>
      </c>
    </row>
    <row r="1261" spans="1:10" x14ac:dyDescent="0.25">
      <c r="A1261" s="393"/>
      <c r="B1261" s="387"/>
      <c r="C1261" s="388"/>
      <c r="D1261" s="458"/>
      <c r="E1261" s="389"/>
      <c r="F1261" s="390"/>
      <c r="G1261" s="462"/>
      <c r="H1261" s="390"/>
      <c r="I1261" s="402"/>
      <c r="J1261" s="241" t="b">
        <f>Age_Sex_BY[[#This Row],[Total Spending After Applying Truncation at the Member Level]]+Age_Sex_BY[[#This Row],[Total Dollars Excluded from Spending After Applying Truncation at the Member Level]]=Age_Sex_BY[[#This Row],[Total Spending before Truncation is Applied]]</f>
        <v>1</v>
      </c>
    </row>
    <row r="1262" spans="1:10" x14ac:dyDescent="0.25">
      <c r="A1262" s="394"/>
      <c r="B1262" s="395"/>
      <c r="C1262" s="396"/>
      <c r="D1262" s="459"/>
      <c r="E1262" s="397"/>
      <c r="F1262" s="398"/>
      <c r="G1262" s="463"/>
      <c r="H1262" s="398"/>
      <c r="I1262" s="403"/>
      <c r="J1262" s="241" t="b">
        <f>Age_Sex_BY[[#This Row],[Total Spending After Applying Truncation at the Member Level]]+Age_Sex_BY[[#This Row],[Total Dollars Excluded from Spending After Applying Truncation at the Member Level]]=Age_Sex_BY[[#This Row],[Total Spending before Truncation is Applied]]</f>
        <v>1</v>
      </c>
    </row>
    <row r="1263" spans="1:10" x14ac:dyDescent="0.25">
      <c r="A1263" s="393"/>
      <c r="B1263" s="387"/>
      <c r="C1263" s="388"/>
      <c r="D1263" s="458"/>
      <c r="E1263" s="389"/>
      <c r="F1263" s="390"/>
      <c r="G1263" s="462"/>
      <c r="H1263" s="390"/>
      <c r="I1263" s="402"/>
      <c r="J1263" s="241" t="b">
        <f>Age_Sex_BY[[#This Row],[Total Spending After Applying Truncation at the Member Level]]+Age_Sex_BY[[#This Row],[Total Dollars Excluded from Spending After Applying Truncation at the Member Level]]=Age_Sex_BY[[#This Row],[Total Spending before Truncation is Applied]]</f>
        <v>1</v>
      </c>
    </row>
    <row r="1264" spans="1:10" x14ac:dyDescent="0.25">
      <c r="A1264" s="394"/>
      <c r="B1264" s="395"/>
      <c r="C1264" s="396"/>
      <c r="D1264" s="459"/>
      <c r="E1264" s="397"/>
      <c r="F1264" s="398"/>
      <c r="G1264" s="463"/>
      <c r="H1264" s="398"/>
      <c r="I1264" s="403"/>
      <c r="J1264" s="241" t="b">
        <f>Age_Sex_BY[[#This Row],[Total Spending After Applying Truncation at the Member Level]]+Age_Sex_BY[[#This Row],[Total Dollars Excluded from Spending After Applying Truncation at the Member Level]]=Age_Sex_BY[[#This Row],[Total Spending before Truncation is Applied]]</f>
        <v>1</v>
      </c>
    </row>
    <row r="1265" spans="1:10" x14ac:dyDescent="0.25">
      <c r="A1265" s="393"/>
      <c r="B1265" s="387"/>
      <c r="C1265" s="388"/>
      <c r="D1265" s="458"/>
      <c r="E1265" s="389"/>
      <c r="F1265" s="390"/>
      <c r="G1265" s="462"/>
      <c r="H1265" s="390"/>
      <c r="I1265" s="402"/>
      <c r="J1265" s="241" t="b">
        <f>Age_Sex_BY[[#This Row],[Total Spending After Applying Truncation at the Member Level]]+Age_Sex_BY[[#This Row],[Total Dollars Excluded from Spending After Applying Truncation at the Member Level]]=Age_Sex_BY[[#This Row],[Total Spending before Truncation is Applied]]</f>
        <v>1</v>
      </c>
    </row>
    <row r="1266" spans="1:10" x14ac:dyDescent="0.25">
      <c r="A1266" s="394"/>
      <c r="B1266" s="395"/>
      <c r="C1266" s="396"/>
      <c r="D1266" s="459"/>
      <c r="E1266" s="397"/>
      <c r="F1266" s="398"/>
      <c r="G1266" s="463"/>
      <c r="H1266" s="398"/>
      <c r="I1266" s="403"/>
      <c r="J1266" s="241" t="b">
        <f>Age_Sex_BY[[#This Row],[Total Spending After Applying Truncation at the Member Level]]+Age_Sex_BY[[#This Row],[Total Dollars Excluded from Spending After Applying Truncation at the Member Level]]=Age_Sex_BY[[#This Row],[Total Spending before Truncation is Applied]]</f>
        <v>1</v>
      </c>
    </row>
    <row r="1267" spans="1:10" x14ac:dyDescent="0.25">
      <c r="A1267" s="393"/>
      <c r="B1267" s="387"/>
      <c r="C1267" s="388"/>
      <c r="D1267" s="458"/>
      <c r="E1267" s="389"/>
      <c r="F1267" s="390"/>
      <c r="G1267" s="462"/>
      <c r="H1267" s="390"/>
      <c r="I1267" s="402"/>
      <c r="J1267" s="241" t="b">
        <f>Age_Sex_BY[[#This Row],[Total Spending After Applying Truncation at the Member Level]]+Age_Sex_BY[[#This Row],[Total Dollars Excluded from Spending After Applying Truncation at the Member Level]]=Age_Sex_BY[[#This Row],[Total Spending before Truncation is Applied]]</f>
        <v>1</v>
      </c>
    </row>
    <row r="1268" spans="1:10" x14ac:dyDescent="0.25">
      <c r="A1268" s="394"/>
      <c r="B1268" s="395"/>
      <c r="C1268" s="396"/>
      <c r="D1268" s="459"/>
      <c r="E1268" s="397"/>
      <c r="F1268" s="398"/>
      <c r="G1268" s="463"/>
      <c r="H1268" s="398"/>
      <c r="I1268" s="403"/>
      <c r="J1268" s="241" t="b">
        <f>Age_Sex_BY[[#This Row],[Total Spending After Applying Truncation at the Member Level]]+Age_Sex_BY[[#This Row],[Total Dollars Excluded from Spending After Applying Truncation at the Member Level]]=Age_Sex_BY[[#This Row],[Total Spending before Truncation is Applied]]</f>
        <v>1</v>
      </c>
    </row>
    <row r="1269" spans="1:10" x14ac:dyDescent="0.25">
      <c r="A1269" s="393"/>
      <c r="B1269" s="387"/>
      <c r="C1269" s="388"/>
      <c r="D1269" s="458"/>
      <c r="E1269" s="389"/>
      <c r="F1269" s="390"/>
      <c r="G1269" s="462"/>
      <c r="H1269" s="390"/>
      <c r="I1269" s="402"/>
      <c r="J1269" s="241" t="b">
        <f>Age_Sex_BY[[#This Row],[Total Spending After Applying Truncation at the Member Level]]+Age_Sex_BY[[#This Row],[Total Dollars Excluded from Spending After Applying Truncation at the Member Level]]=Age_Sex_BY[[#This Row],[Total Spending before Truncation is Applied]]</f>
        <v>1</v>
      </c>
    </row>
    <row r="1270" spans="1:10" x14ac:dyDescent="0.25">
      <c r="A1270" s="394"/>
      <c r="B1270" s="395"/>
      <c r="C1270" s="396"/>
      <c r="D1270" s="459"/>
      <c r="E1270" s="397"/>
      <c r="F1270" s="398"/>
      <c r="G1270" s="463"/>
      <c r="H1270" s="398"/>
      <c r="I1270" s="403"/>
      <c r="J1270" s="241" t="b">
        <f>Age_Sex_BY[[#This Row],[Total Spending After Applying Truncation at the Member Level]]+Age_Sex_BY[[#This Row],[Total Dollars Excluded from Spending After Applying Truncation at the Member Level]]=Age_Sex_BY[[#This Row],[Total Spending before Truncation is Applied]]</f>
        <v>1</v>
      </c>
    </row>
    <row r="1271" spans="1:10" x14ac:dyDescent="0.25">
      <c r="A1271" s="393"/>
      <c r="B1271" s="387"/>
      <c r="C1271" s="388"/>
      <c r="D1271" s="458"/>
      <c r="E1271" s="389"/>
      <c r="F1271" s="390"/>
      <c r="G1271" s="462"/>
      <c r="H1271" s="390"/>
      <c r="I1271" s="402"/>
      <c r="J1271" s="241" t="b">
        <f>Age_Sex_BY[[#This Row],[Total Spending After Applying Truncation at the Member Level]]+Age_Sex_BY[[#This Row],[Total Dollars Excluded from Spending After Applying Truncation at the Member Level]]=Age_Sex_BY[[#This Row],[Total Spending before Truncation is Applied]]</f>
        <v>1</v>
      </c>
    </row>
    <row r="1272" spans="1:10" x14ac:dyDescent="0.25">
      <c r="A1272" s="394"/>
      <c r="B1272" s="395"/>
      <c r="C1272" s="396"/>
      <c r="D1272" s="459"/>
      <c r="E1272" s="397"/>
      <c r="F1272" s="398"/>
      <c r="G1272" s="463"/>
      <c r="H1272" s="398"/>
      <c r="I1272" s="403"/>
      <c r="J1272" s="241" t="b">
        <f>Age_Sex_BY[[#This Row],[Total Spending After Applying Truncation at the Member Level]]+Age_Sex_BY[[#This Row],[Total Dollars Excluded from Spending After Applying Truncation at the Member Level]]=Age_Sex_BY[[#This Row],[Total Spending before Truncation is Applied]]</f>
        <v>1</v>
      </c>
    </row>
    <row r="1273" spans="1:10" x14ac:dyDescent="0.25">
      <c r="A1273" s="393"/>
      <c r="B1273" s="387"/>
      <c r="C1273" s="388"/>
      <c r="D1273" s="458"/>
      <c r="E1273" s="389"/>
      <c r="F1273" s="390"/>
      <c r="G1273" s="462"/>
      <c r="H1273" s="390"/>
      <c r="I1273" s="402"/>
      <c r="J1273" s="241" t="b">
        <f>Age_Sex_BY[[#This Row],[Total Spending After Applying Truncation at the Member Level]]+Age_Sex_BY[[#This Row],[Total Dollars Excluded from Spending After Applying Truncation at the Member Level]]=Age_Sex_BY[[#This Row],[Total Spending before Truncation is Applied]]</f>
        <v>1</v>
      </c>
    </row>
    <row r="1274" spans="1:10" x14ac:dyDescent="0.25">
      <c r="A1274" s="394"/>
      <c r="B1274" s="395"/>
      <c r="C1274" s="396"/>
      <c r="D1274" s="459"/>
      <c r="E1274" s="397"/>
      <c r="F1274" s="398"/>
      <c r="G1274" s="463"/>
      <c r="H1274" s="398"/>
      <c r="I1274" s="403"/>
      <c r="J1274" s="241" t="b">
        <f>Age_Sex_BY[[#This Row],[Total Spending After Applying Truncation at the Member Level]]+Age_Sex_BY[[#This Row],[Total Dollars Excluded from Spending After Applying Truncation at the Member Level]]=Age_Sex_BY[[#This Row],[Total Spending before Truncation is Applied]]</f>
        <v>1</v>
      </c>
    </row>
    <row r="1275" spans="1:10" x14ac:dyDescent="0.25">
      <c r="A1275" s="393"/>
      <c r="B1275" s="387"/>
      <c r="C1275" s="388"/>
      <c r="D1275" s="458"/>
      <c r="E1275" s="389"/>
      <c r="F1275" s="390"/>
      <c r="G1275" s="462"/>
      <c r="H1275" s="390"/>
      <c r="I1275" s="402"/>
      <c r="J1275" s="241" t="b">
        <f>Age_Sex_BY[[#This Row],[Total Spending After Applying Truncation at the Member Level]]+Age_Sex_BY[[#This Row],[Total Dollars Excluded from Spending After Applying Truncation at the Member Level]]=Age_Sex_BY[[#This Row],[Total Spending before Truncation is Applied]]</f>
        <v>1</v>
      </c>
    </row>
    <row r="1276" spans="1:10" x14ac:dyDescent="0.25">
      <c r="A1276" s="394"/>
      <c r="B1276" s="395"/>
      <c r="C1276" s="396"/>
      <c r="D1276" s="459"/>
      <c r="E1276" s="397"/>
      <c r="F1276" s="398"/>
      <c r="G1276" s="463"/>
      <c r="H1276" s="398"/>
      <c r="I1276" s="403"/>
      <c r="J1276" s="241" t="b">
        <f>Age_Sex_BY[[#This Row],[Total Spending After Applying Truncation at the Member Level]]+Age_Sex_BY[[#This Row],[Total Dollars Excluded from Spending After Applying Truncation at the Member Level]]=Age_Sex_BY[[#This Row],[Total Spending before Truncation is Applied]]</f>
        <v>1</v>
      </c>
    </row>
    <row r="1277" spans="1:10" x14ac:dyDescent="0.25">
      <c r="A1277" s="393"/>
      <c r="B1277" s="387"/>
      <c r="C1277" s="388"/>
      <c r="D1277" s="458"/>
      <c r="E1277" s="389"/>
      <c r="F1277" s="390"/>
      <c r="G1277" s="462"/>
      <c r="H1277" s="390"/>
      <c r="I1277" s="402"/>
      <c r="J1277" s="241" t="b">
        <f>Age_Sex_BY[[#This Row],[Total Spending After Applying Truncation at the Member Level]]+Age_Sex_BY[[#This Row],[Total Dollars Excluded from Spending After Applying Truncation at the Member Level]]=Age_Sex_BY[[#This Row],[Total Spending before Truncation is Applied]]</f>
        <v>1</v>
      </c>
    </row>
    <row r="1278" spans="1:10" x14ac:dyDescent="0.25">
      <c r="A1278" s="394"/>
      <c r="B1278" s="395"/>
      <c r="C1278" s="396"/>
      <c r="D1278" s="459"/>
      <c r="E1278" s="397"/>
      <c r="F1278" s="398"/>
      <c r="G1278" s="463"/>
      <c r="H1278" s="398"/>
      <c r="I1278" s="403"/>
      <c r="J1278" s="241" t="b">
        <f>Age_Sex_BY[[#This Row],[Total Spending After Applying Truncation at the Member Level]]+Age_Sex_BY[[#This Row],[Total Dollars Excluded from Spending After Applying Truncation at the Member Level]]=Age_Sex_BY[[#This Row],[Total Spending before Truncation is Applied]]</f>
        <v>1</v>
      </c>
    </row>
    <row r="1279" spans="1:10" x14ac:dyDescent="0.25">
      <c r="A1279" s="393"/>
      <c r="B1279" s="387"/>
      <c r="C1279" s="388"/>
      <c r="D1279" s="458"/>
      <c r="E1279" s="389"/>
      <c r="F1279" s="390"/>
      <c r="G1279" s="462"/>
      <c r="H1279" s="390"/>
      <c r="I1279" s="402"/>
      <c r="J1279" s="241" t="b">
        <f>Age_Sex_BY[[#This Row],[Total Spending After Applying Truncation at the Member Level]]+Age_Sex_BY[[#This Row],[Total Dollars Excluded from Spending After Applying Truncation at the Member Level]]=Age_Sex_BY[[#This Row],[Total Spending before Truncation is Applied]]</f>
        <v>1</v>
      </c>
    </row>
    <row r="1280" spans="1:10" x14ac:dyDescent="0.25">
      <c r="A1280" s="394"/>
      <c r="B1280" s="395"/>
      <c r="C1280" s="396"/>
      <c r="D1280" s="459"/>
      <c r="E1280" s="397"/>
      <c r="F1280" s="398"/>
      <c r="G1280" s="463"/>
      <c r="H1280" s="398"/>
      <c r="I1280" s="403"/>
      <c r="J1280" s="241" t="b">
        <f>Age_Sex_BY[[#This Row],[Total Spending After Applying Truncation at the Member Level]]+Age_Sex_BY[[#This Row],[Total Dollars Excluded from Spending After Applying Truncation at the Member Level]]=Age_Sex_BY[[#This Row],[Total Spending before Truncation is Applied]]</f>
        <v>1</v>
      </c>
    </row>
    <row r="1281" spans="1:10" x14ac:dyDescent="0.25">
      <c r="A1281" s="393"/>
      <c r="B1281" s="387"/>
      <c r="C1281" s="388"/>
      <c r="D1281" s="458"/>
      <c r="E1281" s="389"/>
      <c r="F1281" s="390"/>
      <c r="G1281" s="462"/>
      <c r="H1281" s="390"/>
      <c r="I1281" s="402"/>
      <c r="J1281" s="241" t="b">
        <f>Age_Sex_BY[[#This Row],[Total Spending After Applying Truncation at the Member Level]]+Age_Sex_BY[[#This Row],[Total Dollars Excluded from Spending After Applying Truncation at the Member Level]]=Age_Sex_BY[[#This Row],[Total Spending before Truncation is Applied]]</f>
        <v>1</v>
      </c>
    </row>
    <row r="1282" spans="1:10" x14ac:dyDescent="0.25">
      <c r="A1282" s="394"/>
      <c r="B1282" s="395"/>
      <c r="C1282" s="396"/>
      <c r="D1282" s="459"/>
      <c r="E1282" s="397"/>
      <c r="F1282" s="398"/>
      <c r="G1282" s="463"/>
      <c r="H1282" s="398"/>
      <c r="I1282" s="403"/>
      <c r="J1282" s="241" t="b">
        <f>Age_Sex_BY[[#This Row],[Total Spending After Applying Truncation at the Member Level]]+Age_Sex_BY[[#This Row],[Total Dollars Excluded from Spending After Applying Truncation at the Member Level]]=Age_Sex_BY[[#This Row],[Total Spending before Truncation is Applied]]</f>
        <v>1</v>
      </c>
    </row>
    <row r="1283" spans="1:10" x14ac:dyDescent="0.25">
      <c r="A1283" s="393"/>
      <c r="B1283" s="387"/>
      <c r="C1283" s="388"/>
      <c r="D1283" s="458"/>
      <c r="E1283" s="389"/>
      <c r="F1283" s="390"/>
      <c r="G1283" s="462"/>
      <c r="H1283" s="390"/>
      <c r="I1283" s="402"/>
      <c r="J1283" s="241" t="b">
        <f>Age_Sex_BY[[#This Row],[Total Spending After Applying Truncation at the Member Level]]+Age_Sex_BY[[#This Row],[Total Dollars Excluded from Spending After Applying Truncation at the Member Level]]=Age_Sex_BY[[#This Row],[Total Spending before Truncation is Applied]]</f>
        <v>1</v>
      </c>
    </row>
    <row r="1284" spans="1:10" x14ac:dyDescent="0.25">
      <c r="A1284" s="394"/>
      <c r="B1284" s="395"/>
      <c r="C1284" s="396"/>
      <c r="D1284" s="459"/>
      <c r="E1284" s="397"/>
      <c r="F1284" s="398"/>
      <c r="G1284" s="463"/>
      <c r="H1284" s="398"/>
      <c r="I1284" s="403"/>
      <c r="J1284" s="241" t="b">
        <f>Age_Sex_BY[[#This Row],[Total Spending After Applying Truncation at the Member Level]]+Age_Sex_BY[[#This Row],[Total Dollars Excluded from Spending After Applying Truncation at the Member Level]]=Age_Sex_BY[[#This Row],[Total Spending before Truncation is Applied]]</f>
        <v>1</v>
      </c>
    </row>
    <row r="1285" spans="1:10" x14ac:dyDescent="0.25">
      <c r="A1285" s="393"/>
      <c r="B1285" s="387"/>
      <c r="C1285" s="388"/>
      <c r="D1285" s="458"/>
      <c r="E1285" s="389"/>
      <c r="F1285" s="390"/>
      <c r="G1285" s="462"/>
      <c r="H1285" s="390"/>
      <c r="I1285" s="402"/>
      <c r="J1285" s="241" t="b">
        <f>Age_Sex_BY[[#This Row],[Total Spending After Applying Truncation at the Member Level]]+Age_Sex_BY[[#This Row],[Total Dollars Excluded from Spending After Applying Truncation at the Member Level]]=Age_Sex_BY[[#This Row],[Total Spending before Truncation is Applied]]</f>
        <v>1</v>
      </c>
    </row>
    <row r="1286" spans="1:10" x14ac:dyDescent="0.25">
      <c r="A1286" s="394"/>
      <c r="B1286" s="395"/>
      <c r="C1286" s="396"/>
      <c r="D1286" s="459"/>
      <c r="E1286" s="397"/>
      <c r="F1286" s="398"/>
      <c r="G1286" s="463"/>
      <c r="H1286" s="398"/>
      <c r="I1286" s="403"/>
      <c r="J1286" s="241" t="b">
        <f>Age_Sex_BY[[#This Row],[Total Spending After Applying Truncation at the Member Level]]+Age_Sex_BY[[#This Row],[Total Dollars Excluded from Spending After Applying Truncation at the Member Level]]=Age_Sex_BY[[#This Row],[Total Spending before Truncation is Applied]]</f>
        <v>1</v>
      </c>
    </row>
    <row r="1287" spans="1:10" x14ac:dyDescent="0.25">
      <c r="A1287" s="393"/>
      <c r="B1287" s="387"/>
      <c r="C1287" s="388"/>
      <c r="D1287" s="458"/>
      <c r="E1287" s="389"/>
      <c r="F1287" s="390"/>
      <c r="G1287" s="462"/>
      <c r="H1287" s="390"/>
      <c r="I1287" s="402"/>
      <c r="J1287" s="241" t="b">
        <f>Age_Sex_BY[[#This Row],[Total Spending After Applying Truncation at the Member Level]]+Age_Sex_BY[[#This Row],[Total Dollars Excluded from Spending After Applying Truncation at the Member Level]]=Age_Sex_BY[[#This Row],[Total Spending before Truncation is Applied]]</f>
        <v>1</v>
      </c>
    </row>
    <row r="1288" spans="1:10" x14ac:dyDescent="0.25">
      <c r="A1288" s="394"/>
      <c r="B1288" s="395"/>
      <c r="C1288" s="396"/>
      <c r="D1288" s="459"/>
      <c r="E1288" s="397"/>
      <c r="F1288" s="398"/>
      <c r="G1288" s="463"/>
      <c r="H1288" s="398"/>
      <c r="I1288" s="403"/>
      <c r="J1288" s="241" t="b">
        <f>Age_Sex_BY[[#This Row],[Total Spending After Applying Truncation at the Member Level]]+Age_Sex_BY[[#This Row],[Total Dollars Excluded from Spending After Applying Truncation at the Member Level]]=Age_Sex_BY[[#This Row],[Total Spending before Truncation is Applied]]</f>
        <v>1</v>
      </c>
    </row>
    <row r="1289" spans="1:10" x14ac:dyDescent="0.25">
      <c r="A1289" s="393"/>
      <c r="B1289" s="387"/>
      <c r="C1289" s="388"/>
      <c r="D1289" s="458"/>
      <c r="E1289" s="389"/>
      <c r="F1289" s="390"/>
      <c r="G1289" s="462"/>
      <c r="H1289" s="390"/>
      <c r="I1289" s="402"/>
      <c r="J1289" s="241" t="b">
        <f>Age_Sex_BY[[#This Row],[Total Spending After Applying Truncation at the Member Level]]+Age_Sex_BY[[#This Row],[Total Dollars Excluded from Spending After Applying Truncation at the Member Level]]=Age_Sex_BY[[#This Row],[Total Spending before Truncation is Applied]]</f>
        <v>1</v>
      </c>
    </row>
    <row r="1290" spans="1:10" x14ac:dyDescent="0.25">
      <c r="A1290" s="394"/>
      <c r="B1290" s="395"/>
      <c r="C1290" s="396"/>
      <c r="D1290" s="459"/>
      <c r="E1290" s="397"/>
      <c r="F1290" s="398"/>
      <c r="G1290" s="463"/>
      <c r="H1290" s="398"/>
      <c r="I1290" s="403"/>
      <c r="J1290" s="241" t="b">
        <f>Age_Sex_BY[[#This Row],[Total Spending After Applying Truncation at the Member Level]]+Age_Sex_BY[[#This Row],[Total Dollars Excluded from Spending After Applying Truncation at the Member Level]]=Age_Sex_BY[[#This Row],[Total Spending before Truncation is Applied]]</f>
        <v>1</v>
      </c>
    </row>
    <row r="1291" spans="1:10" x14ac:dyDescent="0.25">
      <c r="A1291" s="393"/>
      <c r="B1291" s="387"/>
      <c r="C1291" s="388"/>
      <c r="D1291" s="458"/>
      <c r="E1291" s="389"/>
      <c r="F1291" s="390"/>
      <c r="G1291" s="462"/>
      <c r="H1291" s="390"/>
      <c r="I1291" s="402"/>
      <c r="J1291" s="241" t="b">
        <f>Age_Sex_BY[[#This Row],[Total Spending After Applying Truncation at the Member Level]]+Age_Sex_BY[[#This Row],[Total Dollars Excluded from Spending After Applying Truncation at the Member Level]]=Age_Sex_BY[[#This Row],[Total Spending before Truncation is Applied]]</f>
        <v>1</v>
      </c>
    </row>
    <row r="1292" spans="1:10" x14ac:dyDescent="0.25">
      <c r="A1292" s="394"/>
      <c r="B1292" s="395"/>
      <c r="C1292" s="396"/>
      <c r="D1292" s="459"/>
      <c r="E1292" s="397"/>
      <c r="F1292" s="398"/>
      <c r="G1292" s="463"/>
      <c r="H1292" s="398"/>
      <c r="I1292" s="403"/>
      <c r="J1292" s="241" t="b">
        <f>Age_Sex_BY[[#This Row],[Total Spending After Applying Truncation at the Member Level]]+Age_Sex_BY[[#This Row],[Total Dollars Excluded from Spending After Applying Truncation at the Member Level]]=Age_Sex_BY[[#This Row],[Total Spending before Truncation is Applied]]</f>
        <v>1</v>
      </c>
    </row>
    <row r="1293" spans="1:10" x14ac:dyDescent="0.25">
      <c r="A1293" s="393"/>
      <c r="B1293" s="387"/>
      <c r="C1293" s="388"/>
      <c r="D1293" s="458"/>
      <c r="E1293" s="389"/>
      <c r="F1293" s="390"/>
      <c r="G1293" s="462"/>
      <c r="H1293" s="390"/>
      <c r="I1293" s="402"/>
      <c r="J1293" s="241" t="b">
        <f>Age_Sex_BY[[#This Row],[Total Spending After Applying Truncation at the Member Level]]+Age_Sex_BY[[#This Row],[Total Dollars Excluded from Spending After Applying Truncation at the Member Level]]=Age_Sex_BY[[#This Row],[Total Spending before Truncation is Applied]]</f>
        <v>1</v>
      </c>
    </row>
    <row r="1294" spans="1:10" x14ac:dyDescent="0.25">
      <c r="A1294" s="394"/>
      <c r="B1294" s="395"/>
      <c r="C1294" s="396"/>
      <c r="D1294" s="459"/>
      <c r="E1294" s="397"/>
      <c r="F1294" s="398"/>
      <c r="G1294" s="463"/>
      <c r="H1294" s="398"/>
      <c r="I1294" s="403"/>
      <c r="J1294" s="241" t="b">
        <f>Age_Sex_BY[[#This Row],[Total Spending After Applying Truncation at the Member Level]]+Age_Sex_BY[[#This Row],[Total Dollars Excluded from Spending After Applying Truncation at the Member Level]]=Age_Sex_BY[[#This Row],[Total Spending before Truncation is Applied]]</f>
        <v>1</v>
      </c>
    </row>
    <row r="1295" spans="1:10" x14ac:dyDescent="0.25">
      <c r="A1295" s="393"/>
      <c r="B1295" s="387"/>
      <c r="C1295" s="388"/>
      <c r="D1295" s="458"/>
      <c r="E1295" s="389"/>
      <c r="F1295" s="390"/>
      <c r="G1295" s="462"/>
      <c r="H1295" s="390"/>
      <c r="I1295" s="402"/>
      <c r="J1295" s="241" t="b">
        <f>Age_Sex_BY[[#This Row],[Total Spending After Applying Truncation at the Member Level]]+Age_Sex_BY[[#This Row],[Total Dollars Excluded from Spending After Applying Truncation at the Member Level]]=Age_Sex_BY[[#This Row],[Total Spending before Truncation is Applied]]</f>
        <v>1</v>
      </c>
    </row>
    <row r="1296" spans="1:10" x14ac:dyDescent="0.25">
      <c r="A1296" s="394"/>
      <c r="B1296" s="395"/>
      <c r="C1296" s="396"/>
      <c r="D1296" s="459"/>
      <c r="E1296" s="397"/>
      <c r="F1296" s="398"/>
      <c r="G1296" s="463"/>
      <c r="H1296" s="398"/>
      <c r="I1296" s="403"/>
      <c r="J1296" s="241" t="b">
        <f>Age_Sex_BY[[#This Row],[Total Spending After Applying Truncation at the Member Level]]+Age_Sex_BY[[#This Row],[Total Dollars Excluded from Spending After Applying Truncation at the Member Level]]=Age_Sex_BY[[#This Row],[Total Spending before Truncation is Applied]]</f>
        <v>1</v>
      </c>
    </row>
    <row r="1297" spans="1:10" x14ac:dyDescent="0.25">
      <c r="A1297" s="393"/>
      <c r="B1297" s="387"/>
      <c r="C1297" s="388"/>
      <c r="D1297" s="458"/>
      <c r="E1297" s="389"/>
      <c r="F1297" s="390"/>
      <c r="G1297" s="462"/>
      <c r="H1297" s="390"/>
      <c r="I1297" s="402"/>
      <c r="J1297" s="241" t="b">
        <f>Age_Sex_BY[[#This Row],[Total Spending After Applying Truncation at the Member Level]]+Age_Sex_BY[[#This Row],[Total Dollars Excluded from Spending After Applying Truncation at the Member Level]]=Age_Sex_BY[[#This Row],[Total Spending before Truncation is Applied]]</f>
        <v>1</v>
      </c>
    </row>
    <row r="1298" spans="1:10" x14ac:dyDescent="0.25">
      <c r="A1298" s="394"/>
      <c r="B1298" s="395"/>
      <c r="C1298" s="396"/>
      <c r="D1298" s="459"/>
      <c r="E1298" s="397"/>
      <c r="F1298" s="398"/>
      <c r="G1298" s="463"/>
      <c r="H1298" s="398"/>
      <c r="I1298" s="403"/>
      <c r="J1298" s="241" t="b">
        <f>Age_Sex_BY[[#This Row],[Total Spending After Applying Truncation at the Member Level]]+Age_Sex_BY[[#This Row],[Total Dollars Excluded from Spending After Applying Truncation at the Member Level]]=Age_Sex_BY[[#This Row],[Total Spending before Truncation is Applied]]</f>
        <v>1</v>
      </c>
    </row>
    <row r="1299" spans="1:10" x14ac:dyDescent="0.25">
      <c r="A1299" s="393"/>
      <c r="B1299" s="387"/>
      <c r="C1299" s="388"/>
      <c r="D1299" s="458"/>
      <c r="E1299" s="389"/>
      <c r="F1299" s="390"/>
      <c r="G1299" s="462"/>
      <c r="H1299" s="390"/>
      <c r="I1299" s="402"/>
      <c r="J1299" s="241" t="b">
        <f>Age_Sex_BY[[#This Row],[Total Spending After Applying Truncation at the Member Level]]+Age_Sex_BY[[#This Row],[Total Dollars Excluded from Spending After Applying Truncation at the Member Level]]=Age_Sex_BY[[#This Row],[Total Spending before Truncation is Applied]]</f>
        <v>1</v>
      </c>
    </row>
    <row r="1300" spans="1:10" x14ac:dyDescent="0.25">
      <c r="A1300" s="394"/>
      <c r="B1300" s="395"/>
      <c r="C1300" s="396"/>
      <c r="D1300" s="459"/>
      <c r="E1300" s="397"/>
      <c r="F1300" s="398"/>
      <c r="G1300" s="463"/>
      <c r="H1300" s="398"/>
      <c r="I1300" s="403"/>
      <c r="J1300" s="241" t="b">
        <f>Age_Sex_BY[[#This Row],[Total Spending After Applying Truncation at the Member Level]]+Age_Sex_BY[[#This Row],[Total Dollars Excluded from Spending After Applying Truncation at the Member Level]]=Age_Sex_BY[[#This Row],[Total Spending before Truncation is Applied]]</f>
        <v>1</v>
      </c>
    </row>
    <row r="1301" spans="1:10" x14ac:dyDescent="0.25">
      <c r="A1301" s="393"/>
      <c r="B1301" s="387"/>
      <c r="C1301" s="388"/>
      <c r="D1301" s="458"/>
      <c r="E1301" s="389"/>
      <c r="F1301" s="390"/>
      <c r="G1301" s="462"/>
      <c r="H1301" s="390"/>
      <c r="I1301" s="402"/>
      <c r="J1301" s="241" t="b">
        <f>Age_Sex_BY[[#This Row],[Total Spending After Applying Truncation at the Member Level]]+Age_Sex_BY[[#This Row],[Total Dollars Excluded from Spending After Applying Truncation at the Member Level]]=Age_Sex_BY[[#This Row],[Total Spending before Truncation is Applied]]</f>
        <v>1</v>
      </c>
    </row>
    <row r="1302" spans="1:10" x14ac:dyDescent="0.25">
      <c r="A1302" s="394"/>
      <c r="B1302" s="395"/>
      <c r="C1302" s="396"/>
      <c r="D1302" s="459"/>
      <c r="E1302" s="397"/>
      <c r="F1302" s="398"/>
      <c r="G1302" s="463"/>
      <c r="H1302" s="398"/>
      <c r="I1302" s="403"/>
      <c r="J1302" s="241" t="b">
        <f>Age_Sex_BY[[#This Row],[Total Spending After Applying Truncation at the Member Level]]+Age_Sex_BY[[#This Row],[Total Dollars Excluded from Spending After Applying Truncation at the Member Level]]=Age_Sex_BY[[#This Row],[Total Spending before Truncation is Applied]]</f>
        <v>1</v>
      </c>
    </row>
    <row r="1303" spans="1:10" x14ac:dyDescent="0.25">
      <c r="A1303" s="393"/>
      <c r="B1303" s="387"/>
      <c r="C1303" s="388"/>
      <c r="D1303" s="458"/>
      <c r="E1303" s="389"/>
      <c r="F1303" s="390"/>
      <c r="G1303" s="462"/>
      <c r="H1303" s="390"/>
      <c r="I1303" s="402"/>
      <c r="J1303" s="241" t="b">
        <f>Age_Sex_BY[[#This Row],[Total Spending After Applying Truncation at the Member Level]]+Age_Sex_BY[[#This Row],[Total Dollars Excluded from Spending After Applying Truncation at the Member Level]]=Age_Sex_BY[[#This Row],[Total Spending before Truncation is Applied]]</f>
        <v>1</v>
      </c>
    </row>
    <row r="1304" spans="1:10" x14ac:dyDescent="0.25">
      <c r="A1304" s="394"/>
      <c r="B1304" s="395"/>
      <c r="C1304" s="396"/>
      <c r="D1304" s="459"/>
      <c r="E1304" s="397"/>
      <c r="F1304" s="398"/>
      <c r="G1304" s="463"/>
      <c r="H1304" s="398"/>
      <c r="I1304" s="403"/>
      <c r="J1304" s="241" t="b">
        <f>Age_Sex_BY[[#This Row],[Total Spending After Applying Truncation at the Member Level]]+Age_Sex_BY[[#This Row],[Total Dollars Excluded from Spending After Applying Truncation at the Member Level]]=Age_Sex_BY[[#This Row],[Total Spending before Truncation is Applied]]</f>
        <v>1</v>
      </c>
    </row>
    <row r="1305" spans="1:10" x14ac:dyDescent="0.25">
      <c r="A1305" s="393"/>
      <c r="B1305" s="387"/>
      <c r="C1305" s="388"/>
      <c r="D1305" s="458"/>
      <c r="E1305" s="389"/>
      <c r="F1305" s="390"/>
      <c r="G1305" s="462"/>
      <c r="H1305" s="390"/>
      <c r="I1305" s="402"/>
      <c r="J1305" s="241" t="b">
        <f>Age_Sex_BY[[#This Row],[Total Spending After Applying Truncation at the Member Level]]+Age_Sex_BY[[#This Row],[Total Dollars Excluded from Spending After Applying Truncation at the Member Level]]=Age_Sex_BY[[#This Row],[Total Spending before Truncation is Applied]]</f>
        <v>1</v>
      </c>
    </row>
    <row r="1306" spans="1:10" x14ac:dyDescent="0.25">
      <c r="A1306" s="394"/>
      <c r="B1306" s="395"/>
      <c r="C1306" s="396"/>
      <c r="D1306" s="459"/>
      <c r="E1306" s="397"/>
      <c r="F1306" s="398"/>
      <c r="G1306" s="463"/>
      <c r="H1306" s="398"/>
      <c r="I1306" s="403"/>
      <c r="J1306" s="241" t="b">
        <f>Age_Sex_BY[[#This Row],[Total Spending After Applying Truncation at the Member Level]]+Age_Sex_BY[[#This Row],[Total Dollars Excluded from Spending After Applying Truncation at the Member Level]]=Age_Sex_BY[[#This Row],[Total Spending before Truncation is Applied]]</f>
        <v>1</v>
      </c>
    </row>
    <row r="1307" spans="1:10" x14ac:dyDescent="0.25">
      <c r="A1307" s="393"/>
      <c r="B1307" s="387"/>
      <c r="C1307" s="388"/>
      <c r="D1307" s="458"/>
      <c r="E1307" s="389"/>
      <c r="F1307" s="390"/>
      <c r="G1307" s="462"/>
      <c r="H1307" s="390"/>
      <c r="I1307" s="402"/>
      <c r="J1307" s="241" t="b">
        <f>Age_Sex_BY[[#This Row],[Total Spending After Applying Truncation at the Member Level]]+Age_Sex_BY[[#This Row],[Total Dollars Excluded from Spending After Applying Truncation at the Member Level]]=Age_Sex_BY[[#This Row],[Total Spending before Truncation is Applied]]</f>
        <v>1</v>
      </c>
    </row>
    <row r="1308" spans="1:10" x14ac:dyDescent="0.25">
      <c r="A1308" s="394"/>
      <c r="B1308" s="395"/>
      <c r="C1308" s="396"/>
      <c r="D1308" s="459"/>
      <c r="E1308" s="397"/>
      <c r="F1308" s="398"/>
      <c r="G1308" s="463"/>
      <c r="H1308" s="398"/>
      <c r="I1308" s="403"/>
      <c r="J1308" s="241" t="b">
        <f>Age_Sex_BY[[#This Row],[Total Spending After Applying Truncation at the Member Level]]+Age_Sex_BY[[#This Row],[Total Dollars Excluded from Spending After Applying Truncation at the Member Level]]=Age_Sex_BY[[#This Row],[Total Spending before Truncation is Applied]]</f>
        <v>1</v>
      </c>
    </row>
    <row r="1309" spans="1:10" x14ac:dyDescent="0.25">
      <c r="A1309" s="393"/>
      <c r="B1309" s="387"/>
      <c r="C1309" s="388"/>
      <c r="D1309" s="458"/>
      <c r="E1309" s="389"/>
      <c r="F1309" s="390"/>
      <c r="G1309" s="462"/>
      <c r="H1309" s="390"/>
      <c r="I1309" s="402"/>
      <c r="J1309" s="241" t="b">
        <f>Age_Sex_BY[[#This Row],[Total Spending After Applying Truncation at the Member Level]]+Age_Sex_BY[[#This Row],[Total Dollars Excluded from Spending After Applying Truncation at the Member Level]]=Age_Sex_BY[[#This Row],[Total Spending before Truncation is Applied]]</f>
        <v>1</v>
      </c>
    </row>
    <row r="1310" spans="1:10" x14ac:dyDescent="0.25">
      <c r="A1310" s="394"/>
      <c r="B1310" s="395"/>
      <c r="C1310" s="396"/>
      <c r="D1310" s="459"/>
      <c r="E1310" s="397"/>
      <c r="F1310" s="398"/>
      <c r="G1310" s="463"/>
      <c r="H1310" s="398"/>
      <c r="I1310" s="403"/>
      <c r="J1310" s="241" t="b">
        <f>Age_Sex_BY[[#This Row],[Total Spending After Applying Truncation at the Member Level]]+Age_Sex_BY[[#This Row],[Total Dollars Excluded from Spending After Applying Truncation at the Member Level]]=Age_Sex_BY[[#This Row],[Total Spending before Truncation is Applied]]</f>
        <v>1</v>
      </c>
    </row>
    <row r="1311" spans="1:10" x14ac:dyDescent="0.25">
      <c r="A1311" s="393"/>
      <c r="B1311" s="387"/>
      <c r="C1311" s="388"/>
      <c r="D1311" s="458"/>
      <c r="E1311" s="389"/>
      <c r="F1311" s="390"/>
      <c r="G1311" s="462"/>
      <c r="H1311" s="390"/>
      <c r="I1311" s="402"/>
      <c r="J1311" s="241" t="b">
        <f>Age_Sex_BY[[#This Row],[Total Spending After Applying Truncation at the Member Level]]+Age_Sex_BY[[#This Row],[Total Dollars Excluded from Spending After Applying Truncation at the Member Level]]=Age_Sex_BY[[#This Row],[Total Spending before Truncation is Applied]]</f>
        <v>1</v>
      </c>
    </row>
    <row r="1312" spans="1:10" x14ac:dyDescent="0.25">
      <c r="A1312" s="394"/>
      <c r="B1312" s="395"/>
      <c r="C1312" s="396"/>
      <c r="D1312" s="459"/>
      <c r="E1312" s="397"/>
      <c r="F1312" s="398"/>
      <c r="G1312" s="463"/>
      <c r="H1312" s="398"/>
      <c r="I1312" s="403"/>
      <c r="J1312" s="241" t="b">
        <f>Age_Sex_BY[[#This Row],[Total Spending After Applying Truncation at the Member Level]]+Age_Sex_BY[[#This Row],[Total Dollars Excluded from Spending After Applying Truncation at the Member Level]]=Age_Sex_BY[[#This Row],[Total Spending before Truncation is Applied]]</f>
        <v>1</v>
      </c>
    </row>
    <row r="1313" spans="1:10" x14ac:dyDescent="0.25">
      <c r="A1313" s="393"/>
      <c r="B1313" s="387"/>
      <c r="C1313" s="388"/>
      <c r="D1313" s="458"/>
      <c r="E1313" s="389"/>
      <c r="F1313" s="390"/>
      <c r="G1313" s="462"/>
      <c r="H1313" s="390"/>
      <c r="I1313" s="402"/>
      <c r="J1313" s="241" t="b">
        <f>Age_Sex_BY[[#This Row],[Total Spending After Applying Truncation at the Member Level]]+Age_Sex_BY[[#This Row],[Total Dollars Excluded from Spending After Applying Truncation at the Member Level]]=Age_Sex_BY[[#This Row],[Total Spending before Truncation is Applied]]</f>
        <v>1</v>
      </c>
    </row>
    <row r="1314" spans="1:10" x14ac:dyDescent="0.25">
      <c r="A1314" s="394"/>
      <c r="B1314" s="395"/>
      <c r="C1314" s="396"/>
      <c r="D1314" s="459"/>
      <c r="E1314" s="397"/>
      <c r="F1314" s="398"/>
      <c r="G1314" s="463"/>
      <c r="H1314" s="398"/>
      <c r="I1314" s="403"/>
      <c r="J1314" s="241" t="b">
        <f>Age_Sex_BY[[#This Row],[Total Spending After Applying Truncation at the Member Level]]+Age_Sex_BY[[#This Row],[Total Dollars Excluded from Spending After Applying Truncation at the Member Level]]=Age_Sex_BY[[#This Row],[Total Spending before Truncation is Applied]]</f>
        <v>1</v>
      </c>
    </row>
    <row r="1315" spans="1:10" x14ac:dyDescent="0.25">
      <c r="A1315" s="393"/>
      <c r="B1315" s="387"/>
      <c r="C1315" s="388"/>
      <c r="D1315" s="458"/>
      <c r="E1315" s="389"/>
      <c r="F1315" s="390"/>
      <c r="G1315" s="462"/>
      <c r="H1315" s="390"/>
      <c r="I1315" s="402"/>
      <c r="J1315" s="241" t="b">
        <f>Age_Sex_BY[[#This Row],[Total Spending After Applying Truncation at the Member Level]]+Age_Sex_BY[[#This Row],[Total Dollars Excluded from Spending After Applying Truncation at the Member Level]]=Age_Sex_BY[[#This Row],[Total Spending before Truncation is Applied]]</f>
        <v>1</v>
      </c>
    </row>
    <row r="1316" spans="1:10" x14ac:dyDescent="0.25">
      <c r="A1316" s="394"/>
      <c r="B1316" s="395"/>
      <c r="C1316" s="396"/>
      <c r="D1316" s="459"/>
      <c r="E1316" s="397"/>
      <c r="F1316" s="398"/>
      <c r="G1316" s="463"/>
      <c r="H1316" s="398"/>
      <c r="I1316" s="403"/>
      <c r="J1316" s="241" t="b">
        <f>Age_Sex_BY[[#This Row],[Total Spending After Applying Truncation at the Member Level]]+Age_Sex_BY[[#This Row],[Total Dollars Excluded from Spending After Applying Truncation at the Member Level]]=Age_Sex_BY[[#This Row],[Total Spending before Truncation is Applied]]</f>
        <v>1</v>
      </c>
    </row>
    <row r="1317" spans="1:10" x14ac:dyDescent="0.25">
      <c r="A1317" s="393"/>
      <c r="B1317" s="387"/>
      <c r="C1317" s="388"/>
      <c r="D1317" s="458"/>
      <c r="E1317" s="389"/>
      <c r="F1317" s="390"/>
      <c r="G1317" s="462"/>
      <c r="H1317" s="390"/>
      <c r="I1317" s="402"/>
      <c r="J1317" s="241" t="b">
        <f>Age_Sex_BY[[#This Row],[Total Spending After Applying Truncation at the Member Level]]+Age_Sex_BY[[#This Row],[Total Dollars Excluded from Spending After Applying Truncation at the Member Level]]=Age_Sex_BY[[#This Row],[Total Spending before Truncation is Applied]]</f>
        <v>1</v>
      </c>
    </row>
    <row r="1318" spans="1:10" x14ac:dyDescent="0.25">
      <c r="A1318" s="394"/>
      <c r="B1318" s="395"/>
      <c r="C1318" s="396"/>
      <c r="D1318" s="459"/>
      <c r="E1318" s="397"/>
      <c r="F1318" s="398"/>
      <c r="G1318" s="463"/>
      <c r="H1318" s="398"/>
      <c r="I1318" s="403"/>
      <c r="J1318" s="241" t="b">
        <f>Age_Sex_BY[[#This Row],[Total Spending After Applying Truncation at the Member Level]]+Age_Sex_BY[[#This Row],[Total Dollars Excluded from Spending After Applying Truncation at the Member Level]]=Age_Sex_BY[[#This Row],[Total Spending before Truncation is Applied]]</f>
        <v>1</v>
      </c>
    </row>
    <row r="1319" spans="1:10" x14ac:dyDescent="0.25">
      <c r="A1319" s="393"/>
      <c r="B1319" s="387"/>
      <c r="C1319" s="388"/>
      <c r="D1319" s="458"/>
      <c r="E1319" s="389"/>
      <c r="F1319" s="390"/>
      <c r="G1319" s="462"/>
      <c r="H1319" s="390"/>
      <c r="I1319" s="402"/>
      <c r="J1319" s="241" t="b">
        <f>Age_Sex_BY[[#This Row],[Total Spending After Applying Truncation at the Member Level]]+Age_Sex_BY[[#This Row],[Total Dollars Excluded from Spending After Applying Truncation at the Member Level]]=Age_Sex_BY[[#This Row],[Total Spending before Truncation is Applied]]</f>
        <v>1</v>
      </c>
    </row>
    <row r="1320" spans="1:10" x14ac:dyDescent="0.25">
      <c r="A1320" s="394"/>
      <c r="B1320" s="395"/>
      <c r="C1320" s="396"/>
      <c r="D1320" s="459"/>
      <c r="E1320" s="397"/>
      <c r="F1320" s="398"/>
      <c r="G1320" s="463"/>
      <c r="H1320" s="398"/>
      <c r="I1320" s="403"/>
      <c r="J1320" s="241" t="b">
        <f>Age_Sex_BY[[#This Row],[Total Spending After Applying Truncation at the Member Level]]+Age_Sex_BY[[#This Row],[Total Dollars Excluded from Spending After Applying Truncation at the Member Level]]=Age_Sex_BY[[#This Row],[Total Spending before Truncation is Applied]]</f>
        <v>1</v>
      </c>
    </row>
    <row r="1321" spans="1:10" x14ac:dyDescent="0.25">
      <c r="A1321" s="393"/>
      <c r="B1321" s="387"/>
      <c r="C1321" s="388"/>
      <c r="D1321" s="458"/>
      <c r="E1321" s="389"/>
      <c r="F1321" s="390"/>
      <c r="G1321" s="462"/>
      <c r="H1321" s="390"/>
      <c r="I1321" s="402"/>
      <c r="J1321" s="241" t="b">
        <f>Age_Sex_BY[[#This Row],[Total Spending After Applying Truncation at the Member Level]]+Age_Sex_BY[[#This Row],[Total Dollars Excluded from Spending After Applying Truncation at the Member Level]]=Age_Sex_BY[[#This Row],[Total Spending before Truncation is Applied]]</f>
        <v>1</v>
      </c>
    </row>
    <row r="1322" spans="1:10" x14ac:dyDescent="0.25">
      <c r="A1322" s="394"/>
      <c r="B1322" s="395"/>
      <c r="C1322" s="396"/>
      <c r="D1322" s="459"/>
      <c r="E1322" s="397"/>
      <c r="F1322" s="398"/>
      <c r="G1322" s="463"/>
      <c r="H1322" s="398"/>
      <c r="I1322" s="403"/>
      <c r="J1322" s="241" t="b">
        <f>Age_Sex_BY[[#This Row],[Total Spending After Applying Truncation at the Member Level]]+Age_Sex_BY[[#This Row],[Total Dollars Excluded from Spending After Applying Truncation at the Member Level]]=Age_Sex_BY[[#This Row],[Total Spending before Truncation is Applied]]</f>
        <v>1</v>
      </c>
    </row>
    <row r="1323" spans="1:10" x14ac:dyDescent="0.25">
      <c r="A1323" s="393"/>
      <c r="B1323" s="387"/>
      <c r="C1323" s="388"/>
      <c r="D1323" s="458"/>
      <c r="E1323" s="389"/>
      <c r="F1323" s="390"/>
      <c r="G1323" s="462"/>
      <c r="H1323" s="390"/>
      <c r="I1323" s="402"/>
      <c r="J1323" s="241" t="b">
        <f>Age_Sex_BY[[#This Row],[Total Spending After Applying Truncation at the Member Level]]+Age_Sex_BY[[#This Row],[Total Dollars Excluded from Spending After Applying Truncation at the Member Level]]=Age_Sex_BY[[#This Row],[Total Spending before Truncation is Applied]]</f>
        <v>1</v>
      </c>
    </row>
    <row r="1324" spans="1:10" x14ac:dyDescent="0.25">
      <c r="A1324" s="394"/>
      <c r="B1324" s="395"/>
      <c r="C1324" s="396"/>
      <c r="D1324" s="459"/>
      <c r="E1324" s="397"/>
      <c r="F1324" s="398"/>
      <c r="G1324" s="463"/>
      <c r="H1324" s="398"/>
      <c r="I1324" s="403"/>
      <c r="J1324" s="241" t="b">
        <f>Age_Sex_BY[[#This Row],[Total Spending After Applying Truncation at the Member Level]]+Age_Sex_BY[[#This Row],[Total Dollars Excluded from Spending After Applying Truncation at the Member Level]]=Age_Sex_BY[[#This Row],[Total Spending before Truncation is Applied]]</f>
        <v>1</v>
      </c>
    </row>
    <row r="1325" spans="1:10" x14ac:dyDescent="0.25">
      <c r="A1325" s="393"/>
      <c r="B1325" s="387"/>
      <c r="C1325" s="388"/>
      <c r="D1325" s="458"/>
      <c r="E1325" s="389"/>
      <c r="F1325" s="390"/>
      <c r="G1325" s="462"/>
      <c r="H1325" s="390"/>
      <c r="I1325" s="402"/>
      <c r="J1325" s="241" t="b">
        <f>Age_Sex_BY[[#This Row],[Total Spending After Applying Truncation at the Member Level]]+Age_Sex_BY[[#This Row],[Total Dollars Excluded from Spending After Applying Truncation at the Member Level]]=Age_Sex_BY[[#This Row],[Total Spending before Truncation is Applied]]</f>
        <v>1</v>
      </c>
    </row>
    <row r="1326" spans="1:10" x14ac:dyDescent="0.25">
      <c r="A1326" s="394"/>
      <c r="B1326" s="395"/>
      <c r="C1326" s="396"/>
      <c r="D1326" s="459"/>
      <c r="E1326" s="397"/>
      <c r="F1326" s="398"/>
      <c r="G1326" s="463"/>
      <c r="H1326" s="398"/>
      <c r="I1326" s="403"/>
      <c r="J1326" s="241" t="b">
        <f>Age_Sex_BY[[#This Row],[Total Spending After Applying Truncation at the Member Level]]+Age_Sex_BY[[#This Row],[Total Dollars Excluded from Spending After Applying Truncation at the Member Level]]=Age_Sex_BY[[#This Row],[Total Spending before Truncation is Applied]]</f>
        <v>1</v>
      </c>
    </row>
    <row r="1327" spans="1:10" x14ac:dyDescent="0.25">
      <c r="A1327" s="393"/>
      <c r="B1327" s="387"/>
      <c r="C1327" s="388"/>
      <c r="D1327" s="458"/>
      <c r="E1327" s="389"/>
      <c r="F1327" s="390"/>
      <c r="G1327" s="462"/>
      <c r="H1327" s="390"/>
      <c r="I1327" s="402"/>
      <c r="J1327" s="241" t="b">
        <f>Age_Sex_BY[[#This Row],[Total Spending After Applying Truncation at the Member Level]]+Age_Sex_BY[[#This Row],[Total Dollars Excluded from Spending After Applying Truncation at the Member Level]]=Age_Sex_BY[[#This Row],[Total Spending before Truncation is Applied]]</f>
        <v>1</v>
      </c>
    </row>
    <row r="1328" spans="1:10" x14ac:dyDescent="0.25">
      <c r="A1328" s="394"/>
      <c r="B1328" s="395"/>
      <c r="C1328" s="396"/>
      <c r="D1328" s="459"/>
      <c r="E1328" s="397"/>
      <c r="F1328" s="398"/>
      <c r="G1328" s="463"/>
      <c r="H1328" s="398"/>
      <c r="I1328" s="403"/>
      <c r="J1328" s="241" t="b">
        <f>Age_Sex_BY[[#This Row],[Total Spending After Applying Truncation at the Member Level]]+Age_Sex_BY[[#This Row],[Total Dollars Excluded from Spending After Applying Truncation at the Member Level]]=Age_Sex_BY[[#This Row],[Total Spending before Truncation is Applied]]</f>
        <v>1</v>
      </c>
    </row>
    <row r="1329" spans="1:10" x14ac:dyDescent="0.25">
      <c r="A1329" s="393"/>
      <c r="B1329" s="387"/>
      <c r="C1329" s="388"/>
      <c r="D1329" s="458"/>
      <c r="E1329" s="389"/>
      <c r="F1329" s="390"/>
      <c r="G1329" s="462"/>
      <c r="H1329" s="390"/>
      <c r="I1329" s="402"/>
      <c r="J1329" s="241" t="b">
        <f>Age_Sex_BY[[#This Row],[Total Spending After Applying Truncation at the Member Level]]+Age_Sex_BY[[#This Row],[Total Dollars Excluded from Spending After Applying Truncation at the Member Level]]=Age_Sex_BY[[#This Row],[Total Spending before Truncation is Applied]]</f>
        <v>1</v>
      </c>
    </row>
    <row r="1330" spans="1:10" x14ac:dyDescent="0.25">
      <c r="A1330" s="394"/>
      <c r="B1330" s="395"/>
      <c r="C1330" s="396"/>
      <c r="D1330" s="459"/>
      <c r="E1330" s="397"/>
      <c r="F1330" s="398"/>
      <c r="G1330" s="463"/>
      <c r="H1330" s="398"/>
      <c r="I1330" s="403"/>
      <c r="J1330" s="241" t="b">
        <f>Age_Sex_BY[[#This Row],[Total Spending After Applying Truncation at the Member Level]]+Age_Sex_BY[[#This Row],[Total Dollars Excluded from Spending After Applying Truncation at the Member Level]]=Age_Sex_BY[[#This Row],[Total Spending before Truncation is Applied]]</f>
        <v>1</v>
      </c>
    </row>
    <row r="1331" spans="1:10" x14ac:dyDescent="0.25">
      <c r="A1331" s="393"/>
      <c r="B1331" s="387"/>
      <c r="C1331" s="388"/>
      <c r="D1331" s="458"/>
      <c r="E1331" s="389"/>
      <c r="F1331" s="390"/>
      <c r="G1331" s="462"/>
      <c r="H1331" s="390"/>
      <c r="I1331" s="402"/>
      <c r="J1331" s="241" t="b">
        <f>Age_Sex_BY[[#This Row],[Total Spending After Applying Truncation at the Member Level]]+Age_Sex_BY[[#This Row],[Total Dollars Excluded from Spending After Applying Truncation at the Member Level]]=Age_Sex_BY[[#This Row],[Total Spending before Truncation is Applied]]</f>
        <v>1</v>
      </c>
    </row>
    <row r="1332" spans="1:10" x14ac:dyDescent="0.25">
      <c r="A1332" s="394"/>
      <c r="B1332" s="395"/>
      <c r="C1332" s="396"/>
      <c r="D1332" s="459"/>
      <c r="E1332" s="397"/>
      <c r="F1332" s="398"/>
      <c r="G1332" s="463"/>
      <c r="H1332" s="398"/>
      <c r="I1332" s="403"/>
      <c r="J1332" s="241" t="b">
        <f>Age_Sex_BY[[#This Row],[Total Spending After Applying Truncation at the Member Level]]+Age_Sex_BY[[#This Row],[Total Dollars Excluded from Spending After Applying Truncation at the Member Level]]=Age_Sex_BY[[#This Row],[Total Spending before Truncation is Applied]]</f>
        <v>1</v>
      </c>
    </row>
    <row r="1333" spans="1:10" x14ac:dyDescent="0.25">
      <c r="A1333" s="393"/>
      <c r="B1333" s="387"/>
      <c r="C1333" s="388"/>
      <c r="D1333" s="458"/>
      <c r="E1333" s="389"/>
      <c r="F1333" s="390"/>
      <c r="G1333" s="462"/>
      <c r="H1333" s="390"/>
      <c r="I1333" s="402"/>
      <c r="J1333" s="241" t="b">
        <f>Age_Sex_BY[[#This Row],[Total Spending After Applying Truncation at the Member Level]]+Age_Sex_BY[[#This Row],[Total Dollars Excluded from Spending After Applying Truncation at the Member Level]]=Age_Sex_BY[[#This Row],[Total Spending before Truncation is Applied]]</f>
        <v>1</v>
      </c>
    </row>
    <row r="1334" spans="1:10" x14ac:dyDescent="0.25">
      <c r="A1334" s="394"/>
      <c r="B1334" s="395"/>
      <c r="C1334" s="396"/>
      <c r="D1334" s="459"/>
      <c r="E1334" s="397"/>
      <c r="F1334" s="398"/>
      <c r="G1334" s="463"/>
      <c r="H1334" s="398"/>
      <c r="I1334" s="403"/>
      <c r="J1334" s="241" t="b">
        <f>Age_Sex_BY[[#This Row],[Total Spending After Applying Truncation at the Member Level]]+Age_Sex_BY[[#This Row],[Total Dollars Excluded from Spending After Applying Truncation at the Member Level]]=Age_Sex_BY[[#This Row],[Total Spending before Truncation is Applied]]</f>
        <v>1</v>
      </c>
    </row>
    <row r="1335" spans="1:10" x14ac:dyDescent="0.25">
      <c r="A1335" s="393"/>
      <c r="B1335" s="387"/>
      <c r="C1335" s="388"/>
      <c r="D1335" s="458"/>
      <c r="E1335" s="389"/>
      <c r="F1335" s="390"/>
      <c r="G1335" s="462"/>
      <c r="H1335" s="390"/>
      <c r="I1335" s="402"/>
      <c r="J1335" s="241" t="b">
        <f>Age_Sex_BY[[#This Row],[Total Spending After Applying Truncation at the Member Level]]+Age_Sex_BY[[#This Row],[Total Dollars Excluded from Spending After Applying Truncation at the Member Level]]=Age_Sex_BY[[#This Row],[Total Spending before Truncation is Applied]]</f>
        <v>1</v>
      </c>
    </row>
    <row r="1336" spans="1:10" x14ac:dyDescent="0.25">
      <c r="A1336" s="394"/>
      <c r="B1336" s="395"/>
      <c r="C1336" s="396"/>
      <c r="D1336" s="459"/>
      <c r="E1336" s="397"/>
      <c r="F1336" s="398"/>
      <c r="G1336" s="463"/>
      <c r="H1336" s="398"/>
      <c r="I1336" s="403"/>
      <c r="J1336" s="241" t="b">
        <f>Age_Sex_BY[[#This Row],[Total Spending After Applying Truncation at the Member Level]]+Age_Sex_BY[[#This Row],[Total Dollars Excluded from Spending After Applying Truncation at the Member Level]]=Age_Sex_BY[[#This Row],[Total Spending before Truncation is Applied]]</f>
        <v>1</v>
      </c>
    </row>
    <row r="1337" spans="1:10" x14ac:dyDescent="0.25">
      <c r="A1337" s="393"/>
      <c r="B1337" s="387"/>
      <c r="C1337" s="388"/>
      <c r="D1337" s="458"/>
      <c r="E1337" s="389"/>
      <c r="F1337" s="390"/>
      <c r="G1337" s="462"/>
      <c r="H1337" s="390"/>
      <c r="I1337" s="402"/>
      <c r="J1337" s="241" t="b">
        <f>Age_Sex_BY[[#This Row],[Total Spending After Applying Truncation at the Member Level]]+Age_Sex_BY[[#This Row],[Total Dollars Excluded from Spending After Applying Truncation at the Member Level]]=Age_Sex_BY[[#This Row],[Total Spending before Truncation is Applied]]</f>
        <v>1</v>
      </c>
    </row>
    <row r="1338" spans="1:10" x14ac:dyDescent="0.25">
      <c r="A1338" s="394"/>
      <c r="B1338" s="395"/>
      <c r="C1338" s="396"/>
      <c r="D1338" s="459"/>
      <c r="E1338" s="397"/>
      <c r="F1338" s="398"/>
      <c r="G1338" s="463"/>
      <c r="H1338" s="398"/>
      <c r="I1338" s="403"/>
      <c r="J1338" s="241" t="b">
        <f>Age_Sex_BY[[#This Row],[Total Spending After Applying Truncation at the Member Level]]+Age_Sex_BY[[#This Row],[Total Dollars Excluded from Spending After Applying Truncation at the Member Level]]=Age_Sex_BY[[#This Row],[Total Spending before Truncation is Applied]]</f>
        <v>1</v>
      </c>
    </row>
    <row r="1339" spans="1:10" x14ac:dyDescent="0.25">
      <c r="A1339" s="393"/>
      <c r="B1339" s="387"/>
      <c r="C1339" s="388"/>
      <c r="D1339" s="458"/>
      <c r="E1339" s="389"/>
      <c r="F1339" s="390"/>
      <c r="G1339" s="462"/>
      <c r="H1339" s="390"/>
      <c r="I1339" s="402"/>
      <c r="J1339" s="241" t="b">
        <f>Age_Sex_BY[[#This Row],[Total Spending After Applying Truncation at the Member Level]]+Age_Sex_BY[[#This Row],[Total Dollars Excluded from Spending After Applying Truncation at the Member Level]]=Age_Sex_BY[[#This Row],[Total Spending before Truncation is Applied]]</f>
        <v>1</v>
      </c>
    </row>
    <row r="1340" spans="1:10" x14ac:dyDescent="0.25">
      <c r="A1340" s="394"/>
      <c r="B1340" s="395"/>
      <c r="C1340" s="396"/>
      <c r="D1340" s="459"/>
      <c r="E1340" s="397"/>
      <c r="F1340" s="398"/>
      <c r="G1340" s="463"/>
      <c r="H1340" s="398"/>
      <c r="I1340" s="403"/>
      <c r="J1340" s="241" t="b">
        <f>Age_Sex_BY[[#This Row],[Total Spending After Applying Truncation at the Member Level]]+Age_Sex_BY[[#This Row],[Total Dollars Excluded from Spending After Applying Truncation at the Member Level]]=Age_Sex_BY[[#This Row],[Total Spending before Truncation is Applied]]</f>
        <v>1</v>
      </c>
    </row>
    <row r="1341" spans="1:10" x14ac:dyDescent="0.25">
      <c r="A1341" s="393"/>
      <c r="B1341" s="387"/>
      <c r="C1341" s="388"/>
      <c r="D1341" s="458"/>
      <c r="E1341" s="389"/>
      <c r="F1341" s="390"/>
      <c r="G1341" s="462"/>
      <c r="H1341" s="390"/>
      <c r="I1341" s="402"/>
      <c r="J1341" s="241" t="b">
        <f>Age_Sex_BY[[#This Row],[Total Spending After Applying Truncation at the Member Level]]+Age_Sex_BY[[#This Row],[Total Dollars Excluded from Spending After Applying Truncation at the Member Level]]=Age_Sex_BY[[#This Row],[Total Spending before Truncation is Applied]]</f>
        <v>1</v>
      </c>
    </row>
    <row r="1342" spans="1:10" x14ac:dyDescent="0.25">
      <c r="A1342" s="394"/>
      <c r="B1342" s="395"/>
      <c r="C1342" s="396"/>
      <c r="D1342" s="459"/>
      <c r="E1342" s="397"/>
      <c r="F1342" s="398"/>
      <c r="G1342" s="463"/>
      <c r="H1342" s="398"/>
      <c r="I1342" s="403"/>
      <c r="J1342" s="241" t="b">
        <f>Age_Sex_BY[[#This Row],[Total Spending After Applying Truncation at the Member Level]]+Age_Sex_BY[[#This Row],[Total Dollars Excluded from Spending After Applying Truncation at the Member Level]]=Age_Sex_BY[[#This Row],[Total Spending before Truncation is Applied]]</f>
        <v>1</v>
      </c>
    </row>
    <row r="1343" spans="1:10" x14ac:dyDescent="0.25">
      <c r="A1343" s="393"/>
      <c r="B1343" s="387"/>
      <c r="C1343" s="388"/>
      <c r="D1343" s="458"/>
      <c r="E1343" s="389"/>
      <c r="F1343" s="390"/>
      <c r="G1343" s="462"/>
      <c r="H1343" s="390"/>
      <c r="I1343" s="402"/>
      <c r="J1343" s="241" t="b">
        <f>Age_Sex_BY[[#This Row],[Total Spending After Applying Truncation at the Member Level]]+Age_Sex_BY[[#This Row],[Total Dollars Excluded from Spending After Applying Truncation at the Member Level]]=Age_Sex_BY[[#This Row],[Total Spending before Truncation is Applied]]</f>
        <v>1</v>
      </c>
    </row>
    <row r="1344" spans="1:10" x14ac:dyDescent="0.25">
      <c r="A1344" s="394"/>
      <c r="B1344" s="395"/>
      <c r="C1344" s="396"/>
      <c r="D1344" s="459"/>
      <c r="E1344" s="397"/>
      <c r="F1344" s="398"/>
      <c r="G1344" s="463"/>
      <c r="H1344" s="398"/>
      <c r="I1344" s="403"/>
      <c r="J1344" s="241" t="b">
        <f>Age_Sex_BY[[#This Row],[Total Spending After Applying Truncation at the Member Level]]+Age_Sex_BY[[#This Row],[Total Dollars Excluded from Spending After Applying Truncation at the Member Level]]=Age_Sex_BY[[#This Row],[Total Spending before Truncation is Applied]]</f>
        <v>1</v>
      </c>
    </row>
    <row r="1345" spans="1:10" x14ac:dyDescent="0.25">
      <c r="A1345" s="393"/>
      <c r="B1345" s="387"/>
      <c r="C1345" s="388"/>
      <c r="D1345" s="458"/>
      <c r="E1345" s="389"/>
      <c r="F1345" s="390"/>
      <c r="G1345" s="462"/>
      <c r="H1345" s="390"/>
      <c r="I1345" s="402"/>
      <c r="J1345" s="241" t="b">
        <f>Age_Sex_BY[[#This Row],[Total Spending After Applying Truncation at the Member Level]]+Age_Sex_BY[[#This Row],[Total Dollars Excluded from Spending After Applying Truncation at the Member Level]]=Age_Sex_BY[[#This Row],[Total Spending before Truncation is Applied]]</f>
        <v>1</v>
      </c>
    </row>
    <row r="1346" spans="1:10" x14ac:dyDescent="0.25">
      <c r="A1346" s="394"/>
      <c r="B1346" s="395"/>
      <c r="C1346" s="396"/>
      <c r="D1346" s="459"/>
      <c r="E1346" s="397"/>
      <c r="F1346" s="398"/>
      <c r="G1346" s="463"/>
      <c r="H1346" s="398"/>
      <c r="I1346" s="403"/>
      <c r="J1346" s="241" t="b">
        <f>Age_Sex_BY[[#This Row],[Total Spending After Applying Truncation at the Member Level]]+Age_Sex_BY[[#This Row],[Total Dollars Excluded from Spending After Applying Truncation at the Member Level]]=Age_Sex_BY[[#This Row],[Total Spending before Truncation is Applied]]</f>
        <v>1</v>
      </c>
    </row>
    <row r="1347" spans="1:10" x14ac:dyDescent="0.25">
      <c r="A1347" s="393"/>
      <c r="B1347" s="387"/>
      <c r="C1347" s="388"/>
      <c r="D1347" s="458"/>
      <c r="E1347" s="389"/>
      <c r="F1347" s="390"/>
      <c r="G1347" s="462"/>
      <c r="H1347" s="390"/>
      <c r="I1347" s="402"/>
      <c r="J1347" s="241" t="b">
        <f>Age_Sex_BY[[#This Row],[Total Spending After Applying Truncation at the Member Level]]+Age_Sex_BY[[#This Row],[Total Dollars Excluded from Spending After Applying Truncation at the Member Level]]=Age_Sex_BY[[#This Row],[Total Spending before Truncation is Applied]]</f>
        <v>1</v>
      </c>
    </row>
    <row r="1348" spans="1:10" x14ac:dyDescent="0.25">
      <c r="A1348" s="394"/>
      <c r="B1348" s="395"/>
      <c r="C1348" s="396"/>
      <c r="D1348" s="459"/>
      <c r="E1348" s="397"/>
      <c r="F1348" s="398"/>
      <c r="G1348" s="463"/>
      <c r="H1348" s="398"/>
      <c r="I1348" s="403"/>
      <c r="J1348" s="241" t="b">
        <f>Age_Sex_BY[[#This Row],[Total Spending After Applying Truncation at the Member Level]]+Age_Sex_BY[[#This Row],[Total Dollars Excluded from Spending After Applying Truncation at the Member Level]]=Age_Sex_BY[[#This Row],[Total Spending before Truncation is Applied]]</f>
        <v>1</v>
      </c>
    </row>
    <row r="1349" spans="1:10" x14ac:dyDescent="0.25">
      <c r="A1349" s="393"/>
      <c r="B1349" s="387"/>
      <c r="C1349" s="388"/>
      <c r="D1349" s="458"/>
      <c r="E1349" s="389"/>
      <c r="F1349" s="390"/>
      <c r="G1349" s="462"/>
      <c r="H1349" s="390"/>
      <c r="I1349" s="402"/>
      <c r="J1349" s="241" t="b">
        <f>Age_Sex_BY[[#This Row],[Total Spending After Applying Truncation at the Member Level]]+Age_Sex_BY[[#This Row],[Total Dollars Excluded from Spending After Applying Truncation at the Member Level]]=Age_Sex_BY[[#This Row],[Total Spending before Truncation is Applied]]</f>
        <v>1</v>
      </c>
    </row>
    <row r="1350" spans="1:10" x14ac:dyDescent="0.25">
      <c r="A1350" s="394"/>
      <c r="B1350" s="395"/>
      <c r="C1350" s="396"/>
      <c r="D1350" s="459"/>
      <c r="E1350" s="397"/>
      <c r="F1350" s="398"/>
      <c r="G1350" s="463"/>
      <c r="H1350" s="398"/>
      <c r="I1350" s="403"/>
      <c r="J1350" s="241" t="b">
        <f>Age_Sex_BY[[#This Row],[Total Spending After Applying Truncation at the Member Level]]+Age_Sex_BY[[#This Row],[Total Dollars Excluded from Spending After Applying Truncation at the Member Level]]=Age_Sex_BY[[#This Row],[Total Spending before Truncation is Applied]]</f>
        <v>1</v>
      </c>
    </row>
    <row r="1351" spans="1:10" x14ac:dyDescent="0.25">
      <c r="A1351" s="393"/>
      <c r="B1351" s="387"/>
      <c r="C1351" s="388"/>
      <c r="D1351" s="458"/>
      <c r="E1351" s="389"/>
      <c r="F1351" s="390"/>
      <c r="G1351" s="462"/>
      <c r="H1351" s="390"/>
      <c r="I1351" s="402"/>
      <c r="J1351" s="241" t="b">
        <f>Age_Sex_BY[[#This Row],[Total Spending After Applying Truncation at the Member Level]]+Age_Sex_BY[[#This Row],[Total Dollars Excluded from Spending After Applying Truncation at the Member Level]]=Age_Sex_BY[[#This Row],[Total Spending before Truncation is Applied]]</f>
        <v>1</v>
      </c>
    </row>
    <row r="1352" spans="1:10" x14ac:dyDescent="0.25">
      <c r="A1352" s="394"/>
      <c r="B1352" s="395"/>
      <c r="C1352" s="396"/>
      <c r="D1352" s="459"/>
      <c r="E1352" s="397"/>
      <c r="F1352" s="398"/>
      <c r="G1352" s="463"/>
      <c r="H1352" s="398"/>
      <c r="I1352" s="403"/>
      <c r="J1352" s="241" t="b">
        <f>Age_Sex_BY[[#This Row],[Total Spending After Applying Truncation at the Member Level]]+Age_Sex_BY[[#This Row],[Total Dollars Excluded from Spending After Applying Truncation at the Member Level]]=Age_Sex_BY[[#This Row],[Total Spending before Truncation is Applied]]</f>
        <v>1</v>
      </c>
    </row>
    <row r="1353" spans="1:10" x14ac:dyDescent="0.25">
      <c r="A1353" s="393"/>
      <c r="B1353" s="387"/>
      <c r="C1353" s="388"/>
      <c r="D1353" s="458"/>
      <c r="E1353" s="389"/>
      <c r="F1353" s="390"/>
      <c r="G1353" s="462"/>
      <c r="H1353" s="390"/>
      <c r="I1353" s="402"/>
      <c r="J1353" s="241" t="b">
        <f>Age_Sex_BY[[#This Row],[Total Spending After Applying Truncation at the Member Level]]+Age_Sex_BY[[#This Row],[Total Dollars Excluded from Spending After Applying Truncation at the Member Level]]=Age_Sex_BY[[#This Row],[Total Spending before Truncation is Applied]]</f>
        <v>1</v>
      </c>
    </row>
    <row r="1354" spans="1:10" x14ac:dyDescent="0.25">
      <c r="A1354" s="394"/>
      <c r="B1354" s="395"/>
      <c r="C1354" s="396"/>
      <c r="D1354" s="459"/>
      <c r="E1354" s="397"/>
      <c r="F1354" s="398"/>
      <c r="G1354" s="463"/>
      <c r="H1354" s="398"/>
      <c r="I1354" s="403"/>
      <c r="J1354" s="241" t="b">
        <f>Age_Sex_BY[[#This Row],[Total Spending After Applying Truncation at the Member Level]]+Age_Sex_BY[[#This Row],[Total Dollars Excluded from Spending After Applying Truncation at the Member Level]]=Age_Sex_BY[[#This Row],[Total Spending before Truncation is Applied]]</f>
        <v>1</v>
      </c>
    </row>
    <row r="1355" spans="1:10" x14ac:dyDescent="0.25">
      <c r="A1355" s="393"/>
      <c r="B1355" s="387"/>
      <c r="C1355" s="388"/>
      <c r="D1355" s="458"/>
      <c r="E1355" s="389"/>
      <c r="F1355" s="390"/>
      <c r="G1355" s="462"/>
      <c r="H1355" s="390"/>
      <c r="I1355" s="402"/>
      <c r="J1355" s="241" t="b">
        <f>Age_Sex_BY[[#This Row],[Total Spending After Applying Truncation at the Member Level]]+Age_Sex_BY[[#This Row],[Total Dollars Excluded from Spending After Applying Truncation at the Member Level]]=Age_Sex_BY[[#This Row],[Total Spending before Truncation is Applied]]</f>
        <v>1</v>
      </c>
    </row>
    <row r="1356" spans="1:10" x14ac:dyDescent="0.25">
      <c r="A1356" s="394"/>
      <c r="B1356" s="395"/>
      <c r="C1356" s="396"/>
      <c r="D1356" s="459"/>
      <c r="E1356" s="397"/>
      <c r="F1356" s="398"/>
      <c r="G1356" s="463"/>
      <c r="H1356" s="398"/>
      <c r="I1356" s="403"/>
      <c r="J1356" s="241" t="b">
        <f>Age_Sex_BY[[#This Row],[Total Spending After Applying Truncation at the Member Level]]+Age_Sex_BY[[#This Row],[Total Dollars Excluded from Spending After Applying Truncation at the Member Level]]=Age_Sex_BY[[#This Row],[Total Spending before Truncation is Applied]]</f>
        <v>1</v>
      </c>
    </row>
    <row r="1357" spans="1:10" x14ac:dyDescent="0.25">
      <c r="A1357" s="393"/>
      <c r="B1357" s="387"/>
      <c r="C1357" s="388"/>
      <c r="D1357" s="458"/>
      <c r="E1357" s="389"/>
      <c r="F1357" s="390"/>
      <c r="G1357" s="462"/>
      <c r="H1357" s="390"/>
      <c r="I1357" s="402"/>
      <c r="J1357" s="241" t="b">
        <f>Age_Sex_BY[[#This Row],[Total Spending After Applying Truncation at the Member Level]]+Age_Sex_BY[[#This Row],[Total Dollars Excluded from Spending After Applying Truncation at the Member Level]]=Age_Sex_BY[[#This Row],[Total Spending before Truncation is Applied]]</f>
        <v>1</v>
      </c>
    </row>
    <row r="1358" spans="1:10" x14ac:dyDescent="0.25">
      <c r="A1358" s="394"/>
      <c r="B1358" s="395"/>
      <c r="C1358" s="396"/>
      <c r="D1358" s="459"/>
      <c r="E1358" s="397"/>
      <c r="F1358" s="398"/>
      <c r="G1358" s="463"/>
      <c r="H1358" s="398"/>
      <c r="I1358" s="403"/>
      <c r="J1358" s="241" t="b">
        <f>Age_Sex_BY[[#This Row],[Total Spending After Applying Truncation at the Member Level]]+Age_Sex_BY[[#This Row],[Total Dollars Excluded from Spending After Applying Truncation at the Member Level]]=Age_Sex_BY[[#This Row],[Total Spending before Truncation is Applied]]</f>
        <v>1</v>
      </c>
    </row>
    <row r="1359" spans="1:10" x14ac:dyDescent="0.25">
      <c r="A1359" s="393"/>
      <c r="B1359" s="387"/>
      <c r="C1359" s="388"/>
      <c r="D1359" s="458"/>
      <c r="E1359" s="389"/>
      <c r="F1359" s="390"/>
      <c r="G1359" s="462"/>
      <c r="H1359" s="390"/>
      <c r="I1359" s="402"/>
      <c r="J1359" s="241" t="b">
        <f>Age_Sex_BY[[#This Row],[Total Spending After Applying Truncation at the Member Level]]+Age_Sex_BY[[#This Row],[Total Dollars Excluded from Spending After Applying Truncation at the Member Level]]=Age_Sex_BY[[#This Row],[Total Spending before Truncation is Applied]]</f>
        <v>1</v>
      </c>
    </row>
    <row r="1360" spans="1:10" x14ac:dyDescent="0.25">
      <c r="A1360" s="394"/>
      <c r="B1360" s="395"/>
      <c r="C1360" s="396"/>
      <c r="D1360" s="459"/>
      <c r="E1360" s="397"/>
      <c r="F1360" s="398"/>
      <c r="G1360" s="463"/>
      <c r="H1360" s="398"/>
      <c r="I1360" s="403"/>
      <c r="J1360" s="241" t="b">
        <f>Age_Sex_BY[[#This Row],[Total Spending After Applying Truncation at the Member Level]]+Age_Sex_BY[[#This Row],[Total Dollars Excluded from Spending After Applying Truncation at the Member Level]]=Age_Sex_BY[[#This Row],[Total Spending before Truncation is Applied]]</f>
        <v>1</v>
      </c>
    </row>
    <row r="1361" spans="1:10" x14ac:dyDescent="0.25">
      <c r="A1361" s="393"/>
      <c r="B1361" s="387"/>
      <c r="C1361" s="388"/>
      <c r="D1361" s="458"/>
      <c r="E1361" s="389"/>
      <c r="F1361" s="390"/>
      <c r="G1361" s="462"/>
      <c r="H1361" s="390"/>
      <c r="I1361" s="402"/>
      <c r="J1361" s="241" t="b">
        <f>Age_Sex_BY[[#This Row],[Total Spending After Applying Truncation at the Member Level]]+Age_Sex_BY[[#This Row],[Total Dollars Excluded from Spending After Applying Truncation at the Member Level]]=Age_Sex_BY[[#This Row],[Total Spending before Truncation is Applied]]</f>
        <v>1</v>
      </c>
    </row>
    <row r="1362" spans="1:10" x14ac:dyDescent="0.25">
      <c r="A1362" s="394"/>
      <c r="B1362" s="395"/>
      <c r="C1362" s="396"/>
      <c r="D1362" s="459"/>
      <c r="E1362" s="397"/>
      <c r="F1362" s="398"/>
      <c r="G1362" s="463"/>
      <c r="H1362" s="398"/>
      <c r="I1362" s="403"/>
      <c r="J1362" s="241" t="b">
        <f>Age_Sex_BY[[#This Row],[Total Spending After Applying Truncation at the Member Level]]+Age_Sex_BY[[#This Row],[Total Dollars Excluded from Spending After Applying Truncation at the Member Level]]=Age_Sex_BY[[#This Row],[Total Spending before Truncation is Applied]]</f>
        <v>1</v>
      </c>
    </row>
    <row r="1363" spans="1:10" x14ac:dyDescent="0.25">
      <c r="A1363" s="393"/>
      <c r="B1363" s="387"/>
      <c r="C1363" s="388"/>
      <c r="D1363" s="458"/>
      <c r="E1363" s="389"/>
      <c r="F1363" s="390"/>
      <c r="G1363" s="462"/>
      <c r="H1363" s="390"/>
      <c r="I1363" s="402"/>
      <c r="J1363" s="241" t="b">
        <f>Age_Sex_BY[[#This Row],[Total Spending After Applying Truncation at the Member Level]]+Age_Sex_BY[[#This Row],[Total Dollars Excluded from Spending After Applying Truncation at the Member Level]]=Age_Sex_BY[[#This Row],[Total Spending before Truncation is Applied]]</f>
        <v>1</v>
      </c>
    </row>
    <row r="1364" spans="1:10" x14ac:dyDescent="0.25">
      <c r="A1364" s="394"/>
      <c r="B1364" s="395"/>
      <c r="C1364" s="396"/>
      <c r="D1364" s="459"/>
      <c r="E1364" s="397"/>
      <c r="F1364" s="398"/>
      <c r="G1364" s="463"/>
      <c r="H1364" s="398"/>
      <c r="I1364" s="403"/>
      <c r="J1364" s="241" t="b">
        <f>Age_Sex_BY[[#This Row],[Total Spending After Applying Truncation at the Member Level]]+Age_Sex_BY[[#This Row],[Total Dollars Excluded from Spending After Applying Truncation at the Member Level]]=Age_Sex_BY[[#This Row],[Total Spending before Truncation is Applied]]</f>
        <v>1</v>
      </c>
    </row>
    <row r="1365" spans="1:10" x14ac:dyDescent="0.25">
      <c r="A1365" s="393"/>
      <c r="B1365" s="387"/>
      <c r="C1365" s="388"/>
      <c r="D1365" s="458"/>
      <c r="E1365" s="389"/>
      <c r="F1365" s="390"/>
      <c r="G1365" s="462"/>
      <c r="H1365" s="390"/>
      <c r="I1365" s="402"/>
      <c r="J1365" s="241" t="b">
        <f>Age_Sex_BY[[#This Row],[Total Spending After Applying Truncation at the Member Level]]+Age_Sex_BY[[#This Row],[Total Dollars Excluded from Spending After Applying Truncation at the Member Level]]=Age_Sex_BY[[#This Row],[Total Spending before Truncation is Applied]]</f>
        <v>1</v>
      </c>
    </row>
    <row r="1366" spans="1:10" x14ac:dyDescent="0.25">
      <c r="A1366" s="394"/>
      <c r="B1366" s="395"/>
      <c r="C1366" s="396"/>
      <c r="D1366" s="459"/>
      <c r="E1366" s="397"/>
      <c r="F1366" s="398"/>
      <c r="G1366" s="463"/>
      <c r="H1366" s="398"/>
      <c r="I1366" s="403"/>
      <c r="J1366" s="241" t="b">
        <f>Age_Sex_BY[[#This Row],[Total Spending After Applying Truncation at the Member Level]]+Age_Sex_BY[[#This Row],[Total Dollars Excluded from Spending After Applying Truncation at the Member Level]]=Age_Sex_BY[[#This Row],[Total Spending before Truncation is Applied]]</f>
        <v>1</v>
      </c>
    </row>
    <row r="1367" spans="1:10" x14ac:dyDescent="0.25">
      <c r="A1367" s="393"/>
      <c r="B1367" s="387"/>
      <c r="C1367" s="388"/>
      <c r="D1367" s="458"/>
      <c r="E1367" s="389"/>
      <c r="F1367" s="390"/>
      <c r="G1367" s="462"/>
      <c r="H1367" s="390"/>
      <c r="I1367" s="402"/>
      <c r="J1367" s="241" t="b">
        <f>Age_Sex_BY[[#This Row],[Total Spending After Applying Truncation at the Member Level]]+Age_Sex_BY[[#This Row],[Total Dollars Excluded from Spending After Applying Truncation at the Member Level]]=Age_Sex_BY[[#This Row],[Total Spending before Truncation is Applied]]</f>
        <v>1</v>
      </c>
    </row>
    <row r="1368" spans="1:10" x14ac:dyDescent="0.25">
      <c r="A1368" s="394"/>
      <c r="B1368" s="395"/>
      <c r="C1368" s="396"/>
      <c r="D1368" s="459"/>
      <c r="E1368" s="397"/>
      <c r="F1368" s="398"/>
      <c r="G1368" s="463"/>
      <c r="H1368" s="398"/>
      <c r="I1368" s="403"/>
      <c r="J1368" s="241" t="b">
        <f>Age_Sex_BY[[#This Row],[Total Spending After Applying Truncation at the Member Level]]+Age_Sex_BY[[#This Row],[Total Dollars Excluded from Spending After Applying Truncation at the Member Level]]=Age_Sex_BY[[#This Row],[Total Spending before Truncation is Applied]]</f>
        <v>1</v>
      </c>
    </row>
    <row r="1369" spans="1:10" x14ac:dyDescent="0.25">
      <c r="A1369" s="393"/>
      <c r="B1369" s="387"/>
      <c r="C1369" s="388"/>
      <c r="D1369" s="458"/>
      <c r="E1369" s="389"/>
      <c r="F1369" s="390"/>
      <c r="G1369" s="462"/>
      <c r="H1369" s="390"/>
      <c r="I1369" s="402"/>
      <c r="J1369" s="241" t="b">
        <f>Age_Sex_BY[[#This Row],[Total Spending After Applying Truncation at the Member Level]]+Age_Sex_BY[[#This Row],[Total Dollars Excluded from Spending After Applying Truncation at the Member Level]]=Age_Sex_BY[[#This Row],[Total Spending before Truncation is Applied]]</f>
        <v>1</v>
      </c>
    </row>
    <row r="1370" spans="1:10" x14ac:dyDescent="0.25">
      <c r="A1370" s="394"/>
      <c r="B1370" s="395"/>
      <c r="C1370" s="396"/>
      <c r="D1370" s="459"/>
      <c r="E1370" s="397"/>
      <c r="F1370" s="398"/>
      <c r="G1370" s="463"/>
      <c r="H1370" s="398"/>
      <c r="I1370" s="403"/>
      <c r="J1370" s="241" t="b">
        <f>Age_Sex_BY[[#This Row],[Total Spending After Applying Truncation at the Member Level]]+Age_Sex_BY[[#This Row],[Total Dollars Excluded from Spending After Applying Truncation at the Member Level]]=Age_Sex_BY[[#This Row],[Total Spending before Truncation is Applied]]</f>
        <v>1</v>
      </c>
    </row>
    <row r="1371" spans="1:10" x14ac:dyDescent="0.25">
      <c r="A1371" s="393"/>
      <c r="B1371" s="387"/>
      <c r="C1371" s="388"/>
      <c r="D1371" s="458"/>
      <c r="E1371" s="389"/>
      <c r="F1371" s="390"/>
      <c r="G1371" s="462"/>
      <c r="H1371" s="390"/>
      <c r="I1371" s="402"/>
      <c r="J1371" s="241" t="b">
        <f>Age_Sex_BY[[#This Row],[Total Spending After Applying Truncation at the Member Level]]+Age_Sex_BY[[#This Row],[Total Dollars Excluded from Spending After Applying Truncation at the Member Level]]=Age_Sex_BY[[#This Row],[Total Spending before Truncation is Applied]]</f>
        <v>1</v>
      </c>
    </row>
    <row r="1372" spans="1:10" x14ac:dyDescent="0.25">
      <c r="A1372" s="394"/>
      <c r="B1372" s="395"/>
      <c r="C1372" s="396"/>
      <c r="D1372" s="459"/>
      <c r="E1372" s="397"/>
      <c r="F1372" s="398"/>
      <c r="G1372" s="463"/>
      <c r="H1372" s="398"/>
      <c r="I1372" s="403"/>
      <c r="J1372" s="241" t="b">
        <f>Age_Sex_BY[[#This Row],[Total Spending After Applying Truncation at the Member Level]]+Age_Sex_BY[[#This Row],[Total Dollars Excluded from Spending After Applying Truncation at the Member Level]]=Age_Sex_BY[[#This Row],[Total Spending before Truncation is Applied]]</f>
        <v>1</v>
      </c>
    </row>
    <row r="1373" spans="1:10" x14ac:dyDescent="0.25">
      <c r="A1373" s="393"/>
      <c r="B1373" s="387"/>
      <c r="C1373" s="388"/>
      <c r="D1373" s="458"/>
      <c r="E1373" s="389"/>
      <c r="F1373" s="390"/>
      <c r="G1373" s="462"/>
      <c r="H1373" s="390"/>
      <c r="I1373" s="402"/>
      <c r="J1373" s="241" t="b">
        <f>Age_Sex_BY[[#This Row],[Total Spending After Applying Truncation at the Member Level]]+Age_Sex_BY[[#This Row],[Total Dollars Excluded from Spending After Applying Truncation at the Member Level]]=Age_Sex_BY[[#This Row],[Total Spending before Truncation is Applied]]</f>
        <v>1</v>
      </c>
    </row>
    <row r="1374" spans="1:10" x14ac:dyDescent="0.25">
      <c r="A1374" s="394"/>
      <c r="B1374" s="395"/>
      <c r="C1374" s="396"/>
      <c r="D1374" s="459"/>
      <c r="E1374" s="397"/>
      <c r="F1374" s="398"/>
      <c r="G1374" s="463"/>
      <c r="H1374" s="398"/>
      <c r="I1374" s="403"/>
      <c r="J1374" s="241" t="b">
        <f>Age_Sex_BY[[#This Row],[Total Spending After Applying Truncation at the Member Level]]+Age_Sex_BY[[#This Row],[Total Dollars Excluded from Spending After Applying Truncation at the Member Level]]=Age_Sex_BY[[#This Row],[Total Spending before Truncation is Applied]]</f>
        <v>1</v>
      </c>
    </row>
    <row r="1375" spans="1:10" x14ac:dyDescent="0.25">
      <c r="A1375" s="393"/>
      <c r="B1375" s="387"/>
      <c r="C1375" s="388"/>
      <c r="D1375" s="458"/>
      <c r="E1375" s="389"/>
      <c r="F1375" s="390"/>
      <c r="G1375" s="462"/>
      <c r="H1375" s="390"/>
      <c r="I1375" s="402"/>
      <c r="J1375" s="241" t="b">
        <f>Age_Sex_BY[[#This Row],[Total Spending After Applying Truncation at the Member Level]]+Age_Sex_BY[[#This Row],[Total Dollars Excluded from Spending After Applying Truncation at the Member Level]]=Age_Sex_BY[[#This Row],[Total Spending before Truncation is Applied]]</f>
        <v>1</v>
      </c>
    </row>
    <row r="1376" spans="1:10" x14ac:dyDescent="0.25">
      <c r="A1376" s="394"/>
      <c r="B1376" s="395"/>
      <c r="C1376" s="396"/>
      <c r="D1376" s="459"/>
      <c r="E1376" s="397"/>
      <c r="F1376" s="398"/>
      <c r="G1376" s="463"/>
      <c r="H1376" s="398"/>
      <c r="I1376" s="403"/>
      <c r="J1376" s="241" t="b">
        <f>Age_Sex_BY[[#This Row],[Total Spending After Applying Truncation at the Member Level]]+Age_Sex_BY[[#This Row],[Total Dollars Excluded from Spending After Applying Truncation at the Member Level]]=Age_Sex_BY[[#This Row],[Total Spending before Truncation is Applied]]</f>
        <v>1</v>
      </c>
    </row>
    <row r="1377" spans="1:10" x14ac:dyDescent="0.25">
      <c r="A1377" s="393"/>
      <c r="B1377" s="387"/>
      <c r="C1377" s="388"/>
      <c r="D1377" s="458"/>
      <c r="E1377" s="389"/>
      <c r="F1377" s="390"/>
      <c r="G1377" s="462"/>
      <c r="H1377" s="390"/>
      <c r="I1377" s="402"/>
      <c r="J1377" s="241" t="b">
        <f>Age_Sex_BY[[#This Row],[Total Spending After Applying Truncation at the Member Level]]+Age_Sex_BY[[#This Row],[Total Dollars Excluded from Spending After Applying Truncation at the Member Level]]=Age_Sex_BY[[#This Row],[Total Spending before Truncation is Applied]]</f>
        <v>1</v>
      </c>
    </row>
    <row r="1378" spans="1:10" x14ac:dyDescent="0.25">
      <c r="A1378" s="394"/>
      <c r="B1378" s="395"/>
      <c r="C1378" s="396"/>
      <c r="D1378" s="459"/>
      <c r="E1378" s="397"/>
      <c r="F1378" s="398"/>
      <c r="G1378" s="463"/>
      <c r="H1378" s="398"/>
      <c r="I1378" s="403"/>
      <c r="J1378" s="241" t="b">
        <f>Age_Sex_BY[[#This Row],[Total Spending After Applying Truncation at the Member Level]]+Age_Sex_BY[[#This Row],[Total Dollars Excluded from Spending After Applying Truncation at the Member Level]]=Age_Sex_BY[[#This Row],[Total Spending before Truncation is Applied]]</f>
        <v>1</v>
      </c>
    </row>
    <row r="1379" spans="1:10" x14ac:dyDescent="0.25">
      <c r="A1379" s="393"/>
      <c r="B1379" s="387"/>
      <c r="C1379" s="388"/>
      <c r="D1379" s="458"/>
      <c r="E1379" s="389"/>
      <c r="F1379" s="390"/>
      <c r="G1379" s="462"/>
      <c r="H1379" s="390"/>
      <c r="I1379" s="402"/>
      <c r="J1379" s="241" t="b">
        <f>Age_Sex_BY[[#This Row],[Total Spending After Applying Truncation at the Member Level]]+Age_Sex_BY[[#This Row],[Total Dollars Excluded from Spending After Applying Truncation at the Member Level]]=Age_Sex_BY[[#This Row],[Total Spending before Truncation is Applied]]</f>
        <v>1</v>
      </c>
    </row>
    <row r="1380" spans="1:10" x14ac:dyDescent="0.25">
      <c r="A1380" s="394"/>
      <c r="B1380" s="395"/>
      <c r="C1380" s="396"/>
      <c r="D1380" s="459"/>
      <c r="E1380" s="397"/>
      <c r="F1380" s="398"/>
      <c r="G1380" s="463"/>
      <c r="H1380" s="398"/>
      <c r="I1380" s="403"/>
      <c r="J1380" s="241" t="b">
        <f>Age_Sex_BY[[#This Row],[Total Spending After Applying Truncation at the Member Level]]+Age_Sex_BY[[#This Row],[Total Dollars Excluded from Spending After Applying Truncation at the Member Level]]=Age_Sex_BY[[#This Row],[Total Spending before Truncation is Applied]]</f>
        <v>1</v>
      </c>
    </row>
    <row r="1381" spans="1:10" x14ac:dyDescent="0.25">
      <c r="A1381" s="393"/>
      <c r="B1381" s="387"/>
      <c r="C1381" s="388"/>
      <c r="D1381" s="458"/>
      <c r="E1381" s="389"/>
      <c r="F1381" s="390"/>
      <c r="G1381" s="462"/>
      <c r="H1381" s="390"/>
      <c r="I1381" s="402"/>
      <c r="J1381" s="241" t="b">
        <f>Age_Sex_BY[[#This Row],[Total Spending After Applying Truncation at the Member Level]]+Age_Sex_BY[[#This Row],[Total Dollars Excluded from Spending After Applying Truncation at the Member Level]]=Age_Sex_BY[[#This Row],[Total Spending before Truncation is Applied]]</f>
        <v>1</v>
      </c>
    </row>
    <row r="1382" spans="1:10" x14ac:dyDescent="0.25">
      <c r="A1382" s="394"/>
      <c r="B1382" s="395"/>
      <c r="C1382" s="396"/>
      <c r="D1382" s="459"/>
      <c r="E1382" s="397"/>
      <c r="F1382" s="398"/>
      <c r="G1382" s="463"/>
      <c r="H1382" s="398"/>
      <c r="I1382" s="403"/>
      <c r="J1382" s="241" t="b">
        <f>Age_Sex_BY[[#This Row],[Total Spending After Applying Truncation at the Member Level]]+Age_Sex_BY[[#This Row],[Total Dollars Excluded from Spending After Applying Truncation at the Member Level]]=Age_Sex_BY[[#This Row],[Total Spending before Truncation is Applied]]</f>
        <v>1</v>
      </c>
    </row>
    <row r="1383" spans="1:10" x14ac:dyDescent="0.25">
      <c r="A1383" s="393"/>
      <c r="B1383" s="387"/>
      <c r="C1383" s="388"/>
      <c r="D1383" s="458"/>
      <c r="E1383" s="389"/>
      <c r="F1383" s="390"/>
      <c r="G1383" s="462"/>
      <c r="H1383" s="390"/>
      <c r="I1383" s="402"/>
      <c r="J1383" s="241" t="b">
        <f>Age_Sex_BY[[#This Row],[Total Spending After Applying Truncation at the Member Level]]+Age_Sex_BY[[#This Row],[Total Dollars Excluded from Spending After Applying Truncation at the Member Level]]=Age_Sex_BY[[#This Row],[Total Spending before Truncation is Applied]]</f>
        <v>1</v>
      </c>
    </row>
    <row r="1384" spans="1:10" x14ac:dyDescent="0.25">
      <c r="A1384" s="394"/>
      <c r="B1384" s="395"/>
      <c r="C1384" s="396"/>
      <c r="D1384" s="459"/>
      <c r="E1384" s="397"/>
      <c r="F1384" s="398"/>
      <c r="G1384" s="463"/>
      <c r="H1384" s="398"/>
      <c r="I1384" s="403"/>
      <c r="J1384" s="241" t="b">
        <f>Age_Sex_BY[[#This Row],[Total Spending After Applying Truncation at the Member Level]]+Age_Sex_BY[[#This Row],[Total Dollars Excluded from Spending After Applying Truncation at the Member Level]]=Age_Sex_BY[[#This Row],[Total Spending before Truncation is Applied]]</f>
        <v>1</v>
      </c>
    </row>
    <row r="1385" spans="1:10" x14ac:dyDescent="0.25">
      <c r="A1385" s="393"/>
      <c r="B1385" s="387"/>
      <c r="C1385" s="388"/>
      <c r="D1385" s="458"/>
      <c r="E1385" s="389"/>
      <c r="F1385" s="390"/>
      <c r="G1385" s="462"/>
      <c r="H1385" s="390"/>
      <c r="I1385" s="402"/>
      <c r="J1385" s="241" t="b">
        <f>Age_Sex_BY[[#This Row],[Total Spending After Applying Truncation at the Member Level]]+Age_Sex_BY[[#This Row],[Total Dollars Excluded from Spending After Applying Truncation at the Member Level]]=Age_Sex_BY[[#This Row],[Total Spending before Truncation is Applied]]</f>
        <v>1</v>
      </c>
    </row>
    <row r="1386" spans="1:10" x14ac:dyDescent="0.25">
      <c r="A1386" s="394"/>
      <c r="B1386" s="395"/>
      <c r="C1386" s="396"/>
      <c r="D1386" s="459"/>
      <c r="E1386" s="397"/>
      <c r="F1386" s="398"/>
      <c r="G1386" s="463"/>
      <c r="H1386" s="398"/>
      <c r="I1386" s="403"/>
      <c r="J1386" s="241" t="b">
        <f>Age_Sex_BY[[#This Row],[Total Spending After Applying Truncation at the Member Level]]+Age_Sex_BY[[#This Row],[Total Dollars Excluded from Spending After Applying Truncation at the Member Level]]=Age_Sex_BY[[#This Row],[Total Spending before Truncation is Applied]]</f>
        <v>1</v>
      </c>
    </row>
    <row r="1387" spans="1:10" x14ac:dyDescent="0.25">
      <c r="A1387" s="393"/>
      <c r="B1387" s="387"/>
      <c r="C1387" s="388"/>
      <c r="D1387" s="458"/>
      <c r="E1387" s="389"/>
      <c r="F1387" s="390"/>
      <c r="G1387" s="462"/>
      <c r="H1387" s="390"/>
      <c r="I1387" s="402"/>
      <c r="J1387" s="241" t="b">
        <f>Age_Sex_BY[[#This Row],[Total Spending After Applying Truncation at the Member Level]]+Age_Sex_BY[[#This Row],[Total Dollars Excluded from Spending After Applying Truncation at the Member Level]]=Age_Sex_BY[[#This Row],[Total Spending before Truncation is Applied]]</f>
        <v>1</v>
      </c>
    </row>
    <row r="1388" spans="1:10" x14ac:dyDescent="0.25">
      <c r="A1388" s="394"/>
      <c r="B1388" s="395"/>
      <c r="C1388" s="396"/>
      <c r="D1388" s="459"/>
      <c r="E1388" s="397"/>
      <c r="F1388" s="398"/>
      <c r="G1388" s="463"/>
      <c r="H1388" s="398"/>
      <c r="I1388" s="403"/>
      <c r="J1388" s="241" t="b">
        <f>Age_Sex_BY[[#This Row],[Total Spending After Applying Truncation at the Member Level]]+Age_Sex_BY[[#This Row],[Total Dollars Excluded from Spending After Applying Truncation at the Member Level]]=Age_Sex_BY[[#This Row],[Total Spending before Truncation is Applied]]</f>
        <v>1</v>
      </c>
    </row>
    <row r="1389" spans="1:10" x14ac:dyDescent="0.25">
      <c r="A1389" s="393"/>
      <c r="B1389" s="387"/>
      <c r="C1389" s="388"/>
      <c r="D1389" s="458"/>
      <c r="E1389" s="389"/>
      <c r="F1389" s="390"/>
      <c r="G1389" s="462"/>
      <c r="H1389" s="390"/>
      <c r="I1389" s="402"/>
      <c r="J1389" s="241" t="b">
        <f>Age_Sex_BY[[#This Row],[Total Spending After Applying Truncation at the Member Level]]+Age_Sex_BY[[#This Row],[Total Dollars Excluded from Spending After Applying Truncation at the Member Level]]=Age_Sex_BY[[#This Row],[Total Spending before Truncation is Applied]]</f>
        <v>1</v>
      </c>
    </row>
    <row r="1390" spans="1:10" x14ac:dyDescent="0.25">
      <c r="A1390" s="394"/>
      <c r="B1390" s="395"/>
      <c r="C1390" s="396"/>
      <c r="D1390" s="459"/>
      <c r="E1390" s="397"/>
      <c r="F1390" s="398"/>
      <c r="G1390" s="463"/>
      <c r="H1390" s="398"/>
      <c r="I1390" s="403"/>
      <c r="J1390" s="241" t="b">
        <f>Age_Sex_BY[[#This Row],[Total Spending After Applying Truncation at the Member Level]]+Age_Sex_BY[[#This Row],[Total Dollars Excluded from Spending After Applying Truncation at the Member Level]]=Age_Sex_BY[[#This Row],[Total Spending before Truncation is Applied]]</f>
        <v>1</v>
      </c>
    </row>
    <row r="1391" spans="1:10" x14ac:dyDescent="0.25">
      <c r="A1391" s="393"/>
      <c r="B1391" s="387"/>
      <c r="C1391" s="388"/>
      <c r="D1391" s="458"/>
      <c r="E1391" s="389"/>
      <c r="F1391" s="390"/>
      <c r="G1391" s="462"/>
      <c r="H1391" s="390"/>
      <c r="I1391" s="402"/>
      <c r="J1391" s="241" t="b">
        <f>Age_Sex_BY[[#This Row],[Total Spending After Applying Truncation at the Member Level]]+Age_Sex_BY[[#This Row],[Total Dollars Excluded from Spending After Applying Truncation at the Member Level]]=Age_Sex_BY[[#This Row],[Total Spending before Truncation is Applied]]</f>
        <v>1</v>
      </c>
    </row>
    <row r="1392" spans="1:10" x14ac:dyDescent="0.25">
      <c r="A1392" s="394"/>
      <c r="B1392" s="395"/>
      <c r="C1392" s="396"/>
      <c r="D1392" s="459"/>
      <c r="E1392" s="397"/>
      <c r="F1392" s="398"/>
      <c r="G1392" s="463"/>
      <c r="H1392" s="398"/>
      <c r="I1392" s="403"/>
      <c r="J1392" s="241" t="b">
        <f>Age_Sex_BY[[#This Row],[Total Spending After Applying Truncation at the Member Level]]+Age_Sex_BY[[#This Row],[Total Dollars Excluded from Spending After Applying Truncation at the Member Level]]=Age_Sex_BY[[#This Row],[Total Spending before Truncation is Applied]]</f>
        <v>1</v>
      </c>
    </row>
    <row r="1393" spans="1:10" x14ac:dyDescent="0.25">
      <c r="A1393" s="393"/>
      <c r="B1393" s="387"/>
      <c r="C1393" s="388"/>
      <c r="D1393" s="458"/>
      <c r="E1393" s="389"/>
      <c r="F1393" s="390"/>
      <c r="G1393" s="462"/>
      <c r="H1393" s="390"/>
      <c r="I1393" s="402"/>
      <c r="J1393" s="241" t="b">
        <f>Age_Sex_BY[[#This Row],[Total Spending After Applying Truncation at the Member Level]]+Age_Sex_BY[[#This Row],[Total Dollars Excluded from Spending After Applying Truncation at the Member Level]]=Age_Sex_BY[[#This Row],[Total Spending before Truncation is Applied]]</f>
        <v>1</v>
      </c>
    </row>
    <row r="1394" spans="1:10" x14ac:dyDescent="0.25">
      <c r="A1394" s="394"/>
      <c r="B1394" s="395"/>
      <c r="C1394" s="396"/>
      <c r="D1394" s="459"/>
      <c r="E1394" s="397"/>
      <c r="F1394" s="398"/>
      <c r="G1394" s="463"/>
      <c r="H1394" s="398"/>
      <c r="I1394" s="403"/>
      <c r="J1394" s="241" t="b">
        <f>Age_Sex_BY[[#This Row],[Total Spending After Applying Truncation at the Member Level]]+Age_Sex_BY[[#This Row],[Total Dollars Excluded from Spending After Applying Truncation at the Member Level]]=Age_Sex_BY[[#This Row],[Total Spending before Truncation is Applied]]</f>
        <v>1</v>
      </c>
    </row>
    <row r="1395" spans="1:10" x14ac:dyDescent="0.25">
      <c r="A1395" s="393"/>
      <c r="B1395" s="387"/>
      <c r="C1395" s="388"/>
      <c r="D1395" s="458"/>
      <c r="E1395" s="389"/>
      <c r="F1395" s="390"/>
      <c r="G1395" s="462"/>
      <c r="H1395" s="390"/>
      <c r="I1395" s="402"/>
      <c r="J1395" s="241" t="b">
        <f>Age_Sex_BY[[#This Row],[Total Spending After Applying Truncation at the Member Level]]+Age_Sex_BY[[#This Row],[Total Dollars Excluded from Spending After Applying Truncation at the Member Level]]=Age_Sex_BY[[#This Row],[Total Spending before Truncation is Applied]]</f>
        <v>1</v>
      </c>
    </row>
    <row r="1396" spans="1:10" x14ac:dyDescent="0.25">
      <c r="A1396" s="394"/>
      <c r="B1396" s="395"/>
      <c r="C1396" s="396"/>
      <c r="D1396" s="459"/>
      <c r="E1396" s="397"/>
      <c r="F1396" s="398"/>
      <c r="G1396" s="463"/>
      <c r="H1396" s="398"/>
      <c r="I1396" s="403"/>
      <c r="J1396" s="241" t="b">
        <f>Age_Sex_BY[[#This Row],[Total Spending After Applying Truncation at the Member Level]]+Age_Sex_BY[[#This Row],[Total Dollars Excluded from Spending After Applying Truncation at the Member Level]]=Age_Sex_BY[[#This Row],[Total Spending before Truncation is Applied]]</f>
        <v>1</v>
      </c>
    </row>
    <row r="1397" spans="1:10" x14ac:dyDescent="0.25">
      <c r="A1397" s="393"/>
      <c r="B1397" s="387"/>
      <c r="C1397" s="388"/>
      <c r="D1397" s="458"/>
      <c r="E1397" s="389"/>
      <c r="F1397" s="390"/>
      <c r="G1397" s="462"/>
      <c r="H1397" s="390"/>
      <c r="I1397" s="402"/>
      <c r="J1397" s="241" t="b">
        <f>Age_Sex_BY[[#This Row],[Total Spending After Applying Truncation at the Member Level]]+Age_Sex_BY[[#This Row],[Total Dollars Excluded from Spending After Applying Truncation at the Member Level]]=Age_Sex_BY[[#This Row],[Total Spending before Truncation is Applied]]</f>
        <v>1</v>
      </c>
    </row>
    <row r="1398" spans="1:10" x14ac:dyDescent="0.25">
      <c r="A1398" s="394"/>
      <c r="B1398" s="395"/>
      <c r="C1398" s="396"/>
      <c r="D1398" s="459"/>
      <c r="E1398" s="397"/>
      <c r="F1398" s="398"/>
      <c r="G1398" s="463"/>
      <c r="H1398" s="398"/>
      <c r="I1398" s="403"/>
      <c r="J1398" s="241" t="b">
        <f>Age_Sex_BY[[#This Row],[Total Spending After Applying Truncation at the Member Level]]+Age_Sex_BY[[#This Row],[Total Dollars Excluded from Spending After Applying Truncation at the Member Level]]=Age_Sex_BY[[#This Row],[Total Spending before Truncation is Applied]]</f>
        <v>1</v>
      </c>
    </row>
    <row r="1399" spans="1:10" x14ac:dyDescent="0.25">
      <c r="A1399" s="393"/>
      <c r="B1399" s="387"/>
      <c r="C1399" s="388"/>
      <c r="D1399" s="458"/>
      <c r="E1399" s="389"/>
      <c r="F1399" s="390"/>
      <c r="G1399" s="462"/>
      <c r="H1399" s="390"/>
      <c r="I1399" s="402"/>
      <c r="J1399" s="241" t="b">
        <f>Age_Sex_BY[[#This Row],[Total Spending After Applying Truncation at the Member Level]]+Age_Sex_BY[[#This Row],[Total Dollars Excluded from Spending After Applying Truncation at the Member Level]]=Age_Sex_BY[[#This Row],[Total Spending before Truncation is Applied]]</f>
        <v>1</v>
      </c>
    </row>
    <row r="1400" spans="1:10" x14ac:dyDescent="0.25">
      <c r="A1400" s="394"/>
      <c r="B1400" s="395"/>
      <c r="C1400" s="396"/>
      <c r="D1400" s="459"/>
      <c r="E1400" s="397"/>
      <c r="F1400" s="398"/>
      <c r="G1400" s="463"/>
      <c r="H1400" s="398"/>
      <c r="I1400" s="403"/>
      <c r="J1400" s="241" t="b">
        <f>Age_Sex_BY[[#This Row],[Total Spending After Applying Truncation at the Member Level]]+Age_Sex_BY[[#This Row],[Total Dollars Excluded from Spending After Applying Truncation at the Member Level]]=Age_Sex_BY[[#This Row],[Total Spending before Truncation is Applied]]</f>
        <v>1</v>
      </c>
    </row>
    <row r="1401" spans="1:10" x14ac:dyDescent="0.25">
      <c r="A1401" s="393"/>
      <c r="B1401" s="387"/>
      <c r="C1401" s="388"/>
      <c r="D1401" s="458"/>
      <c r="E1401" s="389"/>
      <c r="F1401" s="390"/>
      <c r="G1401" s="462"/>
      <c r="H1401" s="390"/>
      <c r="I1401" s="402"/>
      <c r="J1401" s="241" t="b">
        <f>Age_Sex_BY[[#This Row],[Total Spending After Applying Truncation at the Member Level]]+Age_Sex_BY[[#This Row],[Total Dollars Excluded from Spending After Applying Truncation at the Member Level]]=Age_Sex_BY[[#This Row],[Total Spending before Truncation is Applied]]</f>
        <v>1</v>
      </c>
    </row>
    <row r="1402" spans="1:10" x14ac:dyDescent="0.25">
      <c r="A1402" s="394"/>
      <c r="B1402" s="395"/>
      <c r="C1402" s="396"/>
      <c r="D1402" s="459"/>
      <c r="E1402" s="397"/>
      <c r="F1402" s="398"/>
      <c r="G1402" s="463"/>
      <c r="H1402" s="398"/>
      <c r="I1402" s="403"/>
      <c r="J1402" s="241" t="b">
        <f>Age_Sex_BY[[#This Row],[Total Spending After Applying Truncation at the Member Level]]+Age_Sex_BY[[#This Row],[Total Dollars Excluded from Spending After Applying Truncation at the Member Level]]=Age_Sex_BY[[#This Row],[Total Spending before Truncation is Applied]]</f>
        <v>1</v>
      </c>
    </row>
    <row r="1403" spans="1:10" x14ac:dyDescent="0.25">
      <c r="A1403" s="393"/>
      <c r="B1403" s="387"/>
      <c r="C1403" s="388"/>
      <c r="D1403" s="458"/>
      <c r="E1403" s="389"/>
      <c r="F1403" s="390"/>
      <c r="G1403" s="462"/>
      <c r="H1403" s="390"/>
      <c r="I1403" s="402"/>
      <c r="J1403" s="241" t="b">
        <f>Age_Sex_BY[[#This Row],[Total Spending After Applying Truncation at the Member Level]]+Age_Sex_BY[[#This Row],[Total Dollars Excluded from Spending After Applying Truncation at the Member Level]]=Age_Sex_BY[[#This Row],[Total Spending before Truncation is Applied]]</f>
        <v>1</v>
      </c>
    </row>
    <row r="1404" spans="1:10" x14ac:dyDescent="0.25">
      <c r="A1404" s="394"/>
      <c r="B1404" s="395"/>
      <c r="C1404" s="396"/>
      <c r="D1404" s="459"/>
      <c r="E1404" s="397"/>
      <c r="F1404" s="398"/>
      <c r="G1404" s="463"/>
      <c r="H1404" s="398"/>
      <c r="I1404" s="403"/>
      <c r="J1404" s="241" t="b">
        <f>Age_Sex_BY[[#This Row],[Total Spending After Applying Truncation at the Member Level]]+Age_Sex_BY[[#This Row],[Total Dollars Excluded from Spending After Applying Truncation at the Member Level]]=Age_Sex_BY[[#This Row],[Total Spending before Truncation is Applied]]</f>
        <v>1</v>
      </c>
    </row>
    <row r="1405" spans="1:10" x14ac:dyDescent="0.25">
      <c r="A1405" s="393"/>
      <c r="B1405" s="387"/>
      <c r="C1405" s="388"/>
      <c r="D1405" s="458"/>
      <c r="E1405" s="389"/>
      <c r="F1405" s="390"/>
      <c r="G1405" s="462"/>
      <c r="H1405" s="390"/>
      <c r="I1405" s="402"/>
      <c r="J1405" s="241" t="b">
        <f>Age_Sex_BY[[#This Row],[Total Spending After Applying Truncation at the Member Level]]+Age_Sex_BY[[#This Row],[Total Dollars Excluded from Spending After Applying Truncation at the Member Level]]=Age_Sex_BY[[#This Row],[Total Spending before Truncation is Applied]]</f>
        <v>1</v>
      </c>
    </row>
    <row r="1406" spans="1:10" x14ac:dyDescent="0.25">
      <c r="A1406" s="394"/>
      <c r="B1406" s="395"/>
      <c r="C1406" s="396"/>
      <c r="D1406" s="459"/>
      <c r="E1406" s="397"/>
      <c r="F1406" s="398"/>
      <c r="G1406" s="463"/>
      <c r="H1406" s="398"/>
      <c r="I1406" s="403"/>
      <c r="J1406" s="241" t="b">
        <f>Age_Sex_BY[[#This Row],[Total Spending After Applying Truncation at the Member Level]]+Age_Sex_BY[[#This Row],[Total Dollars Excluded from Spending After Applying Truncation at the Member Level]]=Age_Sex_BY[[#This Row],[Total Spending before Truncation is Applied]]</f>
        <v>1</v>
      </c>
    </row>
    <row r="1407" spans="1:10" x14ac:dyDescent="0.25">
      <c r="A1407" s="393"/>
      <c r="B1407" s="387"/>
      <c r="C1407" s="388"/>
      <c r="D1407" s="458"/>
      <c r="E1407" s="389"/>
      <c r="F1407" s="390"/>
      <c r="G1407" s="462"/>
      <c r="H1407" s="390"/>
      <c r="I1407" s="402"/>
      <c r="J1407" s="241" t="b">
        <f>Age_Sex_BY[[#This Row],[Total Spending After Applying Truncation at the Member Level]]+Age_Sex_BY[[#This Row],[Total Dollars Excluded from Spending After Applying Truncation at the Member Level]]=Age_Sex_BY[[#This Row],[Total Spending before Truncation is Applied]]</f>
        <v>1</v>
      </c>
    </row>
    <row r="1408" spans="1:10" x14ac:dyDescent="0.25">
      <c r="A1408" s="394"/>
      <c r="B1408" s="395"/>
      <c r="C1408" s="396"/>
      <c r="D1408" s="459"/>
      <c r="E1408" s="397"/>
      <c r="F1408" s="398"/>
      <c r="G1408" s="463"/>
      <c r="H1408" s="398"/>
      <c r="I1408" s="403"/>
      <c r="J1408" s="241" t="b">
        <f>Age_Sex_BY[[#This Row],[Total Spending After Applying Truncation at the Member Level]]+Age_Sex_BY[[#This Row],[Total Dollars Excluded from Spending After Applying Truncation at the Member Level]]=Age_Sex_BY[[#This Row],[Total Spending before Truncation is Applied]]</f>
        <v>1</v>
      </c>
    </row>
    <row r="1409" spans="1:10" x14ac:dyDescent="0.25">
      <c r="A1409" s="393"/>
      <c r="B1409" s="387"/>
      <c r="C1409" s="388"/>
      <c r="D1409" s="458"/>
      <c r="E1409" s="389"/>
      <c r="F1409" s="390"/>
      <c r="G1409" s="462"/>
      <c r="H1409" s="390"/>
      <c r="I1409" s="402"/>
      <c r="J1409" s="241" t="b">
        <f>Age_Sex_BY[[#This Row],[Total Spending After Applying Truncation at the Member Level]]+Age_Sex_BY[[#This Row],[Total Dollars Excluded from Spending After Applying Truncation at the Member Level]]=Age_Sex_BY[[#This Row],[Total Spending before Truncation is Applied]]</f>
        <v>1</v>
      </c>
    </row>
    <row r="1410" spans="1:10" x14ac:dyDescent="0.25">
      <c r="A1410" s="394"/>
      <c r="B1410" s="395"/>
      <c r="C1410" s="396"/>
      <c r="D1410" s="459"/>
      <c r="E1410" s="397"/>
      <c r="F1410" s="398"/>
      <c r="G1410" s="463"/>
      <c r="H1410" s="398"/>
      <c r="I1410" s="403"/>
      <c r="J1410" s="241" t="b">
        <f>Age_Sex_BY[[#This Row],[Total Spending After Applying Truncation at the Member Level]]+Age_Sex_BY[[#This Row],[Total Dollars Excluded from Spending After Applying Truncation at the Member Level]]=Age_Sex_BY[[#This Row],[Total Spending before Truncation is Applied]]</f>
        <v>1</v>
      </c>
    </row>
    <row r="1411" spans="1:10" x14ac:dyDescent="0.25">
      <c r="A1411" s="393"/>
      <c r="B1411" s="387"/>
      <c r="C1411" s="388"/>
      <c r="D1411" s="458"/>
      <c r="E1411" s="389"/>
      <c r="F1411" s="390"/>
      <c r="G1411" s="462"/>
      <c r="H1411" s="390"/>
      <c r="I1411" s="402"/>
      <c r="J1411" s="241" t="b">
        <f>Age_Sex_BY[[#This Row],[Total Spending After Applying Truncation at the Member Level]]+Age_Sex_BY[[#This Row],[Total Dollars Excluded from Spending After Applying Truncation at the Member Level]]=Age_Sex_BY[[#This Row],[Total Spending before Truncation is Applied]]</f>
        <v>1</v>
      </c>
    </row>
    <row r="1412" spans="1:10" x14ac:dyDescent="0.25">
      <c r="A1412" s="394"/>
      <c r="B1412" s="395"/>
      <c r="C1412" s="396"/>
      <c r="D1412" s="459"/>
      <c r="E1412" s="397"/>
      <c r="F1412" s="398"/>
      <c r="G1412" s="463"/>
      <c r="H1412" s="398"/>
      <c r="I1412" s="403"/>
      <c r="J1412" s="241" t="b">
        <f>Age_Sex_BY[[#This Row],[Total Spending After Applying Truncation at the Member Level]]+Age_Sex_BY[[#This Row],[Total Dollars Excluded from Spending After Applying Truncation at the Member Level]]=Age_Sex_BY[[#This Row],[Total Spending before Truncation is Applied]]</f>
        <v>1</v>
      </c>
    </row>
    <row r="1413" spans="1:10" x14ac:dyDescent="0.25">
      <c r="A1413" s="393"/>
      <c r="B1413" s="387"/>
      <c r="C1413" s="388"/>
      <c r="D1413" s="458"/>
      <c r="E1413" s="389"/>
      <c r="F1413" s="390"/>
      <c r="G1413" s="462"/>
      <c r="H1413" s="390"/>
      <c r="I1413" s="402"/>
      <c r="J1413" s="241" t="b">
        <f>Age_Sex_BY[[#This Row],[Total Spending After Applying Truncation at the Member Level]]+Age_Sex_BY[[#This Row],[Total Dollars Excluded from Spending After Applying Truncation at the Member Level]]=Age_Sex_BY[[#This Row],[Total Spending before Truncation is Applied]]</f>
        <v>1</v>
      </c>
    </row>
    <row r="1414" spans="1:10" x14ac:dyDescent="0.25">
      <c r="A1414" s="394"/>
      <c r="B1414" s="395"/>
      <c r="C1414" s="396"/>
      <c r="D1414" s="459"/>
      <c r="E1414" s="397"/>
      <c r="F1414" s="398"/>
      <c r="G1414" s="463"/>
      <c r="H1414" s="398"/>
      <c r="I1414" s="403"/>
      <c r="J1414" s="241" t="b">
        <f>Age_Sex_BY[[#This Row],[Total Spending After Applying Truncation at the Member Level]]+Age_Sex_BY[[#This Row],[Total Dollars Excluded from Spending After Applying Truncation at the Member Level]]=Age_Sex_BY[[#This Row],[Total Spending before Truncation is Applied]]</f>
        <v>1</v>
      </c>
    </row>
    <row r="1415" spans="1:10" x14ac:dyDescent="0.25">
      <c r="A1415" s="393"/>
      <c r="B1415" s="387"/>
      <c r="C1415" s="388"/>
      <c r="D1415" s="458"/>
      <c r="E1415" s="389"/>
      <c r="F1415" s="390"/>
      <c r="G1415" s="462"/>
      <c r="H1415" s="390"/>
      <c r="I1415" s="402"/>
      <c r="J1415" s="241" t="b">
        <f>Age_Sex_BY[[#This Row],[Total Spending After Applying Truncation at the Member Level]]+Age_Sex_BY[[#This Row],[Total Dollars Excluded from Spending After Applying Truncation at the Member Level]]=Age_Sex_BY[[#This Row],[Total Spending before Truncation is Applied]]</f>
        <v>1</v>
      </c>
    </row>
    <row r="1416" spans="1:10" x14ac:dyDescent="0.25">
      <c r="A1416" s="394"/>
      <c r="B1416" s="395"/>
      <c r="C1416" s="396"/>
      <c r="D1416" s="459"/>
      <c r="E1416" s="397"/>
      <c r="F1416" s="398"/>
      <c r="G1416" s="463"/>
      <c r="H1416" s="398"/>
      <c r="I1416" s="403"/>
      <c r="J1416" s="241" t="b">
        <f>Age_Sex_BY[[#This Row],[Total Spending After Applying Truncation at the Member Level]]+Age_Sex_BY[[#This Row],[Total Dollars Excluded from Spending After Applying Truncation at the Member Level]]=Age_Sex_BY[[#This Row],[Total Spending before Truncation is Applied]]</f>
        <v>1</v>
      </c>
    </row>
    <row r="1417" spans="1:10" x14ac:dyDescent="0.25">
      <c r="A1417" s="393"/>
      <c r="B1417" s="387"/>
      <c r="C1417" s="388"/>
      <c r="D1417" s="458"/>
      <c r="E1417" s="389"/>
      <c r="F1417" s="390"/>
      <c r="G1417" s="462"/>
      <c r="H1417" s="390"/>
      <c r="I1417" s="402"/>
      <c r="J1417" s="241" t="b">
        <f>Age_Sex_BY[[#This Row],[Total Spending After Applying Truncation at the Member Level]]+Age_Sex_BY[[#This Row],[Total Dollars Excluded from Spending After Applying Truncation at the Member Level]]=Age_Sex_BY[[#This Row],[Total Spending before Truncation is Applied]]</f>
        <v>1</v>
      </c>
    </row>
    <row r="1418" spans="1:10" x14ac:dyDescent="0.25">
      <c r="A1418" s="394"/>
      <c r="B1418" s="395"/>
      <c r="C1418" s="396"/>
      <c r="D1418" s="459"/>
      <c r="E1418" s="397"/>
      <c r="F1418" s="398"/>
      <c r="G1418" s="463"/>
      <c r="H1418" s="398"/>
      <c r="I1418" s="403"/>
      <c r="J1418" s="241" t="b">
        <f>Age_Sex_BY[[#This Row],[Total Spending After Applying Truncation at the Member Level]]+Age_Sex_BY[[#This Row],[Total Dollars Excluded from Spending After Applying Truncation at the Member Level]]=Age_Sex_BY[[#This Row],[Total Spending before Truncation is Applied]]</f>
        <v>1</v>
      </c>
    </row>
    <row r="1419" spans="1:10" x14ac:dyDescent="0.25">
      <c r="A1419" s="393"/>
      <c r="B1419" s="387"/>
      <c r="C1419" s="388"/>
      <c r="D1419" s="458"/>
      <c r="E1419" s="389"/>
      <c r="F1419" s="390"/>
      <c r="G1419" s="462"/>
      <c r="H1419" s="390"/>
      <c r="I1419" s="402"/>
      <c r="J1419" s="241" t="b">
        <f>Age_Sex_BY[[#This Row],[Total Spending After Applying Truncation at the Member Level]]+Age_Sex_BY[[#This Row],[Total Dollars Excluded from Spending After Applying Truncation at the Member Level]]=Age_Sex_BY[[#This Row],[Total Spending before Truncation is Applied]]</f>
        <v>1</v>
      </c>
    </row>
    <row r="1420" spans="1:10" x14ac:dyDescent="0.25">
      <c r="A1420" s="394"/>
      <c r="B1420" s="395"/>
      <c r="C1420" s="396"/>
      <c r="D1420" s="459"/>
      <c r="E1420" s="397"/>
      <c r="F1420" s="398"/>
      <c r="G1420" s="463"/>
      <c r="H1420" s="398"/>
      <c r="I1420" s="403"/>
      <c r="J1420" s="241" t="b">
        <f>Age_Sex_BY[[#This Row],[Total Spending After Applying Truncation at the Member Level]]+Age_Sex_BY[[#This Row],[Total Dollars Excluded from Spending After Applying Truncation at the Member Level]]=Age_Sex_BY[[#This Row],[Total Spending before Truncation is Applied]]</f>
        <v>1</v>
      </c>
    </row>
    <row r="1421" spans="1:10" x14ac:dyDescent="0.25">
      <c r="A1421" s="393"/>
      <c r="B1421" s="387"/>
      <c r="C1421" s="388"/>
      <c r="D1421" s="458"/>
      <c r="E1421" s="389"/>
      <c r="F1421" s="390"/>
      <c r="G1421" s="462"/>
      <c r="H1421" s="390"/>
      <c r="I1421" s="402"/>
      <c r="J1421" s="241" t="b">
        <f>Age_Sex_BY[[#This Row],[Total Spending After Applying Truncation at the Member Level]]+Age_Sex_BY[[#This Row],[Total Dollars Excluded from Spending After Applying Truncation at the Member Level]]=Age_Sex_BY[[#This Row],[Total Spending before Truncation is Applied]]</f>
        <v>1</v>
      </c>
    </row>
    <row r="1422" spans="1:10" x14ac:dyDescent="0.25">
      <c r="A1422" s="394"/>
      <c r="B1422" s="395"/>
      <c r="C1422" s="396"/>
      <c r="D1422" s="459"/>
      <c r="E1422" s="397"/>
      <c r="F1422" s="398"/>
      <c r="G1422" s="463"/>
      <c r="H1422" s="398"/>
      <c r="I1422" s="403"/>
      <c r="J1422" s="241" t="b">
        <f>Age_Sex_BY[[#This Row],[Total Spending After Applying Truncation at the Member Level]]+Age_Sex_BY[[#This Row],[Total Dollars Excluded from Spending After Applying Truncation at the Member Level]]=Age_Sex_BY[[#This Row],[Total Spending before Truncation is Applied]]</f>
        <v>1</v>
      </c>
    </row>
    <row r="1423" spans="1:10" x14ac:dyDescent="0.25">
      <c r="A1423" s="393"/>
      <c r="B1423" s="387"/>
      <c r="C1423" s="388"/>
      <c r="D1423" s="458"/>
      <c r="E1423" s="389"/>
      <c r="F1423" s="390"/>
      <c r="G1423" s="462"/>
      <c r="H1423" s="390"/>
      <c r="I1423" s="402"/>
      <c r="J1423" s="241" t="b">
        <f>Age_Sex_BY[[#This Row],[Total Spending After Applying Truncation at the Member Level]]+Age_Sex_BY[[#This Row],[Total Dollars Excluded from Spending After Applying Truncation at the Member Level]]=Age_Sex_BY[[#This Row],[Total Spending before Truncation is Applied]]</f>
        <v>1</v>
      </c>
    </row>
    <row r="1424" spans="1:10" x14ac:dyDescent="0.25">
      <c r="A1424" s="394"/>
      <c r="B1424" s="395"/>
      <c r="C1424" s="396"/>
      <c r="D1424" s="459"/>
      <c r="E1424" s="397"/>
      <c r="F1424" s="398"/>
      <c r="G1424" s="463"/>
      <c r="H1424" s="398"/>
      <c r="I1424" s="403"/>
      <c r="J1424" s="241" t="b">
        <f>Age_Sex_BY[[#This Row],[Total Spending After Applying Truncation at the Member Level]]+Age_Sex_BY[[#This Row],[Total Dollars Excluded from Spending After Applying Truncation at the Member Level]]=Age_Sex_BY[[#This Row],[Total Spending before Truncation is Applied]]</f>
        <v>1</v>
      </c>
    </row>
    <row r="1425" spans="1:10" x14ac:dyDescent="0.25">
      <c r="A1425" s="393"/>
      <c r="B1425" s="387"/>
      <c r="C1425" s="388"/>
      <c r="D1425" s="458"/>
      <c r="E1425" s="389"/>
      <c r="F1425" s="390"/>
      <c r="G1425" s="462"/>
      <c r="H1425" s="390"/>
      <c r="I1425" s="402"/>
      <c r="J1425" s="241" t="b">
        <f>Age_Sex_BY[[#This Row],[Total Spending After Applying Truncation at the Member Level]]+Age_Sex_BY[[#This Row],[Total Dollars Excluded from Spending After Applying Truncation at the Member Level]]=Age_Sex_BY[[#This Row],[Total Spending before Truncation is Applied]]</f>
        <v>1</v>
      </c>
    </row>
    <row r="1426" spans="1:10" x14ac:dyDescent="0.25">
      <c r="A1426" s="394"/>
      <c r="B1426" s="395"/>
      <c r="C1426" s="396"/>
      <c r="D1426" s="459"/>
      <c r="E1426" s="397"/>
      <c r="F1426" s="398"/>
      <c r="G1426" s="463"/>
      <c r="H1426" s="398"/>
      <c r="I1426" s="403"/>
      <c r="J1426" s="241" t="b">
        <f>Age_Sex_BY[[#This Row],[Total Spending After Applying Truncation at the Member Level]]+Age_Sex_BY[[#This Row],[Total Dollars Excluded from Spending After Applying Truncation at the Member Level]]=Age_Sex_BY[[#This Row],[Total Spending before Truncation is Applied]]</f>
        <v>1</v>
      </c>
    </row>
    <row r="1427" spans="1:10" x14ac:dyDescent="0.25">
      <c r="A1427" s="393"/>
      <c r="B1427" s="387"/>
      <c r="C1427" s="388"/>
      <c r="D1427" s="458"/>
      <c r="E1427" s="389"/>
      <c r="F1427" s="390"/>
      <c r="G1427" s="462"/>
      <c r="H1427" s="390"/>
      <c r="I1427" s="402"/>
      <c r="J1427" s="241" t="b">
        <f>Age_Sex_BY[[#This Row],[Total Spending After Applying Truncation at the Member Level]]+Age_Sex_BY[[#This Row],[Total Dollars Excluded from Spending After Applying Truncation at the Member Level]]=Age_Sex_BY[[#This Row],[Total Spending before Truncation is Applied]]</f>
        <v>1</v>
      </c>
    </row>
    <row r="1428" spans="1:10" x14ac:dyDescent="0.25">
      <c r="A1428" s="394"/>
      <c r="B1428" s="395"/>
      <c r="C1428" s="396"/>
      <c r="D1428" s="459"/>
      <c r="E1428" s="397"/>
      <c r="F1428" s="398"/>
      <c r="G1428" s="463"/>
      <c r="H1428" s="398"/>
      <c r="I1428" s="403"/>
      <c r="J1428" s="241" t="b">
        <f>Age_Sex_BY[[#This Row],[Total Spending After Applying Truncation at the Member Level]]+Age_Sex_BY[[#This Row],[Total Dollars Excluded from Spending After Applying Truncation at the Member Level]]=Age_Sex_BY[[#This Row],[Total Spending before Truncation is Applied]]</f>
        <v>1</v>
      </c>
    </row>
    <row r="1429" spans="1:10" x14ac:dyDescent="0.25">
      <c r="A1429" s="393"/>
      <c r="B1429" s="387"/>
      <c r="C1429" s="388"/>
      <c r="D1429" s="458"/>
      <c r="E1429" s="389"/>
      <c r="F1429" s="390"/>
      <c r="G1429" s="462"/>
      <c r="H1429" s="390"/>
      <c r="I1429" s="402"/>
      <c r="J1429" s="241" t="b">
        <f>Age_Sex_BY[[#This Row],[Total Spending After Applying Truncation at the Member Level]]+Age_Sex_BY[[#This Row],[Total Dollars Excluded from Spending After Applying Truncation at the Member Level]]=Age_Sex_BY[[#This Row],[Total Spending before Truncation is Applied]]</f>
        <v>1</v>
      </c>
    </row>
    <row r="1430" spans="1:10" x14ac:dyDescent="0.25">
      <c r="A1430" s="394"/>
      <c r="B1430" s="395"/>
      <c r="C1430" s="396"/>
      <c r="D1430" s="459"/>
      <c r="E1430" s="397"/>
      <c r="F1430" s="398"/>
      <c r="G1430" s="463"/>
      <c r="H1430" s="398"/>
      <c r="I1430" s="403"/>
      <c r="J1430" s="241" t="b">
        <f>Age_Sex_BY[[#This Row],[Total Spending After Applying Truncation at the Member Level]]+Age_Sex_BY[[#This Row],[Total Dollars Excluded from Spending After Applying Truncation at the Member Level]]=Age_Sex_BY[[#This Row],[Total Spending before Truncation is Applied]]</f>
        <v>1</v>
      </c>
    </row>
    <row r="1431" spans="1:10" x14ac:dyDescent="0.25">
      <c r="A1431" s="393"/>
      <c r="B1431" s="387"/>
      <c r="C1431" s="388"/>
      <c r="D1431" s="458"/>
      <c r="E1431" s="389"/>
      <c r="F1431" s="390"/>
      <c r="G1431" s="462"/>
      <c r="H1431" s="390"/>
      <c r="I1431" s="402"/>
      <c r="J1431" s="241" t="b">
        <f>Age_Sex_BY[[#This Row],[Total Spending After Applying Truncation at the Member Level]]+Age_Sex_BY[[#This Row],[Total Dollars Excluded from Spending After Applying Truncation at the Member Level]]=Age_Sex_BY[[#This Row],[Total Spending before Truncation is Applied]]</f>
        <v>1</v>
      </c>
    </row>
    <row r="1432" spans="1:10" x14ac:dyDescent="0.25">
      <c r="A1432" s="394"/>
      <c r="B1432" s="395"/>
      <c r="C1432" s="396"/>
      <c r="D1432" s="459"/>
      <c r="E1432" s="397"/>
      <c r="F1432" s="398"/>
      <c r="G1432" s="463"/>
      <c r="H1432" s="398"/>
      <c r="I1432" s="403"/>
      <c r="J1432" s="241" t="b">
        <f>Age_Sex_BY[[#This Row],[Total Spending After Applying Truncation at the Member Level]]+Age_Sex_BY[[#This Row],[Total Dollars Excluded from Spending After Applying Truncation at the Member Level]]=Age_Sex_BY[[#This Row],[Total Spending before Truncation is Applied]]</f>
        <v>1</v>
      </c>
    </row>
    <row r="1433" spans="1:10" x14ac:dyDescent="0.25">
      <c r="A1433" s="393"/>
      <c r="B1433" s="387"/>
      <c r="C1433" s="388"/>
      <c r="D1433" s="458"/>
      <c r="E1433" s="389"/>
      <c r="F1433" s="390"/>
      <c r="G1433" s="462"/>
      <c r="H1433" s="390"/>
      <c r="I1433" s="402"/>
      <c r="J1433" s="241" t="b">
        <f>Age_Sex_BY[[#This Row],[Total Spending After Applying Truncation at the Member Level]]+Age_Sex_BY[[#This Row],[Total Dollars Excluded from Spending After Applying Truncation at the Member Level]]=Age_Sex_BY[[#This Row],[Total Spending before Truncation is Applied]]</f>
        <v>1</v>
      </c>
    </row>
    <row r="1434" spans="1:10" x14ac:dyDescent="0.25">
      <c r="A1434" s="394"/>
      <c r="B1434" s="395"/>
      <c r="C1434" s="396"/>
      <c r="D1434" s="459"/>
      <c r="E1434" s="397"/>
      <c r="F1434" s="398"/>
      <c r="G1434" s="463"/>
      <c r="H1434" s="398"/>
      <c r="I1434" s="403"/>
      <c r="J1434" s="241" t="b">
        <f>Age_Sex_BY[[#This Row],[Total Spending After Applying Truncation at the Member Level]]+Age_Sex_BY[[#This Row],[Total Dollars Excluded from Spending After Applying Truncation at the Member Level]]=Age_Sex_BY[[#This Row],[Total Spending before Truncation is Applied]]</f>
        <v>1</v>
      </c>
    </row>
    <row r="1435" spans="1:10" x14ac:dyDescent="0.25">
      <c r="A1435" s="393"/>
      <c r="B1435" s="387"/>
      <c r="C1435" s="388"/>
      <c r="D1435" s="458"/>
      <c r="E1435" s="389"/>
      <c r="F1435" s="390"/>
      <c r="G1435" s="462"/>
      <c r="H1435" s="390"/>
      <c r="I1435" s="402"/>
      <c r="J1435" s="241" t="b">
        <f>Age_Sex_BY[[#This Row],[Total Spending After Applying Truncation at the Member Level]]+Age_Sex_BY[[#This Row],[Total Dollars Excluded from Spending After Applying Truncation at the Member Level]]=Age_Sex_BY[[#This Row],[Total Spending before Truncation is Applied]]</f>
        <v>1</v>
      </c>
    </row>
    <row r="1436" spans="1:10" x14ac:dyDescent="0.25">
      <c r="A1436" s="394"/>
      <c r="B1436" s="395"/>
      <c r="C1436" s="396"/>
      <c r="D1436" s="459"/>
      <c r="E1436" s="397"/>
      <c r="F1436" s="398"/>
      <c r="G1436" s="463"/>
      <c r="H1436" s="398"/>
      <c r="I1436" s="403"/>
      <c r="J1436" s="241" t="b">
        <f>Age_Sex_BY[[#This Row],[Total Spending After Applying Truncation at the Member Level]]+Age_Sex_BY[[#This Row],[Total Dollars Excluded from Spending After Applying Truncation at the Member Level]]=Age_Sex_BY[[#This Row],[Total Spending before Truncation is Applied]]</f>
        <v>1</v>
      </c>
    </row>
    <row r="1437" spans="1:10" x14ac:dyDescent="0.25">
      <c r="A1437" s="393"/>
      <c r="B1437" s="387"/>
      <c r="C1437" s="388"/>
      <c r="D1437" s="458"/>
      <c r="E1437" s="389"/>
      <c r="F1437" s="390"/>
      <c r="G1437" s="462"/>
      <c r="H1437" s="390"/>
      <c r="I1437" s="402"/>
      <c r="J1437" s="241" t="b">
        <f>Age_Sex_BY[[#This Row],[Total Spending After Applying Truncation at the Member Level]]+Age_Sex_BY[[#This Row],[Total Dollars Excluded from Spending After Applying Truncation at the Member Level]]=Age_Sex_BY[[#This Row],[Total Spending before Truncation is Applied]]</f>
        <v>1</v>
      </c>
    </row>
    <row r="1438" spans="1:10" x14ac:dyDescent="0.25">
      <c r="A1438" s="394"/>
      <c r="B1438" s="395"/>
      <c r="C1438" s="396"/>
      <c r="D1438" s="459"/>
      <c r="E1438" s="397"/>
      <c r="F1438" s="398"/>
      <c r="G1438" s="463"/>
      <c r="H1438" s="398"/>
      <c r="I1438" s="403"/>
      <c r="J1438" s="241" t="b">
        <f>Age_Sex_BY[[#This Row],[Total Spending After Applying Truncation at the Member Level]]+Age_Sex_BY[[#This Row],[Total Dollars Excluded from Spending After Applying Truncation at the Member Level]]=Age_Sex_BY[[#This Row],[Total Spending before Truncation is Applied]]</f>
        <v>1</v>
      </c>
    </row>
    <row r="1439" spans="1:10" x14ac:dyDescent="0.25">
      <c r="A1439" s="393"/>
      <c r="B1439" s="387"/>
      <c r="C1439" s="388"/>
      <c r="D1439" s="458"/>
      <c r="E1439" s="389"/>
      <c r="F1439" s="390"/>
      <c r="G1439" s="462"/>
      <c r="H1439" s="390"/>
      <c r="I1439" s="402"/>
      <c r="J1439" s="241" t="b">
        <f>Age_Sex_BY[[#This Row],[Total Spending After Applying Truncation at the Member Level]]+Age_Sex_BY[[#This Row],[Total Dollars Excluded from Spending After Applying Truncation at the Member Level]]=Age_Sex_BY[[#This Row],[Total Spending before Truncation is Applied]]</f>
        <v>1</v>
      </c>
    </row>
    <row r="1440" spans="1:10" x14ac:dyDescent="0.25">
      <c r="A1440" s="394"/>
      <c r="B1440" s="395"/>
      <c r="C1440" s="396"/>
      <c r="D1440" s="459"/>
      <c r="E1440" s="397"/>
      <c r="F1440" s="398"/>
      <c r="G1440" s="463"/>
      <c r="H1440" s="398"/>
      <c r="I1440" s="403"/>
      <c r="J1440" s="241" t="b">
        <f>Age_Sex_BY[[#This Row],[Total Spending After Applying Truncation at the Member Level]]+Age_Sex_BY[[#This Row],[Total Dollars Excluded from Spending After Applying Truncation at the Member Level]]=Age_Sex_BY[[#This Row],[Total Spending before Truncation is Applied]]</f>
        <v>1</v>
      </c>
    </row>
    <row r="1441" spans="1:10" x14ac:dyDescent="0.25">
      <c r="A1441" s="393"/>
      <c r="B1441" s="387"/>
      <c r="C1441" s="388"/>
      <c r="D1441" s="458"/>
      <c r="E1441" s="389"/>
      <c r="F1441" s="390"/>
      <c r="G1441" s="462"/>
      <c r="H1441" s="390"/>
      <c r="I1441" s="402"/>
      <c r="J1441" s="241" t="b">
        <f>Age_Sex_BY[[#This Row],[Total Spending After Applying Truncation at the Member Level]]+Age_Sex_BY[[#This Row],[Total Dollars Excluded from Spending After Applying Truncation at the Member Level]]=Age_Sex_BY[[#This Row],[Total Spending before Truncation is Applied]]</f>
        <v>1</v>
      </c>
    </row>
    <row r="1442" spans="1:10" x14ac:dyDescent="0.25">
      <c r="A1442" s="394"/>
      <c r="B1442" s="395"/>
      <c r="C1442" s="396"/>
      <c r="D1442" s="459"/>
      <c r="E1442" s="397"/>
      <c r="F1442" s="398"/>
      <c r="G1442" s="463"/>
      <c r="H1442" s="398"/>
      <c r="I1442" s="403"/>
      <c r="J1442" s="241" t="b">
        <f>Age_Sex_BY[[#This Row],[Total Spending After Applying Truncation at the Member Level]]+Age_Sex_BY[[#This Row],[Total Dollars Excluded from Spending After Applying Truncation at the Member Level]]=Age_Sex_BY[[#This Row],[Total Spending before Truncation is Applied]]</f>
        <v>1</v>
      </c>
    </row>
    <row r="1443" spans="1:10" x14ac:dyDescent="0.25">
      <c r="A1443" s="393"/>
      <c r="B1443" s="387"/>
      <c r="C1443" s="388"/>
      <c r="D1443" s="458"/>
      <c r="E1443" s="389"/>
      <c r="F1443" s="390"/>
      <c r="G1443" s="462"/>
      <c r="H1443" s="390"/>
      <c r="I1443" s="402"/>
      <c r="J1443" s="241" t="b">
        <f>Age_Sex_BY[[#This Row],[Total Spending After Applying Truncation at the Member Level]]+Age_Sex_BY[[#This Row],[Total Dollars Excluded from Spending After Applying Truncation at the Member Level]]=Age_Sex_BY[[#This Row],[Total Spending before Truncation is Applied]]</f>
        <v>1</v>
      </c>
    </row>
    <row r="1444" spans="1:10" x14ac:dyDescent="0.25">
      <c r="A1444" s="394"/>
      <c r="B1444" s="395"/>
      <c r="C1444" s="396"/>
      <c r="D1444" s="459"/>
      <c r="E1444" s="397"/>
      <c r="F1444" s="398"/>
      <c r="G1444" s="463"/>
      <c r="H1444" s="398"/>
      <c r="I1444" s="403"/>
      <c r="J1444" s="241" t="b">
        <f>Age_Sex_BY[[#This Row],[Total Spending After Applying Truncation at the Member Level]]+Age_Sex_BY[[#This Row],[Total Dollars Excluded from Spending After Applying Truncation at the Member Level]]=Age_Sex_BY[[#This Row],[Total Spending before Truncation is Applied]]</f>
        <v>1</v>
      </c>
    </row>
    <row r="1445" spans="1:10" x14ac:dyDescent="0.25">
      <c r="A1445" s="393"/>
      <c r="B1445" s="387"/>
      <c r="C1445" s="388"/>
      <c r="D1445" s="458"/>
      <c r="E1445" s="389"/>
      <c r="F1445" s="390"/>
      <c r="G1445" s="462"/>
      <c r="H1445" s="390"/>
      <c r="I1445" s="402"/>
      <c r="J1445" s="241" t="b">
        <f>Age_Sex_BY[[#This Row],[Total Spending After Applying Truncation at the Member Level]]+Age_Sex_BY[[#This Row],[Total Dollars Excluded from Spending After Applying Truncation at the Member Level]]=Age_Sex_BY[[#This Row],[Total Spending before Truncation is Applied]]</f>
        <v>1</v>
      </c>
    </row>
    <row r="1446" spans="1:10" x14ac:dyDescent="0.25">
      <c r="A1446" s="394"/>
      <c r="B1446" s="395"/>
      <c r="C1446" s="396"/>
      <c r="D1446" s="459"/>
      <c r="E1446" s="397"/>
      <c r="F1446" s="398"/>
      <c r="G1446" s="463"/>
      <c r="H1446" s="398"/>
      <c r="I1446" s="403"/>
      <c r="J1446" s="241" t="b">
        <f>Age_Sex_BY[[#This Row],[Total Spending After Applying Truncation at the Member Level]]+Age_Sex_BY[[#This Row],[Total Dollars Excluded from Spending After Applying Truncation at the Member Level]]=Age_Sex_BY[[#This Row],[Total Spending before Truncation is Applied]]</f>
        <v>1</v>
      </c>
    </row>
    <row r="1447" spans="1:10" x14ac:dyDescent="0.25">
      <c r="A1447" s="393"/>
      <c r="B1447" s="387"/>
      <c r="C1447" s="388"/>
      <c r="D1447" s="458"/>
      <c r="E1447" s="389"/>
      <c r="F1447" s="390"/>
      <c r="G1447" s="462"/>
      <c r="H1447" s="390"/>
      <c r="I1447" s="402"/>
      <c r="J1447" s="241" t="b">
        <f>Age_Sex_BY[[#This Row],[Total Spending After Applying Truncation at the Member Level]]+Age_Sex_BY[[#This Row],[Total Dollars Excluded from Spending After Applying Truncation at the Member Level]]=Age_Sex_BY[[#This Row],[Total Spending before Truncation is Applied]]</f>
        <v>1</v>
      </c>
    </row>
    <row r="1448" spans="1:10" x14ac:dyDescent="0.25">
      <c r="A1448" s="394"/>
      <c r="B1448" s="395"/>
      <c r="C1448" s="396"/>
      <c r="D1448" s="459"/>
      <c r="E1448" s="397"/>
      <c r="F1448" s="398"/>
      <c r="G1448" s="463"/>
      <c r="H1448" s="398"/>
      <c r="I1448" s="403"/>
      <c r="J1448" s="241" t="b">
        <f>Age_Sex_BY[[#This Row],[Total Spending After Applying Truncation at the Member Level]]+Age_Sex_BY[[#This Row],[Total Dollars Excluded from Spending After Applying Truncation at the Member Level]]=Age_Sex_BY[[#This Row],[Total Spending before Truncation is Applied]]</f>
        <v>1</v>
      </c>
    </row>
    <row r="1449" spans="1:10" x14ac:dyDescent="0.25">
      <c r="A1449" s="393"/>
      <c r="B1449" s="387"/>
      <c r="C1449" s="388"/>
      <c r="D1449" s="458"/>
      <c r="E1449" s="389"/>
      <c r="F1449" s="390"/>
      <c r="G1449" s="462"/>
      <c r="H1449" s="390"/>
      <c r="I1449" s="402"/>
      <c r="J1449" s="241" t="b">
        <f>Age_Sex_BY[[#This Row],[Total Spending After Applying Truncation at the Member Level]]+Age_Sex_BY[[#This Row],[Total Dollars Excluded from Spending After Applying Truncation at the Member Level]]=Age_Sex_BY[[#This Row],[Total Spending before Truncation is Applied]]</f>
        <v>1</v>
      </c>
    </row>
    <row r="1450" spans="1:10" x14ac:dyDescent="0.25">
      <c r="A1450" s="394"/>
      <c r="B1450" s="395"/>
      <c r="C1450" s="396"/>
      <c r="D1450" s="459"/>
      <c r="E1450" s="397"/>
      <c r="F1450" s="398"/>
      <c r="G1450" s="463"/>
      <c r="H1450" s="398"/>
      <c r="I1450" s="403"/>
      <c r="J1450" s="241" t="b">
        <f>Age_Sex_BY[[#This Row],[Total Spending After Applying Truncation at the Member Level]]+Age_Sex_BY[[#This Row],[Total Dollars Excluded from Spending After Applying Truncation at the Member Level]]=Age_Sex_BY[[#This Row],[Total Spending before Truncation is Applied]]</f>
        <v>1</v>
      </c>
    </row>
    <row r="1451" spans="1:10" x14ac:dyDescent="0.25">
      <c r="A1451" s="393"/>
      <c r="B1451" s="387"/>
      <c r="C1451" s="388"/>
      <c r="D1451" s="458"/>
      <c r="E1451" s="389"/>
      <c r="F1451" s="390"/>
      <c r="G1451" s="462"/>
      <c r="H1451" s="390"/>
      <c r="I1451" s="402"/>
      <c r="J1451" s="241" t="b">
        <f>Age_Sex_BY[[#This Row],[Total Spending After Applying Truncation at the Member Level]]+Age_Sex_BY[[#This Row],[Total Dollars Excluded from Spending After Applying Truncation at the Member Level]]=Age_Sex_BY[[#This Row],[Total Spending before Truncation is Applied]]</f>
        <v>1</v>
      </c>
    </row>
    <row r="1452" spans="1:10" x14ac:dyDescent="0.25">
      <c r="A1452" s="394"/>
      <c r="B1452" s="395"/>
      <c r="C1452" s="396"/>
      <c r="D1452" s="459"/>
      <c r="E1452" s="397"/>
      <c r="F1452" s="398"/>
      <c r="G1452" s="463"/>
      <c r="H1452" s="398"/>
      <c r="I1452" s="403"/>
      <c r="J1452" s="241" t="b">
        <f>Age_Sex_BY[[#This Row],[Total Spending After Applying Truncation at the Member Level]]+Age_Sex_BY[[#This Row],[Total Dollars Excluded from Spending After Applying Truncation at the Member Level]]=Age_Sex_BY[[#This Row],[Total Spending before Truncation is Applied]]</f>
        <v>1</v>
      </c>
    </row>
    <row r="1453" spans="1:10" x14ac:dyDescent="0.25">
      <c r="A1453" s="393"/>
      <c r="B1453" s="387"/>
      <c r="C1453" s="388"/>
      <c r="D1453" s="458"/>
      <c r="E1453" s="389"/>
      <c r="F1453" s="390"/>
      <c r="G1453" s="462"/>
      <c r="H1453" s="390"/>
      <c r="I1453" s="402"/>
      <c r="J1453" s="241" t="b">
        <f>Age_Sex_BY[[#This Row],[Total Spending After Applying Truncation at the Member Level]]+Age_Sex_BY[[#This Row],[Total Dollars Excluded from Spending After Applying Truncation at the Member Level]]=Age_Sex_BY[[#This Row],[Total Spending before Truncation is Applied]]</f>
        <v>1</v>
      </c>
    </row>
    <row r="1454" spans="1:10" x14ac:dyDescent="0.25">
      <c r="A1454" s="394"/>
      <c r="B1454" s="395"/>
      <c r="C1454" s="396"/>
      <c r="D1454" s="459"/>
      <c r="E1454" s="397"/>
      <c r="F1454" s="398"/>
      <c r="G1454" s="463"/>
      <c r="H1454" s="398"/>
      <c r="I1454" s="403"/>
      <c r="J1454" s="241" t="b">
        <f>Age_Sex_BY[[#This Row],[Total Spending After Applying Truncation at the Member Level]]+Age_Sex_BY[[#This Row],[Total Dollars Excluded from Spending After Applying Truncation at the Member Level]]=Age_Sex_BY[[#This Row],[Total Spending before Truncation is Applied]]</f>
        <v>1</v>
      </c>
    </row>
    <row r="1455" spans="1:10" x14ac:dyDescent="0.25">
      <c r="A1455" s="393"/>
      <c r="B1455" s="387"/>
      <c r="C1455" s="388"/>
      <c r="D1455" s="458"/>
      <c r="E1455" s="389"/>
      <c r="F1455" s="390"/>
      <c r="G1455" s="462"/>
      <c r="H1455" s="390"/>
      <c r="I1455" s="402"/>
      <c r="J1455" s="241" t="b">
        <f>Age_Sex_BY[[#This Row],[Total Spending After Applying Truncation at the Member Level]]+Age_Sex_BY[[#This Row],[Total Dollars Excluded from Spending After Applying Truncation at the Member Level]]=Age_Sex_BY[[#This Row],[Total Spending before Truncation is Applied]]</f>
        <v>1</v>
      </c>
    </row>
    <row r="1456" spans="1:10" x14ac:dyDescent="0.25">
      <c r="A1456" s="394"/>
      <c r="B1456" s="395"/>
      <c r="C1456" s="396"/>
      <c r="D1456" s="459"/>
      <c r="E1456" s="397"/>
      <c r="F1456" s="398"/>
      <c r="G1456" s="463"/>
      <c r="H1456" s="398"/>
      <c r="I1456" s="403"/>
      <c r="J1456" s="241" t="b">
        <f>Age_Sex_BY[[#This Row],[Total Spending After Applying Truncation at the Member Level]]+Age_Sex_BY[[#This Row],[Total Dollars Excluded from Spending After Applying Truncation at the Member Level]]=Age_Sex_BY[[#This Row],[Total Spending before Truncation is Applied]]</f>
        <v>1</v>
      </c>
    </row>
    <row r="1457" spans="1:10" x14ac:dyDescent="0.25">
      <c r="A1457" s="393"/>
      <c r="B1457" s="387"/>
      <c r="C1457" s="388"/>
      <c r="D1457" s="458"/>
      <c r="E1457" s="389"/>
      <c r="F1457" s="390"/>
      <c r="G1457" s="462"/>
      <c r="H1457" s="390"/>
      <c r="I1457" s="402"/>
      <c r="J1457" s="241" t="b">
        <f>Age_Sex_BY[[#This Row],[Total Spending After Applying Truncation at the Member Level]]+Age_Sex_BY[[#This Row],[Total Dollars Excluded from Spending After Applying Truncation at the Member Level]]=Age_Sex_BY[[#This Row],[Total Spending before Truncation is Applied]]</f>
        <v>1</v>
      </c>
    </row>
    <row r="1458" spans="1:10" x14ac:dyDescent="0.25">
      <c r="A1458" s="394"/>
      <c r="B1458" s="395"/>
      <c r="C1458" s="396"/>
      <c r="D1458" s="459"/>
      <c r="E1458" s="397"/>
      <c r="F1458" s="398"/>
      <c r="G1458" s="463"/>
      <c r="H1458" s="398"/>
      <c r="I1458" s="403"/>
      <c r="J1458" s="241" t="b">
        <f>Age_Sex_BY[[#This Row],[Total Spending After Applying Truncation at the Member Level]]+Age_Sex_BY[[#This Row],[Total Dollars Excluded from Spending After Applying Truncation at the Member Level]]=Age_Sex_BY[[#This Row],[Total Spending before Truncation is Applied]]</f>
        <v>1</v>
      </c>
    </row>
    <row r="1459" spans="1:10" x14ac:dyDescent="0.25">
      <c r="A1459" s="393"/>
      <c r="B1459" s="387"/>
      <c r="C1459" s="388"/>
      <c r="D1459" s="458"/>
      <c r="E1459" s="389"/>
      <c r="F1459" s="390"/>
      <c r="G1459" s="462"/>
      <c r="H1459" s="390"/>
      <c r="I1459" s="402"/>
      <c r="J1459" s="241" t="b">
        <f>Age_Sex_BY[[#This Row],[Total Spending After Applying Truncation at the Member Level]]+Age_Sex_BY[[#This Row],[Total Dollars Excluded from Spending After Applying Truncation at the Member Level]]=Age_Sex_BY[[#This Row],[Total Spending before Truncation is Applied]]</f>
        <v>1</v>
      </c>
    </row>
    <row r="1460" spans="1:10" x14ac:dyDescent="0.25">
      <c r="A1460" s="394"/>
      <c r="B1460" s="395"/>
      <c r="C1460" s="396"/>
      <c r="D1460" s="459"/>
      <c r="E1460" s="397"/>
      <c r="F1460" s="398"/>
      <c r="G1460" s="463"/>
      <c r="H1460" s="398"/>
      <c r="I1460" s="403"/>
      <c r="J1460" s="241" t="b">
        <f>Age_Sex_BY[[#This Row],[Total Spending After Applying Truncation at the Member Level]]+Age_Sex_BY[[#This Row],[Total Dollars Excluded from Spending After Applying Truncation at the Member Level]]=Age_Sex_BY[[#This Row],[Total Spending before Truncation is Applied]]</f>
        <v>1</v>
      </c>
    </row>
    <row r="1461" spans="1:10" x14ac:dyDescent="0.25">
      <c r="A1461" s="393"/>
      <c r="B1461" s="387"/>
      <c r="C1461" s="388"/>
      <c r="D1461" s="458"/>
      <c r="E1461" s="389"/>
      <c r="F1461" s="390"/>
      <c r="G1461" s="462"/>
      <c r="H1461" s="390"/>
      <c r="I1461" s="402"/>
      <c r="J1461" s="241" t="b">
        <f>Age_Sex_BY[[#This Row],[Total Spending After Applying Truncation at the Member Level]]+Age_Sex_BY[[#This Row],[Total Dollars Excluded from Spending After Applying Truncation at the Member Level]]=Age_Sex_BY[[#This Row],[Total Spending before Truncation is Applied]]</f>
        <v>1</v>
      </c>
    </row>
    <row r="1462" spans="1:10" x14ac:dyDescent="0.25">
      <c r="A1462" s="394"/>
      <c r="B1462" s="395"/>
      <c r="C1462" s="396"/>
      <c r="D1462" s="459"/>
      <c r="E1462" s="397"/>
      <c r="F1462" s="398"/>
      <c r="G1462" s="463"/>
      <c r="H1462" s="398"/>
      <c r="I1462" s="403"/>
      <c r="J1462" s="241" t="b">
        <f>Age_Sex_BY[[#This Row],[Total Spending After Applying Truncation at the Member Level]]+Age_Sex_BY[[#This Row],[Total Dollars Excluded from Spending After Applying Truncation at the Member Level]]=Age_Sex_BY[[#This Row],[Total Spending before Truncation is Applied]]</f>
        <v>1</v>
      </c>
    </row>
    <row r="1463" spans="1:10" x14ac:dyDescent="0.25">
      <c r="A1463" s="393"/>
      <c r="B1463" s="387"/>
      <c r="C1463" s="388"/>
      <c r="D1463" s="458"/>
      <c r="E1463" s="389"/>
      <c r="F1463" s="390"/>
      <c r="G1463" s="462"/>
      <c r="H1463" s="390"/>
      <c r="I1463" s="402"/>
      <c r="J1463" s="241" t="b">
        <f>Age_Sex_BY[[#This Row],[Total Spending After Applying Truncation at the Member Level]]+Age_Sex_BY[[#This Row],[Total Dollars Excluded from Spending After Applying Truncation at the Member Level]]=Age_Sex_BY[[#This Row],[Total Spending before Truncation is Applied]]</f>
        <v>1</v>
      </c>
    </row>
    <row r="1464" spans="1:10" x14ac:dyDescent="0.25">
      <c r="A1464" s="394"/>
      <c r="B1464" s="395"/>
      <c r="C1464" s="396"/>
      <c r="D1464" s="459"/>
      <c r="E1464" s="397"/>
      <c r="F1464" s="398"/>
      <c r="G1464" s="463"/>
      <c r="H1464" s="398"/>
      <c r="I1464" s="403"/>
      <c r="J1464" s="241" t="b">
        <f>Age_Sex_BY[[#This Row],[Total Spending After Applying Truncation at the Member Level]]+Age_Sex_BY[[#This Row],[Total Dollars Excluded from Spending After Applying Truncation at the Member Level]]=Age_Sex_BY[[#This Row],[Total Spending before Truncation is Applied]]</f>
        <v>1</v>
      </c>
    </row>
    <row r="1465" spans="1:10" x14ac:dyDescent="0.25">
      <c r="A1465" s="393"/>
      <c r="B1465" s="387"/>
      <c r="C1465" s="388"/>
      <c r="D1465" s="458"/>
      <c r="E1465" s="389"/>
      <c r="F1465" s="390"/>
      <c r="G1465" s="462"/>
      <c r="H1465" s="390"/>
      <c r="I1465" s="402"/>
      <c r="J1465" s="241" t="b">
        <f>Age_Sex_BY[[#This Row],[Total Spending After Applying Truncation at the Member Level]]+Age_Sex_BY[[#This Row],[Total Dollars Excluded from Spending After Applying Truncation at the Member Level]]=Age_Sex_BY[[#This Row],[Total Spending before Truncation is Applied]]</f>
        <v>1</v>
      </c>
    </row>
    <row r="1466" spans="1:10" x14ac:dyDescent="0.25">
      <c r="A1466" s="394"/>
      <c r="B1466" s="395"/>
      <c r="C1466" s="396"/>
      <c r="D1466" s="459"/>
      <c r="E1466" s="397"/>
      <c r="F1466" s="398"/>
      <c r="G1466" s="463"/>
      <c r="H1466" s="398"/>
      <c r="I1466" s="403"/>
      <c r="J1466" s="241" t="b">
        <f>Age_Sex_BY[[#This Row],[Total Spending After Applying Truncation at the Member Level]]+Age_Sex_BY[[#This Row],[Total Dollars Excluded from Spending After Applying Truncation at the Member Level]]=Age_Sex_BY[[#This Row],[Total Spending before Truncation is Applied]]</f>
        <v>1</v>
      </c>
    </row>
    <row r="1467" spans="1:10" x14ac:dyDescent="0.25">
      <c r="A1467" s="393"/>
      <c r="B1467" s="387"/>
      <c r="C1467" s="388"/>
      <c r="D1467" s="458"/>
      <c r="E1467" s="389"/>
      <c r="F1467" s="390"/>
      <c r="G1467" s="462"/>
      <c r="H1467" s="390"/>
      <c r="I1467" s="402"/>
      <c r="J1467" s="241" t="b">
        <f>Age_Sex_BY[[#This Row],[Total Spending After Applying Truncation at the Member Level]]+Age_Sex_BY[[#This Row],[Total Dollars Excluded from Spending After Applying Truncation at the Member Level]]=Age_Sex_BY[[#This Row],[Total Spending before Truncation is Applied]]</f>
        <v>1</v>
      </c>
    </row>
    <row r="1468" spans="1:10" x14ac:dyDescent="0.25">
      <c r="A1468" s="394"/>
      <c r="B1468" s="395"/>
      <c r="C1468" s="396"/>
      <c r="D1468" s="459"/>
      <c r="E1468" s="397"/>
      <c r="F1468" s="398"/>
      <c r="G1468" s="463"/>
      <c r="H1468" s="398"/>
      <c r="I1468" s="403"/>
      <c r="J1468" s="241" t="b">
        <f>Age_Sex_BY[[#This Row],[Total Spending After Applying Truncation at the Member Level]]+Age_Sex_BY[[#This Row],[Total Dollars Excluded from Spending After Applying Truncation at the Member Level]]=Age_Sex_BY[[#This Row],[Total Spending before Truncation is Applied]]</f>
        <v>1</v>
      </c>
    </row>
    <row r="1469" spans="1:10" x14ac:dyDescent="0.25">
      <c r="A1469" s="393"/>
      <c r="B1469" s="387"/>
      <c r="C1469" s="388"/>
      <c r="D1469" s="458"/>
      <c r="E1469" s="389"/>
      <c r="F1469" s="390"/>
      <c r="G1469" s="462"/>
      <c r="H1469" s="390"/>
      <c r="I1469" s="402"/>
      <c r="J1469" s="241" t="b">
        <f>Age_Sex_BY[[#This Row],[Total Spending After Applying Truncation at the Member Level]]+Age_Sex_BY[[#This Row],[Total Dollars Excluded from Spending After Applying Truncation at the Member Level]]=Age_Sex_BY[[#This Row],[Total Spending before Truncation is Applied]]</f>
        <v>1</v>
      </c>
    </row>
    <row r="1470" spans="1:10" x14ac:dyDescent="0.25">
      <c r="A1470" s="394"/>
      <c r="B1470" s="395"/>
      <c r="C1470" s="396"/>
      <c r="D1470" s="459"/>
      <c r="E1470" s="397"/>
      <c r="F1470" s="398"/>
      <c r="G1470" s="463"/>
      <c r="H1470" s="398"/>
      <c r="I1470" s="403"/>
      <c r="J1470" s="241" t="b">
        <f>Age_Sex_BY[[#This Row],[Total Spending After Applying Truncation at the Member Level]]+Age_Sex_BY[[#This Row],[Total Dollars Excluded from Spending After Applying Truncation at the Member Level]]=Age_Sex_BY[[#This Row],[Total Spending before Truncation is Applied]]</f>
        <v>1</v>
      </c>
    </row>
    <row r="1471" spans="1:10" x14ac:dyDescent="0.25">
      <c r="A1471" s="393"/>
      <c r="B1471" s="387"/>
      <c r="C1471" s="388"/>
      <c r="D1471" s="458"/>
      <c r="E1471" s="389"/>
      <c r="F1471" s="390"/>
      <c r="G1471" s="462"/>
      <c r="H1471" s="390"/>
      <c r="I1471" s="402"/>
      <c r="J1471" s="241" t="b">
        <f>Age_Sex_BY[[#This Row],[Total Spending After Applying Truncation at the Member Level]]+Age_Sex_BY[[#This Row],[Total Dollars Excluded from Spending After Applying Truncation at the Member Level]]=Age_Sex_BY[[#This Row],[Total Spending before Truncation is Applied]]</f>
        <v>1</v>
      </c>
    </row>
    <row r="1472" spans="1:10" x14ac:dyDescent="0.25">
      <c r="A1472" s="394"/>
      <c r="B1472" s="395"/>
      <c r="C1472" s="396"/>
      <c r="D1472" s="459"/>
      <c r="E1472" s="397"/>
      <c r="F1472" s="398"/>
      <c r="G1472" s="463"/>
      <c r="H1472" s="398"/>
      <c r="I1472" s="403"/>
      <c r="J1472" s="241" t="b">
        <f>Age_Sex_BY[[#This Row],[Total Spending After Applying Truncation at the Member Level]]+Age_Sex_BY[[#This Row],[Total Dollars Excluded from Spending After Applying Truncation at the Member Level]]=Age_Sex_BY[[#This Row],[Total Spending before Truncation is Applied]]</f>
        <v>1</v>
      </c>
    </row>
    <row r="1473" spans="1:10" x14ac:dyDescent="0.25">
      <c r="A1473" s="393"/>
      <c r="B1473" s="387"/>
      <c r="C1473" s="388"/>
      <c r="D1473" s="458"/>
      <c r="E1473" s="389"/>
      <c r="F1473" s="390"/>
      <c r="G1473" s="462"/>
      <c r="H1473" s="390"/>
      <c r="I1473" s="402"/>
      <c r="J1473" s="241" t="b">
        <f>Age_Sex_BY[[#This Row],[Total Spending After Applying Truncation at the Member Level]]+Age_Sex_BY[[#This Row],[Total Dollars Excluded from Spending After Applying Truncation at the Member Level]]=Age_Sex_BY[[#This Row],[Total Spending before Truncation is Applied]]</f>
        <v>1</v>
      </c>
    </row>
    <row r="1474" spans="1:10" x14ac:dyDescent="0.25">
      <c r="A1474" s="394"/>
      <c r="B1474" s="395"/>
      <c r="C1474" s="396"/>
      <c r="D1474" s="459"/>
      <c r="E1474" s="397"/>
      <c r="F1474" s="398"/>
      <c r="G1474" s="463"/>
      <c r="H1474" s="398"/>
      <c r="I1474" s="403"/>
      <c r="J1474" s="241" t="b">
        <f>Age_Sex_BY[[#This Row],[Total Spending After Applying Truncation at the Member Level]]+Age_Sex_BY[[#This Row],[Total Dollars Excluded from Spending After Applying Truncation at the Member Level]]=Age_Sex_BY[[#This Row],[Total Spending before Truncation is Applied]]</f>
        <v>1</v>
      </c>
    </row>
    <row r="1475" spans="1:10" x14ac:dyDescent="0.25">
      <c r="A1475" s="393"/>
      <c r="B1475" s="387"/>
      <c r="C1475" s="388"/>
      <c r="D1475" s="458"/>
      <c r="E1475" s="389"/>
      <c r="F1475" s="390"/>
      <c r="G1475" s="462"/>
      <c r="H1475" s="390"/>
      <c r="I1475" s="402"/>
      <c r="J1475" s="241" t="b">
        <f>Age_Sex_BY[[#This Row],[Total Spending After Applying Truncation at the Member Level]]+Age_Sex_BY[[#This Row],[Total Dollars Excluded from Spending After Applying Truncation at the Member Level]]=Age_Sex_BY[[#This Row],[Total Spending before Truncation is Applied]]</f>
        <v>1</v>
      </c>
    </row>
    <row r="1476" spans="1:10" x14ac:dyDescent="0.25">
      <c r="A1476" s="394"/>
      <c r="B1476" s="395"/>
      <c r="C1476" s="396"/>
      <c r="D1476" s="459"/>
      <c r="E1476" s="397"/>
      <c r="F1476" s="398"/>
      <c r="G1476" s="463"/>
      <c r="H1476" s="398"/>
      <c r="I1476" s="403"/>
      <c r="J1476" s="241" t="b">
        <f>Age_Sex_BY[[#This Row],[Total Spending After Applying Truncation at the Member Level]]+Age_Sex_BY[[#This Row],[Total Dollars Excluded from Spending After Applying Truncation at the Member Level]]=Age_Sex_BY[[#This Row],[Total Spending before Truncation is Applied]]</f>
        <v>1</v>
      </c>
    </row>
    <row r="1477" spans="1:10" x14ac:dyDescent="0.25">
      <c r="A1477" s="393"/>
      <c r="B1477" s="387"/>
      <c r="C1477" s="388"/>
      <c r="D1477" s="458"/>
      <c r="E1477" s="389"/>
      <c r="F1477" s="390"/>
      <c r="G1477" s="462"/>
      <c r="H1477" s="390"/>
      <c r="I1477" s="402"/>
      <c r="J1477" s="241" t="b">
        <f>Age_Sex_BY[[#This Row],[Total Spending After Applying Truncation at the Member Level]]+Age_Sex_BY[[#This Row],[Total Dollars Excluded from Spending After Applying Truncation at the Member Level]]=Age_Sex_BY[[#This Row],[Total Spending before Truncation is Applied]]</f>
        <v>1</v>
      </c>
    </row>
    <row r="1478" spans="1:10" x14ac:dyDescent="0.25">
      <c r="A1478" s="394"/>
      <c r="B1478" s="395"/>
      <c r="C1478" s="396"/>
      <c r="D1478" s="459"/>
      <c r="E1478" s="397"/>
      <c r="F1478" s="398"/>
      <c r="G1478" s="463"/>
      <c r="H1478" s="398"/>
      <c r="I1478" s="403"/>
      <c r="J1478" s="241" t="b">
        <f>Age_Sex_BY[[#This Row],[Total Spending After Applying Truncation at the Member Level]]+Age_Sex_BY[[#This Row],[Total Dollars Excluded from Spending After Applying Truncation at the Member Level]]=Age_Sex_BY[[#This Row],[Total Spending before Truncation is Applied]]</f>
        <v>1</v>
      </c>
    </row>
    <row r="1479" spans="1:10" x14ac:dyDescent="0.25">
      <c r="A1479" s="393"/>
      <c r="B1479" s="387"/>
      <c r="C1479" s="388"/>
      <c r="D1479" s="458"/>
      <c r="E1479" s="389"/>
      <c r="F1479" s="390"/>
      <c r="G1479" s="462"/>
      <c r="H1479" s="390"/>
      <c r="I1479" s="402"/>
      <c r="J1479" s="241" t="b">
        <f>Age_Sex_BY[[#This Row],[Total Spending After Applying Truncation at the Member Level]]+Age_Sex_BY[[#This Row],[Total Dollars Excluded from Spending After Applying Truncation at the Member Level]]=Age_Sex_BY[[#This Row],[Total Spending before Truncation is Applied]]</f>
        <v>1</v>
      </c>
    </row>
    <row r="1480" spans="1:10" x14ac:dyDescent="0.25">
      <c r="A1480" s="394"/>
      <c r="B1480" s="395"/>
      <c r="C1480" s="396"/>
      <c r="D1480" s="459"/>
      <c r="E1480" s="397"/>
      <c r="F1480" s="398"/>
      <c r="G1480" s="463"/>
      <c r="H1480" s="398"/>
      <c r="I1480" s="403"/>
      <c r="J1480" s="241" t="b">
        <f>Age_Sex_BY[[#This Row],[Total Spending After Applying Truncation at the Member Level]]+Age_Sex_BY[[#This Row],[Total Dollars Excluded from Spending After Applying Truncation at the Member Level]]=Age_Sex_BY[[#This Row],[Total Spending before Truncation is Applied]]</f>
        <v>1</v>
      </c>
    </row>
    <row r="1481" spans="1:10" x14ac:dyDescent="0.25">
      <c r="A1481" s="393"/>
      <c r="B1481" s="387"/>
      <c r="C1481" s="388"/>
      <c r="D1481" s="458"/>
      <c r="E1481" s="389"/>
      <c r="F1481" s="390"/>
      <c r="G1481" s="462"/>
      <c r="H1481" s="390"/>
      <c r="I1481" s="402"/>
      <c r="J1481" s="241" t="b">
        <f>Age_Sex_BY[[#This Row],[Total Spending After Applying Truncation at the Member Level]]+Age_Sex_BY[[#This Row],[Total Dollars Excluded from Spending After Applying Truncation at the Member Level]]=Age_Sex_BY[[#This Row],[Total Spending before Truncation is Applied]]</f>
        <v>1</v>
      </c>
    </row>
    <row r="1482" spans="1:10" x14ac:dyDescent="0.25">
      <c r="A1482" s="394"/>
      <c r="B1482" s="395"/>
      <c r="C1482" s="396"/>
      <c r="D1482" s="459"/>
      <c r="E1482" s="397"/>
      <c r="F1482" s="398"/>
      <c r="G1482" s="463"/>
      <c r="H1482" s="398"/>
      <c r="I1482" s="403"/>
      <c r="J1482" s="241" t="b">
        <f>Age_Sex_BY[[#This Row],[Total Spending After Applying Truncation at the Member Level]]+Age_Sex_BY[[#This Row],[Total Dollars Excluded from Spending After Applying Truncation at the Member Level]]=Age_Sex_BY[[#This Row],[Total Spending before Truncation is Applied]]</f>
        <v>1</v>
      </c>
    </row>
    <row r="1483" spans="1:10" x14ac:dyDescent="0.25">
      <c r="A1483" s="393"/>
      <c r="B1483" s="387"/>
      <c r="C1483" s="388"/>
      <c r="D1483" s="458"/>
      <c r="E1483" s="389"/>
      <c r="F1483" s="390"/>
      <c r="G1483" s="462"/>
      <c r="H1483" s="390"/>
      <c r="I1483" s="402"/>
      <c r="J1483" s="241" t="b">
        <f>Age_Sex_BY[[#This Row],[Total Spending After Applying Truncation at the Member Level]]+Age_Sex_BY[[#This Row],[Total Dollars Excluded from Spending After Applying Truncation at the Member Level]]=Age_Sex_BY[[#This Row],[Total Spending before Truncation is Applied]]</f>
        <v>1</v>
      </c>
    </row>
    <row r="1484" spans="1:10" x14ac:dyDescent="0.25">
      <c r="A1484" s="394"/>
      <c r="B1484" s="395"/>
      <c r="C1484" s="396"/>
      <c r="D1484" s="459"/>
      <c r="E1484" s="397"/>
      <c r="F1484" s="398"/>
      <c r="G1484" s="463"/>
      <c r="H1484" s="398"/>
      <c r="I1484" s="403"/>
      <c r="J1484" s="241" t="b">
        <f>Age_Sex_BY[[#This Row],[Total Spending After Applying Truncation at the Member Level]]+Age_Sex_BY[[#This Row],[Total Dollars Excluded from Spending After Applying Truncation at the Member Level]]=Age_Sex_BY[[#This Row],[Total Spending before Truncation is Applied]]</f>
        <v>1</v>
      </c>
    </row>
    <row r="1485" spans="1:10" x14ac:dyDescent="0.25">
      <c r="A1485" s="393"/>
      <c r="B1485" s="387"/>
      <c r="C1485" s="388"/>
      <c r="D1485" s="458"/>
      <c r="E1485" s="389"/>
      <c r="F1485" s="390"/>
      <c r="G1485" s="462"/>
      <c r="H1485" s="390"/>
      <c r="I1485" s="402"/>
      <c r="J1485" s="241" t="b">
        <f>Age_Sex_BY[[#This Row],[Total Spending After Applying Truncation at the Member Level]]+Age_Sex_BY[[#This Row],[Total Dollars Excluded from Spending After Applying Truncation at the Member Level]]=Age_Sex_BY[[#This Row],[Total Spending before Truncation is Applied]]</f>
        <v>1</v>
      </c>
    </row>
    <row r="1486" spans="1:10" x14ac:dyDescent="0.25">
      <c r="A1486" s="394"/>
      <c r="B1486" s="395"/>
      <c r="C1486" s="396"/>
      <c r="D1486" s="459"/>
      <c r="E1486" s="397"/>
      <c r="F1486" s="398"/>
      <c r="G1486" s="463"/>
      <c r="H1486" s="398"/>
      <c r="I1486" s="403"/>
      <c r="J1486" s="241" t="b">
        <f>Age_Sex_BY[[#This Row],[Total Spending After Applying Truncation at the Member Level]]+Age_Sex_BY[[#This Row],[Total Dollars Excluded from Spending After Applying Truncation at the Member Level]]=Age_Sex_BY[[#This Row],[Total Spending before Truncation is Applied]]</f>
        <v>1</v>
      </c>
    </row>
    <row r="1487" spans="1:10" x14ac:dyDescent="0.25">
      <c r="A1487" s="393"/>
      <c r="B1487" s="387"/>
      <c r="C1487" s="388"/>
      <c r="D1487" s="458"/>
      <c r="E1487" s="389"/>
      <c r="F1487" s="390"/>
      <c r="G1487" s="462"/>
      <c r="H1487" s="390"/>
      <c r="I1487" s="402"/>
      <c r="J1487" s="241" t="b">
        <f>Age_Sex_BY[[#This Row],[Total Spending After Applying Truncation at the Member Level]]+Age_Sex_BY[[#This Row],[Total Dollars Excluded from Spending After Applying Truncation at the Member Level]]=Age_Sex_BY[[#This Row],[Total Spending before Truncation is Applied]]</f>
        <v>1</v>
      </c>
    </row>
    <row r="1488" spans="1:10" x14ac:dyDescent="0.25">
      <c r="A1488" s="394"/>
      <c r="B1488" s="395"/>
      <c r="C1488" s="396"/>
      <c r="D1488" s="459"/>
      <c r="E1488" s="397"/>
      <c r="F1488" s="398"/>
      <c r="G1488" s="463"/>
      <c r="H1488" s="398"/>
      <c r="I1488" s="403"/>
      <c r="J1488" s="241" t="b">
        <f>Age_Sex_BY[[#This Row],[Total Spending After Applying Truncation at the Member Level]]+Age_Sex_BY[[#This Row],[Total Dollars Excluded from Spending After Applying Truncation at the Member Level]]=Age_Sex_BY[[#This Row],[Total Spending before Truncation is Applied]]</f>
        <v>1</v>
      </c>
    </row>
    <row r="1489" spans="1:10" x14ac:dyDescent="0.25">
      <c r="A1489" s="393"/>
      <c r="B1489" s="387"/>
      <c r="C1489" s="388"/>
      <c r="D1489" s="458"/>
      <c r="E1489" s="389"/>
      <c r="F1489" s="390"/>
      <c r="G1489" s="462"/>
      <c r="H1489" s="390"/>
      <c r="I1489" s="402"/>
      <c r="J1489" s="241" t="b">
        <f>Age_Sex_BY[[#This Row],[Total Spending After Applying Truncation at the Member Level]]+Age_Sex_BY[[#This Row],[Total Dollars Excluded from Spending After Applying Truncation at the Member Level]]=Age_Sex_BY[[#This Row],[Total Spending before Truncation is Applied]]</f>
        <v>1</v>
      </c>
    </row>
    <row r="1490" spans="1:10" x14ac:dyDescent="0.25">
      <c r="A1490" s="394"/>
      <c r="B1490" s="395"/>
      <c r="C1490" s="396"/>
      <c r="D1490" s="459"/>
      <c r="E1490" s="397"/>
      <c r="F1490" s="398"/>
      <c r="G1490" s="463"/>
      <c r="H1490" s="398"/>
      <c r="I1490" s="403"/>
      <c r="J1490" s="241" t="b">
        <f>Age_Sex_BY[[#This Row],[Total Spending After Applying Truncation at the Member Level]]+Age_Sex_BY[[#This Row],[Total Dollars Excluded from Spending After Applying Truncation at the Member Level]]=Age_Sex_BY[[#This Row],[Total Spending before Truncation is Applied]]</f>
        <v>1</v>
      </c>
    </row>
    <row r="1491" spans="1:10" x14ac:dyDescent="0.25">
      <c r="A1491" s="393"/>
      <c r="B1491" s="387"/>
      <c r="C1491" s="388"/>
      <c r="D1491" s="458"/>
      <c r="E1491" s="389"/>
      <c r="F1491" s="390"/>
      <c r="G1491" s="462"/>
      <c r="H1491" s="390"/>
      <c r="I1491" s="402"/>
      <c r="J1491" s="241" t="b">
        <f>Age_Sex_BY[[#This Row],[Total Spending After Applying Truncation at the Member Level]]+Age_Sex_BY[[#This Row],[Total Dollars Excluded from Spending After Applying Truncation at the Member Level]]=Age_Sex_BY[[#This Row],[Total Spending before Truncation is Applied]]</f>
        <v>1</v>
      </c>
    </row>
    <row r="1492" spans="1:10" x14ac:dyDescent="0.25">
      <c r="A1492" s="394"/>
      <c r="B1492" s="395"/>
      <c r="C1492" s="396"/>
      <c r="D1492" s="459"/>
      <c r="E1492" s="397"/>
      <c r="F1492" s="398"/>
      <c r="G1492" s="463"/>
      <c r="H1492" s="398"/>
      <c r="I1492" s="403"/>
      <c r="J1492" s="241" t="b">
        <f>Age_Sex_BY[[#This Row],[Total Spending After Applying Truncation at the Member Level]]+Age_Sex_BY[[#This Row],[Total Dollars Excluded from Spending After Applying Truncation at the Member Level]]=Age_Sex_BY[[#This Row],[Total Spending before Truncation is Applied]]</f>
        <v>1</v>
      </c>
    </row>
    <row r="1493" spans="1:10" x14ac:dyDescent="0.25">
      <c r="A1493" s="393"/>
      <c r="B1493" s="387"/>
      <c r="C1493" s="388"/>
      <c r="D1493" s="458"/>
      <c r="E1493" s="389"/>
      <c r="F1493" s="390"/>
      <c r="G1493" s="462"/>
      <c r="H1493" s="390"/>
      <c r="I1493" s="402"/>
      <c r="J1493" s="241" t="b">
        <f>Age_Sex_BY[[#This Row],[Total Spending After Applying Truncation at the Member Level]]+Age_Sex_BY[[#This Row],[Total Dollars Excluded from Spending After Applying Truncation at the Member Level]]=Age_Sex_BY[[#This Row],[Total Spending before Truncation is Applied]]</f>
        <v>1</v>
      </c>
    </row>
    <row r="1494" spans="1:10" x14ac:dyDescent="0.25">
      <c r="A1494" s="394"/>
      <c r="B1494" s="395"/>
      <c r="C1494" s="396"/>
      <c r="D1494" s="459"/>
      <c r="E1494" s="397"/>
      <c r="F1494" s="398"/>
      <c r="G1494" s="463"/>
      <c r="H1494" s="398"/>
      <c r="I1494" s="403"/>
      <c r="J1494" s="241" t="b">
        <f>Age_Sex_BY[[#This Row],[Total Spending After Applying Truncation at the Member Level]]+Age_Sex_BY[[#This Row],[Total Dollars Excluded from Spending After Applying Truncation at the Member Level]]=Age_Sex_BY[[#This Row],[Total Spending before Truncation is Applied]]</f>
        <v>1</v>
      </c>
    </row>
    <row r="1495" spans="1:10" x14ac:dyDescent="0.25">
      <c r="A1495" s="393"/>
      <c r="B1495" s="387"/>
      <c r="C1495" s="388"/>
      <c r="D1495" s="458"/>
      <c r="E1495" s="389"/>
      <c r="F1495" s="390"/>
      <c r="G1495" s="462"/>
      <c r="H1495" s="390"/>
      <c r="I1495" s="402"/>
      <c r="J1495" s="241" t="b">
        <f>Age_Sex_BY[[#This Row],[Total Spending After Applying Truncation at the Member Level]]+Age_Sex_BY[[#This Row],[Total Dollars Excluded from Spending After Applying Truncation at the Member Level]]=Age_Sex_BY[[#This Row],[Total Spending before Truncation is Applied]]</f>
        <v>1</v>
      </c>
    </row>
    <row r="1496" spans="1:10" x14ac:dyDescent="0.25">
      <c r="A1496" s="394"/>
      <c r="B1496" s="395"/>
      <c r="C1496" s="396"/>
      <c r="D1496" s="459"/>
      <c r="E1496" s="397"/>
      <c r="F1496" s="398"/>
      <c r="G1496" s="463"/>
      <c r="H1496" s="398"/>
      <c r="I1496" s="403"/>
      <c r="J1496" s="241" t="b">
        <f>Age_Sex_BY[[#This Row],[Total Spending After Applying Truncation at the Member Level]]+Age_Sex_BY[[#This Row],[Total Dollars Excluded from Spending After Applying Truncation at the Member Level]]=Age_Sex_BY[[#This Row],[Total Spending before Truncation is Applied]]</f>
        <v>1</v>
      </c>
    </row>
    <row r="1497" spans="1:10" x14ac:dyDescent="0.25">
      <c r="A1497" s="393"/>
      <c r="B1497" s="387"/>
      <c r="C1497" s="388"/>
      <c r="D1497" s="458"/>
      <c r="E1497" s="389"/>
      <c r="F1497" s="390"/>
      <c r="G1497" s="462"/>
      <c r="H1497" s="390"/>
      <c r="I1497" s="402"/>
      <c r="J1497" s="241" t="b">
        <f>Age_Sex_BY[[#This Row],[Total Spending After Applying Truncation at the Member Level]]+Age_Sex_BY[[#This Row],[Total Dollars Excluded from Spending After Applying Truncation at the Member Level]]=Age_Sex_BY[[#This Row],[Total Spending before Truncation is Applied]]</f>
        <v>1</v>
      </c>
    </row>
    <row r="1498" spans="1:10" x14ac:dyDescent="0.25">
      <c r="A1498" s="394"/>
      <c r="B1498" s="395"/>
      <c r="C1498" s="396"/>
      <c r="D1498" s="459"/>
      <c r="E1498" s="397"/>
      <c r="F1498" s="398"/>
      <c r="G1498" s="463"/>
      <c r="H1498" s="398"/>
      <c r="I1498" s="403"/>
      <c r="J1498" s="241" t="b">
        <f>Age_Sex_BY[[#This Row],[Total Spending After Applying Truncation at the Member Level]]+Age_Sex_BY[[#This Row],[Total Dollars Excluded from Spending After Applying Truncation at the Member Level]]=Age_Sex_BY[[#This Row],[Total Spending before Truncation is Applied]]</f>
        <v>1</v>
      </c>
    </row>
    <row r="1499" spans="1:10" x14ac:dyDescent="0.25">
      <c r="A1499" s="393"/>
      <c r="B1499" s="387"/>
      <c r="C1499" s="388"/>
      <c r="D1499" s="458"/>
      <c r="E1499" s="389"/>
      <c r="F1499" s="390"/>
      <c r="G1499" s="462"/>
      <c r="H1499" s="390"/>
      <c r="I1499" s="402"/>
      <c r="J1499" s="241" t="b">
        <f>Age_Sex_BY[[#This Row],[Total Spending After Applying Truncation at the Member Level]]+Age_Sex_BY[[#This Row],[Total Dollars Excluded from Spending After Applying Truncation at the Member Level]]=Age_Sex_BY[[#This Row],[Total Spending before Truncation is Applied]]</f>
        <v>1</v>
      </c>
    </row>
    <row r="1500" spans="1:10" x14ac:dyDescent="0.25">
      <c r="A1500" s="394"/>
      <c r="B1500" s="395"/>
      <c r="C1500" s="396"/>
      <c r="D1500" s="459"/>
      <c r="E1500" s="397"/>
      <c r="F1500" s="398"/>
      <c r="G1500" s="463"/>
      <c r="H1500" s="398"/>
      <c r="I1500" s="403"/>
      <c r="J1500" s="241" t="b">
        <f>Age_Sex_BY[[#This Row],[Total Spending After Applying Truncation at the Member Level]]+Age_Sex_BY[[#This Row],[Total Dollars Excluded from Spending After Applying Truncation at the Member Level]]=Age_Sex_BY[[#This Row],[Total Spending before Truncation is Applied]]</f>
        <v>1</v>
      </c>
    </row>
    <row r="1501" spans="1:10" x14ac:dyDescent="0.25">
      <c r="A1501" s="393"/>
      <c r="B1501" s="387"/>
      <c r="C1501" s="388"/>
      <c r="D1501" s="458"/>
      <c r="E1501" s="389"/>
      <c r="F1501" s="390"/>
      <c r="G1501" s="462"/>
      <c r="H1501" s="390"/>
      <c r="I1501" s="402"/>
      <c r="J1501" s="241" t="b">
        <f>Age_Sex_BY[[#This Row],[Total Spending After Applying Truncation at the Member Level]]+Age_Sex_BY[[#This Row],[Total Dollars Excluded from Spending After Applying Truncation at the Member Level]]=Age_Sex_BY[[#This Row],[Total Spending before Truncation is Applied]]</f>
        <v>1</v>
      </c>
    </row>
    <row r="1502" spans="1:10" x14ac:dyDescent="0.25">
      <c r="A1502" s="394"/>
      <c r="B1502" s="395"/>
      <c r="C1502" s="396"/>
      <c r="D1502" s="459"/>
      <c r="E1502" s="397"/>
      <c r="F1502" s="398"/>
      <c r="G1502" s="463"/>
      <c r="H1502" s="398"/>
      <c r="I1502" s="403"/>
      <c r="J1502" s="241" t="b">
        <f>Age_Sex_BY[[#This Row],[Total Spending After Applying Truncation at the Member Level]]+Age_Sex_BY[[#This Row],[Total Dollars Excluded from Spending After Applying Truncation at the Member Level]]=Age_Sex_BY[[#This Row],[Total Spending before Truncation is Applied]]</f>
        <v>1</v>
      </c>
    </row>
    <row r="1503" spans="1:10" x14ac:dyDescent="0.25">
      <c r="A1503" s="393"/>
      <c r="B1503" s="387"/>
      <c r="C1503" s="388"/>
      <c r="D1503" s="458"/>
      <c r="E1503" s="389"/>
      <c r="F1503" s="390"/>
      <c r="G1503" s="462"/>
      <c r="H1503" s="390"/>
      <c r="I1503" s="402"/>
      <c r="J1503" s="241" t="b">
        <f>Age_Sex_BY[[#This Row],[Total Spending After Applying Truncation at the Member Level]]+Age_Sex_BY[[#This Row],[Total Dollars Excluded from Spending After Applying Truncation at the Member Level]]=Age_Sex_BY[[#This Row],[Total Spending before Truncation is Applied]]</f>
        <v>1</v>
      </c>
    </row>
    <row r="1504" spans="1:10" x14ac:dyDescent="0.25">
      <c r="A1504" s="394"/>
      <c r="B1504" s="395"/>
      <c r="C1504" s="396"/>
      <c r="D1504" s="459"/>
      <c r="E1504" s="397"/>
      <c r="F1504" s="398"/>
      <c r="G1504" s="463"/>
      <c r="H1504" s="398"/>
      <c r="I1504" s="403"/>
      <c r="J1504" s="241" t="b">
        <f>Age_Sex_BY[[#This Row],[Total Spending After Applying Truncation at the Member Level]]+Age_Sex_BY[[#This Row],[Total Dollars Excluded from Spending After Applying Truncation at the Member Level]]=Age_Sex_BY[[#This Row],[Total Spending before Truncation is Applied]]</f>
        <v>1</v>
      </c>
    </row>
    <row r="1505" spans="1:10" x14ac:dyDescent="0.25">
      <c r="A1505" s="393"/>
      <c r="B1505" s="387"/>
      <c r="C1505" s="388"/>
      <c r="D1505" s="458"/>
      <c r="E1505" s="389"/>
      <c r="F1505" s="390"/>
      <c r="G1505" s="462"/>
      <c r="H1505" s="390"/>
      <c r="I1505" s="402"/>
      <c r="J1505" s="241" t="b">
        <f>Age_Sex_BY[[#This Row],[Total Spending After Applying Truncation at the Member Level]]+Age_Sex_BY[[#This Row],[Total Dollars Excluded from Spending After Applying Truncation at the Member Level]]=Age_Sex_BY[[#This Row],[Total Spending before Truncation is Applied]]</f>
        <v>1</v>
      </c>
    </row>
    <row r="1506" spans="1:10" x14ac:dyDescent="0.25">
      <c r="A1506" s="394"/>
      <c r="B1506" s="395"/>
      <c r="C1506" s="396"/>
      <c r="D1506" s="459"/>
      <c r="E1506" s="397"/>
      <c r="F1506" s="398"/>
      <c r="G1506" s="463"/>
      <c r="H1506" s="398"/>
      <c r="I1506" s="403"/>
      <c r="J1506" s="241" t="b">
        <f>Age_Sex_BY[[#This Row],[Total Spending After Applying Truncation at the Member Level]]+Age_Sex_BY[[#This Row],[Total Dollars Excluded from Spending After Applying Truncation at the Member Level]]=Age_Sex_BY[[#This Row],[Total Spending before Truncation is Applied]]</f>
        <v>1</v>
      </c>
    </row>
    <row r="1507" spans="1:10" x14ac:dyDescent="0.25">
      <c r="A1507" s="393"/>
      <c r="B1507" s="387"/>
      <c r="C1507" s="388"/>
      <c r="D1507" s="458"/>
      <c r="E1507" s="389"/>
      <c r="F1507" s="390"/>
      <c r="G1507" s="462"/>
      <c r="H1507" s="390"/>
      <c r="I1507" s="402"/>
      <c r="J1507" s="241" t="b">
        <f>Age_Sex_BY[[#This Row],[Total Spending After Applying Truncation at the Member Level]]+Age_Sex_BY[[#This Row],[Total Dollars Excluded from Spending After Applying Truncation at the Member Level]]=Age_Sex_BY[[#This Row],[Total Spending before Truncation is Applied]]</f>
        <v>1</v>
      </c>
    </row>
    <row r="1508" spans="1:10" x14ac:dyDescent="0.25">
      <c r="A1508" s="394"/>
      <c r="B1508" s="395"/>
      <c r="C1508" s="396"/>
      <c r="D1508" s="459"/>
      <c r="E1508" s="397"/>
      <c r="F1508" s="398"/>
      <c r="G1508" s="463"/>
      <c r="H1508" s="398"/>
      <c r="I1508" s="403"/>
      <c r="J1508" s="241" t="b">
        <f>Age_Sex_BY[[#This Row],[Total Spending After Applying Truncation at the Member Level]]+Age_Sex_BY[[#This Row],[Total Dollars Excluded from Spending After Applying Truncation at the Member Level]]=Age_Sex_BY[[#This Row],[Total Spending before Truncation is Applied]]</f>
        <v>1</v>
      </c>
    </row>
    <row r="1509" spans="1:10" x14ac:dyDescent="0.25">
      <c r="A1509" s="393"/>
      <c r="B1509" s="387"/>
      <c r="C1509" s="388"/>
      <c r="D1509" s="458"/>
      <c r="E1509" s="389"/>
      <c r="F1509" s="390"/>
      <c r="G1509" s="462"/>
      <c r="H1509" s="390"/>
      <c r="I1509" s="402"/>
      <c r="J1509" s="241" t="b">
        <f>Age_Sex_BY[[#This Row],[Total Spending After Applying Truncation at the Member Level]]+Age_Sex_BY[[#This Row],[Total Dollars Excluded from Spending After Applying Truncation at the Member Level]]=Age_Sex_BY[[#This Row],[Total Spending before Truncation is Applied]]</f>
        <v>1</v>
      </c>
    </row>
    <row r="1510" spans="1:10" x14ac:dyDescent="0.25">
      <c r="A1510" s="394"/>
      <c r="B1510" s="395"/>
      <c r="C1510" s="396"/>
      <c r="D1510" s="459"/>
      <c r="E1510" s="397"/>
      <c r="F1510" s="398"/>
      <c r="G1510" s="463"/>
      <c r="H1510" s="398"/>
      <c r="I1510" s="403"/>
      <c r="J1510" s="241" t="b">
        <f>Age_Sex_BY[[#This Row],[Total Spending After Applying Truncation at the Member Level]]+Age_Sex_BY[[#This Row],[Total Dollars Excluded from Spending After Applying Truncation at the Member Level]]=Age_Sex_BY[[#This Row],[Total Spending before Truncation is Applied]]</f>
        <v>1</v>
      </c>
    </row>
    <row r="1511" spans="1:10" x14ac:dyDescent="0.25">
      <c r="A1511" s="393"/>
      <c r="B1511" s="387"/>
      <c r="C1511" s="388"/>
      <c r="D1511" s="458"/>
      <c r="E1511" s="389"/>
      <c r="F1511" s="390"/>
      <c r="G1511" s="462"/>
      <c r="H1511" s="390"/>
      <c r="I1511" s="402"/>
      <c r="J1511" s="241" t="b">
        <f>Age_Sex_BY[[#This Row],[Total Spending After Applying Truncation at the Member Level]]+Age_Sex_BY[[#This Row],[Total Dollars Excluded from Spending After Applying Truncation at the Member Level]]=Age_Sex_BY[[#This Row],[Total Spending before Truncation is Applied]]</f>
        <v>1</v>
      </c>
    </row>
    <row r="1512" spans="1:10" x14ac:dyDescent="0.25">
      <c r="A1512" s="394"/>
      <c r="B1512" s="395"/>
      <c r="C1512" s="396"/>
      <c r="D1512" s="459"/>
      <c r="E1512" s="397"/>
      <c r="F1512" s="398"/>
      <c r="G1512" s="463"/>
      <c r="H1512" s="398"/>
      <c r="I1512" s="403"/>
      <c r="J1512" s="241" t="b">
        <f>Age_Sex_BY[[#This Row],[Total Spending After Applying Truncation at the Member Level]]+Age_Sex_BY[[#This Row],[Total Dollars Excluded from Spending After Applying Truncation at the Member Level]]=Age_Sex_BY[[#This Row],[Total Spending before Truncation is Applied]]</f>
        <v>1</v>
      </c>
    </row>
    <row r="1513" spans="1:10" x14ac:dyDescent="0.25">
      <c r="A1513" s="393"/>
      <c r="B1513" s="387"/>
      <c r="C1513" s="388"/>
      <c r="D1513" s="458"/>
      <c r="E1513" s="389"/>
      <c r="F1513" s="390"/>
      <c r="G1513" s="462"/>
      <c r="H1513" s="390"/>
      <c r="I1513" s="402"/>
      <c r="J1513" s="241" t="b">
        <f>Age_Sex_BY[[#This Row],[Total Spending After Applying Truncation at the Member Level]]+Age_Sex_BY[[#This Row],[Total Dollars Excluded from Spending After Applying Truncation at the Member Level]]=Age_Sex_BY[[#This Row],[Total Spending before Truncation is Applied]]</f>
        <v>1</v>
      </c>
    </row>
    <row r="1514" spans="1:10" x14ac:dyDescent="0.25">
      <c r="A1514" s="394"/>
      <c r="B1514" s="395"/>
      <c r="C1514" s="396"/>
      <c r="D1514" s="459"/>
      <c r="E1514" s="397"/>
      <c r="F1514" s="398"/>
      <c r="G1514" s="463"/>
      <c r="H1514" s="398"/>
      <c r="I1514" s="403"/>
      <c r="J1514" s="241" t="b">
        <f>Age_Sex_BY[[#This Row],[Total Spending After Applying Truncation at the Member Level]]+Age_Sex_BY[[#This Row],[Total Dollars Excluded from Spending After Applying Truncation at the Member Level]]=Age_Sex_BY[[#This Row],[Total Spending before Truncation is Applied]]</f>
        <v>1</v>
      </c>
    </row>
    <row r="1515" spans="1:10" x14ac:dyDescent="0.25">
      <c r="A1515" s="393"/>
      <c r="B1515" s="387"/>
      <c r="C1515" s="388"/>
      <c r="D1515" s="458"/>
      <c r="E1515" s="389"/>
      <c r="F1515" s="390"/>
      <c r="G1515" s="462"/>
      <c r="H1515" s="390"/>
      <c r="I1515" s="402"/>
      <c r="J1515" s="241" t="b">
        <f>Age_Sex_BY[[#This Row],[Total Spending After Applying Truncation at the Member Level]]+Age_Sex_BY[[#This Row],[Total Dollars Excluded from Spending After Applying Truncation at the Member Level]]=Age_Sex_BY[[#This Row],[Total Spending before Truncation is Applied]]</f>
        <v>1</v>
      </c>
    </row>
    <row r="1516" spans="1:10" x14ac:dyDescent="0.25">
      <c r="A1516" s="394"/>
      <c r="B1516" s="395"/>
      <c r="C1516" s="396"/>
      <c r="D1516" s="459"/>
      <c r="E1516" s="397"/>
      <c r="F1516" s="398"/>
      <c r="G1516" s="463"/>
      <c r="H1516" s="398"/>
      <c r="I1516" s="403"/>
      <c r="J1516" s="241" t="b">
        <f>Age_Sex_BY[[#This Row],[Total Spending After Applying Truncation at the Member Level]]+Age_Sex_BY[[#This Row],[Total Dollars Excluded from Spending After Applying Truncation at the Member Level]]=Age_Sex_BY[[#This Row],[Total Spending before Truncation is Applied]]</f>
        <v>1</v>
      </c>
    </row>
    <row r="1517" spans="1:10" x14ac:dyDescent="0.25">
      <c r="A1517" s="393"/>
      <c r="B1517" s="387"/>
      <c r="C1517" s="388"/>
      <c r="D1517" s="458"/>
      <c r="E1517" s="389"/>
      <c r="F1517" s="390"/>
      <c r="G1517" s="462"/>
      <c r="H1517" s="390"/>
      <c r="I1517" s="402"/>
      <c r="J1517" s="241" t="b">
        <f>Age_Sex_BY[[#This Row],[Total Spending After Applying Truncation at the Member Level]]+Age_Sex_BY[[#This Row],[Total Dollars Excluded from Spending After Applying Truncation at the Member Level]]=Age_Sex_BY[[#This Row],[Total Spending before Truncation is Applied]]</f>
        <v>1</v>
      </c>
    </row>
    <row r="1518" spans="1:10" x14ac:dyDescent="0.25">
      <c r="A1518" s="394"/>
      <c r="B1518" s="395"/>
      <c r="C1518" s="396"/>
      <c r="D1518" s="459"/>
      <c r="E1518" s="397"/>
      <c r="F1518" s="398"/>
      <c r="G1518" s="463"/>
      <c r="H1518" s="398"/>
      <c r="I1518" s="403"/>
      <c r="J1518" s="241" t="b">
        <f>Age_Sex_BY[[#This Row],[Total Spending After Applying Truncation at the Member Level]]+Age_Sex_BY[[#This Row],[Total Dollars Excluded from Spending After Applying Truncation at the Member Level]]=Age_Sex_BY[[#This Row],[Total Spending before Truncation is Applied]]</f>
        <v>1</v>
      </c>
    </row>
    <row r="1519" spans="1:10" x14ac:dyDescent="0.25">
      <c r="A1519" s="393"/>
      <c r="B1519" s="387"/>
      <c r="C1519" s="388"/>
      <c r="D1519" s="458"/>
      <c r="E1519" s="389"/>
      <c r="F1519" s="390"/>
      <c r="G1519" s="462"/>
      <c r="H1519" s="390"/>
      <c r="I1519" s="402"/>
      <c r="J1519" s="241" t="b">
        <f>Age_Sex_BY[[#This Row],[Total Spending After Applying Truncation at the Member Level]]+Age_Sex_BY[[#This Row],[Total Dollars Excluded from Spending After Applying Truncation at the Member Level]]=Age_Sex_BY[[#This Row],[Total Spending before Truncation is Applied]]</f>
        <v>1</v>
      </c>
    </row>
    <row r="1520" spans="1:10" x14ac:dyDescent="0.25">
      <c r="A1520" s="394"/>
      <c r="B1520" s="395"/>
      <c r="C1520" s="396"/>
      <c r="D1520" s="459"/>
      <c r="E1520" s="397"/>
      <c r="F1520" s="398"/>
      <c r="G1520" s="463"/>
      <c r="H1520" s="398"/>
      <c r="I1520" s="403"/>
      <c r="J1520" s="241" t="b">
        <f>Age_Sex_BY[[#This Row],[Total Spending After Applying Truncation at the Member Level]]+Age_Sex_BY[[#This Row],[Total Dollars Excluded from Spending After Applying Truncation at the Member Level]]=Age_Sex_BY[[#This Row],[Total Spending before Truncation is Applied]]</f>
        <v>1</v>
      </c>
    </row>
    <row r="1521" spans="1:10" x14ac:dyDescent="0.25">
      <c r="A1521" s="393"/>
      <c r="B1521" s="387"/>
      <c r="C1521" s="388"/>
      <c r="D1521" s="458"/>
      <c r="E1521" s="389"/>
      <c r="F1521" s="390"/>
      <c r="G1521" s="462"/>
      <c r="H1521" s="390"/>
      <c r="I1521" s="402"/>
      <c r="J1521" s="241" t="b">
        <f>Age_Sex_BY[[#This Row],[Total Spending After Applying Truncation at the Member Level]]+Age_Sex_BY[[#This Row],[Total Dollars Excluded from Spending After Applying Truncation at the Member Level]]=Age_Sex_BY[[#This Row],[Total Spending before Truncation is Applied]]</f>
        <v>1</v>
      </c>
    </row>
    <row r="1522" spans="1:10" x14ac:dyDescent="0.25">
      <c r="A1522" s="394"/>
      <c r="B1522" s="395"/>
      <c r="C1522" s="396"/>
      <c r="D1522" s="459"/>
      <c r="E1522" s="397"/>
      <c r="F1522" s="398"/>
      <c r="G1522" s="463"/>
      <c r="H1522" s="398"/>
      <c r="I1522" s="403"/>
      <c r="J1522" s="241" t="b">
        <f>Age_Sex_BY[[#This Row],[Total Spending After Applying Truncation at the Member Level]]+Age_Sex_BY[[#This Row],[Total Dollars Excluded from Spending After Applying Truncation at the Member Level]]=Age_Sex_BY[[#This Row],[Total Spending before Truncation is Applied]]</f>
        <v>1</v>
      </c>
    </row>
    <row r="1523" spans="1:10" x14ac:dyDescent="0.25">
      <c r="A1523" s="393"/>
      <c r="B1523" s="387"/>
      <c r="C1523" s="388"/>
      <c r="D1523" s="458"/>
      <c r="E1523" s="389"/>
      <c r="F1523" s="390"/>
      <c r="G1523" s="462"/>
      <c r="H1523" s="390"/>
      <c r="I1523" s="402"/>
      <c r="J1523" s="241" t="b">
        <f>Age_Sex_BY[[#This Row],[Total Spending After Applying Truncation at the Member Level]]+Age_Sex_BY[[#This Row],[Total Dollars Excluded from Spending After Applying Truncation at the Member Level]]=Age_Sex_BY[[#This Row],[Total Spending before Truncation is Applied]]</f>
        <v>1</v>
      </c>
    </row>
    <row r="1524" spans="1:10" x14ac:dyDescent="0.25">
      <c r="A1524" s="394"/>
      <c r="B1524" s="395"/>
      <c r="C1524" s="396"/>
      <c r="D1524" s="459"/>
      <c r="E1524" s="397"/>
      <c r="F1524" s="398"/>
      <c r="G1524" s="463"/>
      <c r="H1524" s="398"/>
      <c r="I1524" s="403"/>
      <c r="J1524" s="241" t="b">
        <f>Age_Sex_BY[[#This Row],[Total Spending After Applying Truncation at the Member Level]]+Age_Sex_BY[[#This Row],[Total Dollars Excluded from Spending After Applying Truncation at the Member Level]]=Age_Sex_BY[[#This Row],[Total Spending before Truncation is Applied]]</f>
        <v>1</v>
      </c>
    </row>
    <row r="1525" spans="1:10" x14ac:dyDescent="0.25">
      <c r="A1525" s="393"/>
      <c r="B1525" s="387"/>
      <c r="C1525" s="388"/>
      <c r="D1525" s="458"/>
      <c r="E1525" s="389"/>
      <c r="F1525" s="390"/>
      <c r="G1525" s="462"/>
      <c r="H1525" s="390"/>
      <c r="I1525" s="402"/>
      <c r="J1525" s="241" t="b">
        <f>Age_Sex_BY[[#This Row],[Total Spending After Applying Truncation at the Member Level]]+Age_Sex_BY[[#This Row],[Total Dollars Excluded from Spending After Applying Truncation at the Member Level]]=Age_Sex_BY[[#This Row],[Total Spending before Truncation is Applied]]</f>
        <v>1</v>
      </c>
    </row>
    <row r="1526" spans="1:10" x14ac:dyDescent="0.25">
      <c r="A1526" s="394"/>
      <c r="B1526" s="395"/>
      <c r="C1526" s="396"/>
      <c r="D1526" s="459"/>
      <c r="E1526" s="397"/>
      <c r="F1526" s="398"/>
      <c r="G1526" s="463"/>
      <c r="H1526" s="398"/>
      <c r="I1526" s="403"/>
      <c r="J1526" s="241" t="b">
        <f>Age_Sex_BY[[#This Row],[Total Spending After Applying Truncation at the Member Level]]+Age_Sex_BY[[#This Row],[Total Dollars Excluded from Spending After Applying Truncation at the Member Level]]=Age_Sex_BY[[#This Row],[Total Spending before Truncation is Applied]]</f>
        <v>1</v>
      </c>
    </row>
    <row r="1527" spans="1:10" x14ac:dyDescent="0.25">
      <c r="A1527" s="393"/>
      <c r="B1527" s="387"/>
      <c r="C1527" s="388"/>
      <c r="D1527" s="458"/>
      <c r="E1527" s="389"/>
      <c r="F1527" s="390"/>
      <c r="G1527" s="462"/>
      <c r="H1527" s="390"/>
      <c r="I1527" s="402"/>
      <c r="J1527" s="241" t="b">
        <f>Age_Sex_BY[[#This Row],[Total Spending After Applying Truncation at the Member Level]]+Age_Sex_BY[[#This Row],[Total Dollars Excluded from Spending After Applying Truncation at the Member Level]]=Age_Sex_BY[[#This Row],[Total Spending before Truncation is Applied]]</f>
        <v>1</v>
      </c>
    </row>
    <row r="1528" spans="1:10" x14ac:dyDescent="0.25">
      <c r="A1528" s="394"/>
      <c r="B1528" s="395"/>
      <c r="C1528" s="396"/>
      <c r="D1528" s="459"/>
      <c r="E1528" s="397"/>
      <c r="F1528" s="398"/>
      <c r="G1528" s="463"/>
      <c r="H1528" s="398"/>
      <c r="I1528" s="403"/>
      <c r="J1528" s="241" t="b">
        <f>Age_Sex_BY[[#This Row],[Total Spending After Applying Truncation at the Member Level]]+Age_Sex_BY[[#This Row],[Total Dollars Excluded from Spending After Applying Truncation at the Member Level]]=Age_Sex_BY[[#This Row],[Total Spending before Truncation is Applied]]</f>
        <v>1</v>
      </c>
    </row>
    <row r="1529" spans="1:10" x14ac:dyDescent="0.25">
      <c r="A1529" s="393"/>
      <c r="B1529" s="387"/>
      <c r="C1529" s="388"/>
      <c r="D1529" s="458"/>
      <c r="E1529" s="389"/>
      <c r="F1529" s="390"/>
      <c r="G1529" s="462"/>
      <c r="H1529" s="390"/>
      <c r="I1529" s="402"/>
      <c r="J1529" s="241" t="b">
        <f>Age_Sex_BY[[#This Row],[Total Spending After Applying Truncation at the Member Level]]+Age_Sex_BY[[#This Row],[Total Dollars Excluded from Spending After Applying Truncation at the Member Level]]=Age_Sex_BY[[#This Row],[Total Spending before Truncation is Applied]]</f>
        <v>1</v>
      </c>
    </row>
    <row r="1530" spans="1:10" x14ac:dyDescent="0.25">
      <c r="A1530" s="394"/>
      <c r="B1530" s="395"/>
      <c r="C1530" s="396"/>
      <c r="D1530" s="459"/>
      <c r="E1530" s="397"/>
      <c r="F1530" s="398"/>
      <c r="G1530" s="463"/>
      <c r="H1530" s="398"/>
      <c r="I1530" s="403"/>
      <c r="J1530" s="241" t="b">
        <f>Age_Sex_BY[[#This Row],[Total Spending After Applying Truncation at the Member Level]]+Age_Sex_BY[[#This Row],[Total Dollars Excluded from Spending After Applying Truncation at the Member Level]]=Age_Sex_BY[[#This Row],[Total Spending before Truncation is Applied]]</f>
        <v>1</v>
      </c>
    </row>
    <row r="1531" spans="1:10" x14ac:dyDescent="0.25">
      <c r="A1531" s="393"/>
      <c r="B1531" s="387"/>
      <c r="C1531" s="388"/>
      <c r="D1531" s="458"/>
      <c r="E1531" s="389"/>
      <c r="F1531" s="390"/>
      <c r="G1531" s="462"/>
      <c r="H1531" s="390"/>
      <c r="I1531" s="402"/>
      <c r="J1531" s="241" t="b">
        <f>Age_Sex_BY[[#This Row],[Total Spending After Applying Truncation at the Member Level]]+Age_Sex_BY[[#This Row],[Total Dollars Excluded from Spending After Applying Truncation at the Member Level]]=Age_Sex_BY[[#This Row],[Total Spending before Truncation is Applied]]</f>
        <v>1</v>
      </c>
    </row>
    <row r="1532" spans="1:10" x14ac:dyDescent="0.25">
      <c r="A1532" s="394"/>
      <c r="B1532" s="395"/>
      <c r="C1532" s="396"/>
      <c r="D1532" s="459"/>
      <c r="E1532" s="397"/>
      <c r="F1532" s="398"/>
      <c r="G1532" s="463"/>
      <c r="H1532" s="398"/>
      <c r="I1532" s="403"/>
      <c r="J1532" s="241" t="b">
        <f>Age_Sex_BY[[#This Row],[Total Spending After Applying Truncation at the Member Level]]+Age_Sex_BY[[#This Row],[Total Dollars Excluded from Spending After Applying Truncation at the Member Level]]=Age_Sex_BY[[#This Row],[Total Spending before Truncation is Applied]]</f>
        <v>1</v>
      </c>
    </row>
    <row r="1533" spans="1:10" x14ac:dyDescent="0.25">
      <c r="A1533" s="393"/>
      <c r="B1533" s="387"/>
      <c r="C1533" s="388"/>
      <c r="D1533" s="458"/>
      <c r="E1533" s="389"/>
      <c r="F1533" s="390"/>
      <c r="G1533" s="462"/>
      <c r="H1533" s="390"/>
      <c r="I1533" s="402"/>
      <c r="J1533" s="241" t="b">
        <f>Age_Sex_BY[[#This Row],[Total Spending After Applying Truncation at the Member Level]]+Age_Sex_BY[[#This Row],[Total Dollars Excluded from Spending After Applying Truncation at the Member Level]]=Age_Sex_BY[[#This Row],[Total Spending before Truncation is Applied]]</f>
        <v>1</v>
      </c>
    </row>
    <row r="1534" spans="1:10" x14ac:dyDescent="0.25">
      <c r="A1534" s="394"/>
      <c r="B1534" s="395"/>
      <c r="C1534" s="396"/>
      <c r="D1534" s="459"/>
      <c r="E1534" s="397"/>
      <c r="F1534" s="398"/>
      <c r="G1534" s="463"/>
      <c r="H1534" s="398"/>
      <c r="I1534" s="403"/>
      <c r="J1534" s="241" t="b">
        <f>Age_Sex_BY[[#This Row],[Total Spending After Applying Truncation at the Member Level]]+Age_Sex_BY[[#This Row],[Total Dollars Excluded from Spending After Applying Truncation at the Member Level]]=Age_Sex_BY[[#This Row],[Total Spending before Truncation is Applied]]</f>
        <v>1</v>
      </c>
    </row>
    <row r="1535" spans="1:10" x14ac:dyDescent="0.25">
      <c r="A1535" s="393"/>
      <c r="B1535" s="387"/>
      <c r="C1535" s="388"/>
      <c r="D1535" s="458"/>
      <c r="E1535" s="389"/>
      <c r="F1535" s="390"/>
      <c r="G1535" s="462"/>
      <c r="H1535" s="390"/>
      <c r="I1535" s="402"/>
      <c r="J1535" s="241" t="b">
        <f>Age_Sex_BY[[#This Row],[Total Spending After Applying Truncation at the Member Level]]+Age_Sex_BY[[#This Row],[Total Dollars Excluded from Spending After Applying Truncation at the Member Level]]=Age_Sex_BY[[#This Row],[Total Spending before Truncation is Applied]]</f>
        <v>1</v>
      </c>
    </row>
    <row r="1536" spans="1:10" x14ac:dyDescent="0.25">
      <c r="A1536" s="394"/>
      <c r="B1536" s="395"/>
      <c r="C1536" s="396"/>
      <c r="D1536" s="459"/>
      <c r="E1536" s="397"/>
      <c r="F1536" s="398"/>
      <c r="G1536" s="463"/>
      <c r="H1536" s="398"/>
      <c r="I1536" s="403"/>
      <c r="J1536" s="241" t="b">
        <f>Age_Sex_BY[[#This Row],[Total Spending After Applying Truncation at the Member Level]]+Age_Sex_BY[[#This Row],[Total Dollars Excluded from Spending After Applying Truncation at the Member Level]]=Age_Sex_BY[[#This Row],[Total Spending before Truncation is Applied]]</f>
        <v>1</v>
      </c>
    </row>
    <row r="1537" spans="1:10" x14ac:dyDescent="0.25">
      <c r="A1537" s="393"/>
      <c r="B1537" s="387"/>
      <c r="C1537" s="388"/>
      <c r="D1537" s="458"/>
      <c r="E1537" s="389"/>
      <c r="F1537" s="390"/>
      <c r="G1537" s="462"/>
      <c r="H1537" s="390"/>
      <c r="I1537" s="402"/>
      <c r="J1537" s="241" t="b">
        <f>Age_Sex_BY[[#This Row],[Total Spending After Applying Truncation at the Member Level]]+Age_Sex_BY[[#This Row],[Total Dollars Excluded from Spending After Applying Truncation at the Member Level]]=Age_Sex_BY[[#This Row],[Total Spending before Truncation is Applied]]</f>
        <v>1</v>
      </c>
    </row>
    <row r="1538" spans="1:10" x14ac:dyDescent="0.25">
      <c r="A1538" s="394"/>
      <c r="B1538" s="395"/>
      <c r="C1538" s="396"/>
      <c r="D1538" s="459"/>
      <c r="E1538" s="397"/>
      <c r="F1538" s="398"/>
      <c r="G1538" s="463"/>
      <c r="H1538" s="398"/>
      <c r="I1538" s="403"/>
      <c r="J1538" s="241" t="b">
        <f>Age_Sex_BY[[#This Row],[Total Spending After Applying Truncation at the Member Level]]+Age_Sex_BY[[#This Row],[Total Dollars Excluded from Spending After Applying Truncation at the Member Level]]=Age_Sex_BY[[#This Row],[Total Spending before Truncation is Applied]]</f>
        <v>1</v>
      </c>
    </row>
    <row r="1539" spans="1:10" x14ac:dyDescent="0.25">
      <c r="A1539" s="393"/>
      <c r="B1539" s="387"/>
      <c r="C1539" s="388"/>
      <c r="D1539" s="458"/>
      <c r="E1539" s="389"/>
      <c r="F1539" s="390"/>
      <c r="G1539" s="462"/>
      <c r="H1539" s="390"/>
      <c r="I1539" s="402"/>
      <c r="J1539" s="241" t="b">
        <f>Age_Sex_BY[[#This Row],[Total Spending After Applying Truncation at the Member Level]]+Age_Sex_BY[[#This Row],[Total Dollars Excluded from Spending After Applying Truncation at the Member Level]]=Age_Sex_BY[[#This Row],[Total Spending before Truncation is Applied]]</f>
        <v>1</v>
      </c>
    </row>
    <row r="1540" spans="1:10" x14ac:dyDescent="0.25">
      <c r="A1540" s="394"/>
      <c r="B1540" s="395"/>
      <c r="C1540" s="396"/>
      <c r="D1540" s="459"/>
      <c r="E1540" s="397"/>
      <c r="F1540" s="398"/>
      <c r="G1540" s="463"/>
      <c r="H1540" s="398"/>
      <c r="I1540" s="403"/>
      <c r="J1540" s="241" t="b">
        <f>Age_Sex_BY[[#This Row],[Total Spending After Applying Truncation at the Member Level]]+Age_Sex_BY[[#This Row],[Total Dollars Excluded from Spending After Applying Truncation at the Member Level]]=Age_Sex_BY[[#This Row],[Total Spending before Truncation is Applied]]</f>
        <v>1</v>
      </c>
    </row>
    <row r="1541" spans="1:10" x14ac:dyDescent="0.25">
      <c r="A1541" s="393"/>
      <c r="B1541" s="387"/>
      <c r="C1541" s="388"/>
      <c r="D1541" s="458"/>
      <c r="E1541" s="389"/>
      <c r="F1541" s="390"/>
      <c r="G1541" s="462"/>
      <c r="H1541" s="390"/>
      <c r="I1541" s="402"/>
      <c r="J1541" s="241" t="b">
        <f>Age_Sex_BY[[#This Row],[Total Spending After Applying Truncation at the Member Level]]+Age_Sex_BY[[#This Row],[Total Dollars Excluded from Spending After Applying Truncation at the Member Level]]=Age_Sex_BY[[#This Row],[Total Spending before Truncation is Applied]]</f>
        <v>1</v>
      </c>
    </row>
    <row r="1542" spans="1:10" x14ac:dyDescent="0.25">
      <c r="A1542" s="394"/>
      <c r="B1542" s="395"/>
      <c r="C1542" s="396"/>
      <c r="D1542" s="459"/>
      <c r="E1542" s="397"/>
      <c r="F1542" s="398"/>
      <c r="G1542" s="463"/>
      <c r="H1542" s="398"/>
      <c r="I1542" s="403"/>
      <c r="J1542" s="241" t="b">
        <f>Age_Sex_BY[[#This Row],[Total Spending After Applying Truncation at the Member Level]]+Age_Sex_BY[[#This Row],[Total Dollars Excluded from Spending After Applying Truncation at the Member Level]]=Age_Sex_BY[[#This Row],[Total Spending before Truncation is Applied]]</f>
        <v>1</v>
      </c>
    </row>
    <row r="1543" spans="1:10" x14ac:dyDescent="0.25">
      <c r="A1543" s="393"/>
      <c r="B1543" s="387"/>
      <c r="C1543" s="388"/>
      <c r="D1543" s="458"/>
      <c r="E1543" s="389"/>
      <c r="F1543" s="390"/>
      <c r="G1543" s="462"/>
      <c r="H1543" s="390"/>
      <c r="I1543" s="402"/>
      <c r="J1543" s="241" t="b">
        <f>Age_Sex_BY[[#This Row],[Total Spending After Applying Truncation at the Member Level]]+Age_Sex_BY[[#This Row],[Total Dollars Excluded from Spending After Applying Truncation at the Member Level]]=Age_Sex_BY[[#This Row],[Total Spending before Truncation is Applied]]</f>
        <v>1</v>
      </c>
    </row>
    <row r="1544" spans="1:10" x14ac:dyDescent="0.25">
      <c r="A1544" s="394"/>
      <c r="B1544" s="395"/>
      <c r="C1544" s="396"/>
      <c r="D1544" s="459"/>
      <c r="E1544" s="397"/>
      <c r="F1544" s="398"/>
      <c r="G1544" s="463"/>
      <c r="H1544" s="398"/>
      <c r="I1544" s="403"/>
      <c r="J1544" s="241" t="b">
        <f>Age_Sex_BY[[#This Row],[Total Spending After Applying Truncation at the Member Level]]+Age_Sex_BY[[#This Row],[Total Dollars Excluded from Spending After Applying Truncation at the Member Level]]=Age_Sex_BY[[#This Row],[Total Spending before Truncation is Applied]]</f>
        <v>1</v>
      </c>
    </row>
    <row r="1545" spans="1:10" x14ac:dyDescent="0.25">
      <c r="A1545" s="393"/>
      <c r="B1545" s="387"/>
      <c r="C1545" s="388"/>
      <c r="D1545" s="458"/>
      <c r="E1545" s="389"/>
      <c r="F1545" s="390"/>
      <c r="G1545" s="462"/>
      <c r="H1545" s="390"/>
      <c r="I1545" s="402"/>
      <c r="J1545" s="241" t="b">
        <f>Age_Sex_BY[[#This Row],[Total Spending After Applying Truncation at the Member Level]]+Age_Sex_BY[[#This Row],[Total Dollars Excluded from Spending After Applying Truncation at the Member Level]]=Age_Sex_BY[[#This Row],[Total Spending before Truncation is Applied]]</f>
        <v>1</v>
      </c>
    </row>
    <row r="1546" spans="1:10" x14ac:dyDescent="0.25">
      <c r="A1546" s="394"/>
      <c r="B1546" s="395"/>
      <c r="C1546" s="396"/>
      <c r="D1546" s="459"/>
      <c r="E1546" s="397"/>
      <c r="F1546" s="398"/>
      <c r="G1546" s="463"/>
      <c r="H1546" s="398"/>
      <c r="I1546" s="403"/>
      <c r="J1546" s="241" t="b">
        <f>Age_Sex_BY[[#This Row],[Total Spending After Applying Truncation at the Member Level]]+Age_Sex_BY[[#This Row],[Total Dollars Excluded from Spending After Applying Truncation at the Member Level]]=Age_Sex_BY[[#This Row],[Total Spending before Truncation is Applied]]</f>
        <v>1</v>
      </c>
    </row>
    <row r="1547" spans="1:10" x14ac:dyDescent="0.25">
      <c r="A1547" s="393"/>
      <c r="B1547" s="387"/>
      <c r="C1547" s="388"/>
      <c r="D1547" s="458"/>
      <c r="E1547" s="389"/>
      <c r="F1547" s="390"/>
      <c r="G1547" s="462"/>
      <c r="H1547" s="390"/>
      <c r="I1547" s="402"/>
      <c r="J1547" s="241" t="b">
        <f>Age_Sex_BY[[#This Row],[Total Spending After Applying Truncation at the Member Level]]+Age_Sex_BY[[#This Row],[Total Dollars Excluded from Spending After Applying Truncation at the Member Level]]=Age_Sex_BY[[#This Row],[Total Spending before Truncation is Applied]]</f>
        <v>1</v>
      </c>
    </row>
    <row r="1548" spans="1:10" x14ac:dyDescent="0.25">
      <c r="A1548" s="394"/>
      <c r="B1548" s="395"/>
      <c r="C1548" s="396"/>
      <c r="D1548" s="459"/>
      <c r="E1548" s="397"/>
      <c r="F1548" s="398"/>
      <c r="G1548" s="463"/>
      <c r="H1548" s="398"/>
      <c r="I1548" s="403"/>
      <c r="J1548" s="241" t="b">
        <f>Age_Sex_BY[[#This Row],[Total Spending After Applying Truncation at the Member Level]]+Age_Sex_BY[[#This Row],[Total Dollars Excluded from Spending After Applying Truncation at the Member Level]]=Age_Sex_BY[[#This Row],[Total Spending before Truncation is Applied]]</f>
        <v>1</v>
      </c>
    </row>
    <row r="1549" spans="1:10" x14ac:dyDescent="0.25">
      <c r="A1549" s="393"/>
      <c r="B1549" s="387"/>
      <c r="C1549" s="388"/>
      <c r="D1549" s="458"/>
      <c r="E1549" s="389"/>
      <c r="F1549" s="390"/>
      <c r="G1549" s="462"/>
      <c r="H1549" s="390"/>
      <c r="I1549" s="402"/>
      <c r="J1549" s="241" t="b">
        <f>Age_Sex_BY[[#This Row],[Total Spending After Applying Truncation at the Member Level]]+Age_Sex_BY[[#This Row],[Total Dollars Excluded from Spending After Applying Truncation at the Member Level]]=Age_Sex_BY[[#This Row],[Total Spending before Truncation is Applied]]</f>
        <v>1</v>
      </c>
    </row>
    <row r="1550" spans="1:10" x14ac:dyDescent="0.25">
      <c r="A1550" s="394"/>
      <c r="B1550" s="395"/>
      <c r="C1550" s="396"/>
      <c r="D1550" s="459"/>
      <c r="E1550" s="397"/>
      <c r="F1550" s="398"/>
      <c r="G1550" s="463"/>
      <c r="H1550" s="398"/>
      <c r="I1550" s="403"/>
      <c r="J1550" s="241" t="b">
        <f>Age_Sex_BY[[#This Row],[Total Spending After Applying Truncation at the Member Level]]+Age_Sex_BY[[#This Row],[Total Dollars Excluded from Spending After Applying Truncation at the Member Level]]=Age_Sex_BY[[#This Row],[Total Spending before Truncation is Applied]]</f>
        <v>1</v>
      </c>
    </row>
    <row r="1551" spans="1:10" x14ac:dyDescent="0.25">
      <c r="A1551" s="393"/>
      <c r="B1551" s="387"/>
      <c r="C1551" s="388"/>
      <c r="D1551" s="458"/>
      <c r="E1551" s="389"/>
      <c r="F1551" s="390"/>
      <c r="G1551" s="462"/>
      <c r="H1551" s="390"/>
      <c r="I1551" s="402"/>
      <c r="J1551" s="241" t="b">
        <f>Age_Sex_BY[[#This Row],[Total Spending After Applying Truncation at the Member Level]]+Age_Sex_BY[[#This Row],[Total Dollars Excluded from Spending After Applying Truncation at the Member Level]]=Age_Sex_BY[[#This Row],[Total Spending before Truncation is Applied]]</f>
        <v>1</v>
      </c>
    </row>
    <row r="1552" spans="1:10" x14ac:dyDescent="0.25">
      <c r="A1552" s="394"/>
      <c r="B1552" s="395"/>
      <c r="C1552" s="396"/>
      <c r="D1552" s="459"/>
      <c r="E1552" s="397"/>
      <c r="F1552" s="398"/>
      <c r="G1552" s="463"/>
      <c r="H1552" s="398"/>
      <c r="I1552" s="403"/>
      <c r="J1552" s="241" t="b">
        <f>Age_Sex_BY[[#This Row],[Total Spending After Applying Truncation at the Member Level]]+Age_Sex_BY[[#This Row],[Total Dollars Excluded from Spending After Applying Truncation at the Member Level]]=Age_Sex_BY[[#This Row],[Total Spending before Truncation is Applied]]</f>
        <v>1</v>
      </c>
    </row>
    <row r="1553" spans="1:10" x14ac:dyDescent="0.25">
      <c r="A1553" s="393"/>
      <c r="B1553" s="387"/>
      <c r="C1553" s="388"/>
      <c r="D1553" s="458"/>
      <c r="E1553" s="389"/>
      <c r="F1553" s="390"/>
      <c r="G1553" s="462"/>
      <c r="H1553" s="390"/>
      <c r="I1553" s="402"/>
      <c r="J1553" s="241" t="b">
        <f>Age_Sex_BY[[#This Row],[Total Spending After Applying Truncation at the Member Level]]+Age_Sex_BY[[#This Row],[Total Dollars Excluded from Spending After Applying Truncation at the Member Level]]=Age_Sex_BY[[#This Row],[Total Spending before Truncation is Applied]]</f>
        <v>1</v>
      </c>
    </row>
    <row r="1554" spans="1:10" x14ac:dyDescent="0.25">
      <c r="A1554" s="394"/>
      <c r="B1554" s="395"/>
      <c r="C1554" s="396"/>
      <c r="D1554" s="459"/>
      <c r="E1554" s="397"/>
      <c r="F1554" s="398"/>
      <c r="G1554" s="463"/>
      <c r="H1554" s="398"/>
      <c r="I1554" s="403"/>
      <c r="J1554" s="241" t="b">
        <f>Age_Sex_BY[[#This Row],[Total Spending After Applying Truncation at the Member Level]]+Age_Sex_BY[[#This Row],[Total Dollars Excluded from Spending After Applying Truncation at the Member Level]]=Age_Sex_BY[[#This Row],[Total Spending before Truncation is Applied]]</f>
        <v>1</v>
      </c>
    </row>
    <row r="1555" spans="1:10" x14ac:dyDescent="0.25">
      <c r="A1555" s="393"/>
      <c r="B1555" s="387"/>
      <c r="C1555" s="388"/>
      <c r="D1555" s="458"/>
      <c r="E1555" s="389"/>
      <c r="F1555" s="390"/>
      <c r="G1555" s="462"/>
      <c r="H1555" s="390"/>
      <c r="I1555" s="402"/>
      <c r="J1555" s="241" t="b">
        <f>Age_Sex_BY[[#This Row],[Total Spending After Applying Truncation at the Member Level]]+Age_Sex_BY[[#This Row],[Total Dollars Excluded from Spending After Applying Truncation at the Member Level]]=Age_Sex_BY[[#This Row],[Total Spending before Truncation is Applied]]</f>
        <v>1</v>
      </c>
    </row>
    <row r="1556" spans="1:10" x14ac:dyDescent="0.25">
      <c r="A1556" s="394"/>
      <c r="B1556" s="395"/>
      <c r="C1556" s="396"/>
      <c r="D1556" s="459"/>
      <c r="E1556" s="397"/>
      <c r="F1556" s="398"/>
      <c r="G1556" s="463"/>
      <c r="H1556" s="398"/>
      <c r="I1556" s="403"/>
      <c r="J1556" s="241" t="b">
        <f>Age_Sex_BY[[#This Row],[Total Spending After Applying Truncation at the Member Level]]+Age_Sex_BY[[#This Row],[Total Dollars Excluded from Spending After Applying Truncation at the Member Level]]=Age_Sex_BY[[#This Row],[Total Spending before Truncation is Applied]]</f>
        <v>1</v>
      </c>
    </row>
    <row r="1557" spans="1:10" x14ac:dyDescent="0.25">
      <c r="A1557" s="393"/>
      <c r="B1557" s="387"/>
      <c r="C1557" s="388"/>
      <c r="D1557" s="458"/>
      <c r="E1557" s="389"/>
      <c r="F1557" s="390"/>
      <c r="G1557" s="462"/>
      <c r="H1557" s="390"/>
      <c r="I1557" s="402"/>
      <c r="J1557" s="241" t="b">
        <f>Age_Sex_BY[[#This Row],[Total Spending After Applying Truncation at the Member Level]]+Age_Sex_BY[[#This Row],[Total Dollars Excluded from Spending After Applying Truncation at the Member Level]]=Age_Sex_BY[[#This Row],[Total Spending before Truncation is Applied]]</f>
        <v>1</v>
      </c>
    </row>
    <row r="1558" spans="1:10" x14ac:dyDescent="0.25">
      <c r="A1558" s="394"/>
      <c r="B1558" s="395"/>
      <c r="C1558" s="396"/>
      <c r="D1558" s="459"/>
      <c r="E1558" s="397"/>
      <c r="F1558" s="398"/>
      <c r="G1558" s="463"/>
      <c r="H1558" s="398"/>
      <c r="I1558" s="403"/>
      <c r="J1558" s="241" t="b">
        <f>Age_Sex_BY[[#This Row],[Total Spending After Applying Truncation at the Member Level]]+Age_Sex_BY[[#This Row],[Total Dollars Excluded from Spending After Applying Truncation at the Member Level]]=Age_Sex_BY[[#This Row],[Total Spending before Truncation is Applied]]</f>
        <v>1</v>
      </c>
    </row>
    <row r="1559" spans="1:10" x14ac:dyDescent="0.25">
      <c r="A1559" s="393"/>
      <c r="B1559" s="387"/>
      <c r="C1559" s="388"/>
      <c r="D1559" s="458"/>
      <c r="E1559" s="389"/>
      <c r="F1559" s="390"/>
      <c r="G1559" s="462"/>
      <c r="H1559" s="390"/>
      <c r="I1559" s="402"/>
      <c r="J1559" s="241" t="b">
        <f>Age_Sex_BY[[#This Row],[Total Spending After Applying Truncation at the Member Level]]+Age_Sex_BY[[#This Row],[Total Dollars Excluded from Spending After Applying Truncation at the Member Level]]=Age_Sex_BY[[#This Row],[Total Spending before Truncation is Applied]]</f>
        <v>1</v>
      </c>
    </row>
    <row r="1560" spans="1:10" x14ac:dyDescent="0.25">
      <c r="A1560" s="394"/>
      <c r="B1560" s="395"/>
      <c r="C1560" s="396"/>
      <c r="D1560" s="459"/>
      <c r="E1560" s="397"/>
      <c r="F1560" s="398"/>
      <c r="G1560" s="463"/>
      <c r="H1560" s="398"/>
      <c r="I1560" s="403"/>
      <c r="J1560" s="241" t="b">
        <f>Age_Sex_BY[[#This Row],[Total Spending After Applying Truncation at the Member Level]]+Age_Sex_BY[[#This Row],[Total Dollars Excluded from Spending After Applying Truncation at the Member Level]]=Age_Sex_BY[[#This Row],[Total Spending before Truncation is Applied]]</f>
        <v>1</v>
      </c>
    </row>
    <row r="1561" spans="1:10" x14ac:dyDescent="0.25">
      <c r="A1561" s="393"/>
      <c r="B1561" s="387"/>
      <c r="C1561" s="388"/>
      <c r="D1561" s="458"/>
      <c r="E1561" s="389"/>
      <c r="F1561" s="390"/>
      <c r="G1561" s="462"/>
      <c r="H1561" s="390"/>
      <c r="I1561" s="402"/>
      <c r="J1561" s="241" t="b">
        <f>Age_Sex_BY[[#This Row],[Total Spending After Applying Truncation at the Member Level]]+Age_Sex_BY[[#This Row],[Total Dollars Excluded from Spending After Applying Truncation at the Member Level]]=Age_Sex_BY[[#This Row],[Total Spending before Truncation is Applied]]</f>
        <v>1</v>
      </c>
    </row>
    <row r="1562" spans="1:10" x14ac:dyDescent="0.25">
      <c r="A1562" s="394"/>
      <c r="B1562" s="395"/>
      <c r="C1562" s="396"/>
      <c r="D1562" s="459"/>
      <c r="E1562" s="397"/>
      <c r="F1562" s="398"/>
      <c r="G1562" s="463"/>
      <c r="H1562" s="398"/>
      <c r="I1562" s="403"/>
      <c r="J1562" s="241" t="b">
        <f>Age_Sex_BY[[#This Row],[Total Spending After Applying Truncation at the Member Level]]+Age_Sex_BY[[#This Row],[Total Dollars Excluded from Spending After Applying Truncation at the Member Level]]=Age_Sex_BY[[#This Row],[Total Spending before Truncation is Applied]]</f>
        <v>1</v>
      </c>
    </row>
    <row r="1563" spans="1:10" x14ac:dyDescent="0.25">
      <c r="A1563" s="393"/>
      <c r="B1563" s="387"/>
      <c r="C1563" s="388"/>
      <c r="D1563" s="458"/>
      <c r="E1563" s="389"/>
      <c r="F1563" s="390"/>
      <c r="G1563" s="462"/>
      <c r="H1563" s="390"/>
      <c r="I1563" s="402"/>
      <c r="J1563" s="241" t="b">
        <f>Age_Sex_BY[[#This Row],[Total Spending After Applying Truncation at the Member Level]]+Age_Sex_BY[[#This Row],[Total Dollars Excluded from Spending After Applying Truncation at the Member Level]]=Age_Sex_BY[[#This Row],[Total Spending before Truncation is Applied]]</f>
        <v>1</v>
      </c>
    </row>
    <row r="1564" spans="1:10" x14ac:dyDescent="0.25">
      <c r="A1564" s="394"/>
      <c r="B1564" s="395"/>
      <c r="C1564" s="396"/>
      <c r="D1564" s="459"/>
      <c r="E1564" s="397"/>
      <c r="F1564" s="398"/>
      <c r="G1564" s="463"/>
      <c r="H1564" s="398"/>
      <c r="I1564" s="403"/>
      <c r="J1564" s="241" t="b">
        <f>Age_Sex_BY[[#This Row],[Total Spending After Applying Truncation at the Member Level]]+Age_Sex_BY[[#This Row],[Total Dollars Excluded from Spending After Applying Truncation at the Member Level]]=Age_Sex_BY[[#This Row],[Total Spending before Truncation is Applied]]</f>
        <v>1</v>
      </c>
    </row>
    <row r="1565" spans="1:10" x14ac:dyDescent="0.25">
      <c r="A1565" s="393"/>
      <c r="B1565" s="387"/>
      <c r="C1565" s="388"/>
      <c r="D1565" s="458"/>
      <c r="E1565" s="389"/>
      <c r="F1565" s="390"/>
      <c r="G1565" s="462"/>
      <c r="H1565" s="390"/>
      <c r="I1565" s="402"/>
      <c r="J1565" s="241" t="b">
        <f>Age_Sex_BY[[#This Row],[Total Spending After Applying Truncation at the Member Level]]+Age_Sex_BY[[#This Row],[Total Dollars Excluded from Spending After Applying Truncation at the Member Level]]=Age_Sex_BY[[#This Row],[Total Spending before Truncation is Applied]]</f>
        <v>1</v>
      </c>
    </row>
    <row r="1566" spans="1:10" x14ac:dyDescent="0.25">
      <c r="A1566" s="394"/>
      <c r="B1566" s="395"/>
      <c r="C1566" s="396"/>
      <c r="D1566" s="459"/>
      <c r="E1566" s="397"/>
      <c r="F1566" s="398"/>
      <c r="G1566" s="463"/>
      <c r="H1566" s="398"/>
      <c r="I1566" s="403"/>
      <c r="J1566" s="241" t="b">
        <f>Age_Sex_BY[[#This Row],[Total Spending After Applying Truncation at the Member Level]]+Age_Sex_BY[[#This Row],[Total Dollars Excluded from Spending After Applying Truncation at the Member Level]]=Age_Sex_BY[[#This Row],[Total Spending before Truncation is Applied]]</f>
        <v>1</v>
      </c>
    </row>
    <row r="1567" spans="1:10" x14ac:dyDescent="0.25">
      <c r="A1567" s="393"/>
      <c r="B1567" s="387"/>
      <c r="C1567" s="388"/>
      <c r="D1567" s="458"/>
      <c r="E1567" s="389"/>
      <c r="F1567" s="390"/>
      <c r="G1567" s="462"/>
      <c r="H1567" s="390"/>
      <c r="I1567" s="402"/>
      <c r="J1567" s="241" t="b">
        <f>Age_Sex_BY[[#This Row],[Total Spending After Applying Truncation at the Member Level]]+Age_Sex_BY[[#This Row],[Total Dollars Excluded from Spending After Applying Truncation at the Member Level]]=Age_Sex_BY[[#This Row],[Total Spending before Truncation is Applied]]</f>
        <v>1</v>
      </c>
    </row>
    <row r="1568" spans="1:10" x14ac:dyDescent="0.25">
      <c r="A1568" s="394"/>
      <c r="B1568" s="395"/>
      <c r="C1568" s="396"/>
      <c r="D1568" s="459"/>
      <c r="E1568" s="397"/>
      <c r="F1568" s="398"/>
      <c r="G1568" s="463"/>
      <c r="H1568" s="398"/>
      <c r="I1568" s="403"/>
      <c r="J1568" s="241" t="b">
        <f>Age_Sex_BY[[#This Row],[Total Spending After Applying Truncation at the Member Level]]+Age_Sex_BY[[#This Row],[Total Dollars Excluded from Spending After Applying Truncation at the Member Level]]=Age_Sex_BY[[#This Row],[Total Spending before Truncation is Applied]]</f>
        <v>1</v>
      </c>
    </row>
    <row r="1569" spans="1:10" x14ac:dyDescent="0.25">
      <c r="A1569" s="393"/>
      <c r="B1569" s="387"/>
      <c r="C1569" s="388"/>
      <c r="D1569" s="458"/>
      <c r="E1569" s="389"/>
      <c r="F1569" s="390"/>
      <c r="G1569" s="462"/>
      <c r="H1569" s="390"/>
      <c r="I1569" s="402"/>
      <c r="J1569" s="241" t="b">
        <f>Age_Sex_BY[[#This Row],[Total Spending After Applying Truncation at the Member Level]]+Age_Sex_BY[[#This Row],[Total Dollars Excluded from Spending After Applying Truncation at the Member Level]]=Age_Sex_BY[[#This Row],[Total Spending before Truncation is Applied]]</f>
        <v>1</v>
      </c>
    </row>
    <row r="1570" spans="1:10" x14ac:dyDescent="0.25">
      <c r="A1570" s="394"/>
      <c r="B1570" s="395"/>
      <c r="C1570" s="396"/>
      <c r="D1570" s="459"/>
      <c r="E1570" s="397"/>
      <c r="F1570" s="398"/>
      <c r="G1570" s="463"/>
      <c r="H1570" s="398"/>
      <c r="I1570" s="403"/>
      <c r="J1570" s="241" t="b">
        <f>Age_Sex_BY[[#This Row],[Total Spending After Applying Truncation at the Member Level]]+Age_Sex_BY[[#This Row],[Total Dollars Excluded from Spending After Applying Truncation at the Member Level]]=Age_Sex_BY[[#This Row],[Total Spending before Truncation is Applied]]</f>
        <v>1</v>
      </c>
    </row>
    <row r="1571" spans="1:10" x14ac:dyDescent="0.25">
      <c r="A1571" s="393"/>
      <c r="B1571" s="387"/>
      <c r="C1571" s="388"/>
      <c r="D1571" s="458"/>
      <c r="E1571" s="389"/>
      <c r="F1571" s="390"/>
      <c r="G1571" s="462"/>
      <c r="H1571" s="390"/>
      <c r="I1571" s="402"/>
      <c r="J1571" s="241" t="b">
        <f>Age_Sex_BY[[#This Row],[Total Spending After Applying Truncation at the Member Level]]+Age_Sex_BY[[#This Row],[Total Dollars Excluded from Spending After Applying Truncation at the Member Level]]=Age_Sex_BY[[#This Row],[Total Spending before Truncation is Applied]]</f>
        <v>1</v>
      </c>
    </row>
    <row r="1572" spans="1:10" x14ac:dyDescent="0.25">
      <c r="A1572" s="394"/>
      <c r="B1572" s="395"/>
      <c r="C1572" s="396"/>
      <c r="D1572" s="459"/>
      <c r="E1572" s="397"/>
      <c r="F1572" s="398"/>
      <c r="G1572" s="463"/>
      <c r="H1572" s="398"/>
      <c r="I1572" s="403"/>
      <c r="J1572" s="241" t="b">
        <f>Age_Sex_BY[[#This Row],[Total Spending After Applying Truncation at the Member Level]]+Age_Sex_BY[[#This Row],[Total Dollars Excluded from Spending After Applying Truncation at the Member Level]]=Age_Sex_BY[[#This Row],[Total Spending before Truncation is Applied]]</f>
        <v>1</v>
      </c>
    </row>
    <row r="1573" spans="1:10" x14ac:dyDescent="0.25">
      <c r="A1573" s="393"/>
      <c r="B1573" s="387"/>
      <c r="C1573" s="388"/>
      <c r="D1573" s="458"/>
      <c r="E1573" s="389"/>
      <c r="F1573" s="390"/>
      <c r="G1573" s="462"/>
      <c r="H1573" s="390"/>
      <c r="I1573" s="402"/>
      <c r="J1573" s="241" t="b">
        <f>Age_Sex_BY[[#This Row],[Total Spending After Applying Truncation at the Member Level]]+Age_Sex_BY[[#This Row],[Total Dollars Excluded from Spending After Applying Truncation at the Member Level]]=Age_Sex_BY[[#This Row],[Total Spending before Truncation is Applied]]</f>
        <v>1</v>
      </c>
    </row>
    <row r="1574" spans="1:10" x14ac:dyDescent="0.25">
      <c r="A1574" s="394"/>
      <c r="B1574" s="395"/>
      <c r="C1574" s="396"/>
      <c r="D1574" s="459"/>
      <c r="E1574" s="397"/>
      <c r="F1574" s="398"/>
      <c r="G1574" s="463"/>
      <c r="H1574" s="398"/>
      <c r="I1574" s="403"/>
      <c r="J1574" s="241" t="b">
        <f>Age_Sex_BY[[#This Row],[Total Spending After Applying Truncation at the Member Level]]+Age_Sex_BY[[#This Row],[Total Dollars Excluded from Spending After Applying Truncation at the Member Level]]=Age_Sex_BY[[#This Row],[Total Spending before Truncation is Applied]]</f>
        <v>1</v>
      </c>
    </row>
    <row r="1575" spans="1:10" x14ac:dyDescent="0.25">
      <c r="A1575" s="393"/>
      <c r="B1575" s="387"/>
      <c r="C1575" s="388"/>
      <c r="D1575" s="458"/>
      <c r="E1575" s="389"/>
      <c r="F1575" s="390"/>
      <c r="G1575" s="462"/>
      <c r="H1575" s="390"/>
      <c r="I1575" s="402"/>
      <c r="J1575" s="241" t="b">
        <f>Age_Sex_BY[[#This Row],[Total Spending After Applying Truncation at the Member Level]]+Age_Sex_BY[[#This Row],[Total Dollars Excluded from Spending After Applying Truncation at the Member Level]]=Age_Sex_BY[[#This Row],[Total Spending before Truncation is Applied]]</f>
        <v>1</v>
      </c>
    </row>
    <row r="1576" spans="1:10" x14ac:dyDescent="0.25">
      <c r="A1576" s="394"/>
      <c r="B1576" s="395"/>
      <c r="C1576" s="396"/>
      <c r="D1576" s="459"/>
      <c r="E1576" s="397"/>
      <c r="F1576" s="398"/>
      <c r="G1576" s="463"/>
      <c r="H1576" s="398"/>
      <c r="I1576" s="403"/>
      <c r="J1576" s="241" t="b">
        <f>Age_Sex_BY[[#This Row],[Total Spending After Applying Truncation at the Member Level]]+Age_Sex_BY[[#This Row],[Total Dollars Excluded from Spending After Applying Truncation at the Member Level]]=Age_Sex_BY[[#This Row],[Total Spending before Truncation is Applied]]</f>
        <v>1</v>
      </c>
    </row>
    <row r="1577" spans="1:10" x14ac:dyDescent="0.25">
      <c r="A1577" s="393"/>
      <c r="B1577" s="387"/>
      <c r="C1577" s="388"/>
      <c r="D1577" s="458"/>
      <c r="E1577" s="389"/>
      <c r="F1577" s="390"/>
      <c r="G1577" s="462"/>
      <c r="H1577" s="390"/>
      <c r="I1577" s="402"/>
      <c r="J1577" s="241" t="b">
        <f>Age_Sex_BY[[#This Row],[Total Spending After Applying Truncation at the Member Level]]+Age_Sex_BY[[#This Row],[Total Dollars Excluded from Spending After Applying Truncation at the Member Level]]=Age_Sex_BY[[#This Row],[Total Spending before Truncation is Applied]]</f>
        <v>1</v>
      </c>
    </row>
    <row r="1578" spans="1:10" x14ac:dyDescent="0.25">
      <c r="A1578" s="394"/>
      <c r="B1578" s="395"/>
      <c r="C1578" s="396"/>
      <c r="D1578" s="459"/>
      <c r="E1578" s="397"/>
      <c r="F1578" s="398"/>
      <c r="G1578" s="463"/>
      <c r="H1578" s="398"/>
      <c r="I1578" s="403"/>
      <c r="J1578" s="241" t="b">
        <f>Age_Sex_BY[[#This Row],[Total Spending After Applying Truncation at the Member Level]]+Age_Sex_BY[[#This Row],[Total Dollars Excluded from Spending After Applying Truncation at the Member Level]]=Age_Sex_BY[[#This Row],[Total Spending before Truncation is Applied]]</f>
        <v>1</v>
      </c>
    </row>
    <row r="1579" spans="1:10" x14ac:dyDescent="0.25">
      <c r="A1579" s="393"/>
      <c r="B1579" s="387"/>
      <c r="C1579" s="388"/>
      <c r="D1579" s="458"/>
      <c r="E1579" s="389"/>
      <c r="F1579" s="390"/>
      <c r="G1579" s="462"/>
      <c r="H1579" s="390"/>
      <c r="I1579" s="402"/>
      <c r="J1579" s="241" t="b">
        <f>Age_Sex_BY[[#This Row],[Total Spending After Applying Truncation at the Member Level]]+Age_Sex_BY[[#This Row],[Total Dollars Excluded from Spending After Applying Truncation at the Member Level]]=Age_Sex_BY[[#This Row],[Total Spending before Truncation is Applied]]</f>
        <v>1</v>
      </c>
    </row>
    <row r="1580" spans="1:10" x14ac:dyDescent="0.25">
      <c r="A1580" s="394"/>
      <c r="B1580" s="395"/>
      <c r="C1580" s="396"/>
      <c r="D1580" s="459"/>
      <c r="E1580" s="397"/>
      <c r="F1580" s="398"/>
      <c r="G1580" s="463"/>
      <c r="H1580" s="398"/>
      <c r="I1580" s="403"/>
      <c r="J1580" s="241" t="b">
        <f>Age_Sex_BY[[#This Row],[Total Spending After Applying Truncation at the Member Level]]+Age_Sex_BY[[#This Row],[Total Dollars Excluded from Spending After Applying Truncation at the Member Level]]=Age_Sex_BY[[#This Row],[Total Spending before Truncation is Applied]]</f>
        <v>1</v>
      </c>
    </row>
    <row r="1581" spans="1:10" x14ac:dyDescent="0.25">
      <c r="A1581" s="393"/>
      <c r="B1581" s="387"/>
      <c r="C1581" s="388"/>
      <c r="D1581" s="458"/>
      <c r="E1581" s="389"/>
      <c r="F1581" s="390"/>
      <c r="G1581" s="462"/>
      <c r="H1581" s="390"/>
      <c r="I1581" s="402"/>
      <c r="J1581" s="241" t="b">
        <f>Age_Sex_BY[[#This Row],[Total Spending After Applying Truncation at the Member Level]]+Age_Sex_BY[[#This Row],[Total Dollars Excluded from Spending After Applying Truncation at the Member Level]]=Age_Sex_BY[[#This Row],[Total Spending before Truncation is Applied]]</f>
        <v>1</v>
      </c>
    </row>
    <row r="1582" spans="1:10" x14ac:dyDescent="0.25">
      <c r="A1582" s="394"/>
      <c r="B1582" s="395"/>
      <c r="C1582" s="396"/>
      <c r="D1582" s="459"/>
      <c r="E1582" s="397"/>
      <c r="F1582" s="398"/>
      <c r="G1582" s="463"/>
      <c r="H1582" s="398"/>
      <c r="I1582" s="403"/>
      <c r="J1582" s="241" t="b">
        <f>Age_Sex_BY[[#This Row],[Total Spending After Applying Truncation at the Member Level]]+Age_Sex_BY[[#This Row],[Total Dollars Excluded from Spending After Applying Truncation at the Member Level]]=Age_Sex_BY[[#This Row],[Total Spending before Truncation is Applied]]</f>
        <v>1</v>
      </c>
    </row>
    <row r="1583" spans="1:10" x14ac:dyDescent="0.25">
      <c r="A1583" s="393"/>
      <c r="B1583" s="387"/>
      <c r="C1583" s="388"/>
      <c r="D1583" s="458"/>
      <c r="E1583" s="389"/>
      <c r="F1583" s="390"/>
      <c r="G1583" s="462"/>
      <c r="H1583" s="390"/>
      <c r="I1583" s="402"/>
      <c r="J1583" s="241" t="b">
        <f>Age_Sex_BY[[#This Row],[Total Spending After Applying Truncation at the Member Level]]+Age_Sex_BY[[#This Row],[Total Dollars Excluded from Spending After Applying Truncation at the Member Level]]=Age_Sex_BY[[#This Row],[Total Spending before Truncation is Applied]]</f>
        <v>1</v>
      </c>
    </row>
    <row r="1584" spans="1:10" x14ac:dyDescent="0.25">
      <c r="A1584" s="394"/>
      <c r="B1584" s="395"/>
      <c r="C1584" s="396"/>
      <c r="D1584" s="459"/>
      <c r="E1584" s="397"/>
      <c r="F1584" s="398"/>
      <c r="G1584" s="463"/>
      <c r="H1584" s="398"/>
      <c r="I1584" s="403"/>
      <c r="J1584" s="241" t="b">
        <f>Age_Sex_BY[[#This Row],[Total Spending After Applying Truncation at the Member Level]]+Age_Sex_BY[[#This Row],[Total Dollars Excluded from Spending After Applying Truncation at the Member Level]]=Age_Sex_BY[[#This Row],[Total Spending before Truncation is Applied]]</f>
        <v>1</v>
      </c>
    </row>
    <row r="1585" spans="1:10" x14ac:dyDescent="0.25">
      <c r="A1585" s="393"/>
      <c r="B1585" s="387"/>
      <c r="C1585" s="388"/>
      <c r="D1585" s="458"/>
      <c r="E1585" s="389"/>
      <c r="F1585" s="390"/>
      <c r="G1585" s="462"/>
      <c r="H1585" s="390"/>
      <c r="I1585" s="402"/>
      <c r="J1585" s="241" t="b">
        <f>Age_Sex_BY[[#This Row],[Total Spending After Applying Truncation at the Member Level]]+Age_Sex_BY[[#This Row],[Total Dollars Excluded from Spending After Applying Truncation at the Member Level]]=Age_Sex_BY[[#This Row],[Total Spending before Truncation is Applied]]</f>
        <v>1</v>
      </c>
    </row>
    <row r="1586" spans="1:10" x14ac:dyDescent="0.25">
      <c r="A1586" s="394"/>
      <c r="B1586" s="395"/>
      <c r="C1586" s="396"/>
      <c r="D1586" s="459"/>
      <c r="E1586" s="397"/>
      <c r="F1586" s="398"/>
      <c r="G1586" s="463"/>
      <c r="H1586" s="398"/>
      <c r="I1586" s="403"/>
      <c r="J1586" s="241" t="b">
        <f>Age_Sex_BY[[#This Row],[Total Spending After Applying Truncation at the Member Level]]+Age_Sex_BY[[#This Row],[Total Dollars Excluded from Spending After Applying Truncation at the Member Level]]=Age_Sex_BY[[#This Row],[Total Spending before Truncation is Applied]]</f>
        <v>1</v>
      </c>
    </row>
    <row r="1587" spans="1:10" x14ac:dyDescent="0.25">
      <c r="A1587" s="393"/>
      <c r="B1587" s="387"/>
      <c r="C1587" s="388"/>
      <c r="D1587" s="458"/>
      <c r="E1587" s="389"/>
      <c r="F1587" s="390"/>
      <c r="G1587" s="462"/>
      <c r="H1587" s="390"/>
      <c r="I1587" s="402"/>
      <c r="J1587" s="241" t="b">
        <f>Age_Sex_BY[[#This Row],[Total Spending After Applying Truncation at the Member Level]]+Age_Sex_BY[[#This Row],[Total Dollars Excluded from Spending After Applying Truncation at the Member Level]]=Age_Sex_BY[[#This Row],[Total Spending before Truncation is Applied]]</f>
        <v>1</v>
      </c>
    </row>
    <row r="1588" spans="1:10" x14ac:dyDescent="0.25">
      <c r="A1588" s="394"/>
      <c r="B1588" s="395"/>
      <c r="C1588" s="396"/>
      <c r="D1588" s="459"/>
      <c r="E1588" s="397"/>
      <c r="F1588" s="398"/>
      <c r="G1588" s="463"/>
      <c r="H1588" s="398"/>
      <c r="I1588" s="403"/>
      <c r="J1588" s="241" t="b">
        <f>Age_Sex_BY[[#This Row],[Total Spending After Applying Truncation at the Member Level]]+Age_Sex_BY[[#This Row],[Total Dollars Excluded from Spending After Applying Truncation at the Member Level]]=Age_Sex_BY[[#This Row],[Total Spending before Truncation is Applied]]</f>
        <v>1</v>
      </c>
    </row>
    <row r="1589" spans="1:10" x14ac:dyDescent="0.25">
      <c r="A1589" s="393"/>
      <c r="B1589" s="387"/>
      <c r="C1589" s="388"/>
      <c r="D1589" s="458"/>
      <c r="E1589" s="389"/>
      <c r="F1589" s="390"/>
      <c r="G1589" s="462"/>
      <c r="H1589" s="390"/>
      <c r="I1589" s="402"/>
      <c r="J1589" s="241" t="b">
        <f>Age_Sex_BY[[#This Row],[Total Spending After Applying Truncation at the Member Level]]+Age_Sex_BY[[#This Row],[Total Dollars Excluded from Spending After Applying Truncation at the Member Level]]=Age_Sex_BY[[#This Row],[Total Spending before Truncation is Applied]]</f>
        <v>1</v>
      </c>
    </row>
    <row r="1590" spans="1:10" x14ac:dyDescent="0.25">
      <c r="A1590" s="394"/>
      <c r="B1590" s="395"/>
      <c r="C1590" s="396"/>
      <c r="D1590" s="459"/>
      <c r="E1590" s="397"/>
      <c r="F1590" s="398"/>
      <c r="G1590" s="463"/>
      <c r="H1590" s="398"/>
      <c r="I1590" s="403"/>
      <c r="J1590" s="241" t="b">
        <f>Age_Sex_BY[[#This Row],[Total Spending After Applying Truncation at the Member Level]]+Age_Sex_BY[[#This Row],[Total Dollars Excluded from Spending After Applying Truncation at the Member Level]]=Age_Sex_BY[[#This Row],[Total Spending before Truncation is Applied]]</f>
        <v>1</v>
      </c>
    </row>
    <row r="1591" spans="1:10" x14ac:dyDescent="0.25">
      <c r="A1591" s="393"/>
      <c r="B1591" s="387"/>
      <c r="C1591" s="388"/>
      <c r="D1591" s="458"/>
      <c r="E1591" s="389"/>
      <c r="F1591" s="390"/>
      <c r="G1591" s="462"/>
      <c r="H1591" s="390"/>
      <c r="I1591" s="402"/>
      <c r="J1591" s="241" t="b">
        <f>Age_Sex_BY[[#This Row],[Total Spending After Applying Truncation at the Member Level]]+Age_Sex_BY[[#This Row],[Total Dollars Excluded from Spending After Applying Truncation at the Member Level]]=Age_Sex_BY[[#This Row],[Total Spending before Truncation is Applied]]</f>
        <v>1</v>
      </c>
    </row>
    <row r="1592" spans="1:10" x14ac:dyDescent="0.25">
      <c r="A1592" s="394"/>
      <c r="B1592" s="395"/>
      <c r="C1592" s="396"/>
      <c r="D1592" s="459"/>
      <c r="E1592" s="397"/>
      <c r="F1592" s="398"/>
      <c r="G1592" s="463"/>
      <c r="H1592" s="398"/>
      <c r="I1592" s="403"/>
      <c r="J1592" s="241" t="b">
        <f>Age_Sex_BY[[#This Row],[Total Spending After Applying Truncation at the Member Level]]+Age_Sex_BY[[#This Row],[Total Dollars Excluded from Spending After Applying Truncation at the Member Level]]=Age_Sex_BY[[#This Row],[Total Spending before Truncation is Applied]]</f>
        <v>1</v>
      </c>
    </row>
    <row r="1593" spans="1:10" x14ac:dyDescent="0.25">
      <c r="A1593" s="393"/>
      <c r="B1593" s="387"/>
      <c r="C1593" s="388"/>
      <c r="D1593" s="458"/>
      <c r="E1593" s="389"/>
      <c r="F1593" s="390"/>
      <c r="G1593" s="462"/>
      <c r="H1593" s="390"/>
      <c r="I1593" s="402"/>
      <c r="J1593" s="241" t="b">
        <f>Age_Sex_BY[[#This Row],[Total Spending After Applying Truncation at the Member Level]]+Age_Sex_BY[[#This Row],[Total Dollars Excluded from Spending After Applying Truncation at the Member Level]]=Age_Sex_BY[[#This Row],[Total Spending before Truncation is Applied]]</f>
        <v>1</v>
      </c>
    </row>
    <row r="1594" spans="1:10" x14ac:dyDescent="0.25">
      <c r="A1594" s="394"/>
      <c r="B1594" s="395"/>
      <c r="C1594" s="396"/>
      <c r="D1594" s="459"/>
      <c r="E1594" s="397"/>
      <c r="F1594" s="398"/>
      <c r="G1594" s="463"/>
      <c r="H1594" s="398"/>
      <c r="I1594" s="403"/>
      <c r="J1594" s="241" t="b">
        <f>Age_Sex_BY[[#This Row],[Total Spending After Applying Truncation at the Member Level]]+Age_Sex_BY[[#This Row],[Total Dollars Excluded from Spending After Applying Truncation at the Member Level]]=Age_Sex_BY[[#This Row],[Total Spending before Truncation is Applied]]</f>
        <v>1</v>
      </c>
    </row>
    <row r="1595" spans="1:10" x14ac:dyDescent="0.25">
      <c r="A1595" s="393"/>
      <c r="B1595" s="387"/>
      <c r="C1595" s="388"/>
      <c r="D1595" s="458"/>
      <c r="E1595" s="389"/>
      <c r="F1595" s="390"/>
      <c r="G1595" s="462"/>
      <c r="H1595" s="390"/>
      <c r="I1595" s="402"/>
      <c r="J1595" s="241" t="b">
        <f>Age_Sex_BY[[#This Row],[Total Spending After Applying Truncation at the Member Level]]+Age_Sex_BY[[#This Row],[Total Dollars Excluded from Spending After Applying Truncation at the Member Level]]=Age_Sex_BY[[#This Row],[Total Spending before Truncation is Applied]]</f>
        <v>1</v>
      </c>
    </row>
    <row r="1596" spans="1:10" x14ac:dyDescent="0.25">
      <c r="A1596" s="394"/>
      <c r="B1596" s="395"/>
      <c r="C1596" s="396"/>
      <c r="D1596" s="459"/>
      <c r="E1596" s="397"/>
      <c r="F1596" s="398"/>
      <c r="G1596" s="463"/>
      <c r="H1596" s="398"/>
      <c r="I1596" s="403"/>
      <c r="J1596" s="241" t="b">
        <f>Age_Sex_BY[[#This Row],[Total Spending After Applying Truncation at the Member Level]]+Age_Sex_BY[[#This Row],[Total Dollars Excluded from Spending After Applying Truncation at the Member Level]]=Age_Sex_BY[[#This Row],[Total Spending before Truncation is Applied]]</f>
        <v>1</v>
      </c>
    </row>
    <row r="1597" spans="1:10" x14ac:dyDescent="0.25">
      <c r="A1597" s="393"/>
      <c r="B1597" s="387"/>
      <c r="C1597" s="388"/>
      <c r="D1597" s="458"/>
      <c r="E1597" s="389"/>
      <c r="F1597" s="390"/>
      <c r="G1597" s="462"/>
      <c r="H1597" s="390"/>
      <c r="I1597" s="402"/>
      <c r="J1597" s="241" t="b">
        <f>Age_Sex_BY[[#This Row],[Total Spending After Applying Truncation at the Member Level]]+Age_Sex_BY[[#This Row],[Total Dollars Excluded from Spending After Applying Truncation at the Member Level]]=Age_Sex_BY[[#This Row],[Total Spending before Truncation is Applied]]</f>
        <v>1</v>
      </c>
    </row>
    <row r="1598" spans="1:10" x14ac:dyDescent="0.25">
      <c r="A1598" s="394"/>
      <c r="B1598" s="395"/>
      <c r="C1598" s="396"/>
      <c r="D1598" s="459"/>
      <c r="E1598" s="397"/>
      <c r="F1598" s="398"/>
      <c r="G1598" s="463"/>
      <c r="H1598" s="398"/>
      <c r="I1598" s="403"/>
      <c r="J1598" s="241" t="b">
        <f>Age_Sex_BY[[#This Row],[Total Spending After Applying Truncation at the Member Level]]+Age_Sex_BY[[#This Row],[Total Dollars Excluded from Spending After Applying Truncation at the Member Level]]=Age_Sex_BY[[#This Row],[Total Spending before Truncation is Applied]]</f>
        <v>1</v>
      </c>
    </row>
    <row r="1599" spans="1:10" x14ac:dyDescent="0.25">
      <c r="A1599" s="393"/>
      <c r="B1599" s="387"/>
      <c r="C1599" s="388"/>
      <c r="D1599" s="458"/>
      <c r="E1599" s="389"/>
      <c r="F1599" s="390"/>
      <c r="G1599" s="462"/>
      <c r="H1599" s="390"/>
      <c r="I1599" s="402"/>
      <c r="J1599" s="241" t="b">
        <f>Age_Sex_BY[[#This Row],[Total Spending After Applying Truncation at the Member Level]]+Age_Sex_BY[[#This Row],[Total Dollars Excluded from Spending After Applying Truncation at the Member Level]]=Age_Sex_BY[[#This Row],[Total Spending before Truncation is Applied]]</f>
        <v>1</v>
      </c>
    </row>
    <row r="1600" spans="1:10" x14ac:dyDescent="0.25">
      <c r="A1600" s="394"/>
      <c r="B1600" s="395"/>
      <c r="C1600" s="396"/>
      <c r="D1600" s="459"/>
      <c r="E1600" s="397"/>
      <c r="F1600" s="398"/>
      <c r="G1600" s="463"/>
      <c r="H1600" s="398"/>
      <c r="I1600" s="403"/>
      <c r="J1600" s="241" t="b">
        <f>Age_Sex_BY[[#This Row],[Total Spending After Applying Truncation at the Member Level]]+Age_Sex_BY[[#This Row],[Total Dollars Excluded from Spending After Applying Truncation at the Member Level]]=Age_Sex_BY[[#This Row],[Total Spending before Truncation is Applied]]</f>
        <v>1</v>
      </c>
    </row>
    <row r="1601" spans="1:10" x14ac:dyDescent="0.25">
      <c r="A1601" s="393"/>
      <c r="B1601" s="387"/>
      <c r="C1601" s="388"/>
      <c r="D1601" s="458"/>
      <c r="E1601" s="389"/>
      <c r="F1601" s="390"/>
      <c r="G1601" s="462"/>
      <c r="H1601" s="390"/>
      <c r="I1601" s="402"/>
      <c r="J1601" s="241" t="b">
        <f>Age_Sex_BY[[#This Row],[Total Spending After Applying Truncation at the Member Level]]+Age_Sex_BY[[#This Row],[Total Dollars Excluded from Spending After Applying Truncation at the Member Level]]=Age_Sex_BY[[#This Row],[Total Spending before Truncation is Applied]]</f>
        <v>1</v>
      </c>
    </row>
    <row r="1602" spans="1:10" x14ac:dyDescent="0.25">
      <c r="A1602" s="394"/>
      <c r="B1602" s="395"/>
      <c r="C1602" s="396"/>
      <c r="D1602" s="459"/>
      <c r="E1602" s="397"/>
      <c r="F1602" s="398"/>
      <c r="G1602" s="463"/>
      <c r="H1602" s="398"/>
      <c r="I1602" s="403"/>
      <c r="J1602" s="241" t="b">
        <f>Age_Sex_BY[[#This Row],[Total Spending After Applying Truncation at the Member Level]]+Age_Sex_BY[[#This Row],[Total Dollars Excluded from Spending After Applying Truncation at the Member Level]]=Age_Sex_BY[[#This Row],[Total Spending before Truncation is Applied]]</f>
        <v>1</v>
      </c>
    </row>
    <row r="1603" spans="1:10" x14ac:dyDescent="0.25">
      <c r="A1603" s="393"/>
      <c r="B1603" s="387"/>
      <c r="C1603" s="388"/>
      <c r="D1603" s="458"/>
      <c r="E1603" s="389"/>
      <c r="F1603" s="390"/>
      <c r="G1603" s="462"/>
      <c r="H1603" s="390"/>
      <c r="I1603" s="402"/>
      <c r="J1603" s="241" t="b">
        <f>Age_Sex_BY[[#This Row],[Total Spending After Applying Truncation at the Member Level]]+Age_Sex_BY[[#This Row],[Total Dollars Excluded from Spending After Applying Truncation at the Member Level]]=Age_Sex_BY[[#This Row],[Total Spending before Truncation is Applied]]</f>
        <v>1</v>
      </c>
    </row>
    <row r="1604" spans="1:10" x14ac:dyDescent="0.25">
      <c r="A1604" s="394"/>
      <c r="B1604" s="395"/>
      <c r="C1604" s="396"/>
      <c r="D1604" s="459"/>
      <c r="E1604" s="397"/>
      <c r="F1604" s="398"/>
      <c r="G1604" s="463"/>
      <c r="H1604" s="398"/>
      <c r="I1604" s="403"/>
      <c r="J1604" s="241" t="b">
        <f>Age_Sex_BY[[#This Row],[Total Spending After Applying Truncation at the Member Level]]+Age_Sex_BY[[#This Row],[Total Dollars Excluded from Spending After Applying Truncation at the Member Level]]=Age_Sex_BY[[#This Row],[Total Spending before Truncation is Applied]]</f>
        <v>1</v>
      </c>
    </row>
    <row r="1605" spans="1:10" x14ac:dyDescent="0.25">
      <c r="A1605" s="393"/>
      <c r="B1605" s="387"/>
      <c r="C1605" s="388"/>
      <c r="D1605" s="458"/>
      <c r="E1605" s="389"/>
      <c r="F1605" s="390"/>
      <c r="G1605" s="462"/>
      <c r="H1605" s="390"/>
      <c r="I1605" s="402"/>
      <c r="J1605" s="241" t="b">
        <f>Age_Sex_BY[[#This Row],[Total Spending After Applying Truncation at the Member Level]]+Age_Sex_BY[[#This Row],[Total Dollars Excluded from Spending After Applying Truncation at the Member Level]]=Age_Sex_BY[[#This Row],[Total Spending before Truncation is Applied]]</f>
        <v>1</v>
      </c>
    </row>
    <row r="1606" spans="1:10" x14ac:dyDescent="0.25">
      <c r="A1606" s="394"/>
      <c r="B1606" s="395"/>
      <c r="C1606" s="396"/>
      <c r="D1606" s="459"/>
      <c r="E1606" s="397"/>
      <c r="F1606" s="398"/>
      <c r="G1606" s="463"/>
      <c r="H1606" s="398"/>
      <c r="I1606" s="403"/>
      <c r="J1606" s="241" t="b">
        <f>Age_Sex_BY[[#This Row],[Total Spending After Applying Truncation at the Member Level]]+Age_Sex_BY[[#This Row],[Total Dollars Excluded from Spending After Applying Truncation at the Member Level]]=Age_Sex_BY[[#This Row],[Total Spending before Truncation is Applied]]</f>
        <v>1</v>
      </c>
    </row>
    <row r="1607" spans="1:10" x14ac:dyDescent="0.25">
      <c r="A1607" s="393"/>
      <c r="B1607" s="387"/>
      <c r="C1607" s="388"/>
      <c r="D1607" s="458"/>
      <c r="E1607" s="389"/>
      <c r="F1607" s="390"/>
      <c r="G1607" s="462"/>
      <c r="H1607" s="390"/>
      <c r="I1607" s="402"/>
      <c r="J1607" s="241" t="b">
        <f>Age_Sex_BY[[#This Row],[Total Spending After Applying Truncation at the Member Level]]+Age_Sex_BY[[#This Row],[Total Dollars Excluded from Spending After Applying Truncation at the Member Level]]=Age_Sex_BY[[#This Row],[Total Spending before Truncation is Applied]]</f>
        <v>1</v>
      </c>
    </row>
    <row r="1608" spans="1:10" x14ac:dyDescent="0.25">
      <c r="A1608" s="394"/>
      <c r="B1608" s="395"/>
      <c r="C1608" s="396"/>
      <c r="D1608" s="459"/>
      <c r="E1608" s="397"/>
      <c r="F1608" s="398"/>
      <c r="G1608" s="463"/>
      <c r="H1608" s="398"/>
      <c r="I1608" s="403"/>
      <c r="J1608" s="241" t="b">
        <f>Age_Sex_BY[[#This Row],[Total Spending After Applying Truncation at the Member Level]]+Age_Sex_BY[[#This Row],[Total Dollars Excluded from Spending After Applying Truncation at the Member Level]]=Age_Sex_BY[[#This Row],[Total Spending before Truncation is Applied]]</f>
        <v>1</v>
      </c>
    </row>
    <row r="1609" spans="1:10" x14ac:dyDescent="0.25">
      <c r="A1609" s="393"/>
      <c r="B1609" s="387"/>
      <c r="C1609" s="388"/>
      <c r="D1609" s="458"/>
      <c r="E1609" s="389"/>
      <c r="F1609" s="390"/>
      <c r="G1609" s="462"/>
      <c r="H1609" s="390"/>
      <c r="I1609" s="402"/>
      <c r="J1609" s="241" t="b">
        <f>Age_Sex_BY[[#This Row],[Total Spending After Applying Truncation at the Member Level]]+Age_Sex_BY[[#This Row],[Total Dollars Excluded from Spending After Applying Truncation at the Member Level]]=Age_Sex_BY[[#This Row],[Total Spending before Truncation is Applied]]</f>
        <v>1</v>
      </c>
    </row>
    <row r="1610" spans="1:10" x14ac:dyDescent="0.25">
      <c r="A1610" s="394"/>
      <c r="B1610" s="395"/>
      <c r="C1610" s="396"/>
      <c r="D1610" s="459"/>
      <c r="E1610" s="397"/>
      <c r="F1610" s="398"/>
      <c r="G1610" s="463"/>
      <c r="H1610" s="398"/>
      <c r="I1610" s="403"/>
      <c r="J1610" s="241" t="b">
        <f>Age_Sex_BY[[#This Row],[Total Spending After Applying Truncation at the Member Level]]+Age_Sex_BY[[#This Row],[Total Dollars Excluded from Spending After Applying Truncation at the Member Level]]=Age_Sex_BY[[#This Row],[Total Spending before Truncation is Applied]]</f>
        <v>1</v>
      </c>
    </row>
    <row r="1611" spans="1:10" x14ac:dyDescent="0.25">
      <c r="A1611" s="393"/>
      <c r="B1611" s="387"/>
      <c r="C1611" s="388"/>
      <c r="D1611" s="458"/>
      <c r="E1611" s="389"/>
      <c r="F1611" s="390"/>
      <c r="G1611" s="462"/>
      <c r="H1611" s="390"/>
      <c r="I1611" s="402"/>
      <c r="J1611" s="241" t="b">
        <f>Age_Sex_BY[[#This Row],[Total Spending After Applying Truncation at the Member Level]]+Age_Sex_BY[[#This Row],[Total Dollars Excluded from Spending After Applying Truncation at the Member Level]]=Age_Sex_BY[[#This Row],[Total Spending before Truncation is Applied]]</f>
        <v>1</v>
      </c>
    </row>
    <row r="1612" spans="1:10" x14ac:dyDescent="0.25">
      <c r="A1612" s="394"/>
      <c r="B1612" s="395"/>
      <c r="C1612" s="396"/>
      <c r="D1612" s="459"/>
      <c r="E1612" s="397"/>
      <c r="F1612" s="398"/>
      <c r="G1612" s="463"/>
      <c r="H1612" s="398"/>
      <c r="I1612" s="403"/>
      <c r="J1612" s="241" t="b">
        <f>Age_Sex_BY[[#This Row],[Total Spending After Applying Truncation at the Member Level]]+Age_Sex_BY[[#This Row],[Total Dollars Excluded from Spending After Applying Truncation at the Member Level]]=Age_Sex_BY[[#This Row],[Total Spending before Truncation is Applied]]</f>
        <v>1</v>
      </c>
    </row>
    <row r="1613" spans="1:10" x14ac:dyDescent="0.25">
      <c r="A1613" s="393"/>
      <c r="B1613" s="387"/>
      <c r="C1613" s="388"/>
      <c r="D1613" s="458"/>
      <c r="E1613" s="389"/>
      <c r="F1613" s="390"/>
      <c r="G1613" s="462"/>
      <c r="H1613" s="390"/>
      <c r="I1613" s="402"/>
      <c r="J1613" s="241" t="b">
        <f>Age_Sex_BY[[#This Row],[Total Spending After Applying Truncation at the Member Level]]+Age_Sex_BY[[#This Row],[Total Dollars Excluded from Spending After Applying Truncation at the Member Level]]=Age_Sex_BY[[#This Row],[Total Spending before Truncation is Applied]]</f>
        <v>1</v>
      </c>
    </row>
    <row r="1614" spans="1:10" x14ac:dyDescent="0.25">
      <c r="A1614" s="394"/>
      <c r="B1614" s="395"/>
      <c r="C1614" s="396"/>
      <c r="D1614" s="459"/>
      <c r="E1614" s="397"/>
      <c r="F1614" s="398"/>
      <c r="G1614" s="463"/>
      <c r="H1614" s="398"/>
      <c r="I1614" s="403"/>
      <c r="J1614" s="241" t="b">
        <f>Age_Sex_BY[[#This Row],[Total Spending After Applying Truncation at the Member Level]]+Age_Sex_BY[[#This Row],[Total Dollars Excluded from Spending After Applying Truncation at the Member Level]]=Age_Sex_BY[[#This Row],[Total Spending before Truncation is Applied]]</f>
        <v>1</v>
      </c>
    </row>
    <row r="1615" spans="1:10" x14ac:dyDescent="0.25">
      <c r="A1615" s="393"/>
      <c r="B1615" s="387"/>
      <c r="C1615" s="388"/>
      <c r="D1615" s="458"/>
      <c r="E1615" s="389"/>
      <c r="F1615" s="390"/>
      <c r="G1615" s="462"/>
      <c r="H1615" s="390"/>
      <c r="I1615" s="402"/>
      <c r="J1615" s="241" t="b">
        <f>Age_Sex_BY[[#This Row],[Total Spending After Applying Truncation at the Member Level]]+Age_Sex_BY[[#This Row],[Total Dollars Excluded from Spending After Applying Truncation at the Member Level]]=Age_Sex_BY[[#This Row],[Total Spending before Truncation is Applied]]</f>
        <v>1</v>
      </c>
    </row>
    <row r="1616" spans="1:10" x14ac:dyDescent="0.25">
      <c r="A1616" s="394"/>
      <c r="B1616" s="395"/>
      <c r="C1616" s="396"/>
      <c r="D1616" s="459"/>
      <c r="E1616" s="397"/>
      <c r="F1616" s="398"/>
      <c r="G1616" s="463"/>
      <c r="H1616" s="398"/>
      <c r="I1616" s="403"/>
      <c r="J1616" s="241" t="b">
        <f>Age_Sex_BY[[#This Row],[Total Spending After Applying Truncation at the Member Level]]+Age_Sex_BY[[#This Row],[Total Dollars Excluded from Spending After Applying Truncation at the Member Level]]=Age_Sex_BY[[#This Row],[Total Spending before Truncation is Applied]]</f>
        <v>1</v>
      </c>
    </row>
    <row r="1617" spans="1:10" x14ac:dyDescent="0.25">
      <c r="A1617" s="393"/>
      <c r="B1617" s="387"/>
      <c r="C1617" s="388"/>
      <c r="D1617" s="458"/>
      <c r="E1617" s="389"/>
      <c r="F1617" s="390"/>
      <c r="G1617" s="462"/>
      <c r="H1617" s="390"/>
      <c r="I1617" s="402"/>
      <c r="J1617" s="241" t="b">
        <f>Age_Sex_BY[[#This Row],[Total Spending After Applying Truncation at the Member Level]]+Age_Sex_BY[[#This Row],[Total Dollars Excluded from Spending After Applying Truncation at the Member Level]]=Age_Sex_BY[[#This Row],[Total Spending before Truncation is Applied]]</f>
        <v>1</v>
      </c>
    </row>
    <row r="1618" spans="1:10" x14ac:dyDescent="0.25">
      <c r="A1618" s="394"/>
      <c r="B1618" s="395"/>
      <c r="C1618" s="396"/>
      <c r="D1618" s="459"/>
      <c r="E1618" s="397"/>
      <c r="F1618" s="398"/>
      <c r="G1618" s="463"/>
      <c r="H1618" s="398"/>
      <c r="I1618" s="403"/>
      <c r="J1618" s="241" t="b">
        <f>Age_Sex_BY[[#This Row],[Total Spending After Applying Truncation at the Member Level]]+Age_Sex_BY[[#This Row],[Total Dollars Excluded from Spending After Applying Truncation at the Member Level]]=Age_Sex_BY[[#This Row],[Total Spending before Truncation is Applied]]</f>
        <v>1</v>
      </c>
    </row>
    <row r="1619" spans="1:10" x14ac:dyDescent="0.25">
      <c r="A1619" s="393"/>
      <c r="B1619" s="387"/>
      <c r="C1619" s="388"/>
      <c r="D1619" s="458"/>
      <c r="E1619" s="389"/>
      <c r="F1619" s="390"/>
      <c r="G1619" s="462"/>
      <c r="H1619" s="390"/>
      <c r="I1619" s="402"/>
      <c r="J1619" s="241" t="b">
        <f>Age_Sex_BY[[#This Row],[Total Spending After Applying Truncation at the Member Level]]+Age_Sex_BY[[#This Row],[Total Dollars Excluded from Spending After Applying Truncation at the Member Level]]=Age_Sex_BY[[#This Row],[Total Spending before Truncation is Applied]]</f>
        <v>1</v>
      </c>
    </row>
    <row r="1620" spans="1:10" x14ac:dyDescent="0.25">
      <c r="A1620" s="394"/>
      <c r="B1620" s="395"/>
      <c r="C1620" s="396"/>
      <c r="D1620" s="459"/>
      <c r="E1620" s="397"/>
      <c r="F1620" s="398"/>
      <c r="G1620" s="463"/>
      <c r="H1620" s="398"/>
      <c r="I1620" s="403"/>
      <c r="J1620" s="241" t="b">
        <f>Age_Sex_BY[[#This Row],[Total Spending After Applying Truncation at the Member Level]]+Age_Sex_BY[[#This Row],[Total Dollars Excluded from Spending After Applying Truncation at the Member Level]]=Age_Sex_BY[[#This Row],[Total Spending before Truncation is Applied]]</f>
        <v>1</v>
      </c>
    </row>
    <row r="1621" spans="1:10" x14ac:dyDescent="0.25">
      <c r="A1621" s="393"/>
      <c r="B1621" s="387"/>
      <c r="C1621" s="388"/>
      <c r="D1621" s="458"/>
      <c r="E1621" s="389"/>
      <c r="F1621" s="390"/>
      <c r="G1621" s="462"/>
      <c r="H1621" s="390"/>
      <c r="I1621" s="402"/>
      <c r="J1621" s="241" t="b">
        <f>Age_Sex_BY[[#This Row],[Total Spending After Applying Truncation at the Member Level]]+Age_Sex_BY[[#This Row],[Total Dollars Excluded from Spending After Applying Truncation at the Member Level]]=Age_Sex_BY[[#This Row],[Total Spending before Truncation is Applied]]</f>
        <v>1</v>
      </c>
    </row>
    <row r="1622" spans="1:10" x14ac:dyDescent="0.25">
      <c r="A1622" s="394"/>
      <c r="B1622" s="395"/>
      <c r="C1622" s="396"/>
      <c r="D1622" s="459"/>
      <c r="E1622" s="397"/>
      <c r="F1622" s="398"/>
      <c r="G1622" s="463"/>
      <c r="H1622" s="398"/>
      <c r="I1622" s="403"/>
      <c r="J1622" s="241" t="b">
        <f>Age_Sex_BY[[#This Row],[Total Spending After Applying Truncation at the Member Level]]+Age_Sex_BY[[#This Row],[Total Dollars Excluded from Spending After Applying Truncation at the Member Level]]=Age_Sex_BY[[#This Row],[Total Spending before Truncation is Applied]]</f>
        <v>1</v>
      </c>
    </row>
    <row r="1623" spans="1:10" x14ac:dyDescent="0.25">
      <c r="A1623" s="393"/>
      <c r="B1623" s="387"/>
      <c r="C1623" s="388"/>
      <c r="D1623" s="458"/>
      <c r="E1623" s="389"/>
      <c r="F1623" s="390"/>
      <c r="G1623" s="462"/>
      <c r="H1623" s="390"/>
      <c r="I1623" s="402"/>
      <c r="J1623" s="241" t="b">
        <f>Age_Sex_BY[[#This Row],[Total Spending After Applying Truncation at the Member Level]]+Age_Sex_BY[[#This Row],[Total Dollars Excluded from Spending After Applying Truncation at the Member Level]]=Age_Sex_BY[[#This Row],[Total Spending before Truncation is Applied]]</f>
        <v>1</v>
      </c>
    </row>
    <row r="1624" spans="1:10" x14ac:dyDescent="0.25">
      <c r="A1624" s="394"/>
      <c r="B1624" s="395"/>
      <c r="C1624" s="396"/>
      <c r="D1624" s="459"/>
      <c r="E1624" s="397"/>
      <c r="F1624" s="398"/>
      <c r="G1624" s="463"/>
      <c r="H1624" s="398"/>
      <c r="I1624" s="403"/>
      <c r="J1624" s="241" t="b">
        <f>Age_Sex_BY[[#This Row],[Total Spending After Applying Truncation at the Member Level]]+Age_Sex_BY[[#This Row],[Total Dollars Excluded from Spending After Applying Truncation at the Member Level]]=Age_Sex_BY[[#This Row],[Total Spending before Truncation is Applied]]</f>
        <v>1</v>
      </c>
    </row>
    <row r="1625" spans="1:10" x14ac:dyDescent="0.25">
      <c r="A1625" s="393"/>
      <c r="B1625" s="387"/>
      <c r="C1625" s="388"/>
      <c r="D1625" s="458"/>
      <c r="E1625" s="389"/>
      <c r="F1625" s="390"/>
      <c r="G1625" s="462"/>
      <c r="H1625" s="390"/>
      <c r="I1625" s="402"/>
      <c r="J1625" s="241" t="b">
        <f>Age_Sex_BY[[#This Row],[Total Spending After Applying Truncation at the Member Level]]+Age_Sex_BY[[#This Row],[Total Dollars Excluded from Spending After Applying Truncation at the Member Level]]=Age_Sex_BY[[#This Row],[Total Spending before Truncation is Applied]]</f>
        <v>1</v>
      </c>
    </row>
    <row r="1626" spans="1:10" x14ac:dyDescent="0.25">
      <c r="A1626" s="394"/>
      <c r="B1626" s="395"/>
      <c r="C1626" s="396"/>
      <c r="D1626" s="459"/>
      <c r="E1626" s="397"/>
      <c r="F1626" s="398"/>
      <c r="G1626" s="463"/>
      <c r="H1626" s="398"/>
      <c r="I1626" s="403"/>
      <c r="J1626" s="241" t="b">
        <f>Age_Sex_BY[[#This Row],[Total Spending After Applying Truncation at the Member Level]]+Age_Sex_BY[[#This Row],[Total Dollars Excluded from Spending After Applying Truncation at the Member Level]]=Age_Sex_BY[[#This Row],[Total Spending before Truncation is Applied]]</f>
        <v>1</v>
      </c>
    </row>
    <row r="1627" spans="1:10" x14ac:dyDescent="0.25">
      <c r="A1627" s="393"/>
      <c r="B1627" s="387"/>
      <c r="C1627" s="388"/>
      <c r="D1627" s="458"/>
      <c r="E1627" s="389"/>
      <c r="F1627" s="390"/>
      <c r="G1627" s="462"/>
      <c r="H1627" s="390"/>
      <c r="I1627" s="402"/>
      <c r="J1627" s="241" t="b">
        <f>Age_Sex_BY[[#This Row],[Total Spending After Applying Truncation at the Member Level]]+Age_Sex_BY[[#This Row],[Total Dollars Excluded from Spending After Applying Truncation at the Member Level]]=Age_Sex_BY[[#This Row],[Total Spending before Truncation is Applied]]</f>
        <v>1</v>
      </c>
    </row>
    <row r="1628" spans="1:10" x14ac:dyDescent="0.25">
      <c r="A1628" s="394"/>
      <c r="B1628" s="395"/>
      <c r="C1628" s="396"/>
      <c r="D1628" s="459"/>
      <c r="E1628" s="397"/>
      <c r="F1628" s="398"/>
      <c r="G1628" s="463"/>
      <c r="H1628" s="398"/>
      <c r="I1628" s="403"/>
      <c r="J1628" s="241" t="b">
        <f>Age_Sex_BY[[#This Row],[Total Spending After Applying Truncation at the Member Level]]+Age_Sex_BY[[#This Row],[Total Dollars Excluded from Spending After Applying Truncation at the Member Level]]=Age_Sex_BY[[#This Row],[Total Spending before Truncation is Applied]]</f>
        <v>1</v>
      </c>
    </row>
    <row r="1629" spans="1:10" x14ac:dyDescent="0.25">
      <c r="A1629" s="393"/>
      <c r="B1629" s="387"/>
      <c r="C1629" s="388"/>
      <c r="D1629" s="458"/>
      <c r="E1629" s="389"/>
      <c r="F1629" s="390"/>
      <c r="G1629" s="462"/>
      <c r="H1629" s="390"/>
      <c r="I1629" s="402"/>
      <c r="J1629" s="241" t="b">
        <f>Age_Sex_BY[[#This Row],[Total Spending After Applying Truncation at the Member Level]]+Age_Sex_BY[[#This Row],[Total Dollars Excluded from Spending After Applying Truncation at the Member Level]]=Age_Sex_BY[[#This Row],[Total Spending before Truncation is Applied]]</f>
        <v>1</v>
      </c>
    </row>
    <row r="1630" spans="1:10" x14ac:dyDescent="0.25">
      <c r="A1630" s="394"/>
      <c r="B1630" s="395"/>
      <c r="C1630" s="396"/>
      <c r="D1630" s="459"/>
      <c r="E1630" s="397"/>
      <c r="F1630" s="398"/>
      <c r="G1630" s="463"/>
      <c r="H1630" s="398"/>
      <c r="I1630" s="403"/>
      <c r="J1630" s="241" t="b">
        <f>Age_Sex_BY[[#This Row],[Total Spending After Applying Truncation at the Member Level]]+Age_Sex_BY[[#This Row],[Total Dollars Excluded from Spending After Applying Truncation at the Member Level]]=Age_Sex_BY[[#This Row],[Total Spending before Truncation is Applied]]</f>
        <v>1</v>
      </c>
    </row>
    <row r="1631" spans="1:10" x14ac:dyDescent="0.25">
      <c r="A1631" s="393"/>
      <c r="B1631" s="387"/>
      <c r="C1631" s="388"/>
      <c r="D1631" s="458"/>
      <c r="E1631" s="389"/>
      <c r="F1631" s="390"/>
      <c r="G1631" s="462"/>
      <c r="H1631" s="390"/>
      <c r="I1631" s="402"/>
      <c r="J1631" s="241" t="b">
        <f>Age_Sex_BY[[#This Row],[Total Spending After Applying Truncation at the Member Level]]+Age_Sex_BY[[#This Row],[Total Dollars Excluded from Spending After Applying Truncation at the Member Level]]=Age_Sex_BY[[#This Row],[Total Spending before Truncation is Applied]]</f>
        <v>1</v>
      </c>
    </row>
    <row r="1632" spans="1:10" x14ac:dyDescent="0.25">
      <c r="A1632" s="394"/>
      <c r="B1632" s="395"/>
      <c r="C1632" s="396"/>
      <c r="D1632" s="459"/>
      <c r="E1632" s="397"/>
      <c r="F1632" s="398"/>
      <c r="G1632" s="463"/>
      <c r="H1632" s="398"/>
      <c r="I1632" s="403"/>
      <c r="J1632" s="241" t="b">
        <f>Age_Sex_BY[[#This Row],[Total Spending After Applying Truncation at the Member Level]]+Age_Sex_BY[[#This Row],[Total Dollars Excluded from Spending After Applying Truncation at the Member Level]]=Age_Sex_BY[[#This Row],[Total Spending before Truncation is Applied]]</f>
        <v>1</v>
      </c>
    </row>
    <row r="1633" spans="1:10" x14ac:dyDescent="0.25">
      <c r="A1633" s="393"/>
      <c r="B1633" s="387"/>
      <c r="C1633" s="388"/>
      <c r="D1633" s="458"/>
      <c r="E1633" s="389"/>
      <c r="F1633" s="390"/>
      <c r="G1633" s="462"/>
      <c r="H1633" s="390"/>
      <c r="I1633" s="402"/>
      <c r="J1633" s="241" t="b">
        <f>Age_Sex_BY[[#This Row],[Total Spending After Applying Truncation at the Member Level]]+Age_Sex_BY[[#This Row],[Total Dollars Excluded from Spending After Applying Truncation at the Member Level]]=Age_Sex_BY[[#This Row],[Total Spending before Truncation is Applied]]</f>
        <v>1</v>
      </c>
    </row>
    <row r="1634" spans="1:10" x14ac:dyDescent="0.25">
      <c r="A1634" s="394"/>
      <c r="B1634" s="395"/>
      <c r="C1634" s="396"/>
      <c r="D1634" s="459"/>
      <c r="E1634" s="397"/>
      <c r="F1634" s="398"/>
      <c r="G1634" s="463"/>
      <c r="H1634" s="398"/>
      <c r="I1634" s="403"/>
      <c r="J1634" s="241" t="b">
        <f>Age_Sex_BY[[#This Row],[Total Spending After Applying Truncation at the Member Level]]+Age_Sex_BY[[#This Row],[Total Dollars Excluded from Spending After Applying Truncation at the Member Level]]=Age_Sex_BY[[#This Row],[Total Spending before Truncation is Applied]]</f>
        <v>1</v>
      </c>
    </row>
    <row r="1635" spans="1:10" x14ac:dyDescent="0.25">
      <c r="A1635" s="393"/>
      <c r="B1635" s="387"/>
      <c r="C1635" s="388"/>
      <c r="D1635" s="458"/>
      <c r="E1635" s="389"/>
      <c r="F1635" s="390"/>
      <c r="G1635" s="462"/>
      <c r="H1635" s="390"/>
      <c r="I1635" s="402"/>
      <c r="J1635" s="241" t="b">
        <f>Age_Sex_BY[[#This Row],[Total Spending After Applying Truncation at the Member Level]]+Age_Sex_BY[[#This Row],[Total Dollars Excluded from Spending After Applying Truncation at the Member Level]]=Age_Sex_BY[[#This Row],[Total Spending before Truncation is Applied]]</f>
        <v>1</v>
      </c>
    </row>
    <row r="1636" spans="1:10" x14ac:dyDescent="0.25">
      <c r="A1636" s="394"/>
      <c r="B1636" s="395"/>
      <c r="C1636" s="396"/>
      <c r="D1636" s="459"/>
      <c r="E1636" s="397"/>
      <c r="F1636" s="398"/>
      <c r="G1636" s="463"/>
      <c r="H1636" s="398"/>
      <c r="I1636" s="403"/>
      <c r="J1636" s="241" t="b">
        <f>Age_Sex_BY[[#This Row],[Total Spending After Applying Truncation at the Member Level]]+Age_Sex_BY[[#This Row],[Total Dollars Excluded from Spending After Applying Truncation at the Member Level]]=Age_Sex_BY[[#This Row],[Total Spending before Truncation is Applied]]</f>
        <v>1</v>
      </c>
    </row>
    <row r="1637" spans="1:10" x14ac:dyDescent="0.25">
      <c r="A1637" s="393"/>
      <c r="B1637" s="387"/>
      <c r="C1637" s="388"/>
      <c r="D1637" s="458"/>
      <c r="E1637" s="389"/>
      <c r="F1637" s="390"/>
      <c r="G1637" s="462"/>
      <c r="H1637" s="390"/>
      <c r="I1637" s="402"/>
      <c r="J1637" s="241" t="b">
        <f>Age_Sex_BY[[#This Row],[Total Spending After Applying Truncation at the Member Level]]+Age_Sex_BY[[#This Row],[Total Dollars Excluded from Spending After Applying Truncation at the Member Level]]=Age_Sex_BY[[#This Row],[Total Spending before Truncation is Applied]]</f>
        <v>1</v>
      </c>
    </row>
    <row r="1638" spans="1:10" x14ac:dyDescent="0.25">
      <c r="A1638" s="394"/>
      <c r="B1638" s="395"/>
      <c r="C1638" s="396"/>
      <c r="D1638" s="459"/>
      <c r="E1638" s="397"/>
      <c r="F1638" s="398"/>
      <c r="G1638" s="463"/>
      <c r="H1638" s="398"/>
      <c r="I1638" s="403"/>
      <c r="J1638" s="241" t="b">
        <f>Age_Sex_BY[[#This Row],[Total Spending After Applying Truncation at the Member Level]]+Age_Sex_BY[[#This Row],[Total Dollars Excluded from Spending After Applying Truncation at the Member Level]]=Age_Sex_BY[[#This Row],[Total Spending before Truncation is Applied]]</f>
        <v>1</v>
      </c>
    </row>
    <row r="1639" spans="1:10" x14ac:dyDescent="0.25">
      <c r="A1639" s="393"/>
      <c r="B1639" s="387"/>
      <c r="C1639" s="388"/>
      <c r="D1639" s="458"/>
      <c r="E1639" s="389"/>
      <c r="F1639" s="390"/>
      <c r="G1639" s="462"/>
      <c r="H1639" s="390"/>
      <c r="I1639" s="402"/>
      <c r="J1639" s="241" t="b">
        <f>Age_Sex_BY[[#This Row],[Total Spending After Applying Truncation at the Member Level]]+Age_Sex_BY[[#This Row],[Total Dollars Excluded from Spending After Applying Truncation at the Member Level]]=Age_Sex_BY[[#This Row],[Total Spending before Truncation is Applied]]</f>
        <v>1</v>
      </c>
    </row>
    <row r="1640" spans="1:10" x14ac:dyDescent="0.25">
      <c r="A1640" s="394"/>
      <c r="B1640" s="395"/>
      <c r="C1640" s="396"/>
      <c r="D1640" s="459"/>
      <c r="E1640" s="397"/>
      <c r="F1640" s="398"/>
      <c r="G1640" s="463"/>
      <c r="H1640" s="398"/>
      <c r="I1640" s="403"/>
      <c r="J1640" s="241" t="b">
        <f>Age_Sex_BY[[#This Row],[Total Spending After Applying Truncation at the Member Level]]+Age_Sex_BY[[#This Row],[Total Dollars Excluded from Spending After Applying Truncation at the Member Level]]=Age_Sex_BY[[#This Row],[Total Spending before Truncation is Applied]]</f>
        <v>1</v>
      </c>
    </row>
    <row r="1641" spans="1:10" x14ac:dyDescent="0.25">
      <c r="A1641" s="393"/>
      <c r="B1641" s="387"/>
      <c r="C1641" s="388"/>
      <c r="D1641" s="458"/>
      <c r="E1641" s="389"/>
      <c r="F1641" s="390"/>
      <c r="G1641" s="462"/>
      <c r="H1641" s="390"/>
      <c r="I1641" s="402"/>
      <c r="J1641" s="241" t="b">
        <f>Age_Sex_BY[[#This Row],[Total Spending After Applying Truncation at the Member Level]]+Age_Sex_BY[[#This Row],[Total Dollars Excluded from Spending After Applying Truncation at the Member Level]]=Age_Sex_BY[[#This Row],[Total Spending before Truncation is Applied]]</f>
        <v>1</v>
      </c>
    </row>
    <row r="1642" spans="1:10" x14ac:dyDescent="0.25">
      <c r="A1642" s="394"/>
      <c r="B1642" s="395"/>
      <c r="C1642" s="396"/>
      <c r="D1642" s="459"/>
      <c r="E1642" s="397"/>
      <c r="F1642" s="398"/>
      <c r="G1642" s="463"/>
      <c r="H1642" s="398"/>
      <c r="I1642" s="403"/>
      <c r="J1642" s="241" t="b">
        <f>Age_Sex_BY[[#This Row],[Total Spending After Applying Truncation at the Member Level]]+Age_Sex_BY[[#This Row],[Total Dollars Excluded from Spending After Applying Truncation at the Member Level]]=Age_Sex_BY[[#This Row],[Total Spending before Truncation is Applied]]</f>
        <v>1</v>
      </c>
    </row>
    <row r="1643" spans="1:10" x14ac:dyDescent="0.25">
      <c r="A1643" s="393"/>
      <c r="B1643" s="387"/>
      <c r="C1643" s="388"/>
      <c r="D1643" s="458"/>
      <c r="E1643" s="389"/>
      <c r="F1643" s="390"/>
      <c r="G1643" s="462"/>
      <c r="H1643" s="390"/>
      <c r="I1643" s="402"/>
      <c r="J1643" s="241" t="b">
        <f>Age_Sex_BY[[#This Row],[Total Spending After Applying Truncation at the Member Level]]+Age_Sex_BY[[#This Row],[Total Dollars Excluded from Spending After Applying Truncation at the Member Level]]=Age_Sex_BY[[#This Row],[Total Spending before Truncation is Applied]]</f>
        <v>1</v>
      </c>
    </row>
    <row r="1644" spans="1:10" x14ac:dyDescent="0.25">
      <c r="A1644" s="394"/>
      <c r="B1644" s="395"/>
      <c r="C1644" s="396"/>
      <c r="D1644" s="459"/>
      <c r="E1644" s="397"/>
      <c r="F1644" s="398"/>
      <c r="G1644" s="463"/>
      <c r="H1644" s="398"/>
      <c r="I1644" s="403"/>
      <c r="J1644" s="241" t="b">
        <f>Age_Sex_BY[[#This Row],[Total Spending After Applying Truncation at the Member Level]]+Age_Sex_BY[[#This Row],[Total Dollars Excluded from Spending After Applying Truncation at the Member Level]]=Age_Sex_BY[[#This Row],[Total Spending before Truncation is Applied]]</f>
        <v>1</v>
      </c>
    </row>
    <row r="1645" spans="1:10" x14ac:dyDescent="0.25">
      <c r="A1645" s="393"/>
      <c r="B1645" s="387"/>
      <c r="C1645" s="388"/>
      <c r="D1645" s="458"/>
      <c r="E1645" s="389"/>
      <c r="F1645" s="390"/>
      <c r="G1645" s="462"/>
      <c r="H1645" s="390"/>
      <c r="I1645" s="402"/>
      <c r="J1645" s="241" t="b">
        <f>Age_Sex_BY[[#This Row],[Total Spending After Applying Truncation at the Member Level]]+Age_Sex_BY[[#This Row],[Total Dollars Excluded from Spending After Applying Truncation at the Member Level]]=Age_Sex_BY[[#This Row],[Total Spending before Truncation is Applied]]</f>
        <v>1</v>
      </c>
    </row>
    <row r="1646" spans="1:10" x14ac:dyDescent="0.25">
      <c r="A1646" s="394"/>
      <c r="B1646" s="395"/>
      <c r="C1646" s="396"/>
      <c r="D1646" s="459"/>
      <c r="E1646" s="397"/>
      <c r="F1646" s="398"/>
      <c r="G1646" s="463"/>
      <c r="H1646" s="398"/>
      <c r="I1646" s="403"/>
      <c r="J1646" s="241" t="b">
        <f>Age_Sex_BY[[#This Row],[Total Spending After Applying Truncation at the Member Level]]+Age_Sex_BY[[#This Row],[Total Dollars Excluded from Spending After Applying Truncation at the Member Level]]=Age_Sex_BY[[#This Row],[Total Spending before Truncation is Applied]]</f>
        <v>1</v>
      </c>
    </row>
    <row r="1647" spans="1:10" x14ac:dyDescent="0.25">
      <c r="A1647" s="393"/>
      <c r="B1647" s="387"/>
      <c r="C1647" s="388"/>
      <c r="D1647" s="458"/>
      <c r="E1647" s="389"/>
      <c r="F1647" s="390"/>
      <c r="G1647" s="462"/>
      <c r="H1647" s="390"/>
      <c r="I1647" s="402"/>
      <c r="J1647" s="241" t="b">
        <f>Age_Sex_BY[[#This Row],[Total Spending After Applying Truncation at the Member Level]]+Age_Sex_BY[[#This Row],[Total Dollars Excluded from Spending After Applying Truncation at the Member Level]]=Age_Sex_BY[[#This Row],[Total Spending before Truncation is Applied]]</f>
        <v>1</v>
      </c>
    </row>
    <row r="1648" spans="1:10" x14ac:dyDescent="0.25">
      <c r="A1648" s="394"/>
      <c r="B1648" s="395"/>
      <c r="C1648" s="396"/>
      <c r="D1648" s="459"/>
      <c r="E1648" s="397"/>
      <c r="F1648" s="398"/>
      <c r="G1648" s="463"/>
      <c r="H1648" s="398"/>
      <c r="I1648" s="403"/>
      <c r="J1648" s="241" t="b">
        <f>Age_Sex_BY[[#This Row],[Total Spending After Applying Truncation at the Member Level]]+Age_Sex_BY[[#This Row],[Total Dollars Excluded from Spending After Applying Truncation at the Member Level]]=Age_Sex_BY[[#This Row],[Total Spending before Truncation is Applied]]</f>
        <v>1</v>
      </c>
    </row>
    <row r="1649" spans="1:10" x14ac:dyDescent="0.25">
      <c r="A1649" s="393"/>
      <c r="B1649" s="387"/>
      <c r="C1649" s="388"/>
      <c r="D1649" s="458"/>
      <c r="E1649" s="389"/>
      <c r="F1649" s="390"/>
      <c r="G1649" s="462"/>
      <c r="H1649" s="390"/>
      <c r="I1649" s="402"/>
      <c r="J1649" s="241" t="b">
        <f>Age_Sex_BY[[#This Row],[Total Spending After Applying Truncation at the Member Level]]+Age_Sex_BY[[#This Row],[Total Dollars Excluded from Spending After Applying Truncation at the Member Level]]=Age_Sex_BY[[#This Row],[Total Spending before Truncation is Applied]]</f>
        <v>1</v>
      </c>
    </row>
    <row r="1650" spans="1:10" x14ac:dyDescent="0.25">
      <c r="A1650" s="394"/>
      <c r="B1650" s="395"/>
      <c r="C1650" s="396"/>
      <c r="D1650" s="459"/>
      <c r="E1650" s="397"/>
      <c r="F1650" s="398"/>
      <c r="G1650" s="463"/>
      <c r="H1650" s="398"/>
      <c r="I1650" s="403"/>
      <c r="J1650" s="241" t="b">
        <f>Age_Sex_BY[[#This Row],[Total Spending After Applying Truncation at the Member Level]]+Age_Sex_BY[[#This Row],[Total Dollars Excluded from Spending After Applying Truncation at the Member Level]]=Age_Sex_BY[[#This Row],[Total Spending before Truncation is Applied]]</f>
        <v>1</v>
      </c>
    </row>
    <row r="1651" spans="1:10" x14ac:dyDescent="0.25">
      <c r="A1651" s="393"/>
      <c r="B1651" s="387"/>
      <c r="C1651" s="388"/>
      <c r="D1651" s="458"/>
      <c r="E1651" s="389"/>
      <c r="F1651" s="390"/>
      <c r="G1651" s="462"/>
      <c r="H1651" s="390"/>
      <c r="I1651" s="402"/>
      <c r="J1651" s="241" t="b">
        <f>Age_Sex_BY[[#This Row],[Total Spending After Applying Truncation at the Member Level]]+Age_Sex_BY[[#This Row],[Total Dollars Excluded from Spending After Applying Truncation at the Member Level]]=Age_Sex_BY[[#This Row],[Total Spending before Truncation is Applied]]</f>
        <v>1</v>
      </c>
    </row>
    <row r="1652" spans="1:10" x14ac:dyDescent="0.25">
      <c r="A1652" s="394"/>
      <c r="B1652" s="395"/>
      <c r="C1652" s="396"/>
      <c r="D1652" s="459"/>
      <c r="E1652" s="397"/>
      <c r="F1652" s="398"/>
      <c r="G1652" s="463"/>
      <c r="H1652" s="398"/>
      <c r="I1652" s="403"/>
      <c r="J1652" s="241" t="b">
        <f>Age_Sex_BY[[#This Row],[Total Spending After Applying Truncation at the Member Level]]+Age_Sex_BY[[#This Row],[Total Dollars Excluded from Spending After Applying Truncation at the Member Level]]=Age_Sex_BY[[#This Row],[Total Spending before Truncation is Applied]]</f>
        <v>1</v>
      </c>
    </row>
    <row r="1653" spans="1:10" x14ac:dyDescent="0.25">
      <c r="A1653" s="393"/>
      <c r="B1653" s="387"/>
      <c r="C1653" s="388"/>
      <c r="D1653" s="458"/>
      <c r="E1653" s="389"/>
      <c r="F1653" s="390"/>
      <c r="G1653" s="462"/>
      <c r="H1653" s="390"/>
      <c r="I1653" s="402"/>
      <c r="J1653" s="241" t="b">
        <f>Age_Sex_BY[[#This Row],[Total Spending After Applying Truncation at the Member Level]]+Age_Sex_BY[[#This Row],[Total Dollars Excluded from Spending After Applying Truncation at the Member Level]]=Age_Sex_BY[[#This Row],[Total Spending before Truncation is Applied]]</f>
        <v>1</v>
      </c>
    </row>
    <row r="1654" spans="1:10" x14ac:dyDescent="0.25">
      <c r="A1654" s="394"/>
      <c r="B1654" s="395"/>
      <c r="C1654" s="396"/>
      <c r="D1654" s="459"/>
      <c r="E1654" s="397"/>
      <c r="F1654" s="398"/>
      <c r="G1654" s="463"/>
      <c r="H1654" s="398"/>
      <c r="I1654" s="403"/>
      <c r="J1654" s="241" t="b">
        <f>Age_Sex_BY[[#This Row],[Total Spending After Applying Truncation at the Member Level]]+Age_Sex_BY[[#This Row],[Total Dollars Excluded from Spending After Applying Truncation at the Member Level]]=Age_Sex_BY[[#This Row],[Total Spending before Truncation is Applied]]</f>
        <v>1</v>
      </c>
    </row>
    <row r="1655" spans="1:10" x14ac:dyDescent="0.25">
      <c r="A1655" s="393"/>
      <c r="B1655" s="387"/>
      <c r="C1655" s="388"/>
      <c r="D1655" s="458"/>
      <c r="E1655" s="389"/>
      <c r="F1655" s="390"/>
      <c r="G1655" s="462"/>
      <c r="H1655" s="390"/>
      <c r="I1655" s="402"/>
      <c r="J1655" s="241" t="b">
        <f>Age_Sex_BY[[#This Row],[Total Spending After Applying Truncation at the Member Level]]+Age_Sex_BY[[#This Row],[Total Dollars Excluded from Spending After Applying Truncation at the Member Level]]=Age_Sex_BY[[#This Row],[Total Spending before Truncation is Applied]]</f>
        <v>1</v>
      </c>
    </row>
    <row r="1656" spans="1:10" x14ac:dyDescent="0.25">
      <c r="A1656" s="394"/>
      <c r="B1656" s="395"/>
      <c r="C1656" s="396"/>
      <c r="D1656" s="459"/>
      <c r="E1656" s="397"/>
      <c r="F1656" s="398"/>
      <c r="G1656" s="463"/>
      <c r="H1656" s="398"/>
      <c r="I1656" s="403"/>
      <c r="J1656" s="241" t="b">
        <f>Age_Sex_BY[[#This Row],[Total Spending After Applying Truncation at the Member Level]]+Age_Sex_BY[[#This Row],[Total Dollars Excluded from Spending After Applying Truncation at the Member Level]]=Age_Sex_BY[[#This Row],[Total Spending before Truncation is Applied]]</f>
        <v>1</v>
      </c>
    </row>
    <row r="1657" spans="1:10" x14ac:dyDescent="0.25">
      <c r="A1657" s="393"/>
      <c r="B1657" s="387"/>
      <c r="C1657" s="388"/>
      <c r="D1657" s="458"/>
      <c r="E1657" s="389"/>
      <c r="F1657" s="390"/>
      <c r="G1657" s="462"/>
      <c r="H1657" s="390"/>
      <c r="I1657" s="402"/>
      <c r="J1657" s="241" t="b">
        <f>Age_Sex_BY[[#This Row],[Total Spending After Applying Truncation at the Member Level]]+Age_Sex_BY[[#This Row],[Total Dollars Excluded from Spending After Applying Truncation at the Member Level]]=Age_Sex_BY[[#This Row],[Total Spending before Truncation is Applied]]</f>
        <v>1</v>
      </c>
    </row>
    <row r="1658" spans="1:10" x14ac:dyDescent="0.25">
      <c r="A1658" s="394"/>
      <c r="B1658" s="395"/>
      <c r="C1658" s="396"/>
      <c r="D1658" s="459"/>
      <c r="E1658" s="397"/>
      <c r="F1658" s="398"/>
      <c r="G1658" s="463"/>
      <c r="H1658" s="398"/>
      <c r="I1658" s="403"/>
      <c r="J1658" s="241" t="b">
        <f>Age_Sex_BY[[#This Row],[Total Spending After Applying Truncation at the Member Level]]+Age_Sex_BY[[#This Row],[Total Dollars Excluded from Spending After Applying Truncation at the Member Level]]=Age_Sex_BY[[#This Row],[Total Spending before Truncation is Applied]]</f>
        <v>1</v>
      </c>
    </row>
    <row r="1659" spans="1:10" x14ac:dyDescent="0.25">
      <c r="A1659" s="393"/>
      <c r="B1659" s="387"/>
      <c r="C1659" s="388"/>
      <c r="D1659" s="458"/>
      <c r="E1659" s="389"/>
      <c r="F1659" s="390"/>
      <c r="G1659" s="462"/>
      <c r="H1659" s="390"/>
      <c r="I1659" s="402"/>
      <c r="J1659" s="241" t="b">
        <f>Age_Sex_BY[[#This Row],[Total Spending After Applying Truncation at the Member Level]]+Age_Sex_BY[[#This Row],[Total Dollars Excluded from Spending After Applying Truncation at the Member Level]]=Age_Sex_BY[[#This Row],[Total Spending before Truncation is Applied]]</f>
        <v>1</v>
      </c>
    </row>
    <row r="1660" spans="1:10" x14ac:dyDescent="0.25">
      <c r="A1660" s="394"/>
      <c r="B1660" s="395"/>
      <c r="C1660" s="396"/>
      <c r="D1660" s="459"/>
      <c r="E1660" s="397"/>
      <c r="F1660" s="398"/>
      <c r="G1660" s="463"/>
      <c r="H1660" s="398"/>
      <c r="I1660" s="403"/>
      <c r="J1660" s="241" t="b">
        <f>Age_Sex_BY[[#This Row],[Total Spending After Applying Truncation at the Member Level]]+Age_Sex_BY[[#This Row],[Total Dollars Excluded from Spending After Applying Truncation at the Member Level]]=Age_Sex_BY[[#This Row],[Total Spending before Truncation is Applied]]</f>
        <v>1</v>
      </c>
    </row>
    <row r="1661" spans="1:10" x14ac:dyDescent="0.25">
      <c r="A1661" s="393"/>
      <c r="B1661" s="387"/>
      <c r="C1661" s="388"/>
      <c r="D1661" s="458"/>
      <c r="E1661" s="389"/>
      <c r="F1661" s="390"/>
      <c r="G1661" s="462"/>
      <c r="H1661" s="390"/>
      <c r="I1661" s="402"/>
      <c r="J1661" s="241" t="b">
        <f>Age_Sex_BY[[#This Row],[Total Spending After Applying Truncation at the Member Level]]+Age_Sex_BY[[#This Row],[Total Dollars Excluded from Spending After Applying Truncation at the Member Level]]=Age_Sex_BY[[#This Row],[Total Spending before Truncation is Applied]]</f>
        <v>1</v>
      </c>
    </row>
    <row r="1662" spans="1:10" x14ac:dyDescent="0.25">
      <c r="A1662" s="394"/>
      <c r="B1662" s="395"/>
      <c r="C1662" s="396"/>
      <c r="D1662" s="459"/>
      <c r="E1662" s="397"/>
      <c r="F1662" s="398"/>
      <c r="G1662" s="463"/>
      <c r="H1662" s="398"/>
      <c r="I1662" s="403"/>
      <c r="J1662" s="241" t="b">
        <f>Age_Sex_BY[[#This Row],[Total Spending After Applying Truncation at the Member Level]]+Age_Sex_BY[[#This Row],[Total Dollars Excluded from Spending After Applying Truncation at the Member Level]]=Age_Sex_BY[[#This Row],[Total Spending before Truncation is Applied]]</f>
        <v>1</v>
      </c>
    </row>
    <row r="1663" spans="1:10" x14ac:dyDescent="0.25">
      <c r="A1663" s="393"/>
      <c r="B1663" s="387"/>
      <c r="C1663" s="388"/>
      <c r="D1663" s="458"/>
      <c r="E1663" s="389"/>
      <c r="F1663" s="390"/>
      <c r="G1663" s="462"/>
      <c r="H1663" s="390"/>
      <c r="I1663" s="402"/>
      <c r="J1663" s="241" t="b">
        <f>Age_Sex_BY[[#This Row],[Total Spending After Applying Truncation at the Member Level]]+Age_Sex_BY[[#This Row],[Total Dollars Excluded from Spending After Applying Truncation at the Member Level]]=Age_Sex_BY[[#This Row],[Total Spending before Truncation is Applied]]</f>
        <v>1</v>
      </c>
    </row>
    <row r="1664" spans="1:10" x14ac:dyDescent="0.25">
      <c r="A1664" s="394"/>
      <c r="B1664" s="395"/>
      <c r="C1664" s="396"/>
      <c r="D1664" s="459"/>
      <c r="E1664" s="397"/>
      <c r="F1664" s="398"/>
      <c r="G1664" s="463"/>
      <c r="H1664" s="398"/>
      <c r="I1664" s="403"/>
      <c r="J1664" s="241" t="b">
        <f>Age_Sex_BY[[#This Row],[Total Spending After Applying Truncation at the Member Level]]+Age_Sex_BY[[#This Row],[Total Dollars Excluded from Spending After Applying Truncation at the Member Level]]=Age_Sex_BY[[#This Row],[Total Spending before Truncation is Applied]]</f>
        <v>1</v>
      </c>
    </row>
    <row r="1665" spans="1:10" x14ac:dyDescent="0.25">
      <c r="A1665" s="393"/>
      <c r="B1665" s="387"/>
      <c r="C1665" s="388"/>
      <c r="D1665" s="458"/>
      <c r="E1665" s="389"/>
      <c r="F1665" s="390"/>
      <c r="G1665" s="462"/>
      <c r="H1665" s="390"/>
      <c r="I1665" s="402"/>
      <c r="J1665" s="241" t="b">
        <f>Age_Sex_BY[[#This Row],[Total Spending After Applying Truncation at the Member Level]]+Age_Sex_BY[[#This Row],[Total Dollars Excluded from Spending After Applying Truncation at the Member Level]]=Age_Sex_BY[[#This Row],[Total Spending before Truncation is Applied]]</f>
        <v>1</v>
      </c>
    </row>
    <row r="1666" spans="1:10" x14ac:dyDescent="0.25">
      <c r="A1666" s="394"/>
      <c r="B1666" s="395"/>
      <c r="C1666" s="396"/>
      <c r="D1666" s="459"/>
      <c r="E1666" s="397"/>
      <c r="F1666" s="398"/>
      <c r="G1666" s="463"/>
      <c r="H1666" s="398"/>
      <c r="I1666" s="403"/>
      <c r="J1666" s="241" t="b">
        <f>Age_Sex_BY[[#This Row],[Total Spending After Applying Truncation at the Member Level]]+Age_Sex_BY[[#This Row],[Total Dollars Excluded from Spending After Applying Truncation at the Member Level]]=Age_Sex_BY[[#This Row],[Total Spending before Truncation is Applied]]</f>
        <v>1</v>
      </c>
    </row>
    <row r="1667" spans="1:10" x14ac:dyDescent="0.25">
      <c r="A1667" s="393"/>
      <c r="B1667" s="387"/>
      <c r="C1667" s="388"/>
      <c r="D1667" s="458"/>
      <c r="E1667" s="389"/>
      <c r="F1667" s="390"/>
      <c r="G1667" s="462"/>
      <c r="H1667" s="390"/>
      <c r="I1667" s="402"/>
      <c r="J1667" s="241" t="b">
        <f>Age_Sex_BY[[#This Row],[Total Spending After Applying Truncation at the Member Level]]+Age_Sex_BY[[#This Row],[Total Dollars Excluded from Spending After Applying Truncation at the Member Level]]=Age_Sex_BY[[#This Row],[Total Spending before Truncation is Applied]]</f>
        <v>1</v>
      </c>
    </row>
    <row r="1668" spans="1:10" x14ac:dyDescent="0.25">
      <c r="A1668" s="394"/>
      <c r="B1668" s="395"/>
      <c r="C1668" s="396"/>
      <c r="D1668" s="459"/>
      <c r="E1668" s="397"/>
      <c r="F1668" s="398"/>
      <c r="G1668" s="463"/>
      <c r="H1668" s="398"/>
      <c r="I1668" s="403"/>
      <c r="J1668" s="241" t="b">
        <f>Age_Sex_BY[[#This Row],[Total Spending After Applying Truncation at the Member Level]]+Age_Sex_BY[[#This Row],[Total Dollars Excluded from Spending After Applying Truncation at the Member Level]]=Age_Sex_BY[[#This Row],[Total Spending before Truncation is Applied]]</f>
        <v>1</v>
      </c>
    </row>
    <row r="1669" spans="1:10" x14ac:dyDescent="0.25">
      <c r="A1669" s="393"/>
      <c r="B1669" s="387"/>
      <c r="C1669" s="388"/>
      <c r="D1669" s="458"/>
      <c r="E1669" s="389"/>
      <c r="F1669" s="390"/>
      <c r="G1669" s="462"/>
      <c r="H1669" s="390"/>
      <c r="I1669" s="402"/>
      <c r="J1669" s="241" t="b">
        <f>Age_Sex_BY[[#This Row],[Total Spending After Applying Truncation at the Member Level]]+Age_Sex_BY[[#This Row],[Total Dollars Excluded from Spending After Applying Truncation at the Member Level]]=Age_Sex_BY[[#This Row],[Total Spending before Truncation is Applied]]</f>
        <v>1</v>
      </c>
    </row>
    <row r="1670" spans="1:10" x14ac:dyDescent="0.25">
      <c r="A1670" s="394"/>
      <c r="B1670" s="395"/>
      <c r="C1670" s="396"/>
      <c r="D1670" s="459"/>
      <c r="E1670" s="397"/>
      <c r="F1670" s="398"/>
      <c r="G1670" s="463"/>
      <c r="H1670" s="398"/>
      <c r="I1670" s="403"/>
      <c r="J1670" s="241" t="b">
        <f>Age_Sex_BY[[#This Row],[Total Spending After Applying Truncation at the Member Level]]+Age_Sex_BY[[#This Row],[Total Dollars Excluded from Spending After Applying Truncation at the Member Level]]=Age_Sex_BY[[#This Row],[Total Spending before Truncation is Applied]]</f>
        <v>1</v>
      </c>
    </row>
    <row r="1671" spans="1:10" x14ac:dyDescent="0.25">
      <c r="A1671" s="393"/>
      <c r="B1671" s="387"/>
      <c r="C1671" s="388"/>
      <c r="D1671" s="458"/>
      <c r="E1671" s="389"/>
      <c r="F1671" s="390"/>
      <c r="G1671" s="462"/>
      <c r="H1671" s="390"/>
      <c r="I1671" s="402"/>
      <c r="J1671" s="241" t="b">
        <f>Age_Sex_BY[[#This Row],[Total Spending After Applying Truncation at the Member Level]]+Age_Sex_BY[[#This Row],[Total Dollars Excluded from Spending After Applying Truncation at the Member Level]]=Age_Sex_BY[[#This Row],[Total Spending before Truncation is Applied]]</f>
        <v>1</v>
      </c>
    </row>
    <row r="1672" spans="1:10" x14ac:dyDescent="0.25">
      <c r="A1672" s="394"/>
      <c r="B1672" s="395"/>
      <c r="C1672" s="396"/>
      <c r="D1672" s="459"/>
      <c r="E1672" s="397"/>
      <c r="F1672" s="398"/>
      <c r="G1672" s="463"/>
      <c r="H1672" s="398"/>
      <c r="I1672" s="403"/>
      <c r="J1672" s="241" t="b">
        <f>Age_Sex_BY[[#This Row],[Total Spending After Applying Truncation at the Member Level]]+Age_Sex_BY[[#This Row],[Total Dollars Excluded from Spending After Applying Truncation at the Member Level]]=Age_Sex_BY[[#This Row],[Total Spending before Truncation is Applied]]</f>
        <v>1</v>
      </c>
    </row>
    <row r="1673" spans="1:10" x14ac:dyDescent="0.25">
      <c r="A1673" s="393"/>
      <c r="B1673" s="387"/>
      <c r="C1673" s="388"/>
      <c r="D1673" s="458"/>
      <c r="E1673" s="389"/>
      <c r="F1673" s="390"/>
      <c r="G1673" s="462"/>
      <c r="H1673" s="390"/>
      <c r="I1673" s="402"/>
      <c r="J1673" s="241" t="b">
        <f>Age_Sex_BY[[#This Row],[Total Spending After Applying Truncation at the Member Level]]+Age_Sex_BY[[#This Row],[Total Dollars Excluded from Spending After Applying Truncation at the Member Level]]=Age_Sex_BY[[#This Row],[Total Spending before Truncation is Applied]]</f>
        <v>1</v>
      </c>
    </row>
    <row r="1674" spans="1:10" x14ac:dyDescent="0.25">
      <c r="A1674" s="394"/>
      <c r="B1674" s="395"/>
      <c r="C1674" s="396"/>
      <c r="D1674" s="459"/>
      <c r="E1674" s="397"/>
      <c r="F1674" s="398"/>
      <c r="G1674" s="463"/>
      <c r="H1674" s="398"/>
      <c r="I1674" s="403"/>
      <c r="J1674" s="241" t="b">
        <f>Age_Sex_BY[[#This Row],[Total Spending After Applying Truncation at the Member Level]]+Age_Sex_BY[[#This Row],[Total Dollars Excluded from Spending After Applying Truncation at the Member Level]]=Age_Sex_BY[[#This Row],[Total Spending before Truncation is Applied]]</f>
        <v>1</v>
      </c>
    </row>
    <row r="1675" spans="1:10" x14ac:dyDescent="0.25">
      <c r="A1675" s="393"/>
      <c r="B1675" s="387"/>
      <c r="C1675" s="388"/>
      <c r="D1675" s="458"/>
      <c r="E1675" s="389"/>
      <c r="F1675" s="390"/>
      <c r="G1675" s="462"/>
      <c r="H1675" s="390"/>
      <c r="I1675" s="402"/>
      <c r="J1675" s="241" t="b">
        <f>Age_Sex_BY[[#This Row],[Total Spending After Applying Truncation at the Member Level]]+Age_Sex_BY[[#This Row],[Total Dollars Excluded from Spending After Applying Truncation at the Member Level]]=Age_Sex_BY[[#This Row],[Total Spending before Truncation is Applied]]</f>
        <v>1</v>
      </c>
    </row>
    <row r="1676" spans="1:10" x14ac:dyDescent="0.25">
      <c r="A1676" s="394"/>
      <c r="B1676" s="395"/>
      <c r="C1676" s="396"/>
      <c r="D1676" s="459"/>
      <c r="E1676" s="397"/>
      <c r="F1676" s="398"/>
      <c r="G1676" s="463"/>
      <c r="H1676" s="398"/>
      <c r="I1676" s="403"/>
      <c r="J1676" s="241" t="b">
        <f>Age_Sex_BY[[#This Row],[Total Spending After Applying Truncation at the Member Level]]+Age_Sex_BY[[#This Row],[Total Dollars Excluded from Spending After Applying Truncation at the Member Level]]=Age_Sex_BY[[#This Row],[Total Spending before Truncation is Applied]]</f>
        <v>1</v>
      </c>
    </row>
    <row r="1677" spans="1:10" x14ac:dyDescent="0.25">
      <c r="A1677" s="393"/>
      <c r="B1677" s="387"/>
      <c r="C1677" s="388"/>
      <c r="D1677" s="458"/>
      <c r="E1677" s="389"/>
      <c r="F1677" s="390"/>
      <c r="G1677" s="462"/>
      <c r="H1677" s="390"/>
      <c r="I1677" s="402"/>
      <c r="J1677" s="241" t="b">
        <f>Age_Sex_BY[[#This Row],[Total Spending After Applying Truncation at the Member Level]]+Age_Sex_BY[[#This Row],[Total Dollars Excluded from Spending After Applying Truncation at the Member Level]]=Age_Sex_BY[[#This Row],[Total Spending before Truncation is Applied]]</f>
        <v>1</v>
      </c>
    </row>
    <row r="1678" spans="1:10" x14ac:dyDescent="0.25">
      <c r="A1678" s="394"/>
      <c r="B1678" s="395"/>
      <c r="C1678" s="396"/>
      <c r="D1678" s="459"/>
      <c r="E1678" s="397"/>
      <c r="F1678" s="398"/>
      <c r="G1678" s="463"/>
      <c r="H1678" s="398"/>
      <c r="I1678" s="403"/>
      <c r="J1678" s="241" t="b">
        <f>Age_Sex_BY[[#This Row],[Total Spending After Applying Truncation at the Member Level]]+Age_Sex_BY[[#This Row],[Total Dollars Excluded from Spending After Applying Truncation at the Member Level]]=Age_Sex_BY[[#This Row],[Total Spending before Truncation is Applied]]</f>
        <v>1</v>
      </c>
    </row>
    <row r="1679" spans="1:10" x14ac:dyDescent="0.25">
      <c r="A1679" s="393"/>
      <c r="B1679" s="387"/>
      <c r="C1679" s="388"/>
      <c r="D1679" s="458"/>
      <c r="E1679" s="389"/>
      <c r="F1679" s="390"/>
      <c r="G1679" s="462"/>
      <c r="H1679" s="390"/>
      <c r="I1679" s="402"/>
      <c r="J1679" s="241" t="b">
        <f>Age_Sex_BY[[#This Row],[Total Spending After Applying Truncation at the Member Level]]+Age_Sex_BY[[#This Row],[Total Dollars Excluded from Spending After Applying Truncation at the Member Level]]=Age_Sex_BY[[#This Row],[Total Spending before Truncation is Applied]]</f>
        <v>1</v>
      </c>
    </row>
    <row r="1680" spans="1:10" x14ac:dyDescent="0.25">
      <c r="A1680" s="394"/>
      <c r="B1680" s="395"/>
      <c r="C1680" s="396"/>
      <c r="D1680" s="459"/>
      <c r="E1680" s="397"/>
      <c r="F1680" s="398"/>
      <c r="G1680" s="463"/>
      <c r="H1680" s="398"/>
      <c r="I1680" s="403"/>
      <c r="J1680" s="241" t="b">
        <f>Age_Sex_BY[[#This Row],[Total Spending After Applying Truncation at the Member Level]]+Age_Sex_BY[[#This Row],[Total Dollars Excluded from Spending After Applying Truncation at the Member Level]]=Age_Sex_BY[[#This Row],[Total Spending before Truncation is Applied]]</f>
        <v>1</v>
      </c>
    </row>
    <row r="1681" spans="1:10" x14ac:dyDescent="0.25">
      <c r="A1681" s="393"/>
      <c r="B1681" s="387"/>
      <c r="C1681" s="388"/>
      <c r="D1681" s="458"/>
      <c r="E1681" s="389"/>
      <c r="F1681" s="390"/>
      <c r="G1681" s="462"/>
      <c r="H1681" s="390"/>
      <c r="I1681" s="402"/>
      <c r="J1681" s="241" t="b">
        <f>Age_Sex_BY[[#This Row],[Total Spending After Applying Truncation at the Member Level]]+Age_Sex_BY[[#This Row],[Total Dollars Excluded from Spending After Applying Truncation at the Member Level]]=Age_Sex_BY[[#This Row],[Total Spending before Truncation is Applied]]</f>
        <v>1</v>
      </c>
    </row>
    <row r="1682" spans="1:10" x14ac:dyDescent="0.25">
      <c r="A1682" s="394"/>
      <c r="B1682" s="395"/>
      <c r="C1682" s="396"/>
      <c r="D1682" s="459"/>
      <c r="E1682" s="397"/>
      <c r="F1682" s="398"/>
      <c r="G1682" s="463"/>
      <c r="H1682" s="398"/>
      <c r="I1682" s="403"/>
      <c r="J1682" s="241" t="b">
        <f>Age_Sex_BY[[#This Row],[Total Spending After Applying Truncation at the Member Level]]+Age_Sex_BY[[#This Row],[Total Dollars Excluded from Spending After Applying Truncation at the Member Level]]=Age_Sex_BY[[#This Row],[Total Spending before Truncation is Applied]]</f>
        <v>1</v>
      </c>
    </row>
    <row r="1683" spans="1:10" x14ac:dyDescent="0.25">
      <c r="A1683" s="393"/>
      <c r="B1683" s="387"/>
      <c r="C1683" s="388"/>
      <c r="D1683" s="458"/>
      <c r="E1683" s="389"/>
      <c r="F1683" s="390"/>
      <c r="G1683" s="462"/>
      <c r="H1683" s="390"/>
      <c r="I1683" s="402"/>
      <c r="J1683" s="241" t="b">
        <f>Age_Sex_BY[[#This Row],[Total Spending After Applying Truncation at the Member Level]]+Age_Sex_BY[[#This Row],[Total Dollars Excluded from Spending After Applying Truncation at the Member Level]]=Age_Sex_BY[[#This Row],[Total Spending before Truncation is Applied]]</f>
        <v>1</v>
      </c>
    </row>
    <row r="1684" spans="1:10" x14ac:dyDescent="0.25">
      <c r="A1684" s="394"/>
      <c r="B1684" s="395"/>
      <c r="C1684" s="396"/>
      <c r="D1684" s="459"/>
      <c r="E1684" s="397"/>
      <c r="F1684" s="398"/>
      <c r="G1684" s="463"/>
      <c r="H1684" s="398"/>
      <c r="I1684" s="403"/>
      <c r="J1684" s="241" t="b">
        <f>Age_Sex_BY[[#This Row],[Total Spending After Applying Truncation at the Member Level]]+Age_Sex_BY[[#This Row],[Total Dollars Excluded from Spending After Applying Truncation at the Member Level]]=Age_Sex_BY[[#This Row],[Total Spending before Truncation is Applied]]</f>
        <v>1</v>
      </c>
    </row>
    <row r="1685" spans="1:10" x14ac:dyDescent="0.25">
      <c r="A1685" s="393"/>
      <c r="B1685" s="387"/>
      <c r="C1685" s="388"/>
      <c r="D1685" s="458"/>
      <c r="E1685" s="389"/>
      <c r="F1685" s="390"/>
      <c r="G1685" s="462"/>
      <c r="H1685" s="390"/>
      <c r="I1685" s="402"/>
      <c r="J1685" s="241" t="b">
        <f>Age_Sex_BY[[#This Row],[Total Spending After Applying Truncation at the Member Level]]+Age_Sex_BY[[#This Row],[Total Dollars Excluded from Spending After Applying Truncation at the Member Level]]=Age_Sex_BY[[#This Row],[Total Spending before Truncation is Applied]]</f>
        <v>1</v>
      </c>
    </row>
    <row r="1686" spans="1:10" x14ac:dyDescent="0.25">
      <c r="A1686" s="394"/>
      <c r="B1686" s="395"/>
      <c r="C1686" s="396"/>
      <c r="D1686" s="459"/>
      <c r="E1686" s="397"/>
      <c r="F1686" s="398"/>
      <c r="G1686" s="463"/>
      <c r="H1686" s="398"/>
      <c r="I1686" s="403"/>
      <c r="J1686" s="241" t="b">
        <f>Age_Sex_BY[[#This Row],[Total Spending After Applying Truncation at the Member Level]]+Age_Sex_BY[[#This Row],[Total Dollars Excluded from Spending After Applying Truncation at the Member Level]]=Age_Sex_BY[[#This Row],[Total Spending before Truncation is Applied]]</f>
        <v>1</v>
      </c>
    </row>
    <row r="1687" spans="1:10" x14ac:dyDescent="0.25">
      <c r="A1687" s="393"/>
      <c r="B1687" s="387"/>
      <c r="C1687" s="388"/>
      <c r="D1687" s="458"/>
      <c r="E1687" s="389"/>
      <c r="F1687" s="390"/>
      <c r="G1687" s="462"/>
      <c r="H1687" s="390"/>
      <c r="I1687" s="402"/>
      <c r="J1687" s="241" t="b">
        <f>Age_Sex_BY[[#This Row],[Total Spending After Applying Truncation at the Member Level]]+Age_Sex_BY[[#This Row],[Total Dollars Excluded from Spending After Applying Truncation at the Member Level]]=Age_Sex_BY[[#This Row],[Total Spending before Truncation is Applied]]</f>
        <v>1</v>
      </c>
    </row>
    <row r="1688" spans="1:10" x14ac:dyDescent="0.25">
      <c r="A1688" s="394"/>
      <c r="B1688" s="395"/>
      <c r="C1688" s="396"/>
      <c r="D1688" s="459"/>
      <c r="E1688" s="397"/>
      <c r="F1688" s="398"/>
      <c r="G1688" s="463"/>
      <c r="H1688" s="398"/>
      <c r="I1688" s="403"/>
      <c r="J1688" s="241" t="b">
        <f>Age_Sex_BY[[#This Row],[Total Spending After Applying Truncation at the Member Level]]+Age_Sex_BY[[#This Row],[Total Dollars Excluded from Spending After Applying Truncation at the Member Level]]=Age_Sex_BY[[#This Row],[Total Spending before Truncation is Applied]]</f>
        <v>1</v>
      </c>
    </row>
    <row r="1689" spans="1:10" x14ac:dyDescent="0.25">
      <c r="A1689" s="393"/>
      <c r="B1689" s="387"/>
      <c r="C1689" s="388"/>
      <c r="D1689" s="458"/>
      <c r="E1689" s="389"/>
      <c r="F1689" s="390"/>
      <c r="G1689" s="462"/>
      <c r="H1689" s="390"/>
      <c r="I1689" s="402"/>
      <c r="J1689" s="241" t="b">
        <f>Age_Sex_BY[[#This Row],[Total Spending After Applying Truncation at the Member Level]]+Age_Sex_BY[[#This Row],[Total Dollars Excluded from Spending After Applying Truncation at the Member Level]]=Age_Sex_BY[[#This Row],[Total Spending before Truncation is Applied]]</f>
        <v>1</v>
      </c>
    </row>
    <row r="1690" spans="1:10" x14ac:dyDescent="0.25">
      <c r="A1690" s="394"/>
      <c r="B1690" s="395"/>
      <c r="C1690" s="396"/>
      <c r="D1690" s="459"/>
      <c r="E1690" s="397"/>
      <c r="F1690" s="398"/>
      <c r="G1690" s="463"/>
      <c r="H1690" s="398"/>
      <c r="I1690" s="403"/>
      <c r="J1690" s="241" t="b">
        <f>Age_Sex_BY[[#This Row],[Total Spending After Applying Truncation at the Member Level]]+Age_Sex_BY[[#This Row],[Total Dollars Excluded from Spending After Applying Truncation at the Member Level]]=Age_Sex_BY[[#This Row],[Total Spending before Truncation is Applied]]</f>
        <v>1</v>
      </c>
    </row>
    <row r="1691" spans="1:10" x14ac:dyDescent="0.25">
      <c r="A1691" s="393"/>
      <c r="B1691" s="387"/>
      <c r="C1691" s="388"/>
      <c r="D1691" s="458"/>
      <c r="E1691" s="389"/>
      <c r="F1691" s="390"/>
      <c r="G1691" s="462"/>
      <c r="H1691" s="390"/>
      <c r="I1691" s="402"/>
      <c r="J1691" s="241" t="b">
        <f>Age_Sex_BY[[#This Row],[Total Spending After Applying Truncation at the Member Level]]+Age_Sex_BY[[#This Row],[Total Dollars Excluded from Spending After Applying Truncation at the Member Level]]=Age_Sex_BY[[#This Row],[Total Spending before Truncation is Applied]]</f>
        <v>1</v>
      </c>
    </row>
    <row r="1692" spans="1:10" x14ac:dyDescent="0.25">
      <c r="A1692" s="394"/>
      <c r="B1692" s="395"/>
      <c r="C1692" s="396"/>
      <c r="D1692" s="459"/>
      <c r="E1692" s="397"/>
      <c r="F1692" s="398"/>
      <c r="G1692" s="463"/>
      <c r="H1692" s="398"/>
      <c r="I1692" s="403"/>
      <c r="J1692" s="241" t="b">
        <f>Age_Sex_BY[[#This Row],[Total Spending After Applying Truncation at the Member Level]]+Age_Sex_BY[[#This Row],[Total Dollars Excluded from Spending After Applying Truncation at the Member Level]]=Age_Sex_BY[[#This Row],[Total Spending before Truncation is Applied]]</f>
        <v>1</v>
      </c>
    </row>
    <row r="1693" spans="1:10" x14ac:dyDescent="0.25">
      <c r="A1693" s="393"/>
      <c r="B1693" s="387"/>
      <c r="C1693" s="388"/>
      <c r="D1693" s="458"/>
      <c r="E1693" s="389"/>
      <c r="F1693" s="390"/>
      <c r="G1693" s="462"/>
      <c r="H1693" s="390"/>
      <c r="I1693" s="402"/>
      <c r="J1693" s="241" t="b">
        <f>Age_Sex_BY[[#This Row],[Total Spending After Applying Truncation at the Member Level]]+Age_Sex_BY[[#This Row],[Total Dollars Excluded from Spending After Applying Truncation at the Member Level]]=Age_Sex_BY[[#This Row],[Total Spending before Truncation is Applied]]</f>
        <v>1</v>
      </c>
    </row>
    <row r="1694" spans="1:10" x14ac:dyDescent="0.25">
      <c r="A1694" s="394"/>
      <c r="B1694" s="395"/>
      <c r="C1694" s="396"/>
      <c r="D1694" s="459"/>
      <c r="E1694" s="397"/>
      <c r="F1694" s="398"/>
      <c r="G1694" s="463"/>
      <c r="H1694" s="398"/>
      <c r="I1694" s="403"/>
      <c r="J1694" s="241" t="b">
        <f>Age_Sex_BY[[#This Row],[Total Spending After Applying Truncation at the Member Level]]+Age_Sex_BY[[#This Row],[Total Dollars Excluded from Spending After Applying Truncation at the Member Level]]=Age_Sex_BY[[#This Row],[Total Spending before Truncation is Applied]]</f>
        <v>1</v>
      </c>
    </row>
    <row r="1695" spans="1:10" x14ac:dyDescent="0.25">
      <c r="A1695" s="393"/>
      <c r="B1695" s="387"/>
      <c r="C1695" s="388"/>
      <c r="D1695" s="458"/>
      <c r="E1695" s="389"/>
      <c r="F1695" s="390"/>
      <c r="G1695" s="462"/>
      <c r="H1695" s="390"/>
      <c r="I1695" s="402"/>
      <c r="J1695" s="241" t="b">
        <f>Age_Sex_BY[[#This Row],[Total Spending After Applying Truncation at the Member Level]]+Age_Sex_BY[[#This Row],[Total Dollars Excluded from Spending After Applying Truncation at the Member Level]]=Age_Sex_BY[[#This Row],[Total Spending before Truncation is Applied]]</f>
        <v>1</v>
      </c>
    </row>
    <row r="1696" spans="1:10" x14ac:dyDescent="0.25">
      <c r="A1696" s="394"/>
      <c r="B1696" s="395"/>
      <c r="C1696" s="396"/>
      <c r="D1696" s="459"/>
      <c r="E1696" s="397"/>
      <c r="F1696" s="398"/>
      <c r="G1696" s="463"/>
      <c r="H1696" s="398"/>
      <c r="I1696" s="403"/>
      <c r="J1696" s="241" t="b">
        <f>Age_Sex_BY[[#This Row],[Total Spending After Applying Truncation at the Member Level]]+Age_Sex_BY[[#This Row],[Total Dollars Excluded from Spending After Applying Truncation at the Member Level]]=Age_Sex_BY[[#This Row],[Total Spending before Truncation is Applied]]</f>
        <v>1</v>
      </c>
    </row>
    <row r="1697" spans="1:10" x14ac:dyDescent="0.25">
      <c r="A1697" s="393"/>
      <c r="B1697" s="387"/>
      <c r="C1697" s="388"/>
      <c r="D1697" s="458"/>
      <c r="E1697" s="389"/>
      <c r="F1697" s="390"/>
      <c r="G1697" s="462"/>
      <c r="H1697" s="390"/>
      <c r="I1697" s="402"/>
      <c r="J1697" s="241" t="b">
        <f>Age_Sex_BY[[#This Row],[Total Spending After Applying Truncation at the Member Level]]+Age_Sex_BY[[#This Row],[Total Dollars Excluded from Spending After Applying Truncation at the Member Level]]=Age_Sex_BY[[#This Row],[Total Spending before Truncation is Applied]]</f>
        <v>1</v>
      </c>
    </row>
    <row r="1698" spans="1:10" x14ac:dyDescent="0.25">
      <c r="A1698" s="394"/>
      <c r="B1698" s="395"/>
      <c r="C1698" s="396"/>
      <c r="D1698" s="459"/>
      <c r="E1698" s="397"/>
      <c r="F1698" s="398"/>
      <c r="G1698" s="463"/>
      <c r="H1698" s="398"/>
      <c r="I1698" s="403"/>
      <c r="J1698" s="241" t="b">
        <f>Age_Sex_BY[[#This Row],[Total Spending After Applying Truncation at the Member Level]]+Age_Sex_BY[[#This Row],[Total Dollars Excluded from Spending After Applying Truncation at the Member Level]]=Age_Sex_BY[[#This Row],[Total Spending before Truncation is Applied]]</f>
        <v>1</v>
      </c>
    </row>
    <row r="1699" spans="1:10" x14ac:dyDescent="0.25">
      <c r="A1699" s="393"/>
      <c r="B1699" s="387"/>
      <c r="C1699" s="388"/>
      <c r="D1699" s="458"/>
      <c r="E1699" s="389"/>
      <c r="F1699" s="390"/>
      <c r="G1699" s="462"/>
      <c r="H1699" s="390"/>
      <c r="I1699" s="402"/>
      <c r="J1699" s="241" t="b">
        <f>Age_Sex_BY[[#This Row],[Total Spending After Applying Truncation at the Member Level]]+Age_Sex_BY[[#This Row],[Total Dollars Excluded from Spending After Applying Truncation at the Member Level]]=Age_Sex_BY[[#This Row],[Total Spending before Truncation is Applied]]</f>
        <v>1</v>
      </c>
    </row>
    <row r="1700" spans="1:10" x14ac:dyDescent="0.25">
      <c r="A1700" s="394"/>
      <c r="B1700" s="395"/>
      <c r="C1700" s="396"/>
      <c r="D1700" s="459"/>
      <c r="E1700" s="397"/>
      <c r="F1700" s="398"/>
      <c r="G1700" s="463"/>
      <c r="H1700" s="398"/>
      <c r="I1700" s="403"/>
      <c r="J1700" s="241" t="b">
        <f>Age_Sex_BY[[#This Row],[Total Spending After Applying Truncation at the Member Level]]+Age_Sex_BY[[#This Row],[Total Dollars Excluded from Spending After Applying Truncation at the Member Level]]=Age_Sex_BY[[#This Row],[Total Spending before Truncation is Applied]]</f>
        <v>1</v>
      </c>
    </row>
    <row r="1701" spans="1:10" x14ac:dyDescent="0.25">
      <c r="A1701" s="393"/>
      <c r="B1701" s="387"/>
      <c r="C1701" s="388"/>
      <c r="D1701" s="458"/>
      <c r="E1701" s="389"/>
      <c r="F1701" s="390"/>
      <c r="G1701" s="462"/>
      <c r="H1701" s="390"/>
      <c r="I1701" s="402"/>
      <c r="J1701" s="241" t="b">
        <f>Age_Sex_BY[[#This Row],[Total Spending After Applying Truncation at the Member Level]]+Age_Sex_BY[[#This Row],[Total Dollars Excluded from Spending After Applying Truncation at the Member Level]]=Age_Sex_BY[[#This Row],[Total Spending before Truncation is Applied]]</f>
        <v>1</v>
      </c>
    </row>
    <row r="1702" spans="1:10" x14ac:dyDescent="0.25">
      <c r="A1702" s="394"/>
      <c r="B1702" s="395"/>
      <c r="C1702" s="396"/>
      <c r="D1702" s="459"/>
      <c r="E1702" s="397"/>
      <c r="F1702" s="398"/>
      <c r="G1702" s="463"/>
      <c r="H1702" s="398"/>
      <c r="I1702" s="403"/>
      <c r="J1702" s="241" t="b">
        <f>Age_Sex_BY[[#This Row],[Total Spending After Applying Truncation at the Member Level]]+Age_Sex_BY[[#This Row],[Total Dollars Excluded from Spending After Applying Truncation at the Member Level]]=Age_Sex_BY[[#This Row],[Total Spending before Truncation is Applied]]</f>
        <v>1</v>
      </c>
    </row>
    <row r="1703" spans="1:10" x14ac:dyDescent="0.25">
      <c r="A1703" s="393"/>
      <c r="B1703" s="387"/>
      <c r="C1703" s="388"/>
      <c r="D1703" s="458"/>
      <c r="E1703" s="389"/>
      <c r="F1703" s="390"/>
      <c r="G1703" s="462"/>
      <c r="H1703" s="390"/>
      <c r="I1703" s="402"/>
      <c r="J1703" s="241" t="b">
        <f>Age_Sex_BY[[#This Row],[Total Spending After Applying Truncation at the Member Level]]+Age_Sex_BY[[#This Row],[Total Dollars Excluded from Spending After Applying Truncation at the Member Level]]=Age_Sex_BY[[#This Row],[Total Spending before Truncation is Applied]]</f>
        <v>1</v>
      </c>
    </row>
    <row r="1704" spans="1:10" x14ac:dyDescent="0.25">
      <c r="A1704" s="394"/>
      <c r="B1704" s="395"/>
      <c r="C1704" s="396"/>
      <c r="D1704" s="459"/>
      <c r="E1704" s="397"/>
      <c r="F1704" s="398"/>
      <c r="G1704" s="463"/>
      <c r="H1704" s="398"/>
      <c r="I1704" s="403"/>
      <c r="J1704" s="241" t="b">
        <f>Age_Sex_BY[[#This Row],[Total Spending After Applying Truncation at the Member Level]]+Age_Sex_BY[[#This Row],[Total Dollars Excluded from Spending After Applying Truncation at the Member Level]]=Age_Sex_BY[[#This Row],[Total Spending before Truncation is Applied]]</f>
        <v>1</v>
      </c>
    </row>
    <row r="1705" spans="1:10" x14ac:dyDescent="0.25">
      <c r="A1705" s="393"/>
      <c r="B1705" s="387"/>
      <c r="C1705" s="388"/>
      <c r="D1705" s="458"/>
      <c r="E1705" s="389"/>
      <c r="F1705" s="390"/>
      <c r="G1705" s="462"/>
      <c r="H1705" s="390"/>
      <c r="I1705" s="402"/>
      <c r="J1705" s="241" t="b">
        <f>Age_Sex_BY[[#This Row],[Total Spending After Applying Truncation at the Member Level]]+Age_Sex_BY[[#This Row],[Total Dollars Excluded from Spending After Applying Truncation at the Member Level]]=Age_Sex_BY[[#This Row],[Total Spending before Truncation is Applied]]</f>
        <v>1</v>
      </c>
    </row>
    <row r="1706" spans="1:10" x14ac:dyDescent="0.25">
      <c r="A1706" s="394"/>
      <c r="B1706" s="395"/>
      <c r="C1706" s="396"/>
      <c r="D1706" s="459"/>
      <c r="E1706" s="397"/>
      <c r="F1706" s="398"/>
      <c r="G1706" s="463"/>
      <c r="H1706" s="398"/>
      <c r="I1706" s="403"/>
      <c r="J1706" s="241" t="b">
        <f>Age_Sex_BY[[#This Row],[Total Spending After Applying Truncation at the Member Level]]+Age_Sex_BY[[#This Row],[Total Dollars Excluded from Spending After Applying Truncation at the Member Level]]=Age_Sex_BY[[#This Row],[Total Spending before Truncation is Applied]]</f>
        <v>1</v>
      </c>
    </row>
    <row r="1707" spans="1:10" x14ac:dyDescent="0.25">
      <c r="A1707" s="393"/>
      <c r="B1707" s="387"/>
      <c r="C1707" s="388"/>
      <c r="D1707" s="458"/>
      <c r="E1707" s="389"/>
      <c r="F1707" s="390"/>
      <c r="G1707" s="462"/>
      <c r="H1707" s="390"/>
      <c r="I1707" s="402"/>
      <c r="J1707" s="241" t="b">
        <f>Age_Sex_BY[[#This Row],[Total Spending After Applying Truncation at the Member Level]]+Age_Sex_BY[[#This Row],[Total Dollars Excluded from Spending After Applying Truncation at the Member Level]]=Age_Sex_BY[[#This Row],[Total Spending before Truncation is Applied]]</f>
        <v>1</v>
      </c>
    </row>
    <row r="1708" spans="1:10" x14ac:dyDescent="0.25">
      <c r="A1708" s="394"/>
      <c r="B1708" s="395"/>
      <c r="C1708" s="396"/>
      <c r="D1708" s="459"/>
      <c r="E1708" s="397"/>
      <c r="F1708" s="398"/>
      <c r="G1708" s="463"/>
      <c r="H1708" s="398"/>
      <c r="I1708" s="403"/>
      <c r="J1708" s="241" t="b">
        <f>Age_Sex_BY[[#This Row],[Total Spending After Applying Truncation at the Member Level]]+Age_Sex_BY[[#This Row],[Total Dollars Excluded from Spending After Applying Truncation at the Member Level]]=Age_Sex_BY[[#This Row],[Total Spending before Truncation is Applied]]</f>
        <v>1</v>
      </c>
    </row>
    <row r="1709" spans="1:10" x14ac:dyDescent="0.25">
      <c r="A1709" s="393"/>
      <c r="B1709" s="387"/>
      <c r="C1709" s="388"/>
      <c r="D1709" s="458"/>
      <c r="E1709" s="389"/>
      <c r="F1709" s="390"/>
      <c r="G1709" s="462"/>
      <c r="H1709" s="390"/>
      <c r="I1709" s="402"/>
      <c r="J1709" s="241" t="b">
        <f>Age_Sex_BY[[#This Row],[Total Spending After Applying Truncation at the Member Level]]+Age_Sex_BY[[#This Row],[Total Dollars Excluded from Spending After Applying Truncation at the Member Level]]=Age_Sex_BY[[#This Row],[Total Spending before Truncation is Applied]]</f>
        <v>1</v>
      </c>
    </row>
    <row r="1710" spans="1:10" x14ac:dyDescent="0.25">
      <c r="A1710" s="394"/>
      <c r="B1710" s="395"/>
      <c r="C1710" s="396"/>
      <c r="D1710" s="459"/>
      <c r="E1710" s="397"/>
      <c r="F1710" s="398"/>
      <c r="G1710" s="463"/>
      <c r="H1710" s="398"/>
      <c r="I1710" s="403"/>
      <c r="J1710" s="241" t="b">
        <f>Age_Sex_BY[[#This Row],[Total Spending After Applying Truncation at the Member Level]]+Age_Sex_BY[[#This Row],[Total Dollars Excluded from Spending After Applying Truncation at the Member Level]]=Age_Sex_BY[[#This Row],[Total Spending before Truncation is Applied]]</f>
        <v>1</v>
      </c>
    </row>
    <row r="1711" spans="1:10" x14ac:dyDescent="0.25">
      <c r="A1711" s="393"/>
      <c r="B1711" s="387"/>
      <c r="C1711" s="388"/>
      <c r="D1711" s="458"/>
      <c r="E1711" s="389"/>
      <c r="F1711" s="390"/>
      <c r="G1711" s="462"/>
      <c r="H1711" s="390"/>
      <c r="I1711" s="402"/>
      <c r="J1711" s="241" t="b">
        <f>Age_Sex_BY[[#This Row],[Total Spending After Applying Truncation at the Member Level]]+Age_Sex_BY[[#This Row],[Total Dollars Excluded from Spending After Applying Truncation at the Member Level]]=Age_Sex_BY[[#This Row],[Total Spending before Truncation is Applied]]</f>
        <v>1</v>
      </c>
    </row>
    <row r="1712" spans="1:10" x14ac:dyDescent="0.25">
      <c r="A1712" s="394"/>
      <c r="B1712" s="395"/>
      <c r="C1712" s="396"/>
      <c r="D1712" s="459"/>
      <c r="E1712" s="397"/>
      <c r="F1712" s="398"/>
      <c r="G1712" s="463"/>
      <c r="H1712" s="398"/>
      <c r="I1712" s="403"/>
      <c r="J1712" s="241" t="b">
        <f>Age_Sex_BY[[#This Row],[Total Spending After Applying Truncation at the Member Level]]+Age_Sex_BY[[#This Row],[Total Dollars Excluded from Spending After Applying Truncation at the Member Level]]=Age_Sex_BY[[#This Row],[Total Spending before Truncation is Applied]]</f>
        <v>1</v>
      </c>
    </row>
    <row r="1713" spans="1:10" x14ac:dyDescent="0.25">
      <c r="A1713" s="393"/>
      <c r="B1713" s="387"/>
      <c r="C1713" s="388"/>
      <c r="D1713" s="458"/>
      <c r="E1713" s="389"/>
      <c r="F1713" s="390"/>
      <c r="G1713" s="462"/>
      <c r="H1713" s="390"/>
      <c r="I1713" s="402"/>
      <c r="J1713" s="241" t="b">
        <f>Age_Sex_BY[[#This Row],[Total Spending After Applying Truncation at the Member Level]]+Age_Sex_BY[[#This Row],[Total Dollars Excluded from Spending After Applying Truncation at the Member Level]]=Age_Sex_BY[[#This Row],[Total Spending before Truncation is Applied]]</f>
        <v>1</v>
      </c>
    </row>
    <row r="1714" spans="1:10" x14ac:dyDescent="0.25">
      <c r="A1714" s="394"/>
      <c r="B1714" s="395"/>
      <c r="C1714" s="396"/>
      <c r="D1714" s="459"/>
      <c r="E1714" s="397"/>
      <c r="F1714" s="398"/>
      <c r="G1714" s="463"/>
      <c r="H1714" s="398"/>
      <c r="I1714" s="403"/>
      <c r="J1714" s="241" t="b">
        <f>Age_Sex_BY[[#This Row],[Total Spending After Applying Truncation at the Member Level]]+Age_Sex_BY[[#This Row],[Total Dollars Excluded from Spending After Applying Truncation at the Member Level]]=Age_Sex_BY[[#This Row],[Total Spending before Truncation is Applied]]</f>
        <v>1</v>
      </c>
    </row>
    <row r="1715" spans="1:10" x14ac:dyDescent="0.25">
      <c r="A1715" s="393"/>
      <c r="B1715" s="387"/>
      <c r="C1715" s="388"/>
      <c r="D1715" s="458"/>
      <c r="E1715" s="389"/>
      <c r="F1715" s="390"/>
      <c r="G1715" s="462"/>
      <c r="H1715" s="390"/>
      <c r="I1715" s="402"/>
      <c r="J1715" s="241" t="b">
        <f>Age_Sex_BY[[#This Row],[Total Spending After Applying Truncation at the Member Level]]+Age_Sex_BY[[#This Row],[Total Dollars Excluded from Spending After Applying Truncation at the Member Level]]=Age_Sex_BY[[#This Row],[Total Spending before Truncation is Applied]]</f>
        <v>1</v>
      </c>
    </row>
    <row r="1716" spans="1:10" x14ac:dyDescent="0.25">
      <c r="A1716" s="394"/>
      <c r="B1716" s="395"/>
      <c r="C1716" s="396"/>
      <c r="D1716" s="459"/>
      <c r="E1716" s="397"/>
      <c r="F1716" s="398"/>
      <c r="G1716" s="463"/>
      <c r="H1716" s="398"/>
      <c r="I1716" s="403"/>
      <c r="J1716" s="241" t="b">
        <f>Age_Sex_BY[[#This Row],[Total Spending After Applying Truncation at the Member Level]]+Age_Sex_BY[[#This Row],[Total Dollars Excluded from Spending After Applying Truncation at the Member Level]]=Age_Sex_BY[[#This Row],[Total Spending before Truncation is Applied]]</f>
        <v>1</v>
      </c>
    </row>
    <row r="1717" spans="1:10" x14ac:dyDescent="0.25">
      <c r="A1717" s="393"/>
      <c r="B1717" s="387"/>
      <c r="C1717" s="388"/>
      <c r="D1717" s="458"/>
      <c r="E1717" s="389"/>
      <c r="F1717" s="390"/>
      <c r="G1717" s="462"/>
      <c r="H1717" s="390"/>
      <c r="I1717" s="402"/>
      <c r="J1717" s="241" t="b">
        <f>Age_Sex_BY[[#This Row],[Total Spending After Applying Truncation at the Member Level]]+Age_Sex_BY[[#This Row],[Total Dollars Excluded from Spending After Applying Truncation at the Member Level]]=Age_Sex_BY[[#This Row],[Total Spending before Truncation is Applied]]</f>
        <v>1</v>
      </c>
    </row>
    <row r="1718" spans="1:10" x14ac:dyDescent="0.25">
      <c r="A1718" s="394"/>
      <c r="B1718" s="395"/>
      <c r="C1718" s="396"/>
      <c r="D1718" s="459"/>
      <c r="E1718" s="397"/>
      <c r="F1718" s="398"/>
      <c r="G1718" s="463"/>
      <c r="H1718" s="398"/>
      <c r="I1718" s="403"/>
      <c r="J1718" s="241" t="b">
        <f>Age_Sex_BY[[#This Row],[Total Spending After Applying Truncation at the Member Level]]+Age_Sex_BY[[#This Row],[Total Dollars Excluded from Spending After Applying Truncation at the Member Level]]=Age_Sex_BY[[#This Row],[Total Spending before Truncation is Applied]]</f>
        <v>1</v>
      </c>
    </row>
    <row r="1719" spans="1:10" x14ac:dyDescent="0.25">
      <c r="A1719" s="393"/>
      <c r="B1719" s="387"/>
      <c r="C1719" s="388"/>
      <c r="D1719" s="458"/>
      <c r="E1719" s="389"/>
      <c r="F1719" s="390"/>
      <c r="G1719" s="462"/>
      <c r="H1719" s="390"/>
      <c r="I1719" s="402"/>
      <c r="J1719" s="241" t="b">
        <f>Age_Sex_BY[[#This Row],[Total Spending After Applying Truncation at the Member Level]]+Age_Sex_BY[[#This Row],[Total Dollars Excluded from Spending After Applying Truncation at the Member Level]]=Age_Sex_BY[[#This Row],[Total Spending before Truncation is Applied]]</f>
        <v>1</v>
      </c>
    </row>
    <row r="1720" spans="1:10" x14ac:dyDescent="0.25">
      <c r="A1720" s="394"/>
      <c r="B1720" s="395"/>
      <c r="C1720" s="396"/>
      <c r="D1720" s="459"/>
      <c r="E1720" s="397"/>
      <c r="F1720" s="398"/>
      <c r="G1720" s="463"/>
      <c r="H1720" s="398"/>
      <c r="I1720" s="403"/>
      <c r="J1720" s="241" t="b">
        <f>Age_Sex_BY[[#This Row],[Total Spending After Applying Truncation at the Member Level]]+Age_Sex_BY[[#This Row],[Total Dollars Excluded from Spending After Applying Truncation at the Member Level]]=Age_Sex_BY[[#This Row],[Total Spending before Truncation is Applied]]</f>
        <v>1</v>
      </c>
    </row>
    <row r="1721" spans="1:10" x14ac:dyDescent="0.25">
      <c r="A1721" s="393"/>
      <c r="B1721" s="387"/>
      <c r="C1721" s="388"/>
      <c r="D1721" s="458"/>
      <c r="E1721" s="389"/>
      <c r="F1721" s="390"/>
      <c r="G1721" s="462"/>
      <c r="H1721" s="390"/>
      <c r="I1721" s="402"/>
      <c r="J1721" s="241" t="b">
        <f>Age_Sex_BY[[#This Row],[Total Spending After Applying Truncation at the Member Level]]+Age_Sex_BY[[#This Row],[Total Dollars Excluded from Spending After Applying Truncation at the Member Level]]=Age_Sex_BY[[#This Row],[Total Spending before Truncation is Applied]]</f>
        <v>1</v>
      </c>
    </row>
    <row r="1722" spans="1:10" x14ac:dyDescent="0.25">
      <c r="A1722" s="394"/>
      <c r="B1722" s="395"/>
      <c r="C1722" s="396"/>
      <c r="D1722" s="459"/>
      <c r="E1722" s="397"/>
      <c r="F1722" s="398"/>
      <c r="G1722" s="463"/>
      <c r="H1722" s="398"/>
      <c r="I1722" s="403"/>
      <c r="J1722" s="241" t="b">
        <f>Age_Sex_BY[[#This Row],[Total Spending After Applying Truncation at the Member Level]]+Age_Sex_BY[[#This Row],[Total Dollars Excluded from Spending After Applying Truncation at the Member Level]]=Age_Sex_BY[[#This Row],[Total Spending before Truncation is Applied]]</f>
        <v>1</v>
      </c>
    </row>
    <row r="1723" spans="1:10" x14ac:dyDescent="0.25">
      <c r="A1723" s="393"/>
      <c r="B1723" s="387"/>
      <c r="C1723" s="388"/>
      <c r="D1723" s="458"/>
      <c r="E1723" s="389"/>
      <c r="F1723" s="390"/>
      <c r="G1723" s="462"/>
      <c r="H1723" s="390"/>
      <c r="I1723" s="402"/>
      <c r="J1723" s="241" t="b">
        <f>Age_Sex_BY[[#This Row],[Total Spending After Applying Truncation at the Member Level]]+Age_Sex_BY[[#This Row],[Total Dollars Excluded from Spending After Applying Truncation at the Member Level]]=Age_Sex_BY[[#This Row],[Total Spending before Truncation is Applied]]</f>
        <v>1</v>
      </c>
    </row>
    <row r="1724" spans="1:10" x14ac:dyDescent="0.25">
      <c r="A1724" s="394"/>
      <c r="B1724" s="395"/>
      <c r="C1724" s="396"/>
      <c r="D1724" s="459"/>
      <c r="E1724" s="397"/>
      <c r="F1724" s="398"/>
      <c r="G1724" s="463"/>
      <c r="H1724" s="398"/>
      <c r="I1724" s="403"/>
      <c r="J1724" s="241" t="b">
        <f>Age_Sex_BY[[#This Row],[Total Spending After Applying Truncation at the Member Level]]+Age_Sex_BY[[#This Row],[Total Dollars Excluded from Spending After Applying Truncation at the Member Level]]=Age_Sex_BY[[#This Row],[Total Spending before Truncation is Applied]]</f>
        <v>1</v>
      </c>
    </row>
    <row r="1725" spans="1:10" x14ac:dyDescent="0.25">
      <c r="A1725" s="393"/>
      <c r="B1725" s="387"/>
      <c r="C1725" s="388"/>
      <c r="D1725" s="458"/>
      <c r="E1725" s="389"/>
      <c r="F1725" s="390"/>
      <c r="G1725" s="462"/>
      <c r="H1725" s="390"/>
      <c r="I1725" s="402"/>
      <c r="J1725" s="241" t="b">
        <f>Age_Sex_BY[[#This Row],[Total Spending After Applying Truncation at the Member Level]]+Age_Sex_BY[[#This Row],[Total Dollars Excluded from Spending After Applying Truncation at the Member Level]]=Age_Sex_BY[[#This Row],[Total Spending before Truncation is Applied]]</f>
        <v>1</v>
      </c>
    </row>
    <row r="1726" spans="1:10" x14ac:dyDescent="0.25">
      <c r="A1726" s="394"/>
      <c r="B1726" s="395"/>
      <c r="C1726" s="396"/>
      <c r="D1726" s="459"/>
      <c r="E1726" s="397"/>
      <c r="F1726" s="398"/>
      <c r="G1726" s="463"/>
      <c r="H1726" s="398"/>
      <c r="I1726" s="403"/>
      <c r="J1726" s="241" t="b">
        <f>Age_Sex_BY[[#This Row],[Total Spending After Applying Truncation at the Member Level]]+Age_Sex_BY[[#This Row],[Total Dollars Excluded from Spending After Applying Truncation at the Member Level]]=Age_Sex_BY[[#This Row],[Total Spending before Truncation is Applied]]</f>
        <v>1</v>
      </c>
    </row>
    <row r="1727" spans="1:10" x14ac:dyDescent="0.25">
      <c r="A1727" s="393"/>
      <c r="B1727" s="387"/>
      <c r="C1727" s="388"/>
      <c r="D1727" s="458"/>
      <c r="E1727" s="389"/>
      <c r="F1727" s="390"/>
      <c r="G1727" s="462"/>
      <c r="H1727" s="390"/>
      <c r="I1727" s="402"/>
      <c r="J1727" s="241" t="b">
        <f>Age_Sex_BY[[#This Row],[Total Spending After Applying Truncation at the Member Level]]+Age_Sex_BY[[#This Row],[Total Dollars Excluded from Spending After Applying Truncation at the Member Level]]=Age_Sex_BY[[#This Row],[Total Spending before Truncation is Applied]]</f>
        <v>1</v>
      </c>
    </row>
    <row r="1728" spans="1:10" x14ac:dyDescent="0.25">
      <c r="A1728" s="394"/>
      <c r="B1728" s="395"/>
      <c r="C1728" s="396"/>
      <c r="D1728" s="459"/>
      <c r="E1728" s="397"/>
      <c r="F1728" s="398"/>
      <c r="G1728" s="463"/>
      <c r="H1728" s="398"/>
      <c r="I1728" s="403"/>
      <c r="J1728" s="241" t="b">
        <f>Age_Sex_BY[[#This Row],[Total Spending After Applying Truncation at the Member Level]]+Age_Sex_BY[[#This Row],[Total Dollars Excluded from Spending After Applying Truncation at the Member Level]]=Age_Sex_BY[[#This Row],[Total Spending before Truncation is Applied]]</f>
        <v>1</v>
      </c>
    </row>
    <row r="1729" spans="1:10" x14ac:dyDescent="0.25">
      <c r="A1729" s="393"/>
      <c r="B1729" s="387"/>
      <c r="C1729" s="388"/>
      <c r="D1729" s="458"/>
      <c r="E1729" s="389"/>
      <c r="F1729" s="390"/>
      <c r="G1729" s="462"/>
      <c r="H1729" s="390"/>
      <c r="I1729" s="402"/>
      <c r="J1729" s="241" t="b">
        <f>Age_Sex_BY[[#This Row],[Total Spending After Applying Truncation at the Member Level]]+Age_Sex_BY[[#This Row],[Total Dollars Excluded from Spending After Applying Truncation at the Member Level]]=Age_Sex_BY[[#This Row],[Total Spending before Truncation is Applied]]</f>
        <v>1</v>
      </c>
    </row>
    <row r="1730" spans="1:10" x14ac:dyDescent="0.25">
      <c r="A1730" s="394"/>
      <c r="B1730" s="395"/>
      <c r="C1730" s="396"/>
      <c r="D1730" s="459"/>
      <c r="E1730" s="397"/>
      <c r="F1730" s="398"/>
      <c r="G1730" s="463"/>
      <c r="H1730" s="398"/>
      <c r="I1730" s="403"/>
      <c r="J1730" s="241" t="b">
        <f>Age_Sex_BY[[#This Row],[Total Spending After Applying Truncation at the Member Level]]+Age_Sex_BY[[#This Row],[Total Dollars Excluded from Spending After Applying Truncation at the Member Level]]=Age_Sex_BY[[#This Row],[Total Spending before Truncation is Applied]]</f>
        <v>1</v>
      </c>
    </row>
    <row r="1731" spans="1:10" x14ac:dyDescent="0.25">
      <c r="A1731" s="393"/>
      <c r="B1731" s="387"/>
      <c r="C1731" s="388"/>
      <c r="D1731" s="458"/>
      <c r="E1731" s="389"/>
      <c r="F1731" s="390"/>
      <c r="G1731" s="462"/>
      <c r="H1731" s="390"/>
      <c r="I1731" s="402"/>
      <c r="J1731" s="241" t="b">
        <f>Age_Sex_BY[[#This Row],[Total Spending After Applying Truncation at the Member Level]]+Age_Sex_BY[[#This Row],[Total Dollars Excluded from Spending After Applying Truncation at the Member Level]]=Age_Sex_BY[[#This Row],[Total Spending before Truncation is Applied]]</f>
        <v>1</v>
      </c>
    </row>
    <row r="1732" spans="1:10" x14ac:dyDescent="0.25">
      <c r="A1732" s="394"/>
      <c r="B1732" s="395"/>
      <c r="C1732" s="396"/>
      <c r="D1732" s="459"/>
      <c r="E1732" s="397"/>
      <c r="F1732" s="398"/>
      <c r="G1732" s="463"/>
      <c r="H1732" s="398"/>
      <c r="I1732" s="403"/>
      <c r="J1732" s="241" t="b">
        <f>Age_Sex_BY[[#This Row],[Total Spending After Applying Truncation at the Member Level]]+Age_Sex_BY[[#This Row],[Total Dollars Excluded from Spending After Applying Truncation at the Member Level]]=Age_Sex_BY[[#This Row],[Total Spending before Truncation is Applied]]</f>
        <v>1</v>
      </c>
    </row>
    <row r="1733" spans="1:10" x14ac:dyDescent="0.25">
      <c r="A1733" s="393"/>
      <c r="B1733" s="387"/>
      <c r="C1733" s="388"/>
      <c r="D1733" s="458"/>
      <c r="E1733" s="389"/>
      <c r="F1733" s="390"/>
      <c r="G1733" s="462"/>
      <c r="H1733" s="390"/>
      <c r="I1733" s="402"/>
      <c r="J1733" s="241" t="b">
        <f>Age_Sex_BY[[#This Row],[Total Spending After Applying Truncation at the Member Level]]+Age_Sex_BY[[#This Row],[Total Dollars Excluded from Spending After Applying Truncation at the Member Level]]=Age_Sex_BY[[#This Row],[Total Spending before Truncation is Applied]]</f>
        <v>1</v>
      </c>
    </row>
    <row r="1734" spans="1:10" x14ac:dyDescent="0.25">
      <c r="A1734" s="394"/>
      <c r="B1734" s="395"/>
      <c r="C1734" s="396"/>
      <c r="D1734" s="459"/>
      <c r="E1734" s="397"/>
      <c r="F1734" s="398"/>
      <c r="G1734" s="463"/>
      <c r="H1734" s="398"/>
      <c r="I1734" s="403"/>
      <c r="J1734" s="241" t="b">
        <f>Age_Sex_BY[[#This Row],[Total Spending After Applying Truncation at the Member Level]]+Age_Sex_BY[[#This Row],[Total Dollars Excluded from Spending After Applying Truncation at the Member Level]]=Age_Sex_BY[[#This Row],[Total Spending before Truncation is Applied]]</f>
        <v>1</v>
      </c>
    </row>
    <row r="1735" spans="1:10" x14ac:dyDescent="0.25">
      <c r="A1735" s="393"/>
      <c r="B1735" s="387"/>
      <c r="C1735" s="388"/>
      <c r="D1735" s="458"/>
      <c r="E1735" s="389"/>
      <c r="F1735" s="390"/>
      <c r="G1735" s="462"/>
      <c r="H1735" s="390"/>
      <c r="I1735" s="402"/>
      <c r="J1735" s="241" t="b">
        <f>Age_Sex_BY[[#This Row],[Total Spending After Applying Truncation at the Member Level]]+Age_Sex_BY[[#This Row],[Total Dollars Excluded from Spending After Applying Truncation at the Member Level]]=Age_Sex_BY[[#This Row],[Total Spending before Truncation is Applied]]</f>
        <v>1</v>
      </c>
    </row>
    <row r="1736" spans="1:10" x14ac:dyDescent="0.25">
      <c r="A1736" s="394"/>
      <c r="B1736" s="395"/>
      <c r="C1736" s="396"/>
      <c r="D1736" s="459"/>
      <c r="E1736" s="397"/>
      <c r="F1736" s="398"/>
      <c r="G1736" s="463"/>
      <c r="H1736" s="398"/>
      <c r="I1736" s="403"/>
      <c r="J1736" s="241" t="b">
        <f>Age_Sex_BY[[#This Row],[Total Spending After Applying Truncation at the Member Level]]+Age_Sex_BY[[#This Row],[Total Dollars Excluded from Spending After Applying Truncation at the Member Level]]=Age_Sex_BY[[#This Row],[Total Spending before Truncation is Applied]]</f>
        <v>1</v>
      </c>
    </row>
    <row r="1737" spans="1:10" x14ac:dyDescent="0.25">
      <c r="A1737" s="393"/>
      <c r="B1737" s="387"/>
      <c r="C1737" s="388"/>
      <c r="D1737" s="458"/>
      <c r="E1737" s="389"/>
      <c r="F1737" s="390"/>
      <c r="G1737" s="462"/>
      <c r="H1737" s="390"/>
      <c r="I1737" s="402"/>
      <c r="J1737" s="241" t="b">
        <f>Age_Sex_BY[[#This Row],[Total Spending After Applying Truncation at the Member Level]]+Age_Sex_BY[[#This Row],[Total Dollars Excluded from Spending After Applying Truncation at the Member Level]]=Age_Sex_BY[[#This Row],[Total Spending before Truncation is Applied]]</f>
        <v>1</v>
      </c>
    </row>
    <row r="1738" spans="1:10" x14ac:dyDescent="0.25">
      <c r="A1738" s="394"/>
      <c r="B1738" s="395"/>
      <c r="C1738" s="396"/>
      <c r="D1738" s="459"/>
      <c r="E1738" s="397"/>
      <c r="F1738" s="398"/>
      <c r="G1738" s="463"/>
      <c r="H1738" s="398"/>
      <c r="I1738" s="403"/>
      <c r="J1738" s="241" t="b">
        <f>Age_Sex_BY[[#This Row],[Total Spending After Applying Truncation at the Member Level]]+Age_Sex_BY[[#This Row],[Total Dollars Excluded from Spending After Applying Truncation at the Member Level]]=Age_Sex_BY[[#This Row],[Total Spending before Truncation is Applied]]</f>
        <v>1</v>
      </c>
    </row>
    <row r="1739" spans="1:10" x14ac:dyDescent="0.25">
      <c r="A1739" s="393"/>
      <c r="B1739" s="387"/>
      <c r="C1739" s="388"/>
      <c r="D1739" s="458"/>
      <c r="E1739" s="389"/>
      <c r="F1739" s="390"/>
      <c r="G1739" s="462"/>
      <c r="H1739" s="390"/>
      <c r="I1739" s="402"/>
      <c r="J1739" s="241" t="b">
        <f>Age_Sex_BY[[#This Row],[Total Spending After Applying Truncation at the Member Level]]+Age_Sex_BY[[#This Row],[Total Dollars Excluded from Spending After Applying Truncation at the Member Level]]=Age_Sex_BY[[#This Row],[Total Spending before Truncation is Applied]]</f>
        <v>1</v>
      </c>
    </row>
    <row r="1740" spans="1:10" x14ac:dyDescent="0.25">
      <c r="A1740" s="394"/>
      <c r="B1740" s="395"/>
      <c r="C1740" s="396"/>
      <c r="D1740" s="459"/>
      <c r="E1740" s="397"/>
      <c r="F1740" s="398"/>
      <c r="G1740" s="463"/>
      <c r="H1740" s="398"/>
      <c r="I1740" s="403"/>
      <c r="J1740" s="241" t="b">
        <f>Age_Sex_BY[[#This Row],[Total Spending After Applying Truncation at the Member Level]]+Age_Sex_BY[[#This Row],[Total Dollars Excluded from Spending After Applying Truncation at the Member Level]]=Age_Sex_BY[[#This Row],[Total Spending before Truncation is Applied]]</f>
        <v>1</v>
      </c>
    </row>
    <row r="1741" spans="1:10" x14ac:dyDescent="0.25">
      <c r="A1741" s="393"/>
      <c r="B1741" s="387"/>
      <c r="C1741" s="388"/>
      <c r="D1741" s="458"/>
      <c r="E1741" s="389"/>
      <c r="F1741" s="390"/>
      <c r="G1741" s="462"/>
      <c r="H1741" s="390"/>
      <c r="I1741" s="402"/>
      <c r="J1741" s="241" t="b">
        <f>Age_Sex_BY[[#This Row],[Total Spending After Applying Truncation at the Member Level]]+Age_Sex_BY[[#This Row],[Total Dollars Excluded from Spending After Applying Truncation at the Member Level]]=Age_Sex_BY[[#This Row],[Total Spending before Truncation is Applied]]</f>
        <v>1</v>
      </c>
    </row>
    <row r="1742" spans="1:10" x14ac:dyDescent="0.25">
      <c r="A1742" s="394"/>
      <c r="B1742" s="395"/>
      <c r="C1742" s="396"/>
      <c r="D1742" s="459"/>
      <c r="E1742" s="397"/>
      <c r="F1742" s="398"/>
      <c r="G1742" s="463"/>
      <c r="H1742" s="398"/>
      <c r="I1742" s="403"/>
      <c r="J1742" s="241" t="b">
        <f>Age_Sex_BY[[#This Row],[Total Spending After Applying Truncation at the Member Level]]+Age_Sex_BY[[#This Row],[Total Dollars Excluded from Spending After Applying Truncation at the Member Level]]=Age_Sex_BY[[#This Row],[Total Spending before Truncation is Applied]]</f>
        <v>1</v>
      </c>
    </row>
    <row r="1743" spans="1:10" x14ac:dyDescent="0.25">
      <c r="A1743" s="393"/>
      <c r="B1743" s="387"/>
      <c r="C1743" s="388"/>
      <c r="D1743" s="458"/>
      <c r="E1743" s="389"/>
      <c r="F1743" s="390"/>
      <c r="G1743" s="462"/>
      <c r="H1743" s="390"/>
      <c r="I1743" s="402"/>
      <c r="J1743" s="241" t="b">
        <f>Age_Sex_BY[[#This Row],[Total Spending After Applying Truncation at the Member Level]]+Age_Sex_BY[[#This Row],[Total Dollars Excluded from Spending After Applying Truncation at the Member Level]]=Age_Sex_BY[[#This Row],[Total Spending before Truncation is Applied]]</f>
        <v>1</v>
      </c>
    </row>
    <row r="1744" spans="1:10" x14ac:dyDescent="0.25">
      <c r="A1744" s="394"/>
      <c r="B1744" s="395"/>
      <c r="C1744" s="396"/>
      <c r="D1744" s="459"/>
      <c r="E1744" s="397"/>
      <c r="F1744" s="398"/>
      <c r="G1744" s="463"/>
      <c r="H1744" s="398"/>
      <c r="I1744" s="403"/>
      <c r="J1744" s="241" t="b">
        <f>Age_Sex_BY[[#This Row],[Total Spending After Applying Truncation at the Member Level]]+Age_Sex_BY[[#This Row],[Total Dollars Excluded from Spending After Applying Truncation at the Member Level]]=Age_Sex_BY[[#This Row],[Total Spending before Truncation is Applied]]</f>
        <v>1</v>
      </c>
    </row>
    <row r="1745" spans="1:10" x14ac:dyDescent="0.25">
      <c r="A1745" s="393"/>
      <c r="B1745" s="387"/>
      <c r="C1745" s="388"/>
      <c r="D1745" s="458"/>
      <c r="E1745" s="389"/>
      <c r="F1745" s="390"/>
      <c r="G1745" s="462"/>
      <c r="H1745" s="390"/>
      <c r="I1745" s="402"/>
      <c r="J1745" s="241" t="b">
        <f>Age_Sex_BY[[#This Row],[Total Spending After Applying Truncation at the Member Level]]+Age_Sex_BY[[#This Row],[Total Dollars Excluded from Spending After Applying Truncation at the Member Level]]=Age_Sex_BY[[#This Row],[Total Spending before Truncation is Applied]]</f>
        <v>1</v>
      </c>
    </row>
    <row r="1746" spans="1:10" x14ac:dyDescent="0.25">
      <c r="A1746" s="394"/>
      <c r="B1746" s="395"/>
      <c r="C1746" s="396"/>
      <c r="D1746" s="459"/>
      <c r="E1746" s="397"/>
      <c r="F1746" s="398"/>
      <c r="G1746" s="463"/>
      <c r="H1746" s="398"/>
      <c r="I1746" s="403"/>
      <c r="J1746" s="241" t="b">
        <f>Age_Sex_BY[[#This Row],[Total Spending After Applying Truncation at the Member Level]]+Age_Sex_BY[[#This Row],[Total Dollars Excluded from Spending After Applying Truncation at the Member Level]]=Age_Sex_BY[[#This Row],[Total Spending before Truncation is Applied]]</f>
        <v>1</v>
      </c>
    </row>
    <row r="1747" spans="1:10" x14ac:dyDescent="0.25">
      <c r="A1747" s="393"/>
      <c r="B1747" s="387"/>
      <c r="C1747" s="388"/>
      <c r="D1747" s="458"/>
      <c r="E1747" s="389"/>
      <c r="F1747" s="390"/>
      <c r="G1747" s="462"/>
      <c r="H1747" s="390"/>
      <c r="I1747" s="402"/>
      <c r="J1747" s="241" t="b">
        <f>Age_Sex_BY[[#This Row],[Total Spending After Applying Truncation at the Member Level]]+Age_Sex_BY[[#This Row],[Total Dollars Excluded from Spending After Applying Truncation at the Member Level]]=Age_Sex_BY[[#This Row],[Total Spending before Truncation is Applied]]</f>
        <v>1</v>
      </c>
    </row>
    <row r="1748" spans="1:10" x14ac:dyDescent="0.25">
      <c r="A1748" s="394"/>
      <c r="B1748" s="395"/>
      <c r="C1748" s="396"/>
      <c r="D1748" s="459"/>
      <c r="E1748" s="397"/>
      <c r="F1748" s="398"/>
      <c r="G1748" s="463"/>
      <c r="H1748" s="398"/>
      <c r="I1748" s="403"/>
      <c r="J1748" s="241" t="b">
        <f>Age_Sex_BY[[#This Row],[Total Spending After Applying Truncation at the Member Level]]+Age_Sex_BY[[#This Row],[Total Dollars Excluded from Spending After Applying Truncation at the Member Level]]=Age_Sex_BY[[#This Row],[Total Spending before Truncation is Applied]]</f>
        <v>1</v>
      </c>
    </row>
    <row r="1749" spans="1:10" x14ac:dyDescent="0.25">
      <c r="A1749" s="393"/>
      <c r="B1749" s="387"/>
      <c r="C1749" s="388"/>
      <c r="D1749" s="458"/>
      <c r="E1749" s="389"/>
      <c r="F1749" s="390"/>
      <c r="G1749" s="462"/>
      <c r="H1749" s="390"/>
      <c r="I1749" s="402"/>
      <c r="J1749" s="241" t="b">
        <f>Age_Sex_BY[[#This Row],[Total Spending After Applying Truncation at the Member Level]]+Age_Sex_BY[[#This Row],[Total Dollars Excluded from Spending After Applying Truncation at the Member Level]]=Age_Sex_BY[[#This Row],[Total Spending before Truncation is Applied]]</f>
        <v>1</v>
      </c>
    </row>
    <row r="1750" spans="1:10" x14ac:dyDescent="0.25">
      <c r="A1750" s="394"/>
      <c r="B1750" s="395"/>
      <c r="C1750" s="396"/>
      <c r="D1750" s="459"/>
      <c r="E1750" s="397"/>
      <c r="F1750" s="398"/>
      <c r="G1750" s="463"/>
      <c r="H1750" s="398"/>
      <c r="I1750" s="403"/>
      <c r="J1750" s="241" t="b">
        <f>Age_Sex_BY[[#This Row],[Total Spending After Applying Truncation at the Member Level]]+Age_Sex_BY[[#This Row],[Total Dollars Excluded from Spending After Applying Truncation at the Member Level]]=Age_Sex_BY[[#This Row],[Total Spending before Truncation is Applied]]</f>
        <v>1</v>
      </c>
    </row>
    <row r="1751" spans="1:10" x14ac:dyDescent="0.25">
      <c r="A1751" s="393"/>
      <c r="B1751" s="387"/>
      <c r="C1751" s="388"/>
      <c r="D1751" s="458"/>
      <c r="E1751" s="389"/>
      <c r="F1751" s="390"/>
      <c r="G1751" s="462"/>
      <c r="H1751" s="390"/>
      <c r="I1751" s="402"/>
      <c r="J1751" s="241" t="b">
        <f>Age_Sex_BY[[#This Row],[Total Spending After Applying Truncation at the Member Level]]+Age_Sex_BY[[#This Row],[Total Dollars Excluded from Spending After Applying Truncation at the Member Level]]=Age_Sex_BY[[#This Row],[Total Spending before Truncation is Applied]]</f>
        <v>1</v>
      </c>
    </row>
    <row r="1752" spans="1:10" x14ac:dyDescent="0.25">
      <c r="A1752" s="394"/>
      <c r="B1752" s="395"/>
      <c r="C1752" s="396"/>
      <c r="D1752" s="459"/>
      <c r="E1752" s="397"/>
      <c r="F1752" s="398"/>
      <c r="G1752" s="463"/>
      <c r="H1752" s="398"/>
      <c r="I1752" s="403"/>
      <c r="J1752" s="241" t="b">
        <f>Age_Sex_BY[[#This Row],[Total Spending After Applying Truncation at the Member Level]]+Age_Sex_BY[[#This Row],[Total Dollars Excluded from Spending After Applying Truncation at the Member Level]]=Age_Sex_BY[[#This Row],[Total Spending before Truncation is Applied]]</f>
        <v>1</v>
      </c>
    </row>
    <row r="1753" spans="1:10" x14ac:dyDescent="0.25">
      <c r="A1753" s="393"/>
      <c r="B1753" s="387"/>
      <c r="C1753" s="388"/>
      <c r="D1753" s="458"/>
      <c r="E1753" s="389"/>
      <c r="F1753" s="390"/>
      <c r="G1753" s="462"/>
      <c r="H1753" s="390"/>
      <c r="I1753" s="402"/>
      <c r="J1753" s="241" t="b">
        <f>Age_Sex_BY[[#This Row],[Total Spending After Applying Truncation at the Member Level]]+Age_Sex_BY[[#This Row],[Total Dollars Excluded from Spending After Applying Truncation at the Member Level]]=Age_Sex_BY[[#This Row],[Total Spending before Truncation is Applied]]</f>
        <v>1</v>
      </c>
    </row>
    <row r="1754" spans="1:10" x14ac:dyDescent="0.25">
      <c r="A1754" s="394"/>
      <c r="B1754" s="395"/>
      <c r="C1754" s="396"/>
      <c r="D1754" s="459"/>
      <c r="E1754" s="397"/>
      <c r="F1754" s="398"/>
      <c r="G1754" s="463"/>
      <c r="H1754" s="398"/>
      <c r="I1754" s="403"/>
      <c r="J1754" s="241" t="b">
        <f>Age_Sex_BY[[#This Row],[Total Spending After Applying Truncation at the Member Level]]+Age_Sex_BY[[#This Row],[Total Dollars Excluded from Spending After Applying Truncation at the Member Level]]=Age_Sex_BY[[#This Row],[Total Spending before Truncation is Applied]]</f>
        <v>1</v>
      </c>
    </row>
    <row r="1755" spans="1:10" x14ac:dyDescent="0.25">
      <c r="A1755" s="393"/>
      <c r="B1755" s="387"/>
      <c r="C1755" s="388"/>
      <c r="D1755" s="458"/>
      <c r="E1755" s="389"/>
      <c r="F1755" s="390"/>
      <c r="G1755" s="462"/>
      <c r="H1755" s="390"/>
      <c r="I1755" s="402"/>
      <c r="J1755" s="241" t="b">
        <f>Age_Sex_BY[[#This Row],[Total Spending After Applying Truncation at the Member Level]]+Age_Sex_BY[[#This Row],[Total Dollars Excluded from Spending After Applying Truncation at the Member Level]]=Age_Sex_BY[[#This Row],[Total Spending before Truncation is Applied]]</f>
        <v>1</v>
      </c>
    </row>
    <row r="1756" spans="1:10" x14ac:dyDescent="0.25">
      <c r="A1756" s="394"/>
      <c r="B1756" s="395"/>
      <c r="C1756" s="396"/>
      <c r="D1756" s="459"/>
      <c r="E1756" s="397"/>
      <c r="F1756" s="398"/>
      <c r="G1756" s="463"/>
      <c r="H1756" s="398"/>
      <c r="I1756" s="403"/>
      <c r="J1756" s="241" t="b">
        <f>Age_Sex_BY[[#This Row],[Total Spending After Applying Truncation at the Member Level]]+Age_Sex_BY[[#This Row],[Total Dollars Excluded from Spending After Applying Truncation at the Member Level]]=Age_Sex_BY[[#This Row],[Total Spending before Truncation is Applied]]</f>
        <v>1</v>
      </c>
    </row>
    <row r="1757" spans="1:10" x14ac:dyDescent="0.25">
      <c r="A1757" s="393"/>
      <c r="B1757" s="387"/>
      <c r="C1757" s="388"/>
      <c r="D1757" s="458"/>
      <c r="E1757" s="389"/>
      <c r="F1757" s="390"/>
      <c r="G1757" s="462"/>
      <c r="H1757" s="390"/>
      <c r="I1757" s="402"/>
      <c r="J1757" s="241" t="b">
        <f>Age_Sex_BY[[#This Row],[Total Spending After Applying Truncation at the Member Level]]+Age_Sex_BY[[#This Row],[Total Dollars Excluded from Spending After Applying Truncation at the Member Level]]=Age_Sex_BY[[#This Row],[Total Spending before Truncation is Applied]]</f>
        <v>1</v>
      </c>
    </row>
    <row r="1758" spans="1:10" x14ac:dyDescent="0.25">
      <c r="A1758" s="394"/>
      <c r="B1758" s="395"/>
      <c r="C1758" s="396"/>
      <c r="D1758" s="459"/>
      <c r="E1758" s="397"/>
      <c r="F1758" s="398"/>
      <c r="G1758" s="463"/>
      <c r="H1758" s="398"/>
      <c r="I1758" s="403"/>
      <c r="J1758" s="241" t="b">
        <f>Age_Sex_BY[[#This Row],[Total Spending After Applying Truncation at the Member Level]]+Age_Sex_BY[[#This Row],[Total Dollars Excluded from Spending After Applying Truncation at the Member Level]]=Age_Sex_BY[[#This Row],[Total Spending before Truncation is Applied]]</f>
        <v>1</v>
      </c>
    </row>
    <row r="1759" spans="1:10" x14ac:dyDescent="0.25">
      <c r="A1759" s="393"/>
      <c r="B1759" s="387"/>
      <c r="C1759" s="388"/>
      <c r="D1759" s="458"/>
      <c r="E1759" s="389"/>
      <c r="F1759" s="390"/>
      <c r="G1759" s="462"/>
      <c r="H1759" s="390"/>
      <c r="I1759" s="402"/>
      <c r="J1759" s="241" t="b">
        <f>Age_Sex_BY[[#This Row],[Total Spending After Applying Truncation at the Member Level]]+Age_Sex_BY[[#This Row],[Total Dollars Excluded from Spending After Applying Truncation at the Member Level]]=Age_Sex_BY[[#This Row],[Total Spending before Truncation is Applied]]</f>
        <v>1</v>
      </c>
    </row>
    <row r="1760" spans="1:10" x14ac:dyDescent="0.25">
      <c r="A1760" s="394"/>
      <c r="B1760" s="395"/>
      <c r="C1760" s="396"/>
      <c r="D1760" s="459"/>
      <c r="E1760" s="397"/>
      <c r="F1760" s="398"/>
      <c r="G1760" s="463"/>
      <c r="H1760" s="398"/>
      <c r="I1760" s="403"/>
      <c r="J1760" s="241" t="b">
        <f>Age_Sex_BY[[#This Row],[Total Spending After Applying Truncation at the Member Level]]+Age_Sex_BY[[#This Row],[Total Dollars Excluded from Spending After Applying Truncation at the Member Level]]=Age_Sex_BY[[#This Row],[Total Spending before Truncation is Applied]]</f>
        <v>1</v>
      </c>
    </row>
    <row r="1761" spans="1:10" x14ac:dyDescent="0.25">
      <c r="A1761" s="393"/>
      <c r="B1761" s="387"/>
      <c r="C1761" s="388"/>
      <c r="D1761" s="458"/>
      <c r="E1761" s="389"/>
      <c r="F1761" s="390"/>
      <c r="G1761" s="462"/>
      <c r="H1761" s="390"/>
      <c r="I1761" s="402"/>
      <c r="J1761" s="241" t="b">
        <f>Age_Sex_BY[[#This Row],[Total Spending After Applying Truncation at the Member Level]]+Age_Sex_BY[[#This Row],[Total Dollars Excluded from Spending After Applying Truncation at the Member Level]]=Age_Sex_BY[[#This Row],[Total Spending before Truncation is Applied]]</f>
        <v>1</v>
      </c>
    </row>
    <row r="1762" spans="1:10" x14ac:dyDescent="0.25">
      <c r="A1762" s="394"/>
      <c r="B1762" s="395"/>
      <c r="C1762" s="396"/>
      <c r="D1762" s="459"/>
      <c r="E1762" s="397"/>
      <c r="F1762" s="398"/>
      <c r="G1762" s="463"/>
      <c r="H1762" s="398"/>
      <c r="I1762" s="403"/>
      <c r="J1762" s="241" t="b">
        <f>Age_Sex_BY[[#This Row],[Total Spending After Applying Truncation at the Member Level]]+Age_Sex_BY[[#This Row],[Total Dollars Excluded from Spending After Applying Truncation at the Member Level]]=Age_Sex_BY[[#This Row],[Total Spending before Truncation is Applied]]</f>
        <v>1</v>
      </c>
    </row>
    <row r="1763" spans="1:10" x14ac:dyDescent="0.25">
      <c r="A1763" s="393"/>
      <c r="B1763" s="387"/>
      <c r="C1763" s="388"/>
      <c r="D1763" s="458"/>
      <c r="E1763" s="389"/>
      <c r="F1763" s="390"/>
      <c r="G1763" s="462"/>
      <c r="H1763" s="390"/>
      <c r="I1763" s="402"/>
      <c r="J1763" s="241" t="b">
        <f>Age_Sex_BY[[#This Row],[Total Spending After Applying Truncation at the Member Level]]+Age_Sex_BY[[#This Row],[Total Dollars Excluded from Spending After Applying Truncation at the Member Level]]=Age_Sex_BY[[#This Row],[Total Spending before Truncation is Applied]]</f>
        <v>1</v>
      </c>
    </row>
    <row r="1764" spans="1:10" x14ac:dyDescent="0.25">
      <c r="A1764" s="394"/>
      <c r="B1764" s="395"/>
      <c r="C1764" s="396"/>
      <c r="D1764" s="459"/>
      <c r="E1764" s="397"/>
      <c r="F1764" s="398"/>
      <c r="G1764" s="463"/>
      <c r="H1764" s="398"/>
      <c r="I1764" s="403"/>
      <c r="J1764" s="241" t="b">
        <f>Age_Sex_BY[[#This Row],[Total Spending After Applying Truncation at the Member Level]]+Age_Sex_BY[[#This Row],[Total Dollars Excluded from Spending After Applying Truncation at the Member Level]]=Age_Sex_BY[[#This Row],[Total Spending before Truncation is Applied]]</f>
        <v>1</v>
      </c>
    </row>
    <row r="1765" spans="1:10" x14ac:dyDescent="0.25">
      <c r="A1765" s="393"/>
      <c r="B1765" s="387"/>
      <c r="C1765" s="388"/>
      <c r="D1765" s="458"/>
      <c r="E1765" s="389"/>
      <c r="F1765" s="390"/>
      <c r="G1765" s="462"/>
      <c r="H1765" s="390"/>
      <c r="I1765" s="402"/>
      <c r="J1765" s="241" t="b">
        <f>Age_Sex_BY[[#This Row],[Total Spending After Applying Truncation at the Member Level]]+Age_Sex_BY[[#This Row],[Total Dollars Excluded from Spending After Applying Truncation at the Member Level]]=Age_Sex_BY[[#This Row],[Total Spending before Truncation is Applied]]</f>
        <v>1</v>
      </c>
    </row>
    <row r="1766" spans="1:10" x14ac:dyDescent="0.25">
      <c r="A1766" s="394"/>
      <c r="B1766" s="395"/>
      <c r="C1766" s="396"/>
      <c r="D1766" s="459"/>
      <c r="E1766" s="397"/>
      <c r="F1766" s="398"/>
      <c r="G1766" s="463"/>
      <c r="H1766" s="398"/>
      <c r="I1766" s="403"/>
      <c r="J1766" s="241" t="b">
        <f>Age_Sex_BY[[#This Row],[Total Spending After Applying Truncation at the Member Level]]+Age_Sex_BY[[#This Row],[Total Dollars Excluded from Spending After Applying Truncation at the Member Level]]=Age_Sex_BY[[#This Row],[Total Spending before Truncation is Applied]]</f>
        <v>1</v>
      </c>
    </row>
    <row r="1767" spans="1:10" x14ac:dyDescent="0.25">
      <c r="A1767" s="393"/>
      <c r="B1767" s="387"/>
      <c r="C1767" s="388"/>
      <c r="D1767" s="458"/>
      <c r="E1767" s="389"/>
      <c r="F1767" s="390"/>
      <c r="G1767" s="462"/>
      <c r="H1767" s="390"/>
      <c r="I1767" s="402"/>
      <c r="J1767" s="241" t="b">
        <f>Age_Sex_BY[[#This Row],[Total Spending After Applying Truncation at the Member Level]]+Age_Sex_BY[[#This Row],[Total Dollars Excluded from Spending After Applying Truncation at the Member Level]]=Age_Sex_BY[[#This Row],[Total Spending before Truncation is Applied]]</f>
        <v>1</v>
      </c>
    </row>
    <row r="1768" spans="1:10" x14ac:dyDescent="0.25">
      <c r="A1768" s="394"/>
      <c r="B1768" s="395"/>
      <c r="C1768" s="396"/>
      <c r="D1768" s="459"/>
      <c r="E1768" s="397"/>
      <c r="F1768" s="398"/>
      <c r="G1768" s="463"/>
      <c r="H1768" s="398"/>
      <c r="I1768" s="403"/>
      <c r="J1768" s="241" t="b">
        <f>Age_Sex_BY[[#This Row],[Total Spending After Applying Truncation at the Member Level]]+Age_Sex_BY[[#This Row],[Total Dollars Excluded from Spending After Applying Truncation at the Member Level]]=Age_Sex_BY[[#This Row],[Total Spending before Truncation is Applied]]</f>
        <v>1</v>
      </c>
    </row>
    <row r="1769" spans="1:10" x14ac:dyDescent="0.25">
      <c r="A1769" s="393"/>
      <c r="B1769" s="387"/>
      <c r="C1769" s="388"/>
      <c r="D1769" s="458"/>
      <c r="E1769" s="389"/>
      <c r="F1769" s="390"/>
      <c r="G1769" s="462"/>
      <c r="H1769" s="390"/>
      <c r="I1769" s="402"/>
      <c r="J1769" s="241" t="b">
        <f>Age_Sex_BY[[#This Row],[Total Spending After Applying Truncation at the Member Level]]+Age_Sex_BY[[#This Row],[Total Dollars Excluded from Spending After Applying Truncation at the Member Level]]=Age_Sex_BY[[#This Row],[Total Spending before Truncation is Applied]]</f>
        <v>1</v>
      </c>
    </row>
    <row r="1770" spans="1:10" x14ac:dyDescent="0.25">
      <c r="A1770" s="394"/>
      <c r="B1770" s="395"/>
      <c r="C1770" s="396"/>
      <c r="D1770" s="459"/>
      <c r="E1770" s="397"/>
      <c r="F1770" s="398"/>
      <c r="G1770" s="463"/>
      <c r="H1770" s="398"/>
      <c r="I1770" s="403"/>
      <c r="J1770" s="241" t="b">
        <f>Age_Sex_BY[[#This Row],[Total Spending After Applying Truncation at the Member Level]]+Age_Sex_BY[[#This Row],[Total Dollars Excluded from Spending After Applying Truncation at the Member Level]]=Age_Sex_BY[[#This Row],[Total Spending before Truncation is Applied]]</f>
        <v>1</v>
      </c>
    </row>
    <row r="1771" spans="1:10" x14ac:dyDescent="0.25">
      <c r="A1771" s="393"/>
      <c r="B1771" s="387"/>
      <c r="C1771" s="388"/>
      <c r="D1771" s="458"/>
      <c r="E1771" s="389"/>
      <c r="F1771" s="390"/>
      <c r="G1771" s="462"/>
      <c r="H1771" s="390"/>
      <c r="I1771" s="402"/>
      <c r="J1771" s="241" t="b">
        <f>Age_Sex_BY[[#This Row],[Total Spending After Applying Truncation at the Member Level]]+Age_Sex_BY[[#This Row],[Total Dollars Excluded from Spending After Applying Truncation at the Member Level]]=Age_Sex_BY[[#This Row],[Total Spending before Truncation is Applied]]</f>
        <v>1</v>
      </c>
    </row>
    <row r="1772" spans="1:10" x14ac:dyDescent="0.25">
      <c r="A1772" s="394"/>
      <c r="B1772" s="395"/>
      <c r="C1772" s="396"/>
      <c r="D1772" s="459"/>
      <c r="E1772" s="397"/>
      <c r="F1772" s="398"/>
      <c r="G1772" s="463"/>
      <c r="H1772" s="398"/>
      <c r="I1772" s="403"/>
      <c r="J1772" s="241" t="b">
        <f>Age_Sex_BY[[#This Row],[Total Spending After Applying Truncation at the Member Level]]+Age_Sex_BY[[#This Row],[Total Dollars Excluded from Spending After Applying Truncation at the Member Level]]=Age_Sex_BY[[#This Row],[Total Spending before Truncation is Applied]]</f>
        <v>1</v>
      </c>
    </row>
    <row r="1773" spans="1:10" x14ac:dyDescent="0.25">
      <c r="A1773" s="393"/>
      <c r="B1773" s="387"/>
      <c r="C1773" s="388"/>
      <c r="D1773" s="458"/>
      <c r="E1773" s="389"/>
      <c r="F1773" s="390"/>
      <c r="G1773" s="462"/>
      <c r="H1773" s="390"/>
      <c r="I1773" s="402"/>
      <c r="J1773" s="241" t="b">
        <f>Age_Sex_BY[[#This Row],[Total Spending After Applying Truncation at the Member Level]]+Age_Sex_BY[[#This Row],[Total Dollars Excluded from Spending After Applying Truncation at the Member Level]]=Age_Sex_BY[[#This Row],[Total Spending before Truncation is Applied]]</f>
        <v>1</v>
      </c>
    </row>
    <row r="1774" spans="1:10" x14ac:dyDescent="0.25">
      <c r="A1774" s="394"/>
      <c r="B1774" s="395"/>
      <c r="C1774" s="396"/>
      <c r="D1774" s="459"/>
      <c r="E1774" s="397"/>
      <c r="F1774" s="398"/>
      <c r="G1774" s="463"/>
      <c r="H1774" s="398"/>
      <c r="I1774" s="403"/>
      <c r="J1774" s="241" t="b">
        <f>Age_Sex_BY[[#This Row],[Total Spending After Applying Truncation at the Member Level]]+Age_Sex_BY[[#This Row],[Total Dollars Excluded from Spending After Applying Truncation at the Member Level]]=Age_Sex_BY[[#This Row],[Total Spending before Truncation is Applied]]</f>
        <v>1</v>
      </c>
    </row>
    <row r="1775" spans="1:10" x14ac:dyDescent="0.25">
      <c r="A1775" s="393"/>
      <c r="B1775" s="387"/>
      <c r="C1775" s="388"/>
      <c r="D1775" s="458"/>
      <c r="E1775" s="389"/>
      <c r="F1775" s="390"/>
      <c r="G1775" s="462"/>
      <c r="H1775" s="390"/>
      <c r="I1775" s="402"/>
      <c r="J1775" s="241" t="b">
        <f>Age_Sex_BY[[#This Row],[Total Spending After Applying Truncation at the Member Level]]+Age_Sex_BY[[#This Row],[Total Dollars Excluded from Spending After Applying Truncation at the Member Level]]=Age_Sex_BY[[#This Row],[Total Spending before Truncation is Applied]]</f>
        <v>1</v>
      </c>
    </row>
    <row r="1776" spans="1:10" x14ac:dyDescent="0.25">
      <c r="A1776" s="394"/>
      <c r="B1776" s="395"/>
      <c r="C1776" s="396"/>
      <c r="D1776" s="459"/>
      <c r="E1776" s="397"/>
      <c r="F1776" s="398"/>
      <c r="G1776" s="463"/>
      <c r="H1776" s="398"/>
      <c r="I1776" s="403"/>
      <c r="J1776" s="241" t="b">
        <f>Age_Sex_BY[[#This Row],[Total Spending After Applying Truncation at the Member Level]]+Age_Sex_BY[[#This Row],[Total Dollars Excluded from Spending After Applying Truncation at the Member Level]]=Age_Sex_BY[[#This Row],[Total Spending before Truncation is Applied]]</f>
        <v>1</v>
      </c>
    </row>
    <row r="1777" spans="1:10" x14ac:dyDescent="0.25">
      <c r="A1777" s="393"/>
      <c r="B1777" s="387"/>
      <c r="C1777" s="388"/>
      <c r="D1777" s="458"/>
      <c r="E1777" s="389"/>
      <c r="F1777" s="390"/>
      <c r="G1777" s="462"/>
      <c r="H1777" s="390"/>
      <c r="I1777" s="402"/>
      <c r="J1777" s="241" t="b">
        <f>Age_Sex_BY[[#This Row],[Total Spending After Applying Truncation at the Member Level]]+Age_Sex_BY[[#This Row],[Total Dollars Excluded from Spending After Applying Truncation at the Member Level]]=Age_Sex_BY[[#This Row],[Total Spending before Truncation is Applied]]</f>
        <v>1</v>
      </c>
    </row>
    <row r="1778" spans="1:10" x14ac:dyDescent="0.25">
      <c r="A1778" s="394"/>
      <c r="B1778" s="395"/>
      <c r="C1778" s="396"/>
      <c r="D1778" s="459"/>
      <c r="E1778" s="397"/>
      <c r="F1778" s="398"/>
      <c r="G1778" s="463"/>
      <c r="H1778" s="398"/>
      <c r="I1778" s="403"/>
      <c r="J1778" s="241" t="b">
        <f>Age_Sex_BY[[#This Row],[Total Spending After Applying Truncation at the Member Level]]+Age_Sex_BY[[#This Row],[Total Dollars Excluded from Spending After Applying Truncation at the Member Level]]=Age_Sex_BY[[#This Row],[Total Spending before Truncation is Applied]]</f>
        <v>1</v>
      </c>
    </row>
    <row r="1779" spans="1:10" x14ac:dyDescent="0.25">
      <c r="A1779" s="393"/>
      <c r="B1779" s="387"/>
      <c r="C1779" s="388"/>
      <c r="D1779" s="458"/>
      <c r="E1779" s="389"/>
      <c r="F1779" s="390"/>
      <c r="G1779" s="462"/>
      <c r="H1779" s="390"/>
      <c r="I1779" s="402"/>
      <c r="J1779" s="241" t="b">
        <f>Age_Sex_BY[[#This Row],[Total Spending After Applying Truncation at the Member Level]]+Age_Sex_BY[[#This Row],[Total Dollars Excluded from Spending After Applying Truncation at the Member Level]]=Age_Sex_BY[[#This Row],[Total Spending before Truncation is Applied]]</f>
        <v>1</v>
      </c>
    </row>
    <row r="1780" spans="1:10" x14ac:dyDescent="0.25">
      <c r="A1780" s="394"/>
      <c r="B1780" s="395"/>
      <c r="C1780" s="396"/>
      <c r="D1780" s="459"/>
      <c r="E1780" s="397"/>
      <c r="F1780" s="398"/>
      <c r="G1780" s="463"/>
      <c r="H1780" s="398"/>
      <c r="I1780" s="403"/>
      <c r="J1780" s="241" t="b">
        <f>Age_Sex_BY[[#This Row],[Total Spending After Applying Truncation at the Member Level]]+Age_Sex_BY[[#This Row],[Total Dollars Excluded from Spending After Applying Truncation at the Member Level]]=Age_Sex_BY[[#This Row],[Total Spending before Truncation is Applied]]</f>
        <v>1</v>
      </c>
    </row>
    <row r="1781" spans="1:10" x14ac:dyDescent="0.25">
      <c r="A1781" s="393"/>
      <c r="B1781" s="387"/>
      <c r="C1781" s="388"/>
      <c r="D1781" s="458"/>
      <c r="E1781" s="389"/>
      <c r="F1781" s="390"/>
      <c r="G1781" s="462"/>
      <c r="H1781" s="390"/>
      <c r="I1781" s="402"/>
      <c r="J1781" s="241" t="b">
        <f>Age_Sex_BY[[#This Row],[Total Spending After Applying Truncation at the Member Level]]+Age_Sex_BY[[#This Row],[Total Dollars Excluded from Spending After Applying Truncation at the Member Level]]=Age_Sex_BY[[#This Row],[Total Spending before Truncation is Applied]]</f>
        <v>1</v>
      </c>
    </row>
    <row r="1782" spans="1:10" x14ac:dyDescent="0.25">
      <c r="A1782" s="394"/>
      <c r="B1782" s="395"/>
      <c r="C1782" s="396"/>
      <c r="D1782" s="459"/>
      <c r="E1782" s="397"/>
      <c r="F1782" s="398"/>
      <c r="G1782" s="463"/>
      <c r="H1782" s="398"/>
      <c r="I1782" s="403"/>
      <c r="J1782" s="241" t="b">
        <f>Age_Sex_BY[[#This Row],[Total Spending After Applying Truncation at the Member Level]]+Age_Sex_BY[[#This Row],[Total Dollars Excluded from Spending After Applying Truncation at the Member Level]]=Age_Sex_BY[[#This Row],[Total Spending before Truncation is Applied]]</f>
        <v>1</v>
      </c>
    </row>
    <row r="1783" spans="1:10" x14ac:dyDescent="0.25">
      <c r="A1783" s="393"/>
      <c r="B1783" s="387"/>
      <c r="C1783" s="388"/>
      <c r="D1783" s="458"/>
      <c r="E1783" s="389"/>
      <c r="F1783" s="390"/>
      <c r="G1783" s="462"/>
      <c r="H1783" s="390"/>
      <c r="I1783" s="402"/>
      <c r="J1783" s="241" t="b">
        <f>Age_Sex_BY[[#This Row],[Total Spending After Applying Truncation at the Member Level]]+Age_Sex_BY[[#This Row],[Total Dollars Excluded from Spending After Applying Truncation at the Member Level]]=Age_Sex_BY[[#This Row],[Total Spending before Truncation is Applied]]</f>
        <v>1</v>
      </c>
    </row>
    <row r="1784" spans="1:10" x14ac:dyDescent="0.25">
      <c r="A1784" s="394"/>
      <c r="B1784" s="395"/>
      <c r="C1784" s="396"/>
      <c r="D1784" s="459"/>
      <c r="E1784" s="397"/>
      <c r="F1784" s="398"/>
      <c r="G1784" s="463"/>
      <c r="H1784" s="398"/>
      <c r="I1784" s="403"/>
      <c r="J1784" s="241" t="b">
        <f>Age_Sex_BY[[#This Row],[Total Spending After Applying Truncation at the Member Level]]+Age_Sex_BY[[#This Row],[Total Dollars Excluded from Spending After Applying Truncation at the Member Level]]=Age_Sex_BY[[#This Row],[Total Spending before Truncation is Applied]]</f>
        <v>1</v>
      </c>
    </row>
    <row r="1785" spans="1:10" x14ac:dyDescent="0.25">
      <c r="A1785" s="393"/>
      <c r="B1785" s="387"/>
      <c r="C1785" s="388"/>
      <c r="D1785" s="458"/>
      <c r="E1785" s="389"/>
      <c r="F1785" s="390"/>
      <c r="G1785" s="462"/>
      <c r="H1785" s="390"/>
      <c r="I1785" s="402"/>
      <c r="J1785" s="241" t="b">
        <f>Age_Sex_BY[[#This Row],[Total Spending After Applying Truncation at the Member Level]]+Age_Sex_BY[[#This Row],[Total Dollars Excluded from Spending After Applying Truncation at the Member Level]]=Age_Sex_BY[[#This Row],[Total Spending before Truncation is Applied]]</f>
        <v>1</v>
      </c>
    </row>
    <row r="1786" spans="1:10" x14ac:dyDescent="0.25">
      <c r="A1786" s="394"/>
      <c r="B1786" s="395"/>
      <c r="C1786" s="396"/>
      <c r="D1786" s="459"/>
      <c r="E1786" s="397"/>
      <c r="F1786" s="398"/>
      <c r="G1786" s="463"/>
      <c r="H1786" s="398"/>
      <c r="I1786" s="403"/>
      <c r="J1786" s="241" t="b">
        <f>Age_Sex_BY[[#This Row],[Total Spending After Applying Truncation at the Member Level]]+Age_Sex_BY[[#This Row],[Total Dollars Excluded from Spending After Applying Truncation at the Member Level]]=Age_Sex_BY[[#This Row],[Total Spending before Truncation is Applied]]</f>
        <v>1</v>
      </c>
    </row>
    <row r="1787" spans="1:10" x14ac:dyDescent="0.25">
      <c r="A1787" s="393"/>
      <c r="B1787" s="387"/>
      <c r="C1787" s="388"/>
      <c r="D1787" s="458"/>
      <c r="E1787" s="389"/>
      <c r="F1787" s="390"/>
      <c r="G1787" s="462"/>
      <c r="H1787" s="390"/>
      <c r="I1787" s="402"/>
      <c r="J1787" s="241" t="b">
        <f>Age_Sex_BY[[#This Row],[Total Spending After Applying Truncation at the Member Level]]+Age_Sex_BY[[#This Row],[Total Dollars Excluded from Spending After Applying Truncation at the Member Level]]=Age_Sex_BY[[#This Row],[Total Spending before Truncation is Applied]]</f>
        <v>1</v>
      </c>
    </row>
    <row r="1788" spans="1:10" x14ac:dyDescent="0.25">
      <c r="A1788" s="394"/>
      <c r="B1788" s="395"/>
      <c r="C1788" s="396"/>
      <c r="D1788" s="459"/>
      <c r="E1788" s="397"/>
      <c r="F1788" s="398"/>
      <c r="G1788" s="463"/>
      <c r="H1788" s="398"/>
      <c r="I1788" s="403"/>
      <c r="J1788" s="241" t="b">
        <f>Age_Sex_BY[[#This Row],[Total Spending After Applying Truncation at the Member Level]]+Age_Sex_BY[[#This Row],[Total Dollars Excluded from Spending After Applying Truncation at the Member Level]]=Age_Sex_BY[[#This Row],[Total Spending before Truncation is Applied]]</f>
        <v>1</v>
      </c>
    </row>
    <row r="1789" spans="1:10" x14ac:dyDescent="0.25">
      <c r="A1789" s="393"/>
      <c r="B1789" s="387"/>
      <c r="C1789" s="388"/>
      <c r="D1789" s="458"/>
      <c r="E1789" s="389"/>
      <c r="F1789" s="390"/>
      <c r="G1789" s="462"/>
      <c r="H1789" s="390"/>
      <c r="I1789" s="402"/>
      <c r="J1789" s="241" t="b">
        <f>Age_Sex_BY[[#This Row],[Total Spending After Applying Truncation at the Member Level]]+Age_Sex_BY[[#This Row],[Total Dollars Excluded from Spending After Applying Truncation at the Member Level]]=Age_Sex_BY[[#This Row],[Total Spending before Truncation is Applied]]</f>
        <v>1</v>
      </c>
    </row>
    <row r="1790" spans="1:10" x14ac:dyDescent="0.25">
      <c r="A1790" s="394"/>
      <c r="B1790" s="395"/>
      <c r="C1790" s="396"/>
      <c r="D1790" s="459"/>
      <c r="E1790" s="397"/>
      <c r="F1790" s="398"/>
      <c r="G1790" s="463"/>
      <c r="H1790" s="398"/>
      <c r="I1790" s="403"/>
      <c r="J1790" s="241" t="b">
        <f>Age_Sex_BY[[#This Row],[Total Spending After Applying Truncation at the Member Level]]+Age_Sex_BY[[#This Row],[Total Dollars Excluded from Spending After Applying Truncation at the Member Level]]=Age_Sex_BY[[#This Row],[Total Spending before Truncation is Applied]]</f>
        <v>1</v>
      </c>
    </row>
    <row r="1791" spans="1:10" x14ac:dyDescent="0.25">
      <c r="A1791" s="393"/>
      <c r="B1791" s="387"/>
      <c r="C1791" s="388"/>
      <c r="D1791" s="458"/>
      <c r="E1791" s="389"/>
      <c r="F1791" s="390"/>
      <c r="G1791" s="462"/>
      <c r="H1791" s="390"/>
      <c r="I1791" s="402"/>
      <c r="J1791" s="241" t="b">
        <f>Age_Sex_BY[[#This Row],[Total Spending After Applying Truncation at the Member Level]]+Age_Sex_BY[[#This Row],[Total Dollars Excluded from Spending After Applying Truncation at the Member Level]]=Age_Sex_BY[[#This Row],[Total Spending before Truncation is Applied]]</f>
        <v>1</v>
      </c>
    </row>
    <row r="1792" spans="1:10" x14ac:dyDescent="0.25">
      <c r="A1792" s="394"/>
      <c r="B1792" s="395"/>
      <c r="C1792" s="396"/>
      <c r="D1792" s="459"/>
      <c r="E1792" s="397"/>
      <c r="F1792" s="398"/>
      <c r="G1792" s="463"/>
      <c r="H1792" s="398"/>
      <c r="I1792" s="403"/>
      <c r="J1792" s="241" t="b">
        <f>Age_Sex_BY[[#This Row],[Total Spending After Applying Truncation at the Member Level]]+Age_Sex_BY[[#This Row],[Total Dollars Excluded from Spending After Applying Truncation at the Member Level]]=Age_Sex_BY[[#This Row],[Total Spending before Truncation is Applied]]</f>
        <v>1</v>
      </c>
    </row>
    <row r="1793" spans="1:10" x14ac:dyDescent="0.25">
      <c r="A1793" s="393"/>
      <c r="B1793" s="387"/>
      <c r="C1793" s="388"/>
      <c r="D1793" s="458"/>
      <c r="E1793" s="389"/>
      <c r="F1793" s="390"/>
      <c r="G1793" s="462"/>
      <c r="H1793" s="390"/>
      <c r="I1793" s="402"/>
      <c r="J1793" s="241" t="b">
        <f>Age_Sex_BY[[#This Row],[Total Spending After Applying Truncation at the Member Level]]+Age_Sex_BY[[#This Row],[Total Dollars Excluded from Spending After Applying Truncation at the Member Level]]=Age_Sex_BY[[#This Row],[Total Spending before Truncation is Applied]]</f>
        <v>1</v>
      </c>
    </row>
    <row r="1794" spans="1:10" x14ac:dyDescent="0.25">
      <c r="A1794" s="394"/>
      <c r="B1794" s="395"/>
      <c r="C1794" s="396"/>
      <c r="D1794" s="459"/>
      <c r="E1794" s="397"/>
      <c r="F1794" s="398"/>
      <c r="G1794" s="463"/>
      <c r="H1794" s="398"/>
      <c r="I1794" s="403"/>
      <c r="J1794" s="241" t="b">
        <f>Age_Sex_BY[[#This Row],[Total Spending After Applying Truncation at the Member Level]]+Age_Sex_BY[[#This Row],[Total Dollars Excluded from Spending After Applying Truncation at the Member Level]]=Age_Sex_BY[[#This Row],[Total Spending before Truncation is Applied]]</f>
        <v>1</v>
      </c>
    </row>
    <row r="1795" spans="1:10" x14ac:dyDescent="0.25">
      <c r="A1795" s="393"/>
      <c r="B1795" s="387"/>
      <c r="C1795" s="388"/>
      <c r="D1795" s="458"/>
      <c r="E1795" s="389"/>
      <c r="F1795" s="390"/>
      <c r="G1795" s="462"/>
      <c r="H1795" s="390"/>
      <c r="I1795" s="402"/>
      <c r="J1795" s="241" t="b">
        <f>Age_Sex_BY[[#This Row],[Total Spending After Applying Truncation at the Member Level]]+Age_Sex_BY[[#This Row],[Total Dollars Excluded from Spending After Applying Truncation at the Member Level]]=Age_Sex_BY[[#This Row],[Total Spending before Truncation is Applied]]</f>
        <v>1</v>
      </c>
    </row>
    <row r="1796" spans="1:10" x14ac:dyDescent="0.25">
      <c r="A1796" s="394"/>
      <c r="B1796" s="395"/>
      <c r="C1796" s="396"/>
      <c r="D1796" s="459"/>
      <c r="E1796" s="397"/>
      <c r="F1796" s="398"/>
      <c r="G1796" s="463"/>
      <c r="H1796" s="398"/>
      <c r="I1796" s="403"/>
      <c r="J1796" s="241" t="b">
        <f>Age_Sex_BY[[#This Row],[Total Spending After Applying Truncation at the Member Level]]+Age_Sex_BY[[#This Row],[Total Dollars Excluded from Spending After Applying Truncation at the Member Level]]=Age_Sex_BY[[#This Row],[Total Spending before Truncation is Applied]]</f>
        <v>1</v>
      </c>
    </row>
    <row r="1797" spans="1:10" x14ac:dyDescent="0.25">
      <c r="A1797" s="393"/>
      <c r="B1797" s="387"/>
      <c r="C1797" s="388"/>
      <c r="D1797" s="458"/>
      <c r="E1797" s="389"/>
      <c r="F1797" s="390"/>
      <c r="G1797" s="462"/>
      <c r="H1797" s="390"/>
      <c r="I1797" s="402"/>
      <c r="J1797" s="241" t="b">
        <f>Age_Sex_BY[[#This Row],[Total Spending After Applying Truncation at the Member Level]]+Age_Sex_BY[[#This Row],[Total Dollars Excluded from Spending After Applying Truncation at the Member Level]]=Age_Sex_BY[[#This Row],[Total Spending before Truncation is Applied]]</f>
        <v>1</v>
      </c>
    </row>
    <row r="1798" spans="1:10" x14ac:dyDescent="0.25">
      <c r="A1798" s="394"/>
      <c r="B1798" s="395"/>
      <c r="C1798" s="396"/>
      <c r="D1798" s="459"/>
      <c r="E1798" s="397"/>
      <c r="F1798" s="398"/>
      <c r="G1798" s="463"/>
      <c r="H1798" s="398"/>
      <c r="I1798" s="403"/>
      <c r="J1798" s="241" t="b">
        <f>Age_Sex_BY[[#This Row],[Total Spending After Applying Truncation at the Member Level]]+Age_Sex_BY[[#This Row],[Total Dollars Excluded from Spending After Applying Truncation at the Member Level]]=Age_Sex_BY[[#This Row],[Total Spending before Truncation is Applied]]</f>
        <v>1</v>
      </c>
    </row>
    <row r="1799" spans="1:10" x14ac:dyDescent="0.25">
      <c r="A1799" s="393"/>
      <c r="B1799" s="387"/>
      <c r="C1799" s="388"/>
      <c r="D1799" s="458"/>
      <c r="E1799" s="389"/>
      <c r="F1799" s="390"/>
      <c r="G1799" s="462"/>
      <c r="H1799" s="390"/>
      <c r="I1799" s="402"/>
      <c r="J1799" s="241" t="b">
        <f>Age_Sex_BY[[#This Row],[Total Spending After Applying Truncation at the Member Level]]+Age_Sex_BY[[#This Row],[Total Dollars Excluded from Spending After Applying Truncation at the Member Level]]=Age_Sex_BY[[#This Row],[Total Spending before Truncation is Applied]]</f>
        <v>1</v>
      </c>
    </row>
    <row r="1800" spans="1:10" x14ac:dyDescent="0.25">
      <c r="A1800" s="394"/>
      <c r="B1800" s="395"/>
      <c r="C1800" s="396"/>
      <c r="D1800" s="459"/>
      <c r="E1800" s="397"/>
      <c r="F1800" s="398"/>
      <c r="G1800" s="463"/>
      <c r="H1800" s="398"/>
      <c r="I1800" s="403"/>
      <c r="J1800" s="241" t="b">
        <f>Age_Sex_BY[[#This Row],[Total Spending After Applying Truncation at the Member Level]]+Age_Sex_BY[[#This Row],[Total Dollars Excluded from Spending After Applying Truncation at the Member Level]]=Age_Sex_BY[[#This Row],[Total Spending before Truncation is Applied]]</f>
        <v>1</v>
      </c>
    </row>
    <row r="1801" spans="1:10" x14ac:dyDescent="0.25">
      <c r="A1801" s="393"/>
      <c r="B1801" s="387"/>
      <c r="C1801" s="388"/>
      <c r="D1801" s="458"/>
      <c r="E1801" s="389"/>
      <c r="F1801" s="390"/>
      <c r="G1801" s="462"/>
      <c r="H1801" s="390"/>
      <c r="I1801" s="402"/>
      <c r="J1801" s="241" t="b">
        <f>Age_Sex_BY[[#This Row],[Total Spending After Applying Truncation at the Member Level]]+Age_Sex_BY[[#This Row],[Total Dollars Excluded from Spending After Applying Truncation at the Member Level]]=Age_Sex_BY[[#This Row],[Total Spending before Truncation is Applied]]</f>
        <v>1</v>
      </c>
    </row>
    <row r="1802" spans="1:10" x14ac:dyDescent="0.25">
      <c r="A1802" s="394"/>
      <c r="B1802" s="395"/>
      <c r="C1802" s="396"/>
      <c r="D1802" s="459"/>
      <c r="E1802" s="397"/>
      <c r="F1802" s="398"/>
      <c r="G1802" s="463"/>
      <c r="H1802" s="398"/>
      <c r="I1802" s="403"/>
      <c r="J1802" s="241" t="b">
        <f>Age_Sex_BY[[#This Row],[Total Spending After Applying Truncation at the Member Level]]+Age_Sex_BY[[#This Row],[Total Dollars Excluded from Spending After Applying Truncation at the Member Level]]=Age_Sex_BY[[#This Row],[Total Spending before Truncation is Applied]]</f>
        <v>1</v>
      </c>
    </row>
    <row r="1803" spans="1:10" x14ac:dyDescent="0.25">
      <c r="A1803" s="393"/>
      <c r="B1803" s="387"/>
      <c r="C1803" s="388"/>
      <c r="D1803" s="458"/>
      <c r="E1803" s="389"/>
      <c r="F1803" s="390"/>
      <c r="G1803" s="462"/>
      <c r="H1803" s="390"/>
      <c r="I1803" s="402"/>
      <c r="J1803" s="241" t="b">
        <f>Age_Sex_BY[[#This Row],[Total Spending After Applying Truncation at the Member Level]]+Age_Sex_BY[[#This Row],[Total Dollars Excluded from Spending After Applying Truncation at the Member Level]]=Age_Sex_BY[[#This Row],[Total Spending before Truncation is Applied]]</f>
        <v>1</v>
      </c>
    </row>
    <row r="1804" spans="1:10" x14ac:dyDescent="0.25">
      <c r="A1804" s="394"/>
      <c r="B1804" s="395"/>
      <c r="C1804" s="396"/>
      <c r="D1804" s="459"/>
      <c r="E1804" s="397"/>
      <c r="F1804" s="398"/>
      <c r="G1804" s="463"/>
      <c r="H1804" s="398"/>
      <c r="I1804" s="403"/>
      <c r="J1804" s="241" t="b">
        <f>Age_Sex_BY[[#This Row],[Total Spending After Applying Truncation at the Member Level]]+Age_Sex_BY[[#This Row],[Total Dollars Excluded from Spending After Applying Truncation at the Member Level]]=Age_Sex_BY[[#This Row],[Total Spending before Truncation is Applied]]</f>
        <v>1</v>
      </c>
    </row>
    <row r="1805" spans="1:10" x14ac:dyDescent="0.25">
      <c r="A1805" s="393"/>
      <c r="B1805" s="387"/>
      <c r="C1805" s="388"/>
      <c r="D1805" s="458"/>
      <c r="E1805" s="389"/>
      <c r="F1805" s="390"/>
      <c r="G1805" s="462"/>
      <c r="H1805" s="390"/>
      <c r="I1805" s="402"/>
      <c r="J1805" s="241" t="b">
        <f>Age_Sex_BY[[#This Row],[Total Spending After Applying Truncation at the Member Level]]+Age_Sex_BY[[#This Row],[Total Dollars Excluded from Spending After Applying Truncation at the Member Level]]=Age_Sex_BY[[#This Row],[Total Spending before Truncation is Applied]]</f>
        <v>1</v>
      </c>
    </row>
    <row r="1806" spans="1:10" x14ac:dyDescent="0.25">
      <c r="A1806" s="394"/>
      <c r="B1806" s="395"/>
      <c r="C1806" s="396"/>
      <c r="D1806" s="459"/>
      <c r="E1806" s="397"/>
      <c r="F1806" s="398"/>
      <c r="G1806" s="463"/>
      <c r="H1806" s="398"/>
      <c r="I1806" s="403"/>
      <c r="J1806" s="241" t="b">
        <f>Age_Sex_BY[[#This Row],[Total Spending After Applying Truncation at the Member Level]]+Age_Sex_BY[[#This Row],[Total Dollars Excluded from Spending After Applying Truncation at the Member Level]]=Age_Sex_BY[[#This Row],[Total Spending before Truncation is Applied]]</f>
        <v>1</v>
      </c>
    </row>
    <row r="1807" spans="1:10" x14ac:dyDescent="0.25">
      <c r="A1807" s="393"/>
      <c r="B1807" s="387"/>
      <c r="C1807" s="388"/>
      <c r="D1807" s="458"/>
      <c r="E1807" s="389"/>
      <c r="F1807" s="390"/>
      <c r="G1807" s="462"/>
      <c r="H1807" s="390"/>
      <c r="I1807" s="402"/>
      <c r="J1807" s="241" t="b">
        <f>Age_Sex_BY[[#This Row],[Total Spending After Applying Truncation at the Member Level]]+Age_Sex_BY[[#This Row],[Total Dollars Excluded from Spending After Applying Truncation at the Member Level]]=Age_Sex_BY[[#This Row],[Total Spending before Truncation is Applied]]</f>
        <v>1</v>
      </c>
    </row>
    <row r="1808" spans="1:10" x14ac:dyDescent="0.25">
      <c r="A1808" s="394"/>
      <c r="B1808" s="395"/>
      <c r="C1808" s="396"/>
      <c r="D1808" s="459"/>
      <c r="E1808" s="397"/>
      <c r="F1808" s="398"/>
      <c r="G1808" s="463"/>
      <c r="H1808" s="398"/>
      <c r="I1808" s="403"/>
      <c r="J1808" s="241" t="b">
        <f>Age_Sex_BY[[#This Row],[Total Spending After Applying Truncation at the Member Level]]+Age_Sex_BY[[#This Row],[Total Dollars Excluded from Spending After Applying Truncation at the Member Level]]=Age_Sex_BY[[#This Row],[Total Spending before Truncation is Applied]]</f>
        <v>1</v>
      </c>
    </row>
    <row r="1809" spans="1:10" x14ac:dyDescent="0.25">
      <c r="A1809" s="393"/>
      <c r="B1809" s="387"/>
      <c r="C1809" s="388"/>
      <c r="D1809" s="458"/>
      <c r="E1809" s="389"/>
      <c r="F1809" s="390"/>
      <c r="G1809" s="462"/>
      <c r="H1809" s="390"/>
      <c r="I1809" s="402"/>
      <c r="J1809" s="241" t="b">
        <f>Age_Sex_BY[[#This Row],[Total Spending After Applying Truncation at the Member Level]]+Age_Sex_BY[[#This Row],[Total Dollars Excluded from Spending After Applying Truncation at the Member Level]]=Age_Sex_BY[[#This Row],[Total Spending before Truncation is Applied]]</f>
        <v>1</v>
      </c>
    </row>
    <row r="1810" spans="1:10" x14ac:dyDescent="0.25">
      <c r="A1810" s="394"/>
      <c r="B1810" s="395"/>
      <c r="C1810" s="396"/>
      <c r="D1810" s="459"/>
      <c r="E1810" s="397"/>
      <c r="F1810" s="398"/>
      <c r="G1810" s="463"/>
      <c r="H1810" s="398"/>
      <c r="I1810" s="403"/>
      <c r="J1810" s="241" t="b">
        <f>Age_Sex_BY[[#This Row],[Total Spending After Applying Truncation at the Member Level]]+Age_Sex_BY[[#This Row],[Total Dollars Excluded from Spending After Applying Truncation at the Member Level]]=Age_Sex_BY[[#This Row],[Total Spending before Truncation is Applied]]</f>
        <v>1</v>
      </c>
    </row>
    <row r="1811" spans="1:10" x14ac:dyDescent="0.25">
      <c r="A1811" s="393"/>
      <c r="B1811" s="387"/>
      <c r="C1811" s="388"/>
      <c r="D1811" s="458"/>
      <c r="E1811" s="389"/>
      <c r="F1811" s="390"/>
      <c r="G1811" s="462"/>
      <c r="H1811" s="390"/>
      <c r="I1811" s="402"/>
      <c r="J1811" s="241" t="b">
        <f>Age_Sex_BY[[#This Row],[Total Spending After Applying Truncation at the Member Level]]+Age_Sex_BY[[#This Row],[Total Dollars Excluded from Spending After Applying Truncation at the Member Level]]=Age_Sex_BY[[#This Row],[Total Spending before Truncation is Applied]]</f>
        <v>1</v>
      </c>
    </row>
    <row r="1812" spans="1:10" x14ac:dyDescent="0.25">
      <c r="A1812" s="394"/>
      <c r="B1812" s="395"/>
      <c r="C1812" s="396"/>
      <c r="D1812" s="459"/>
      <c r="E1812" s="397"/>
      <c r="F1812" s="398"/>
      <c r="G1812" s="463"/>
      <c r="H1812" s="398"/>
      <c r="I1812" s="403"/>
      <c r="J1812" s="241" t="b">
        <f>Age_Sex_BY[[#This Row],[Total Spending After Applying Truncation at the Member Level]]+Age_Sex_BY[[#This Row],[Total Dollars Excluded from Spending After Applying Truncation at the Member Level]]=Age_Sex_BY[[#This Row],[Total Spending before Truncation is Applied]]</f>
        <v>1</v>
      </c>
    </row>
    <row r="1813" spans="1:10" x14ac:dyDescent="0.25">
      <c r="A1813" s="393"/>
      <c r="B1813" s="387"/>
      <c r="C1813" s="388"/>
      <c r="D1813" s="458"/>
      <c r="E1813" s="389"/>
      <c r="F1813" s="390"/>
      <c r="G1813" s="462"/>
      <c r="H1813" s="390"/>
      <c r="I1813" s="402"/>
      <c r="J1813" s="241" t="b">
        <f>Age_Sex_BY[[#This Row],[Total Spending After Applying Truncation at the Member Level]]+Age_Sex_BY[[#This Row],[Total Dollars Excluded from Spending After Applying Truncation at the Member Level]]=Age_Sex_BY[[#This Row],[Total Spending before Truncation is Applied]]</f>
        <v>1</v>
      </c>
    </row>
    <row r="1814" spans="1:10" x14ac:dyDescent="0.25">
      <c r="A1814" s="394"/>
      <c r="B1814" s="395"/>
      <c r="C1814" s="396"/>
      <c r="D1814" s="459"/>
      <c r="E1814" s="397"/>
      <c r="F1814" s="398"/>
      <c r="G1814" s="463"/>
      <c r="H1814" s="398"/>
      <c r="I1814" s="403"/>
      <c r="J1814" s="241" t="b">
        <f>Age_Sex_BY[[#This Row],[Total Spending After Applying Truncation at the Member Level]]+Age_Sex_BY[[#This Row],[Total Dollars Excluded from Spending After Applying Truncation at the Member Level]]=Age_Sex_BY[[#This Row],[Total Spending before Truncation is Applied]]</f>
        <v>1</v>
      </c>
    </row>
    <row r="1815" spans="1:10" x14ac:dyDescent="0.25">
      <c r="A1815" s="393"/>
      <c r="B1815" s="387"/>
      <c r="C1815" s="388"/>
      <c r="D1815" s="458"/>
      <c r="E1815" s="389"/>
      <c r="F1815" s="390"/>
      <c r="G1815" s="462"/>
      <c r="H1815" s="390"/>
      <c r="I1815" s="402"/>
      <c r="J1815" s="241" t="b">
        <f>Age_Sex_BY[[#This Row],[Total Spending After Applying Truncation at the Member Level]]+Age_Sex_BY[[#This Row],[Total Dollars Excluded from Spending After Applying Truncation at the Member Level]]=Age_Sex_BY[[#This Row],[Total Spending before Truncation is Applied]]</f>
        <v>1</v>
      </c>
    </row>
    <row r="1816" spans="1:10" x14ac:dyDescent="0.25">
      <c r="A1816" s="394"/>
      <c r="B1816" s="395"/>
      <c r="C1816" s="396"/>
      <c r="D1816" s="459"/>
      <c r="E1816" s="397"/>
      <c r="F1816" s="398"/>
      <c r="G1816" s="463"/>
      <c r="H1816" s="398"/>
      <c r="I1816" s="403"/>
      <c r="J1816" s="241" t="b">
        <f>Age_Sex_BY[[#This Row],[Total Spending After Applying Truncation at the Member Level]]+Age_Sex_BY[[#This Row],[Total Dollars Excluded from Spending After Applying Truncation at the Member Level]]=Age_Sex_BY[[#This Row],[Total Spending before Truncation is Applied]]</f>
        <v>1</v>
      </c>
    </row>
    <row r="1817" spans="1:10" x14ac:dyDescent="0.25">
      <c r="A1817" s="393"/>
      <c r="B1817" s="387"/>
      <c r="C1817" s="388"/>
      <c r="D1817" s="458"/>
      <c r="E1817" s="389"/>
      <c r="F1817" s="390"/>
      <c r="G1817" s="462"/>
      <c r="H1817" s="390"/>
      <c r="I1817" s="402"/>
      <c r="J1817" s="241" t="b">
        <f>Age_Sex_BY[[#This Row],[Total Spending After Applying Truncation at the Member Level]]+Age_Sex_BY[[#This Row],[Total Dollars Excluded from Spending After Applying Truncation at the Member Level]]=Age_Sex_BY[[#This Row],[Total Spending before Truncation is Applied]]</f>
        <v>1</v>
      </c>
    </row>
    <row r="1818" spans="1:10" x14ac:dyDescent="0.25">
      <c r="A1818" s="394"/>
      <c r="B1818" s="395"/>
      <c r="C1818" s="396"/>
      <c r="D1818" s="459"/>
      <c r="E1818" s="397"/>
      <c r="F1818" s="398"/>
      <c r="G1818" s="463"/>
      <c r="H1818" s="398"/>
      <c r="I1818" s="403"/>
      <c r="J1818" s="241" t="b">
        <f>Age_Sex_BY[[#This Row],[Total Spending After Applying Truncation at the Member Level]]+Age_Sex_BY[[#This Row],[Total Dollars Excluded from Spending After Applying Truncation at the Member Level]]=Age_Sex_BY[[#This Row],[Total Spending before Truncation is Applied]]</f>
        <v>1</v>
      </c>
    </row>
    <row r="1819" spans="1:10" x14ac:dyDescent="0.25">
      <c r="A1819" s="393"/>
      <c r="B1819" s="387"/>
      <c r="C1819" s="388"/>
      <c r="D1819" s="458"/>
      <c r="E1819" s="389"/>
      <c r="F1819" s="390"/>
      <c r="G1819" s="462"/>
      <c r="H1819" s="390"/>
      <c r="I1819" s="402"/>
      <c r="J1819" s="241" t="b">
        <f>Age_Sex_BY[[#This Row],[Total Spending After Applying Truncation at the Member Level]]+Age_Sex_BY[[#This Row],[Total Dollars Excluded from Spending After Applying Truncation at the Member Level]]=Age_Sex_BY[[#This Row],[Total Spending before Truncation is Applied]]</f>
        <v>1</v>
      </c>
    </row>
    <row r="1820" spans="1:10" x14ac:dyDescent="0.25">
      <c r="A1820" s="394"/>
      <c r="B1820" s="395"/>
      <c r="C1820" s="396"/>
      <c r="D1820" s="459"/>
      <c r="E1820" s="397"/>
      <c r="F1820" s="398"/>
      <c r="G1820" s="463"/>
      <c r="H1820" s="398"/>
      <c r="I1820" s="403"/>
      <c r="J1820" s="241" t="b">
        <f>Age_Sex_BY[[#This Row],[Total Spending After Applying Truncation at the Member Level]]+Age_Sex_BY[[#This Row],[Total Dollars Excluded from Spending After Applying Truncation at the Member Level]]=Age_Sex_BY[[#This Row],[Total Spending before Truncation is Applied]]</f>
        <v>1</v>
      </c>
    </row>
    <row r="1821" spans="1:10" x14ac:dyDescent="0.25">
      <c r="A1821" s="393"/>
      <c r="B1821" s="387"/>
      <c r="C1821" s="388"/>
      <c r="D1821" s="458"/>
      <c r="E1821" s="389"/>
      <c r="F1821" s="390"/>
      <c r="G1821" s="462"/>
      <c r="H1821" s="390"/>
      <c r="I1821" s="402"/>
      <c r="J1821" s="241" t="b">
        <f>Age_Sex_BY[[#This Row],[Total Spending After Applying Truncation at the Member Level]]+Age_Sex_BY[[#This Row],[Total Dollars Excluded from Spending After Applying Truncation at the Member Level]]=Age_Sex_BY[[#This Row],[Total Spending before Truncation is Applied]]</f>
        <v>1</v>
      </c>
    </row>
    <row r="1822" spans="1:10" x14ac:dyDescent="0.25">
      <c r="A1822" s="394"/>
      <c r="B1822" s="395"/>
      <c r="C1822" s="396"/>
      <c r="D1822" s="459"/>
      <c r="E1822" s="397"/>
      <c r="F1822" s="398"/>
      <c r="G1822" s="463"/>
      <c r="H1822" s="398"/>
      <c r="I1822" s="403"/>
      <c r="J1822" s="241" t="b">
        <f>Age_Sex_BY[[#This Row],[Total Spending After Applying Truncation at the Member Level]]+Age_Sex_BY[[#This Row],[Total Dollars Excluded from Spending After Applying Truncation at the Member Level]]=Age_Sex_BY[[#This Row],[Total Spending before Truncation is Applied]]</f>
        <v>1</v>
      </c>
    </row>
    <row r="1823" spans="1:10" x14ac:dyDescent="0.25">
      <c r="A1823" s="393"/>
      <c r="B1823" s="387"/>
      <c r="C1823" s="388"/>
      <c r="D1823" s="458"/>
      <c r="E1823" s="389"/>
      <c r="F1823" s="390"/>
      <c r="G1823" s="462"/>
      <c r="H1823" s="390"/>
      <c r="I1823" s="402"/>
      <c r="J1823" s="241" t="b">
        <f>Age_Sex_BY[[#This Row],[Total Spending After Applying Truncation at the Member Level]]+Age_Sex_BY[[#This Row],[Total Dollars Excluded from Spending After Applying Truncation at the Member Level]]=Age_Sex_BY[[#This Row],[Total Spending before Truncation is Applied]]</f>
        <v>1</v>
      </c>
    </row>
    <row r="1824" spans="1:10" x14ac:dyDescent="0.25">
      <c r="A1824" s="394"/>
      <c r="B1824" s="395"/>
      <c r="C1824" s="396"/>
      <c r="D1824" s="459"/>
      <c r="E1824" s="397"/>
      <c r="F1824" s="398"/>
      <c r="G1824" s="463"/>
      <c r="H1824" s="398"/>
      <c r="I1824" s="403"/>
      <c r="J1824" s="241" t="b">
        <f>Age_Sex_BY[[#This Row],[Total Spending After Applying Truncation at the Member Level]]+Age_Sex_BY[[#This Row],[Total Dollars Excluded from Spending After Applying Truncation at the Member Level]]=Age_Sex_BY[[#This Row],[Total Spending before Truncation is Applied]]</f>
        <v>1</v>
      </c>
    </row>
    <row r="1825" spans="1:10" x14ac:dyDescent="0.25">
      <c r="A1825" s="393"/>
      <c r="B1825" s="387"/>
      <c r="C1825" s="388"/>
      <c r="D1825" s="458"/>
      <c r="E1825" s="389"/>
      <c r="F1825" s="390"/>
      <c r="G1825" s="462"/>
      <c r="H1825" s="390"/>
      <c r="I1825" s="402"/>
      <c r="J1825" s="241" t="b">
        <f>Age_Sex_BY[[#This Row],[Total Spending After Applying Truncation at the Member Level]]+Age_Sex_BY[[#This Row],[Total Dollars Excluded from Spending After Applying Truncation at the Member Level]]=Age_Sex_BY[[#This Row],[Total Spending before Truncation is Applied]]</f>
        <v>1</v>
      </c>
    </row>
    <row r="1826" spans="1:10" x14ac:dyDescent="0.25">
      <c r="A1826" s="394"/>
      <c r="B1826" s="395"/>
      <c r="C1826" s="396"/>
      <c r="D1826" s="459"/>
      <c r="E1826" s="397"/>
      <c r="F1826" s="398"/>
      <c r="G1826" s="463"/>
      <c r="H1826" s="398"/>
      <c r="I1826" s="403"/>
      <c r="J1826" s="241" t="b">
        <f>Age_Sex_BY[[#This Row],[Total Spending After Applying Truncation at the Member Level]]+Age_Sex_BY[[#This Row],[Total Dollars Excluded from Spending After Applying Truncation at the Member Level]]=Age_Sex_BY[[#This Row],[Total Spending before Truncation is Applied]]</f>
        <v>1</v>
      </c>
    </row>
    <row r="1827" spans="1:10" x14ac:dyDescent="0.25">
      <c r="A1827" s="393"/>
      <c r="B1827" s="387"/>
      <c r="C1827" s="388"/>
      <c r="D1827" s="458"/>
      <c r="E1827" s="389"/>
      <c r="F1827" s="390"/>
      <c r="G1827" s="462"/>
      <c r="H1827" s="390"/>
      <c r="I1827" s="402"/>
      <c r="J1827" s="241" t="b">
        <f>Age_Sex_BY[[#This Row],[Total Spending After Applying Truncation at the Member Level]]+Age_Sex_BY[[#This Row],[Total Dollars Excluded from Spending After Applying Truncation at the Member Level]]=Age_Sex_BY[[#This Row],[Total Spending before Truncation is Applied]]</f>
        <v>1</v>
      </c>
    </row>
    <row r="1828" spans="1:10" x14ac:dyDescent="0.25">
      <c r="A1828" s="394"/>
      <c r="B1828" s="395"/>
      <c r="C1828" s="396"/>
      <c r="D1828" s="459"/>
      <c r="E1828" s="397"/>
      <c r="F1828" s="398"/>
      <c r="G1828" s="463"/>
      <c r="H1828" s="398"/>
      <c r="I1828" s="403"/>
      <c r="J1828" s="241" t="b">
        <f>Age_Sex_BY[[#This Row],[Total Spending After Applying Truncation at the Member Level]]+Age_Sex_BY[[#This Row],[Total Dollars Excluded from Spending After Applying Truncation at the Member Level]]=Age_Sex_BY[[#This Row],[Total Spending before Truncation is Applied]]</f>
        <v>1</v>
      </c>
    </row>
    <row r="1829" spans="1:10" x14ac:dyDescent="0.25">
      <c r="A1829" s="393"/>
      <c r="B1829" s="387"/>
      <c r="C1829" s="388"/>
      <c r="D1829" s="458"/>
      <c r="E1829" s="389"/>
      <c r="F1829" s="390"/>
      <c r="G1829" s="462"/>
      <c r="H1829" s="390"/>
      <c r="I1829" s="402"/>
      <c r="J1829" s="241" t="b">
        <f>Age_Sex_BY[[#This Row],[Total Spending After Applying Truncation at the Member Level]]+Age_Sex_BY[[#This Row],[Total Dollars Excluded from Spending After Applying Truncation at the Member Level]]=Age_Sex_BY[[#This Row],[Total Spending before Truncation is Applied]]</f>
        <v>1</v>
      </c>
    </row>
    <row r="1830" spans="1:10" x14ac:dyDescent="0.25">
      <c r="A1830" s="394"/>
      <c r="B1830" s="395"/>
      <c r="C1830" s="396"/>
      <c r="D1830" s="459"/>
      <c r="E1830" s="397"/>
      <c r="F1830" s="398"/>
      <c r="G1830" s="463"/>
      <c r="H1830" s="398"/>
      <c r="I1830" s="403"/>
      <c r="J1830" s="241" t="b">
        <f>Age_Sex_BY[[#This Row],[Total Spending After Applying Truncation at the Member Level]]+Age_Sex_BY[[#This Row],[Total Dollars Excluded from Spending After Applying Truncation at the Member Level]]=Age_Sex_BY[[#This Row],[Total Spending before Truncation is Applied]]</f>
        <v>1</v>
      </c>
    </row>
    <row r="1831" spans="1:10" x14ac:dyDescent="0.25">
      <c r="A1831" s="393"/>
      <c r="B1831" s="387"/>
      <c r="C1831" s="388"/>
      <c r="D1831" s="458"/>
      <c r="E1831" s="389"/>
      <c r="F1831" s="390"/>
      <c r="G1831" s="462"/>
      <c r="H1831" s="390"/>
      <c r="I1831" s="402"/>
      <c r="J1831" s="241" t="b">
        <f>Age_Sex_BY[[#This Row],[Total Spending After Applying Truncation at the Member Level]]+Age_Sex_BY[[#This Row],[Total Dollars Excluded from Spending After Applying Truncation at the Member Level]]=Age_Sex_BY[[#This Row],[Total Spending before Truncation is Applied]]</f>
        <v>1</v>
      </c>
    </row>
    <row r="1832" spans="1:10" x14ac:dyDescent="0.25">
      <c r="A1832" s="394"/>
      <c r="B1832" s="395"/>
      <c r="C1832" s="396"/>
      <c r="D1832" s="459"/>
      <c r="E1832" s="397"/>
      <c r="F1832" s="398"/>
      <c r="G1832" s="463"/>
      <c r="H1832" s="398"/>
      <c r="I1832" s="403"/>
      <c r="J1832" s="241" t="b">
        <f>Age_Sex_BY[[#This Row],[Total Spending After Applying Truncation at the Member Level]]+Age_Sex_BY[[#This Row],[Total Dollars Excluded from Spending After Applying Truncation at the Member Level]]=Age_Sex_BY[[#This Row],[Total Spending before Truncation is Applied]]</f>
        <v>1</v>
      </c>
    </row>
    <row r="1833" spans="1:10" x14ac:dyDescent="0.25">
      <c r="A1833" s="393"/>
      <c r="B1833" s="387"/>
      <c r="C1833" s="388"/>
      <c r="D1833" s="458"/>
      <c r="E1833" s="389"/>
      <c r="F1833" s="390"/>
      <c r="G1833" s="462"/>
      <c r="H1833" s="390"/>
      <c r="I1833" s="402"/>
      <c r="J1833" s="241" t="b">
        <f>Age_Sex_BY[[#This Row],[Total Spending After Applying Truncation at the Member Level]]+Age_Sex_BY[[#This Row],[Total Dollars Excluded from Spending After Applying Truncation at the Member Level]]=Age_Sex_BY[[#This Row],[Total Spending before Truncation is Applied]]</f>
        <v>1</v>
      </c>
    </row>
    <row r="1834" spans="1:10" x14ac:dyDescent="0.25">
      <c r="A1834" s="394"/>
      <c r="B1834" s="395"/>
      <c r="C1834" s="396"/>
      <c r="D1834" s="459"/>
      <c r="E1834" s="397"/>
      <c r="F1834" s="398"/>
      <c r="G1834" s="463"/>
      <c r="H1834" s="398"/>
      <c r="I1834" s="403"/>
      <c r="J1834" s="241" t="b">
        <f>Age_Sex_BY[[#This Row],[Total Spending After Applying Truncation at the Member Level]]+Age_Sex_BY[[#This Row],[Total Dollars Excluded from Spending After Applying Truncation at the Member Level]]=Age_Sex_BY[[#This Row],[Total Spending before Truncation is Applied]]</f>
        <v>1</v>
      </c>
    </row>
    <row r="1835" spans="1:10" x14ac:dyDescent="0.25">
      <c r="A1835" s="393"/>
      <c r="B1835" s="387"/>
      <c r="C1835" s="388"/>
      <c r="D1835" s="458"/>
      <c r="E1835" s="389"/>
      <c r="F1835" s="390"/>
      <c r="G1835" s="462"/>
      <c r="H1835" s="390"/>
      <c r="I1835" s="402"/>
      <c r="J1835" s="241" t="b">
        <f>Age_Sex_BY[[#This Row],[Total Spending After Applying Truncation at the Member Level]]+Age_Sex_BY[[#This Row],[Total Dollars Excluded from Spending After Applying Truncation at the Member Level]]=Age_Sex_BY[[#This Row],[Total Spending before Truncation is Applied]]</f>
        <v>1</v>
      </c>
    </row>
    <row r="1836" spans="1:10" x14ac:dyDescent="0.25">
      <c r="A1836" s="394"/>
      <c r="B1836" s="395"/>
      <c r="C1836" s="396"/>
      <c r="D1836" s="459"/>
      <c r="E1836" s="397"/>
      <c r="F1836" s="398"/>
      <c r="G1836" s="463"/>
      <c r="H1836" s="398"/>
      <c r="I1836" s="403"/>
      <c r="J1836" s="241" t="b">
        <f>Age_Sex_BY[[#This Row],[Total Spending After Applying Truncation at the Member Level]]+Age_Sex_BY[[#This Row],[Total Dollars Excluded from Spending After Applying Truncation at the Member Level]]=Age_Sex_BY[[#This Row],[Total Spending before Truncation is Applied]]</f>
        <v>1</v>
      </c>
    </row>
    <row r="1837" spans="1:10" x14ac:dyDescent="0.25">
      <c r="A1837" s="393"/>
      <c r="B1837" s="387"/>
      <c r="C1837" s="388"/>
      <c r="D1837" s="458"/>
      <c r="E1837" s="389"/>
      <c r="F1837" s="390"/>
      <c r="G1837" s="462"/>
      <c r="H1837" s="390"/>
      <c r="I1837" s="402"/>
      <c r="J1837" s="241" t="b">
        <f>Age_Sex_BY[[#This Row],[Total Spending After Applying Truncation at the Member Level]]+Age_Sex_BY[[#This Row],[Total Dollars Excluded from Spending After Applying Truncation at the Member Level]]=Age_Sex_BY[[#This Row],[Total Spending before Truncation is Applied]]</f>
        <v>1</v>
      </c>
    </row>
    <row r="1838" spans="1:10" x14ac:dyDescent="0.25">
      <c r="A1838" s="394"/>
      <c r="B1838" s="395"/>
      <c r="C1838" s="396"/>
      <c r="D1838" s="459"/>
      <c r="E1838" s="397"/>
      <c r="F1838" s="398"/>
      <c r="G1838" s="463"/>
      <c r="H1838" s="398"/>
      <c r="I1838" s="403"/>
      <c r="J1838" s="241" t="b">
        <f>Age_Sex_BY[[#This Row],[Total Spending After Applying Truncation at the Member Level]]+Age_Sex_BY[[#This Row],[Total Dollars Excluded from Spending After Applying Truncation at the Member Level]]=Age_Sex_BY[[#This Row],[Total Spending before Truncation is Applied]]</f>
        <v>1</v>
      </c>
    </row>
    <row r="1839" spans="1:10" x14ac:dyDescent="0.25">
      <c r="A1839" s="393"/>
      <c r="B1839" s="387"/>
      <c r="C1839" s="388"/>
      <c r="D1839" s="458"/>
      <c r="E1839" s="389"/>
      <c r="F1839" s="390"/>
      <c r="G1839" s="462"/>
      <c r="H1839" s="390"/>
      <c r="I1839" s="402"/>
      <c r="J1839" s="241" t="b">
        <f>Age_Sex_BY[[#This Row],[Total Spending After Applying Truncation at the Member Level]]+Age_Sex_BY[[#This Row],[Total Dollars Excluded from Spending After Applying Truncation at the Member Level]]=Age_Sex_BY[[#This Row],[Total Spending before Truncation is Applied]]</f>
        <v>1</v>
      </c>
    </row>
    <row r="1840" spans="1:10" x14ac:dyDescent="0.25">
      <c r="A1840" s="394"/>
      <c r="B1840" s="395"/>
      <c r="C1840" s="396"/>
      <c r="D1840" s="459"/>
      <c r="E1840" s="397"/>
      <c r="F1840" s="398"/>
      <c r="G1840" s="463"/>
      <c r="H1840" s="398"/>
      <c r="I1840" s="403"/>
      <c r="J1840" s="241" t="b">
        <f>Age_Sex_BY[[#This Row],[Total Spending After Applying Truncation at the Member Level]]+Age_Sex_BY[[#This Row],[Total Dollars Excluded from Spending After Applying Truncation at the Member Level]]=Age_Sex_BY[[#This Row],[Total Spending before Truncation is Applied]]</f>
        <v>1</v>
      </c>
    </row>
    <row r="1841" spans="1:10" x14ac:dyDescent="0.25">
      <c r="A1841" s="393"/>
      <c r="B1841" s="387"/>
      <c r="C1841" s="388"/>
      <c r="D1841" s="458"/>
      <c r="E1841" s="389"/>
      <c r="F1841" s="390"/>
      <c r="G1841" s="462"/>
      <c r="H1841" s="390"/>
      <c r="I1841" s="402"/>
      <c r="J1841" s="241" t="b">
        <f>Age_Sex_BY[[#This Row],[Total Spending After Applying Truncation at the Member Level]]+Age_Sex_BY[[#This Row],[Total Dollars Excluded from Spending After Applying Truncation at the Member Level]]=Age_Sex_BY[[#This Row],[Total Spending before Truncation is Applied]]</f>
        <v>1</v>
      </c>
    </row>
    <row r="1842" spans="1:10" x14ac:dyDescent="0.25">
      <c r="A1842" s="394"/>
      <c r="B1842" s="395"/>
      <c r="C1842" s="396"/>
      <c r="D1842" s="459"/>
      <c r="E1842" s="397"/>
      <c r="F1842" s="398"/>
      <c r="G1842" s="463"/>
      <c r="H1842" s="398"/>
      <c r="I1842" s="403"/>
      <c r="J1842" s="241" t="b">
        <f>Age_Sex_BY[[#This Row],[Total Spending After Applying Truncation at the Member Level]]+Age_Sex_BY[[#This Row],[Total Dollars Excluded from Spending After Applying Truncation at the Member Level]]=Age_Sex_BY[[#This Row],[Total Spending before Truncation is Applied]]</f>
        <v>1</v>
      </c>
    </row>
    <row r="1843" spans="1:10" x14ac:dyDescent="0.25">
      <c r="A1843" s="393"/>
      <c r="B1843" s="387"/>
      <c r="C1843" s="388"/>
      <c r="D1843" s="458"/>
      <c r="E1843" s="389"/>
      <c r="F1843" s="390"/>
      <c r="G1843" s="462"/>
      <c r="H1843" s="390"/>
      <c r="I1843" s="402"/>
      <c r="J1843" s="241" t="b">
        <f>Age_Sex_BY[[#This Row],[Total Spending After Applying Truncation at the Member Level]]+Age_Sex_BY[[#This Row],[Total Dollars Excluded from Spending After Applying Truncation at the Member Level]]=Age_Sex_BY[[#This Row],[Total Spending before Truncation is Applied]]</f>
        <v>1</v>
      </c>
    </row>
    <row r="1844" spans="1:10" x14ac:dyDescent="0.25">
      <c r="A1844" s="394"/>
      <c r="B1844" s="395"/>
      <c r="C1844" s="396"/>
      <c r="D1844" s="459"/>
      <c r="E1844" s="397"/>
      <c r="F1844" s="398"/>
      <c r="G1844" s="463"/>
      <c r="H1844" s="398"/>
      <c r="I1844" s="403"/>
      <c r="J1844" s="241" t="b">
        <f>Age_Sex_BY[[#This Row],[Total Spending After Applying Truncation at the Member Level]]+Age_Sex_BY[[#This Row],[Total Dollars Excluded from Spending After Applying Truncation at the Member Level]]=Age_Sex_BY[[#This Row],[Total Spending before Truncation is Applied]]</f>
        <v>1</v>
      </c>
    </row>
    <row r="1845" spans="1:10" x14ac:dyDescent="0.25">
      <c r="A1845" s="393"/>
      <c r="B1845" s="387"/>
      <c r="C1845" s="388"/>
      <c r="D1845" s="458"/>
      <c r="E1845" s="389"/>
      <c r="F1845" s="390"/>
      <c r="G1845" s="462"/>
      <c r="H1845" s="390"/>
      <c r="I1845" s="402"/>
      <c r="J1845" s="241" t="b">
        <f>Age_Sex_BY[[#This Row],[Total Spending After Applying Truncation at the Member Level]]+Age_Sex_BY[[#This Row],[Total Dollars Excluded from Spending After Applying Truncation at the Member Level]]=Age_Sex_BY[[#This Row],[Total Spending before Truncation is Applied]]</f>
        <v>1</v>
      </c>
    </row>
    <row r="1846" spans="1:10" x14ac:dyDescent="0.25">
      <c r="A1846" s="394"/>
      <c r="B1846" s="395"/>
      <c r="C1846" s="396"/>
      <c r="D1846" s="459"/>
      <c r="E1846" s="397"/>
      <c r="F1846" s="398"/>
      <c r="G1846" s="463"/>
      <c r="H1846" s="398"/>
      <c r="I1846" s="403"/>
      <c r="J1846" s="241" t="b">
        <f>Age_Sex_BY[[#This Row],[Total Spending After Applying Truncation at the Member Level]]+Age_Sex_BY[[#This Row],[Total Dollars Excluded from Spending After Applying Truncation at the Member Level]]=Age_Sex_BY[[#This Row],[Total Spending before Truncation is Applied]]</f>
        <v>1</v>
      </c>
    </row>
    <row r="1847" spans="1:10" x14ac:dyDescent="0.25">
      <c r="A1847" s="393"/>
      <c r="B1847" s="387"/>
      <c r="C1847" s="388"/>
      <c r="D1847" s="458"/>
      <c r="E1847" s="389"/>
      <c r="F1847" s="390"/>
      <c r="G1847" s="462"/>
      <c r="H1847" s="390"/>
      <c r="I1847" s="402"/>
      <c r="J1847" s="241" t="b">
        <f>Age_Sex_BY[[#This Row],[Total Spending After Applying Truncation at the Member Level]]+Age_Sex_BY[[#This Row],[Total Dollars Excluded from Spending After Applying Truncation at the Member Level]]=Age_Sex_BY[[#This Row],[Total Spending before Truncation is Applied]]</f>
        <v>1</v>
      </c>
    </row>
    <row r="1848" spans="1:10" x14ac:dyDescent="0.25">
      <c r="A1848" s="394"/>
      <c r="B1848" s="395"/>
      <c r="C1848" s="396"/>
      <c r="D1848" s="459"/>
      <c r="E1848" s="397"/>
      <c r="F1848" s="398"/>
      <c r="G1848" s="463"/>
      <c r="H1848" s="398"/>
      <c r="I1848" s="403"/>
      <c r="J1848" s="241" t="b">
        <f>Age_Sex_BY[[#This Row],[Total Spending After Applying Truncation at the Member Level]]+Age_Sex_BY[[#This Row],[Total Dollars Excluded from Spending After Applying Truncation at the Member Level]]=Age_Sex_BY[[#This Row],[Total Spending before Truncation is Applied]]</f>
        <v>1</v>
      </c>
    </row>
    <row r="1849" spans="1:10" x14ac:dyDescent="0.25">
      <c r="A1849" s="393"/>
      <c r="B1849" s="387"/>
      <c r="C1849" s="388"/>
      <c r="D1849" s="458"/>
      <c r="E1849" s="389"/>
      <c r="F1849" s="390"/>
      <c r="G1849" s="462"/>
      <c r="H1849" s="390"/>
      <c r="I1849" s="402"/>
      <c r="J1849" s="241" t="b">
        <f>Age_Sex_BY[[#This Row],[Total Spending After Applying Truncation at the Member Level]]+Age_Sex_BY[[#This Row],[Total Dollars Excluded from Spending After Applying Truncation at the Member Level]]=Age_Sex_BY[[#This Row],[Total Spending before Truncation is Applied]]</f>
        <v>1</v>
      </c>
    </row>
    <row r="1850" spans="1:10" x14ac:dyDescent="0.25">
      <c r="A1850" s="394"/>
      <c r="B1850" s="395"/>
      <c r="C1850" s="396"/>
      <c r="D1850" s="459"/>
      <c r="E1850" s="397"/>
      <c r="F1850" s="398"/>
      <c r="G1850" s="463"/>
      <c r="H1850" s="398"/>
      <c r="I1850" s="403"/>
      <c r="J1850" s="241" t="b">
        <f>Age_Sex_BY[[#This Row],[Total Spending After Applying Truncation at the Member Level]]+Age_Sex_BY[[#This Row],[Total Dollars Excluded from Spending After Applying Truncation at the Member Level]]=Age_Sex_BY[[#This Row],[Total Spending before Truncation is Applied]]</f>
        <v>1</v>
      </c>
    </row>
    <row r="1851" spans="1:10" x14ac:dyDescent="0.25">
      <c r="A1851" s="393"/>
      <c r="B1851" s="387"/>
      <c r="C1851" s="388"/>
      <c r="D1851" s="458"/>
      <c r="E1851" s="389"/>
      <c r="F1851" s="390"/>
      <c r="G1851" s="462"/>
      <c r="H1851" s="390"/>
      <c r="I1851" s="402"/>
      <c r="J1851" s="241" t="b">
        <f>Age_Sex_BY[[#This Row],[Total Spending After Applying Truncation at the Member Level]]+Age_Sex_BY[[#This Row],[Total Dollars Excluded from Spending After Applying Truncation at the Member Level]]=Age_Sex_BY[[#This Row],[Total Spending before Truncation is Applied]]</f>
        <v>1</v>
      </c>
    </row>
    <row r="1852" spans="1:10" x14ac:dyDescent="0.25">
      <c r="A1852" s="394"/>
      <c r="B1852" s="395"/>
      <c r="C1852" s="396"/>
      <c r="D1852" s="459"/>
      <c r="E1852" s="397"/>
      <c r="F1852" s="398"/>
      <c r="G1852" s="463"/>
      <c r="H1852" s="398"/>
      <c r="I1852" s="403"/>
      <c r="J1852" s="241" t="b">
        <f>Age_Sex_BY[[#This Row],[Total Spending After Applying Truncation at the Member Level]]+Age_Sex_BY[[#This Row],[Total Dollars Excluded from Spending After Applying Truncation at the Member Level]]=Age_Sex_BY[[#This Row],[Total Spending before Truncation is Applied]]</f>
        <v>1</v>
      </c>
    </row>
    <row r="1853" spans="1:10" x14ac:dyDescent="0.25">
      <c r="A1853" s="393"/>
      <c r="B1853" s="387"/>
      <c r="C1853" s="388"/>
      <c r="D1853" s="458"/>
      <c r="E1853" s="389"/>
      <c r="F1853" s="390"/>
      <c r="G1853" s="462"/>
      <c r="H1853" s="390"/>
      <c r="I1853" s="402"/>
      <c r="J1853" s="241" t="b">
        <f>Age_Sex_BY[[#This Row],[Total Spending After Applying Truncation at the Member Level]]+Age_Sex_BY[[#This Row],[Total Dollars Excluded from Spending After Applying Truncation at the Member Level]]=Age_Sex_BY[[#This Row],[Total Spending before Truncation is Applied]]</f>
        <v>1</v>
      </c>
    </row>
    <row r="1854" spans="1:10" x14ac:dyDescent="0.25">
      <c r="A1854" s="394"/>
      <c r="B1854" s="395"/>
      <c r="C1854" s="396"/>
      <c r="D1854" s="459"/>
      <c r="E1854" s="397"/>
      <c r="F1854" s="398"/>
      <c r="G1854" s="463"/>
      <c r="H1854" s="398"/>
      <c r="I1854" s="403"/>
      <c r="J1854" s="241" t="b">
        <f>Age_Sex_BY[[#This Row],[Total Spending After Applying Truncation at the Member Level]]+Age_Sex_BY[[#This Row],[Total Dollars Excluded from Spending After Applying Truncation at the Member Level]]=Age_Sex_BY[[#This Row],[Total Spending before Truncation is Applied]]</f>
        <v>1</v>
      </c>
    </row>
    <row r="1855" spans="1:10" x14ac:dyDescent="0.25">
      <c r="A1855" s="393"/>
      <c r="B1855" s="387"/>
      <c r="C1855" s="388"/>
      <c r="D1855" s="458"/>
      <c r="E1855" s="389"/>
      <c r="F1855" s="390"/>
      <c r="G1855" s="462"/>
      <c r="H1855" s="390"/>
      <c r="I1855" s="402"/>
      <c r="J1855" s="241" t="b">
        <f>Age_Sex_BY[[#This Row],[Total Spending After Applying Truncation at the Member Level]]+Age_Sex_BY[[#This Row],[Total Dollars Excluded from Spending After Applying Truncation at the Member Level]]=Age_Sex_BY[[#This Row],[Total Spending before Truncation is Applied]]</f>
        <v>1</v>
      </c>
    </row>
    <row r="1856" spans="1:10" x14ac:dyDescent="0.25">
      <c r="A1856" s="394"/>
      <c r="B1856" s="395"/>
      <c r="C1856" s="396"/>
      <c r="D1856" s="459"/>
      <c r="E1856" s="397"/>
      <c r="F1856" s="398"/>
      <c r="G1856" s="463"/>
      <c r="H1856" s="398"/>
      <c r="I1856" s="403"/>
      <c r="J1856" s="241" t="b">
        <f>Age_Sex_BY[[#This Row],[Total Spending After Applying Truncation at the Member Level]]+Age_Sex_BY[[#This Row],[Total Dollars Excluded from Spending After Applying Truncation at the Member Level]]=Age_Sex_BY[[#This Row],[Total Spending before Truncation is Applied]]</f>
        <v>1</v>
      </c>
    </row>
    <row r="1857" spans="1:10" x14ac:dyDescent="0.25">
      <c r="A1857" s="393"/>
      <c r="B1857" s="387"/>
      <c r="C1857" s="388"/>
      <c r="D1857" s="458"/>
      <c r="E1857" s="389"/>
      <c r="F1857" s="390"/>
      <c r="G1857" s="462"/>
      <c r="H1857" s="390"/>
      <c r="I1857" s="402"/>
      <c r="J1857" s="241" t="b">
        <f>Age_Sex_BY[[#This Row],[Total Spending After Applying Truncation at the Member Level]]+Age_Sex_BY[[#This Row],[Total Dollars Excluded from Spending After Applying Truncation at the Member Level]]=Age_Sex_BY[[#This Row],[Total Spending before Truncation is Applied]]</f>
        <v>1</v>
      </c>
    </row>
    <row r="1858" spans="1:10" x14ac:dyDescent="0.25">
      <c r="A1858" s="394"/>
      <c r="B1858" s="395"/>
      <c r="C1858" s="396"/>
      <c r="D1858" s="459"/>
      <c r="E1858" s="397"/>
      <c r="F1858" s="398"/>
      <c r="G1858" s="463"/>
      <c r="H1858" s="398"/>
      <c r="I1858" s="403"/>
      <c r="J1858" s="241" t="b">
        <f>Age_Sex_BY[[#This Row],[Total Spending After Applying Truncation at the Member Level]]+Age_Sex_BY[[#This Row],[Total Dollars Excluded from Spending After Applying Truncation at the Member Level]]=Age_Sex_BY[[#This Row],[Total Spending before Truncation is Applied]]</f>
        <v>1</v>
      </c>
    </row>
    <row r="1859" spans="1:10" x14ac:dyDescent="0.25">
      <c r="A1859" s="393"/>
      <c r="B1859" s="387"/>
      <c r="C1859" s="388"/>
      <c r="D1859" s="458"/>
      <c r="E1859" s="389"/>
      <c r="F1859" s="390"/>
      <c r="G1859" s="462"/>
      <c r="H1859" s="390"/>
      <c r="I1859" s="402"/>
      <c r="J1859" s="241" t="b">
        <f>Age_Sex_BY[[#This Row],[Total Spending After Applying Truncation at the Member Level]]+Age_Sex_BY[[#This Row],[Total Dollars Excluded from Spending After Applying Truncation at the Member Level]]=Age_Sex_BY[[#This Row],[Total Spending before Truncation is Applied]]</f>
        <v>1</v>
      </c>
    </row>
    <row r="1860" spans="1:10" x14ac:dyDescent="0.25">
      <c r="A1860" s="394"/>
      <c r="B1860" s="395"/>
      <c r="C1860" s="396"/>
      <c r="D1860" s="459"/>
      <c r="E1860" s="397"/>
      <c r="F1860" s="398"/>
      <c r="G1860" s="463"/>
      <c r="H1860" s="398"/>
      <c r="I1860" s="403"/>
      <c r="J1860" s="241" t="b">
        <f>Age_Sex_BY[[#This Row],[Total Spending After Applying Truncation at the Member Level]]+Age_Sex_BY[[#This Row],[Total Dollars Excluded from Spending After Applying Truncation at the Member Level]]=Age_Sex_BY[[#This Row],[Total Spending before Truncation is Applied]]</f>
        <v>1</v>
      </c>
    </row>
    <row r="1861" spans="1:10" x14ac:dyDescent="0.25">
      <c r="A1861" s="393"/>
      <c r="B1861" s="387"/>
      <c r="C1861" s="388"/>
      <c r="D1861" s="458"/>
      <c r="E1861" s="389"/>
      <c r="F1861" s="390"/>
      <c r="G1861" s="462"/>
      <c r="H1861" s="390"/>
      <c r="I1861" s="402"/>
      <c r="J1861" s="241" t="b">
        <f>Age_Sex_BY[[#This Row],[Total Spending After Applying Truncation at the Member Level]]+Age_Sex_BY[[#This Row],[Total Dollars Excluded from Spending After Applying Truncation at the Member Level]]=Age_Sex_BY[[#This Row],[Total Spending before Truncation is Applied]]</f>
        <v>1</v>
      </c>
    </row>
    <row r="1862" spans="1:10" x14ac:dyDescent="0.25">
      <c r="A1862" s="394"/>
      <c r="B1862" s="395"/>
      <c r="C1862" s="396"/>
      <c r="D1862" s="459"/>
      <c r="E1862" s="397"/>
      <c r="F1862" s="398"/>
      <c r="G1862" s="463"/>
      <c r="H1862" s="398"/>
      <c r="I1862" s="403"/>
      <c r="J1862" s="241" t="b">
        <f>Age_Sex_BY[[#This Row],[Total Spending After Applying Truncation at the Member Level]]+Age_Sex_BY[[#This Row],[Total Dollars Excluded from Spending After Applying Truncation at the Member Level]]=Age_Sex_BY[[#This Row],[Total Spending before Truncation is Applied]]</f>
        <v>1</v>
      </c>
    </row>
    <row r="1863" spans="1:10" x14ac:dyDescent="0.25">
      <c r="A1863" s="393"/>
      <c r="B1863" s="387"/>
      <c r="C1863" s="388"/>
      <c r="D1863" s="458"/>
      <c r="E1863" s="389"/>
      <c r="F1863" s="390"/>
      <c r="G1863" s="462"/>
      <c r="H1863" s="390"/>
      <c r="I1863" s="402"/>
      <c r="J1863" s="241" t="b">
        <f>Age_Sex_BY[[#This Row],[Total Spending After Applying Truncation at the Member Level]]+Age_Sex_BY[[#This Row],[Total Dollars Excluded from Spending After Applying Truncation at the Member Level]]=Age_Sex_BY[[#This Row],[Total Spending before Truncation is Applied]]</f>
        <v>1</v>
      </c>
    </row>
    <row r="1864" spans="1:10" x14ac:dyDescent="0.25">
      <c r="A1864" s="394"/>
      <c r="B1864" s="395"/>
      <c r="C1864" s="396"/>
      <c r="D1864" s="459"/>
      <c r="E1864" s="397"/>
      <c r="F1864" s="398"/>
      <c r="G1864" s="463"/>
      <c r="H1864" s="398"/>
      <c r="I1864" s="403"/>
      <c r="J1864" s="241" t="b">
        <f>Age_Sex_BY[[#This Row],[Total Spending After Applying Truncation at the Member Level]]+Age_Sex_BY[[#This Row],[Total Dollars Excluded from Spending After Applying Truncation at the Member Level]]=Age_Sex_BY[[#This Row],[Total Spending before Truncation is Applied]]</f>
        <v>1</v>
      </c>
    </row>
    <row r="1865" spans="1:10" x14ac:dyDescent="0.25">
      <c r="A1865" s="393"/>
      <c r="B1865" s="387"/>
      <c r="C1865" s="388"/>
      <c r="D1865" s="458"/>
      <c r="E1865" s="389"/>
      <c r="F1865" s="390"/>
      <c r="G1865" s="462"/>
      <c r="H1865" s="390"/>
      <c r="I1865" s="402"/>
      <c r="J1865" s="241" t="b">
        <f>Age_Sex_BY[[#This Row],[Total Spending After Applying Truncation at the Member Level]]+Age_Sex_BY[[#This Row],[Total Dollars Excluded from Spending After Applying Truncation at the Member Level]]=Age_Sex_BY[[#This Row],[Total Spending before Truncation is Applied]]</f>
        <v>1</v>
      </c>
    </row>
    <row r="1866" spans="1:10" x14ac:dyDescent="0.25">
      <c r="A1866" s="394"/>
      <c r="B1866" s="395"/>
      <c r="C1866" s="396"/>
      <c r="D1866" s="459"/>
      <c r="E1866" s="397"/>
      <c r="F1866" s="398"/>
      <c r="G1866" s="463"/>
      <c r="H1866" s="398"/>
      <c r="I1866" s="403"/>
      <c r="J1866" s="241" t="b">
        <f>Age_Sex_BY[[#This Row],[Total Spending After Applying Truncation at the Member Level]]+Age_Sex_BY[[#This Row],[Total Dollars Excluded from Spending After Applying Truncation at the Member Level]]=Age_Sex_BY[[#This Row],[Total Spending before Truncation is Applied]]</f>
        <v>1</v>
      </c>
    </row>
    <row r="1867" spans="1:10" x14ac:dyDescent="0.25">
      <c r="A1867" s="393"/>
      <c r="B1867" s="387"/>
      <c r="C1867" s="388"/>
      <c r="D1867" s="458"/>
      <c r="E1867" s="389"/>
      <c r="F1867" s="390"/>
      <c r="G1867" s="462"/>
      <c r="H1867" s="390"/>
      <c r="I1867" s="402"/>
      <c r="J1867" s="241" t="b">
        <f>Age_Sex_BY[[#This Row],[Total Spending After Applying Truncation at the Member Level]]+Age_Sex_BY[[#This Row],[Total Dollars Excluded from Spending After Applying Truncation at the Member Level]]=Age_Sex_BY[[#This Row],[Total Spending before Truncation is Applied]]</f>
        <v>1</v>
      </c>
    </row>
    <row r="1868" spans="1:10" x14ac:dyDescent="0.25">
      <c r="A1868" s="394"/>
      <c r="B1868" s="395"/>
      <c r="C1868" s="396"/>
      <c r="D1868" s="459"/>
      <c r="E1868" s="397"/>
      <c r="F1868" s="398"/>
      <c r="G1868" s="463"/>
      <c r="H1868" s="398"/>
      <c r="I1868" s="403"/>
      <c r="J1868" s="241" t="b">
        <f>Age_Sex_BY[[#This Row],[Total Spending After Applying Truncation at the Member Level]]+Age_Sex_BY[[#This Row],[Total Dollars Excluded from Spending After Applying Truncation at the Member Level]]=Age_Sex_BY[[#This Row],[Total Spending before Truncation is Applied]]</f>
        <v>1</v>
      </c>
    </row>
    <row r="1869" spans="1:10" x14ac:dyDescent="0.25">
      <c r="A1869" s="393"/>
      <c r="B1869" s="387"/>
      <c r="C1869" s="388"/>
      <c r="D1869" s="458"/>
      <c r="E1869" s="389"/>
      <c r="F1869" s="390"/>
      <c r="G1869" s="462"/>
      <c r="H1869" s="390"/>
      <c r="I1869" s="402"/>
      <c r="J1869" s="241" t="b">
        <f>Age_Sex_BY[[#This Row],[Total Spending After Applying Truncation at the Member Level]]+Age_Sex_BY[[#This Row],[Total Dollars Excluded from Spending After Applying Truncation at the Member Level]]=Age_Sex_BY[[#This Row],[Total Spending before Truncation is Applied]]</f>
        <v>1</v>
      </c>
    </row>
    <row r="1870" spans="1:10" x14ac:dyDescent="0.25">
      <c r="A1870" s="394"/>
      <c r="B1870" s="395"/>
      <c r="C1870" s="396"/>
      <c r="D1870" s="459"/>
      <c r="E1870" s="397"/>
      <c r="F1870" s="398"/>
      <c r="G1870" s="463"/>
      <c r="H1870" s="398"/>
      <c r="I1870" s="403"/>
      <c r="J1870" s="241" t="b">
        <f>Age_Sex_BY[[#This Row],[Total Spending After Applying Truncation at the Member Level]]+Age_Sex_BY[[#This Row],[Total Dollars Excluded from Spending After Applying Truncation at the Member Level]]=Age_Sex_BY[[#This Row],[Total Spending before Truncation is Applied]]</f>
        <v>1</v>
      </c>
    </row>
    <row r="1871" spans="1:10" x14ac:dyDescent="0.25">
      <c r="A1871" s="393"/>
      <c r="B1871" s="387"/>
      <c r="C1871" s="388"/>
      <c r="D1871" s="458"/>
      <c r="E1871" s="389"/>
      <c r="F1871" s="390"/>
      <c r="G1871" s="462"/>
      <c r="H1871" s="390"/>
      <c r="I1871" s="402"/>
      <c r="J1871" s="241" t="b">
        <f>Age_Sex_BY[[#This Row],[Total Spending After Applying Truncation at the Member Level]]+Age_Sex_BY[[#This Row],[Total Dollars Excluded from Spending After Applying Truncation at the Member Level]]=Age_Sex_BY[[#This Row],[Total Spending before Truncation is Applied]]</f>
        <v>1</v>
      </c>
    </row>
    <row r="1872" spans="1:10" x14ac:dyDescent="0.25">
      <c r="A1872" s="394"/>
      <c r="B1872" s="395"/>
      <c r="C1872" s="396"/>
      <c r="D1872" s="459"/>
      <c r="E1872" s="397"/>
      <c r="F1872" s="398"/>
      <c r="G1872" s="463"/>
      <c r="H1872" s="398"/>
      <c r="I1872" s="403"/>
      <c r="J1872" s="241" t="b">
        <f>Age_Sex_BY[[#This Row],[Total Spending After Applying Truncation at the Member Level]]+Age_Sex_BY[[#This Row],[Total Dollars Excluded from Spending After Applying Truncation at the Member Level]]=Age_Sex_BY[[#This Row],[Total Spending before Truncation is Applied]]</f>
        <v>1</v>
      </c>
    </row>
    <row r="1873" spans="1:10" x14ac:dyDescent="0.25">
      <c r="A1873" s="393"/>
      <c r="B1873" s="387"/>
      <c r="C1873" s="388"/>
      <c r="D1873" s="458"/>
      <c r="E1873" s="389"/>
      <c r="F1873" s="390"/>
      <c r="G1873" s="462"/>
      <c r="H1873" s="390"/>
      <c r="I1873" s="402"/>
      <c r="J1873" s="241" t="b">
        <f>Age_Sex_BY[[#This Row],[Total Spending After Applying Truncation at the Member Level]]+Age_Sex_BY[[#This Row],[Total Dollars Excluded from Spending After Applying Truncation at the Member Level]]=Age_Sex_BY[[#This Row],[Total Spending before Truncation is Applied]]</f>
        <v>1</v>
      </c>
    </row>
    <row r="1874" spans="1:10" x14ac:dyDescent="0.25">
      <c r="A1874" s="394"/>
      <c r="B1874" s="395"/>
      <c r="C1874" s="396"/>
      <c r="D1874" s="459"/>
      <c r="E1874" s="397"/>
      <c r="F1874" s="398"/>
      <c r="G1874" s="463"/>
      <c r="H1874" s="398"/>
      <c r="I1874" s="403"/>
      <c r="J1874" s="241" t="b">
        <f>Age_Sex_BY[[#This Row],[Total Spending After Applying Truncation at the Member Level]]+Age_Sex_BY[[#This Row],[Total Dollars Excluded from Spending After Applying Truncation at the Member Level]]=Age_Sex_BY[[#This Row],[Total Spending before Truncation is Applied]]</f>
        <v>1</v>
      </c>
    </row>
    <row r="1875" spans="1:10" x14ac:dyDescent="0.25">
      <c r="A1875" s="393"/>
      <c r="B1875" s="387"/>
      <c r="C1875" s="388"/>
      <c r="D1875" s="458"/>
      <c r="E1875" s="389"/>
      <c r="F1875" s="390"/>
      <c r="G1875" s="462"/>
      <c r="H1875" s="390"/>
      <c r="I1875" s="402"/>
      <c r="J1875" s="241" t="b">
        <f>Age_Sex_BY[[#This Row],[Total Spending After Applying Truncation at the Member Level]]+Age_Sex_BY[[#This Row],[Total Dollars Excluded from Spending After Applying Truncation at the Member Level]]=Age_Sex_BY[[#This Row],[Total Spending before Truncation is Applied]]</f>
        <v>1</v>
      </c>
    </row>
    <row r="1876" spans="1:10" x14ac:dyDescent="0.25">
      <c r="A1876" s="394"/>
      <c r="B1876" s="395"/>
      <c r="C1876" s="396"/>
      <c r="D1876" s="459"/>
      <c r="E1876" s="397"/>
      <c r="F1876" s="398"/>
      <c r="G1876" s="463"/>
      <c r="H1876" s="398"/>
      <c r="I1876" s="403"/>
      <c r="J1876" s="241" t="b">
        <f>Age_Sex_BY[[#This Row],[Total Spending After Applying Truncation at the Member Level]]+Age_Sex_BY[[#This Row],[Total Dollars Excluded from Spending After Applying Truncation at the Member Level]]=Age_Sex_BY[[#This Row],[Total Spending before Truncation is Applied]]</f>
        <v>1</v>
      </c>
    </row>
    <row r="1877" spans="1:10" x14ac:dyDescent="0.25">
      <c r="A1877" s="393"/>
      <c r="B1877" s="387"/>
      <c r="C1877" s="388"/>
      <c r="D1877" s="458"/>
      <c r="E1877" s="389"/>
      <c r="F1877" s="390"/>
      <c r="G1877" s="462"/>
      <c r="H1877" s="390"/>
      <c r="I1877" s="402"/>
      <c r="J1877" s="241" t="b">
        <f>Age_Sex_BY[[#This Row],[Total Spending After Applying Truncation at the Member Level]]+Age_Sex_BY[[#This Row],[Total Dollars Excluded from Spending After Applying Truncation at the Member Level]]=Age_Sex_BY[[#This Row],[Total Spending before Truncation is Applied]]</f>
        <v>1</v>
      </c>
    </row>
    <row r="1878" spans="1:10" x14ac:dyDescent="0.25">
      <c r="A1878" s="394"/>
      <c r="B1878" s="395"/>
      <c r="C1878" s="396"/>
      <c r="D1878" s="459"/>
      <c r="E1878" s="397"/>
      <c r="F1878" s="398"/>
      <c r="G1878" s="463"/>
      <c r="H1878" s="398"/>
      <c r="I1878" s="403"/>
      <c r="J1878" s="241" t="b">
        <f>Age_Sex_BY[[#This Row],[Total Spending After Applying Truncation at the Member Level]]+Age_Sex_BY[[#This Row],[Total Dollars Excluded from Spending After Applying Truncation at the Member Level]]=Age_Sex_BY[[#This Row],[Total Spending before Truncation is Applied]]</f>
        <v>1</v>
      </c>
    </row>
    <row r="1879" spans="1:10" x14ac:dyDescent="0.25">
      <c r="A1879" s="393"/>
      <c r="B1879" s="387"/>
      <c r="C1879" s="388"/>
      <c r="D1879" s="458"/>
      <c r="E1879" s="389"/>
      <c r="F1879" s="390"/>
      <c r="G1879" s="462"/>
      <c r="H1879" s="390"/>
      <c r="I1879" s="402"/>
      <c r="J1879" s="241" t="b">
        <f>Age_Sex_BY[[#This Row],[Total Spending After Applying Truncation at the Member Level]]+Age_Sex_BY[[#This Row],[Total Dollars Excluded from Spending After Applying Truncation at the Member Level]]=Age_Sex_BY[[#This Row],[Total Spending before Truncation is Applied]]</f>
        <v>1</v>
      </c>
    </row>
    <row r="1880" spans="1:10" x14ac:dyDescent="0.25">
      <c r="A1880" s="394"/>
      <c r="B1880" s="395"/>
      <c r="C1880" s="396"/>
      <c r="D1880" s="459"/>
      <c r="E1880" s="397"/>
      <c r="F1880" s="398"/>
      <c r="G1880" s="463"/>
      <c r="H1880" s="398"/>
      <c r="I1880" s="403"/>
      <c r="J1880" s="241" t="b">
        <f>Age_Sex_BY[[#This Row],[Total Spending After Applying Truncation at the Member Level]]+Age_Sex_BY[[#This Row],[Total Dollars Excluded from Spending After Applying Truncation at the Member Level]]=Age_Sex_BY[[#This Row],[Total Spending before Truncation is Applied]]</f>
        <v>1</v>
      </c>
    </row>
    <row r="1881" spans="1:10" x14ac:dyDescent="0.25">
      <c r="A1881" s="393"/>
      <c r="B1881" s="387"/>
      <c r="C1881" s="388"/>
      <c r="D1881" s="458"/>
      <c r="E1881" s="389"/>
      <c r="F1881" s="390"/>
      <c r="G1881" s="462"/>
      <c r="H1881" s="390"/>
      <c r="I1881" s="402"/>
      <c r="J1881" s="241" t="b">
        <f>Age_Sex_BY[[#This Row],[Total Spending After Applying Truncation at the Member Level]]+Age_Sex_BY[[#This Row],[Total Dollars Excluded from Spending After Applying Truncation at the Member Level]]=Age_Sex_BY[[#This Row],[Total Spending before Truncation is Applied]]</f>
        <v>1</v>
      </c>
    </row>
    <row r="1882" spans="1:10" x14ac:dyDescent="0.25">
      <c r="A1882" s="394"/>
      <c r="B1882" s="395"/>
      <c r="C1882" s="396"/>
      <c r="D1882" s="459"/>
      <c r="E1882" s="397"/>
      <c r="F1882" s="398"/>
      <c r="G1882" s="463"/>
      <c r="H1882" s="398"/>
      <c r="I1882" s="403"/>
      <c r="J1882" s="241" t="b">
        <f>Age_Sex_BY[[#This Row],[Total Spending After Applying Truncation at the Member Level]]+Age_Sex_BY[[#This Row],[Total Dollars Excluded from Spending After Applying Truncation at the Member Level]]=Age_Sex_BY[[#This Row],[Total Spending before Truncation is Applied]]</f>
        <v>1</v>
      </c>
    </row>
    <row r="1883" spans="1:10" x14ac:dyDescent="0.25">
      <c r="A1883" s="393"/>
      <c r="B1883" s="387"/>
      <c r="C1883" s="388"/>
      <c r="D1883" s="458"/>
      <c r="E1883" s="389"/>
      <c r="F1883" s="390"/>
      <c r="G1883" s="462"/>
      <c r="H1883" s="390"/>
      <c r="I1883" s="402"/>
      <c r="J1883" s="241" t="b">
        <f>Age_Sex_BY[[#This Row],[Total Spending After Applying Truncation at the Member Level]]+Age_Sex_BY[[#This Row],[Total Dollars Excluded from Spending After Applying Truncation at the Member Level]]=Age_Sex_BY[[#This Row],[Total Spending before Truncation is Applied]]</f>
        <v>1</v>
      </c>
    </row>
    <row r="1884" spans="1:10" x14ac:dyDescent="0.25">
      <c r="A1884" s="394"/>
      <c r="B1884" s="395"/>
      <c r="C1884" s="396"/>
      <c r="D1884" s="459"/>
      <c r="E1884" s="397"/>
      <c r="F1884" s="398"/>
      <c r="G1884" s="463"/>
      <c r="H1884" s="398"/>
      <c r="I1884" s="403"/>
      <c r="J1884" s="241" t="b">
        <f>Age_Sex_BY[[#This Row],[Total Spending After Applying Truncation at the Member Level]]+Age_Sex_BY[[#This Row],[Total Dollars Excluded from Spending After Applying Truncation at the Member Level]]=Age_Sex_BY[[#This Row],[Total Spending before Truncation is Applied]]</f>
        <v>1</v>
      </c>
    </row>
    <row r="1885" spans="1:10" x14ac:dyDescent="0.25">
      <c r="A1885" s="393"/>
      <c r="B1885" s="387"/>
      <c r="C1885" s="388"/>
      <c r="D1885" s="458"/>
      <c r="E1885" s="389"/>
      <c r="F1885" s="390"/>
      <c r="G1885" s="462"/>
      <c r="H1885" s="390"/>
      <c r="I1885" s="402"/>
      <c r="J1885" s="241" t="b">
        <f>Age_Sex_BY[[#This Row],[Total Spending After Applying Truncation at the Member Level]]+Age_Sex_BY[[#This Row],[Total Dollars Excluded from Spending After Applying Truncation at the Member Level]]=Age_Sex_BY[[#This Row],[Total Spending before Truncation is Applied]]</f>
        <v>1</v>
      </c>
    </row>
    <row r="1886" spans="1:10" x14ac:dyDescent="0.25">
      <c r="A1886" s="394"/>
      <c r="B1886" s="395"/>
      <c r="C1886" s="396"/>
      <c r="D1886" s="459"/>
      <c r="E1886" s="397"/>
      <c r="F1886" s="398"/>
      <c r="G1886" s="463"/>
      <c r="H1886" s="398"/>
      <c r="I1886" s="403"/>
      <c r="J1886" s="241" t="b">
        <f>Age_Sex_BY[[#This Row],[Total Spending After Applying Truncation at the Member Level]]+Age_Sex_BY[[#This Row],[Total Dollars Excluded from Spending After Applying Truncation at the Member Level]]=Age_Sex_BY[[#This Row],[Total Spending before Truncation is Applied]]</f>
        <v>1</v>
      </c>
    </row>
    <row r="1887" spans="1:10" x14ac:dyDescent="0.25">
      <c r="A1887" s="393"/>
      <c r="B1887" s="387"/>
      <c r="C1887" s="388"/>
      <c r="D1887" s="458"/>
      <c r="E1887" s="389"/>
      <c r="F1887" s="390"/>
      <c r="G1887" s="462"/>
      <c r="H1887" s="390"/>
      <c r="I1887" s="402"/>
      <c r="J1887" s="241" t="b">
        <f>Age_Sex_BY[[#This Row],[Total Spending After Applying Truncation at the Member Level]]+Age_Sex_BY[[#This Row],[Total Dollars Excluded from Spending After Applying Truncation at the Member Level]]=Age_Sex_BY[[#This Row],[Total Spending before Truncation is Applied]]</f>
        <v>1</v>
      </c>
    </row>
    <row r="1888" spans="1:10" x14ac:dyDescent="0.25">
      <c r="A1888" s="394"/>
      <c r="B1888" s="395"/>
      <c r="C1888" s="396"/>
      <c r="D1888" s="459"/>
      <c r="E1888" s="397"/>
      <c r="F1888" s="398"/>
      <c r="G1888" s="463"/>
      <c r="H1888" s="398"/>
      <c r="I1888" s="403"/>
      <c r="J1888" s="241" t="b">
        <f>Age_Sex_BY[[#This Row],[Total Spending After Applying Truncation at the Member Level]]+Age_Sex_BY[[#This Row],[Total Dollars Excluded from Spending After Applying Truncation at the Member Level]]=Age_Sex_BY[[#This Row],[Total Spending before Truncation is Applied]]</f>
        <v>1</v>
      </c>
    </row>
    <row r="1889" spans="1:10" x14ac:dyDescent="0.25">
      <c r="A1889" s="393"/>
      <c r="B1889" s="387"/>
      <c r="C1889" s="388"/>
      <c r="D1889" s="458"/>
      <c r="E1889" s="389"/>
      <c r="F1889" s="390"/>
      <c r="G1889" s="462"/>
      <c r="H1889" s="390"/>
      <c r="I1889" s="402"/>
      <c r="J1889" s="241" t="b">
        <f>Age_Sex_BY[[#This Row],[Total Spending After Applying Truncation at the Member Level]]+Age_Sex_BY[[#This Row],[Total Dollars Excluded from Spending After Applying Truncation at the Member Level]]=Age_Sex_BY[[#This Row],[Total Spending before Truncation is Applied]]</f>
        <v>1</v>
      </c>
    </row>
    <row r="1890" spans="1:10" x14ac:dyDescent="0.25">
      <c r="A1890" s="394"/>
      <c r="B1890" s="395"/>
      <c r="C1890" s="396"/>
      <c r="D1890" s="459"/>
      <c r="E1890" s="397"/>
      <c r="F1890" s="398"/>
      <c r="G1890" s="463"/>
      <c r="H1890" s="398"/>
      <c r="I1890" s="403"/>
      <c r="J1890" s="241" t="b">
        <f>Age_Sex_BY[[#This Row],[Total Spending After Applying Truncation at the Member Level]]+Age_Sex_BY[[#This Row],[Total Dollars Excluded from Spending After Applying Truncation at the Member Level]]=Age_Sex_BY[[#This Row],[Total Spending before Truncation is Applied]]</f>
        <v>1</v>
      </c>
    </row>
    <row r="1891" spans="1:10" x14ac:dyDescent="0.25">
      <c r="A1891" s="393"/>
      <c r="B1891" s="387"/>
      <c r="C1891" s="388"/>
      <c r="D1891" s="458"/>
      <c r="E1891" s="389"/>
      <c r="F1891" s="390"/>
      <c r="G1891" s="462"/>
      <c r="H1891" s="390"/>
      <c r="I1891" s="402"/>
      <c r="J1891" s="241" t="b">
        <f>Age_Sex_BY[[#This Row],[Total Spending After Applying Truncation at the Member Level]]+Age_Sex_BY[[#This Row],[Total Dollars Excluded from Spending After Applying Truncation at the Member Level]]=Age_Sex_BY[[#This Row],[Total Spending before Truncation is Applied]]</f>
        <v>1</v>
      </c>
    </row>
    <row r="1892" spans="1:10" x14ac:dyDescent="0.25">
      <c r="A1892" s="394"/>
      <c r="B1892" s="395"/>
      <c r="C1892" s="396"/>
      <c r="D1892" s="459"/>
      <c r="E1892" s="397"/>
      <c r="F1892" s="398"/>
      <c r="G1892" s="463"/>
      <c r="H1892" s="398"/>
      <c r="I1892" s="403"/>
      <c r="J1892" s="241" t="b">
        <f>Age_Sex_BY[[#This Row],[Total Spending After Applying Truncation at the Member Level]]+Age_Sex_BY[[#This Row],[Total Dollars Excluded from Spending After Applying Truncation at the Member Level]]=Age_Sex_BY[[#This Row],[Total Spending before Truncation is Applied]]</f>
        <v>1</v>
      </c>
    </row>
    <row r="1893" spans="1:10" x14ac:dyDescent="0.25">
      <c r="A1893" s="393"/>
      <c r="B1893" s="387"/>
      <c r="C1893" s="388"/>
      <c r="D1893" s="458"/>
      <c r="E1893" s="389"/>
      <c r="F1893" s="390"/>
      <c r="G1893" s="462"/>
      <c r="H1893" s="390"/>
      <c r="I1893" s="402"/>
      <c r="J1893" s="241" t="b">
        <f>Age_Sex_BY[[#This Row],[Total Spending After Applying Truncation at the Member Level]]+Age_Sex_BY[[#This Row],[Total Dollars Excluded from Spending After Applying Truncation at the Member Level]]=Age_Sex_BY[[#This Row],[Total Spending before Truncation is Applied]]</f>
        <v>1</v>
      </c>
    </row>
    <row r="1894" spans="1:10" x14ac:dyDescent="0.25">
      <c r="A1894" s="394"/>
      <c r="B1894" s="395"/>
      <c r="C1894" s="396"/>
      <c r="D1894" s="459"/>
      <c r="E1894" s="397"/>
      <c r="F1894" s="398"/>
      <c r="G1894" s="463"/>
      <c r="H1894" s="398"/>
      <c r="I1894" s="403"/>
      <c r="J1894" s="241" t="b">
        <f>Age_Sex_BY[[#This Row],[Total Spending After Applying Truncation at the Member Level]]+Age_Sex_BY[[#This Row],[Total Dollars Excluded from Spending After Applying Truncation at the Member Level]]=Age_Sex_BY[[#This Row],[Total Spending before Truncation is Applied]]</f>
        <v>1</v>
      </c>
    </row>
    <row r="1895" spans="1:10" x14ac:dyDescent="0.25">
      <c r="A1895" s="393"/>
      <c r="B1895" s="387"/>
      <c r="C1895" s="388"/>
      <c r="D1895" s="458"/>
      <c r="E1895" s="389"/>
      <c r="F1895" s="390"/>
      <c r="G1895" s="462"/>
      <c r="H1895" s="390"/>
      <c r="I1895" s="402"/>
      <c r="J1895" s="241" t="b">
        <f>Age_Sex_BY[[#This Row],[Total Spending After Applying Truncation at the Member Level]]+Age_Sex_BY[[#This Row],[Total Dollars Excluded from Spending After Applying Truncation at the Member Level]]=Age_Sex_BY[[#This Row],[Total Spending before Truncation is Applied]]</f>
        <v>1</v>
      </c>
    </row>
    <row r="1896" spans="1:10" x14ac:dyDescent="0.25">
      <c r="A1896" s="394"/>
      <c r="B1896" s="395"/>
      <c r="C1896" s="396"/>
      <c r="D1896" s="459"/>
      <c r="E1896" s="397"/>
      <c r="F1896" s="398"/>
      <c r="G1896" s="463"/>
      <c r="H1896" s="398"/>
      <c r="I1896" s="403"/>
      <c r="J1896" s="241" t="b">
        <f>Age_Sex_BY[[#This Row],[Total Spending After Applying Truncation at the Member Level]]+Age_Sex_BY[[#This Row],[Total Dollars Excluded from Spending After Applying Truncation at the Member Level]]=Age_Sex_BY[[#This Row],[Total Spending before Truncation is Applied]]</f>
        <v>1</v>
      </c>
    </row>
    <row r="1897" spans="1:10" x14ac:dyDescent="0.25">
      <c r="A1897" s="393"/>
      <c r="B1897" s="387"/>
      <c r="C1897" s="388"/>
      <c r="D1897" s="458"/>
      <c r="E1897" s="389"/>
      <c r="F1897" s="390"/>
      <c r="G1897" s="462"/>
      <c r="H1897" s="390"/>
      <c r="I1897" s="402"/>
      <c r="J1897" s="241" t="b">
        <f>Age_Sex_BY[[#This Row],[Total Spending After Applying Truncation at the Member Level]]+Age_Sex_BY[[#This Row],[Total Dollars Excluded from Spending After Applying Truncation at the Member Level]]=Age_Sex_BY[[#This Row],[Total Spending before Truncation is Applied]]</f>
        <v>1</v>
      </c>
    </row>
    <row r="1898" spans="1:10" x14ac:dyDescent="0.25">
      <c r="A1898" s="394"/>
      <c r="B1898" s="395"/>
      <c r="C1898" s="396"/>
      <c r="D1898" s="459"/>
      <c r="E1898" s="397"/>
      <c r="F1898" s="398"/>
      <c r="G1898" s="463"/>
      <c r="H1898" s="398"/>
      <c r="I1898" s="403"/>
      <c r="J1898" s="241" t="b">
        <f>Age_Sex_BY[[#This Row],[Total Spending After Applying Truncation at the Member Level]]+Age_Sex_BY[[#This Row],[Total Dollars Excluded from Spending After Applying Truncation at the Member Level]]=Age_Sex_BY[[#This Row],[Total Spending before Truncation is Applied]]</f>
        <v>1</v>
      </c>
    </row>
    <row r="1899" spans="1:10" x14ac:dyDescent="0.25">
      <c r="A1899" s="393"/>
      <c r="B1899" s="387"/>
      <c r="C1899" s="388"/>
      <c r="D1899" s="458"/>
      <c r="E1899" s="389"/>
      <c r="F1899" s="390"/>
      <c r="G1899" s="462"/>
      <c r="H1899" s="390"/>
      <c r="I1899" s="402"/>
      <c r="J1899" s="241" t="b">
        <f>Age_Sex_BY[[#This Row],[Total Spending After Applying Truncation at the Member Level]]+Age_Sex_BY[[#This Row],[Total Dollars Excluded from Spending After Applying Truncation at the Member Level]]=Age_Sex_BY[[#This Row],[Total Spending before Truncation is Applied]]</f>
        <v>1</v>
      </c>
    </row>
    <row r="1900" spans="1:10" x14ac:dyDescent="0.25">
      <c r="A1900" s="394"/>
      <c r="B1900" s="395"/>
      <c r="C1900" s="396"/>
      <c r="D1900" s="459"/>
      <c r="E1900" s="397"/>
      <c r="F1900" s="398"/>
      <c r="G1900" s="463"/>
      <c r="H1900" s="398"/>
      <c r="I1900" s="403"/>
      <c r="J1900" s="241" t="b">
        <f>Age_Sex_BY[[#This Row],[Total Spending After Applying Truncation at the Member Level]]+Age_Sex_BY[[#This Row],[Total Dollars Excluded from Spending After Applying Truncation at the Member Level]]=Age_Sex_BY[[#This Row],[Total Spending before Truncation is Applied]]</f>
        <v>1</v>
      </c>
    </row>
    <row r="1901" spans="1:10" x14ac:dyDescent="0.25">
      <c r="A1901" s="393"/>
      <c r="B1901" s="387"/>
      <c r="C1901" s="388"/>
      <c r="D1901" s="458"/>
      <c r="E1901" s="389"/>
      <c r="F1901" s="390"/>
      <c r="G1901" s="462"/>
      <c r="H1901" s="390"/>
      <c r="I1901" s="402"/>
      <c r="J1901" s="241" t="b">
        <f>Age_Sex_BY[[#This Row],[Total Spending After Applying Truncation at the Member Level]]+Age_Sex_BY[[#This Row],[Total Dollars Excluded from Spending After Applying Truncation at the Member Level]]=Age_Sex_BY[[#This Row],[Total Spending before Truncation is Applied]]</f>
        <v>1</v>
      </c>
    </row>
    <row r="1902" spans="1:10" x14ac:dyDescent="0.25">
      <c r="A1902" s="394"/>
      <c r="B1902" s="395"/>
      <c r="C1902" s="396"/>
      <c r="D1902" s="459"/>
      <c r="E1902" s="397"/>
      <c r="F1902" s="398"/>
      <c r="G1902" s="463"/>
      <c r="H1902" s="398"/>
      <c r="I1902" s="403"/>
      <c r="J1902" s="241" t="b">
        <f>Age_Sex_BY[[#This Row],[Total Spending After Applying Truncation at the Member Level]]+Age_Sex_BY[[#This Row],[Total Dollars Excluded from Spending After Applying Truncation at the Member Level]]=Age_Sex_BY[[#This Row],[Total Spending before Truncation is Applied]]</f>
        <v>1</v>
      </c>
    </row>
    <row r="1903" spans="1:10" x14ac:dyDescent="0.25">
      <c r="A1903" s="393"/>
      <c r="B1903" s="387"/>
      <c r="C1903" s="388"/>
      <c r="D1903" s="458"/>
      <c r="E1903" s="389"/>
      <c r="F1903" s="390"/>
      <c r="G1903" s="462"/>
      <c r="H1903" s="390"/>
      <c r="I1903" s="402"/>
      <c r="J1903" s="241" t="b">
        <f>Age_Sex_BY[[#This Row],[Total Spending After Applying Truncation at the Member Level]]+Age_Sex_BY[[#This Row],[Total Dollars Excluded from Spending After Applying Truncation at the Member Level]]=Age_Sex_BY[[#This Row],[Total Spending before Truncation is Applied]]</f>
        <v>1</v>
      </c>
    </row>
    <row r="1904" spans="1:10" x14ac:dyDescent="0.25">
      <c r="A1904" s="394"/>
      <c r="B1904" s="395"/>
      <c r="C1904" s="396"/>
      <c r="D1904" s="459"/>
      <c r="E1904" s="397"/>
      <c r="F1904" s="398"/>
      <c r="G1904" s="463"/>
      <c r="H1904" s="398"/>
      <c r="I1904" s="403"/>
      <c r="J1904" s="241" t="b">
        <f>Age_Sex_BY[[#This Row],[Total Spending After Applying Truncation at the Member Level]]+Age_Sex_BY[[#This Row],[Total Dollars Excluded from Spending After Applying Truncation at the Member Level]]=Age_Sex_BY[[#This Row],[Total Spending before Truncation is Applied]]</f>
        <v>1</v>
      </c>
    </row>
    <row r="1905" spans="1:10" x14ac:dyDescent="0.25">
      <c r="A1905" s="393"/>
      <c r="B1905" s="387"/>
      <c r="C1905" s="388"/>
      <c r="D1905" s="458"/>
      <c r="E1905" s="389"/>
      <c r="F1905" s="390"/>
      <c r="G1905" s="462"/>
      <c r="H1905" s="390"/>
      <c r="I1905" s="402"/>
      <c r="J1905" s="241" t="b">
        <f>Age_Sex_BY[[#This Row],[Total Spending After Applying Truncation at the Member Level]]+Age_Sex_BY[[#This Row],[Total Dollars Excluded from Spending After Applying Truncation at the Member Level]]=Age_Sex_BY[[#This Row],[Total Spending before Truncation is Applied]]</f>
        <v>1</v>
      </c>
    </row>
    <row r="1906" spans="1:10" x14ac:dyDescent="0.25">
      <c r="A1906" s="394"/>
      <c r="B1906" s="395"/>
      <c r="C1906" s="396"/>
      <c r="D1906" s="459"/>
      <c r="E1906" s="397"/>
      <c r="F1906" s="398"/>
      <c r="G1906" s="463"/>
      <c r="H1906" s="398"/>
      <c r="I1906" s="403"/>
      <c r="J1906" s="241" t="b">
        <f>Age_Sex_BY[[#This Row],[Total Spending After Applying Truncation at the Member Level]]+Age_Sex_BY[[#This Row],[Total Dollars Excluded from Spending After Applying Truncation at the Member Level]]=Age_Sex_BY[[#This Row],[Total Spending before Truncation is Applied]]</f>
        <v>1</v>
      </c>
    </row>
    <row r="1907" spans="1:10" x14ac:dyDescent="0.25">
      <c r="A1907" s="393"/>
      <c r="B1907" s="387"/>
      <c r="C1907" s="388"/>
      <c r="D1907" s="458"/>
      <c r="E1907" s="389"/>
      <c r="F1907" s="390"/>
      <c r="G1907" s="462"/>
      <c r="H1907" s="390"/>
      <c r="I1907" s="402"/>
      <c r="J1907" s="241" t="b">
        <f>Age_Sex_BY[[#This Row],[Total Spending After Applying Truncation at the Member Level]]+Age_Sex_BY[[#This Row],[Total Dollars Excluded from Spending After Applying Truncation at the Member Level]]=Age_Sex_BY[[#This Row],[Total Spending before Truncation is Applied]]</f>
        <v>1</v>
      </c>
    </row>
    <row r="1908" spans="1:10" x14ac:dyDescent="0.25">
      <c r="A1908" s="394"/>
      <c r="B1908" s="395"/>
      <c r="C1908" s="396"/>
      <c r="D1908" s="459"/>
      <c r="E1908" s="397"/>
      <c r="F1908" s="398"/>
      <c r="G1908" s="463"/>
      <c r="H1908" s="398"/>
      <c r="I1908" s="403"/>
      <c r="J1908" s="241" t="b">
        <f>Age_Sex_BY[[#This Row],[Total Spending After Applying Truncation at the Member Level]]+Age_Sex_BY[[#This Row],[Total Dollars Excluded from Spending After Applying Truncation at the Member Level]]=Age_Sex_BY[[#This Row],[Total Spending before Truncation is Applied]]</f>
        <v>1</v>
      </c>
    </row>
    <row r="1909" spans="1:10" x14ac:dyDescent="0.25">
      <c r="A1909" s="393"/>
      <c r="B1909" s="387"/>
      <c r="C1909" s="388"/>
      <c r="D1909" s="458"/>
      <c r="E1909" s="389"/>
      <c r="F1909" s="390"/>
      <c r="G1909" s="462"/>
      <c r="H1909" s="390"/>
      <c r="I1909" s="402"/>
      <c r="J1909" s="241" t="b">
        <f>Age_Sex_BY[[#This Row],[Total Spending After Applying Truncation at the Member Level]]+Age_Sex_BY[[#This Row],[Total Dollars Excluded from Spending After Applying Truncation at the Member Level]]=Age_Sex_BY[[#This Row],[Total Spending before Truncation is Applied]]</f>
        <v>1</v>
      </c>
    </row>
    <row r="1910" spans="1:10" x14ac:dyDescent="0.25">
      <c r="A1910" s="394"/>
      <c r="B1910" s="395"/>
      <c r="C1910" s="396"/>
      <c r="D1910" s="459"/>
      <c r="E1910" s="397"/>
      <c r="F1910" s="398"/>
      <c r="G1910" s="463"/>
      <c r="H1910" s="398"/>
      <c r="I1910" s="403"/>
      <c r="J1910" s="241" t="b">
        <f>Age_Sex_BY[[#This Row],[Total Spending After Applying Truncation at the Member Level]]+Age_Sex_BY[[#This Row],[Total Dollars Excluded from Spending After Applying Truncation at the Member Level]]=Age_Sex_BY[[#This Row],[Total Spending before Truncation is Applied]]</f>
        <v>1</v>
      </c>
    </row>
    <row r="1911" spans="1:10" x14ac:dyDescent="0.25">
      <c r="A1911" s="393"/>
      <c r="B1911" s="387"/>
      <c r="C1911" s="388"/>
      <c r="D1911" s="458"/>
      <c r="E1911" s="389"/>
      <c r="F1911" s="390"/>
      <c r="G1911" s="462"/>
      <c r="H1911" s="390"/>
      <c r="I1911" s="402"/>
      <c r="J1911" s="241" t="b">
        <f>Age_Sex_BY[[#This Row],[Total Spending After Applying Truncation at the Member Level]]+Age_Sex_BY[[#This Row],[Total Dollars Excluded from Spending After Applying Truncation at the Member Level]]=Age_Sex_BY[[#This Row],[Total Spending before Truncation is Applied]]</f>
        <v>1</v>
      </c>
    </row>
    <row r="1912" spans="1:10" x14ac:dyDescent="0.25">
      <c r="A1912" s="394"/>
      <c r="B1912" s="395"/>
      <c r="C1912" s="396"/>
      <c r="D1912" s="459"/>
      <c r="E1912" s="397"/>
      <c r="F1912" s="398"/>
      <c r="G1912" s="463"/>
      <c r="H1912" s="398"/>
      <c r="I1912" s="403"/>
      <c r="J1912" s="241" t="b">
        <f>Age_Sex_BY[[#This Row],[Total Spending After Applying Truncation at the Member Level]]+Age_Sex_BY[[#This Row],[Total Dollars Excluded from Spending After Applying Truncation at the Member Level]]=Age_Sex_BY[[#This Row],[Total Spending before Truncation is Applied]]</f>
        <v>1</v>
      </c>
    </row>
    <row r="1913" spans="1:10" x14ac:dyDescent="0.25">
      <c r="A1913" s="393"/>
      <c r="B1913" s="387"/>
      <c r="C1913" s="388"/>
      <c r="D1913" s="458"/>
      <c r="E1913" s="389"/>
      <c r="F1913" s="390"/>
      <c r="G1913" s="462"/>
      <c r="H1913" s="390"/>
      <c r="I1913" s="402"/>
      <c r="J1913" s="241" t="b">
        <f>Age_Sex_BY[[#This Row],[Total Spending After Applying Truncation at the Member Level]]+Age_Sex_BY[[#This Row],[Total Dollars Excluded from Spending After Applying Truncation at the Member Level]]=Age_Sex_BY[[#This Row],[Total Spending before Truncation is Applied]]</f>
        <v>1</v>
      </c>
    </row>
    <row r="1914" spans="1:10" x14ac:dyDescent="0.25">
      <c r="A1914" s="394"/>
      <c r="B1914" s="395"/>
      <c r="C1914" s="396"/>
      <c r="D1914" s="459"/>
      <c r="E1914" s="397"/>
      <c r="F1914" s="398"/>
      <c r="G1914" s="463"/>
      <c r="H1914" s="398"/>
      <c r="I1914" s="403"/>
      <c r="J1914" s="241" t="b">
        <f>Age_Sex_BY[[#This Row],[Total Spending After Applying Truncation at the Member Level]]+Age_Sex_BY[[#This Row],[Total Dollars Excluded from Spending After Applying Truncation at the Member Level]]=Age_Sex_BY[[#This Row],[Total Spending before Truncation is Applied]]</f>
        <v>1</v>
      </c>
    </row>
    <row r="1915" spans="1:10" x14ac:dyDescent="0.25">
      <c r="A1915" s="393"/>
      <c r="B1915" s="387"/>
      <c r="C1915" s="388"/>
      <c r="D1915" s="458"/>
      <c r="E1915" s="389"/>
      <c r="F1915" s="390"/>
      <c r="G1915" s="462"/>
      <c r="H1915" s="390"/>
      <c r="I1915" s="402"/>
      <c r="J1915" s="241" t="b">
        <f>Age_Sex_BY[[#This Row],[Total Spending After Applying Truncation at the Member Level]]+Age_Sex_BY[[#This Row],[Total Dollars Excluded from Spending After Applying Truncation at the Member Level]]=Age_Sex_BY[[#This Row],[Total Spending before Truncation is Applied]]</f>
        <v>1</v>
      </c>
    </row>
    <row r="1916" spans="1:10" x14ac:dyDescent="0.25">
      <c r="A1916" s="394"/>
      <c r="B1916" s="395"/>
      <c r="C1916" s="396"/>
      <c r="D1916" s="459"/>
      <c r="E1916" s="397"/>
      <c r="F1916" s="398"/>
      <c r="G1916" s="463"/>
      <c r="H1916" s="398"/>
      <c r="I1916" s="403"/>
      <c r="J1916" s="241" t="b">
        <f>Age_Sex_BY[[#This Row],[Total Spending After Applying Truncation at the Member Level]]+Age_Sex_BY[[#This Row],[Total Dollars Excluded from Spending After Applying Truncation at the Member Level]]=Age_Sex_BY[[#This Row],[Total Spending before Truncation is Applied]]</f>
        <v>1</v>
      </c>
    </row>
    <row r="1917" spans="1:10" x14ac:dyDescent="0.25">
      <c r="A1917" s="393"/>
      <c r="B1917" s="387"/>
      <c r="C1917" s="388"/>
      <c r="D1917" s="458"/>
      <c r="E1917" s="389"/>
      <c r="F1917" s="390"/>
      <c r="G1917" s="462"/>
      <c r="H1917" s="390"/>
      <c r="I1917" s="402"/>
      <c r="J1917" s="241" t="b">
        <f>Age_Sex_BY[[#This Row],[Total Spending After Applying Truncation at the Member Level]]+Age_Sex_BY[[#This Row],[Total Dollars Excluded from Spending After Applying Truncation at the Member Level]]=Age_Sex_BY[[#This Row],[Total Spending before Truncation is Applied]]</f>
        <v>1</v>
      </c>
    </row>
    <row r="1918" spans="1:10" x14ac:dyDescent="0.25">
      <c r="A1918" s="394"/>
      <c r="B1918" s="395"/>
      <c r="C1918" s="396"/>
      <c r="D1918" s="459"/>
      <c r="E1918" s="397"/>
      <c r="F1918" s="398"/>
      <c r="G1918" s="463"/>
      <c r="H1918" s="398"/>
      <c r="I1918" s="403"/>
      <c r="J1918" s="241" t="b">
        <f>Age_Sex_BY[[#This Row],[Total Spending After Applying Truncation at the Member Level]]+Age_Sex_BY[[#This Row],[Total Dollars Excluded from Spending After Applying Truncation at the Member Level]]=Age_Sex_BY[[#This Row],[Total Spending before Truncation is Applied]]</f>
        <v>1</v>
      </c>
    </row>
    <row r="1919" spans="1:10" x14ac:dyDescent="0.25">
      <c r="A1919" s="393"/>
      <c r="B1919" s="387"/>
      <c r="C1919" s="388"/>
      <c r="D1919" s="458"/>
      <c r="E1919" s="389"/>
      <c r="F1919" s="390"/>
      <c r="G1919" s="462"/>
      <c r="H1919" s="390"/>
      <c r="I1919" s="402"/>
      <c r="J1919" s="241" t="b">
        <f>Age_Sex_BY[[#This Row],[Total Spending After Applying Truncation at the Member Level]]+Age_Sex_BY[[#This Row],[Total Dollars Excluded from Spending After Applying Truncation at the Member Level]]=Age_Sex_BY[[#This Row],[Total Spending before Truncation is Applied]]</f>
        <v>1</v>
      </c>
    </row>
    <row r="1920" spans="1:10" x14ac:dyDescent="0.25">
      <c r="A1920" s="394"/>
      <c r="B1920" s="395"/>
      <c r="C1920" s="396"/>
      <c r="D1920" s="459"/>
      <c r="E1920" s="397"/>
      <c r="F1920" s="398"/>
      <c r="G1920" s="463"/>
      <c r="H1920" s="398"/>
      <c r="I1920" s="403"/>
      <c r="J1920" s="241" t="b">
        <f>Age_Sex_BY[[#This Row],[Total Spending After Applying Truncation at the Member Level]]+Age_Sex_BY[[#This Row],[Total Dollars Excluded from Spending After Applying Truncation at the Member Level]]=Age_Sex_BY[[#This Row],[Total Spending before Truncation is Applied]]</f>
        <v>1</v>
      </c>
    </row>
    <row r="1921" spans="1:10" x14ac:dyDescent="0.25">
      <c r="A1921" s="393"/>
      <c r="B1921" s="387"/>
      <c r="C1921" s="388"/>
      <c r="D1921" s="458"/>
      <c r="E1921" s="389"/>
      <c r="F1921" s="390"/>
      <c r="G1921" s="462"/>
      <c r="H1921" s="390"/>
      <c r="I1921" s="402"/>
      <c r="J1921" s="241" t="b">
        <f>Age_Sex_BY[[#This Row],[Total Spending After Applying Truncation at the Member Level]]+Age_Sex_BY[[#This Row],[Total Dollars Excluded from Spending After Applying Truncation at the Member Level]]=Age_Sex_BY[[#This Row],[Total Spending before Truncation is Applied]]</f>
        <v>1</v>
      </c>
    </row>
    <row r="1922" spans="1:10" x14ac:dyDescent="0.25">
      <c r="A1922" s="394"/>
      <c r="B1922" s="395"/>
      <c r="C1922" s="396"/>
      <c r="D1922" s="459"/>
      <c r="E1922" s="397"/>
      <c r="F1922" s="398"/>
      <c r="G1922" s="463"/>
      <c r="H1922" s="398"/>
      <c r="I1922" s="403"/>
      <c r="J1922" s="241" t="b">
        <f>Age_Sex_BY[[#This Row],[Total Spending After Applying Truncation at the Member Level]]+Age_Sex_BY[[#This Row],[Total Dollars Excluded from Spending After Applying Truncation at the Member Level]]=Age_Sex_BY[[#This Row],[Total Spending before Truncation is Applied]]</f>
        <v>1</v>
      </c>
    </row>
    <row r="1923" spans="1:10" x14ac:dyDescent="0.25">
      <c r="A1923" s="393"/>
      <c r="B1923" s="387"/>
      <c r="C1923" s="388"/>
      <c r="D1923" s="458"/>
      <c r="E1923" s="389"/>
      <c r="F1923" s="390"/>
      <c r="G1923" s="462"/>
      <c r="H1923" s="390"/>
      <c r="I1923" s="402"/>
      <c r="J1923" s="241" t="b">
        <f>Age_Sex_BY[[#This Row],[Total Spending After Applying Truncation at the Member Level]]+Age_Sex_BY[[#This Row],[Total Dollars Excluded from Spending After Applying Truncation at the Member Level]]=Age_Sex_BY[[#This Row],[Total Spending before Truncation is Applied]]</f>
        <v>1</v>
      </c>
    </row>
    <row r="1924" spans="1:10" x14ac:dyDescent="0.25">
      <c r="A1924" s="394"/>
      <c r="B1924" s="395"/>
      <c r="C1924" s="396"/>
      <c r="D1924" s="459"/>
      <c r="E1924" s="397"/>
      <c r="F1924" s="398"/>
      <c r="G1924" s="463"/>
      <c r="H1924" s="398"/>
      <c r="I1924" s="403"/>
      <c r="J1924" s="241" t="b">
        <f>Age_Sex_BY[[#This Row],[Total Spending After Applying Truncation at the Member Level]]+Age_Sex_BY[[#This Row],[Total Dollars Excluded from Spending After Applying Truncation at the Member Level]]=Age_Sex_BY[[#This Row],[Total Spending before Truncation is Applied]]</f>
        <v>1</v>
      </c>
    </row>
    <row r="1925" spans="1:10" x14ac:dyDescent="0.25">
      <c r="A1925" s="393"/>
      <c r="B1925" s="387"/>
      <c r="C1925" s="388"/>
      <c r="D1925" s="458"/>
      <c r="E1925" s="389"/>
      <c r="F1925" s="390"/>
      <c r="G1925" s="462"/>
      <c r="H1925" s="390"/>
      <c r="I1925" s="402"/>
      <c r="J1925" s="241" t="b">
        <f>Age_Sex_BY[[#This Row],[Total Spending After Applying Truncation at the Member Level]]+Age_Sex_BY[[#This Row],[Total Dollars Excluded from Spending After Applying Truncation at the Member Level]]=Age_Sex_BY[[#This Row],[Total Spending before Truncation is Applied]]</f>
        <v>1</v>
      </c>
    </row>
    <row r="1926" spans="1:10" x14ac:dyDescent="0.25">
      <c r="A1926" s="394"/>
      <c r="B1926" s="395"/>
      <c r="C1926" s="396"/>
      <c r="D1926" s="459"/>
      <c r="E1926" s="397"/>
      <c r="F1926" s="398"/>
      <c r="G1926" s="463"/>
      <c r="H1926" s="398"/>
      <c r="I1926" s="403"/>
      <c r="J1926" s="241" t="b">
        <f>Age_Sex_BY[[#This Row],[Total Spending After Applying Truncation at the Member Level]]+Age_Sex_BY[[#This Row],[Total Dollars Excluded from Spending After Applying Truncation at the Member Level]]=Age_Sex_BY[[#This Row],[Total Spending before Truncation is Applied]]</f>
        <v>1</v>
      </c>
    </row>
    <row r="1927" spans="1:10" x14ac:dyDescent="0.25">
      <c r="A1927" s="393"/>
      <c r="B1927" s="387"/>
      <c r="C1927" s="388"/>
      <c r="D1927" s="458"/>
      <c r="E1927" s="389"/>
      <c r="F1927" s="390"/>
      <c r="G1927" s="462"/>
      <c r="H1927" s="390"/>
      <c r="I1927" s="402"/>
      <c r="J1927" s="241" t="b">
        <f>Age_Sex_BY[[#This Row],[Total Spending After Applying Truncation at the Member Level]]+Age_Sex_BY[[#This Row],[Total Dollars Excluded from Spending After Applying Truncation at the Member Level]]=Age_Sex_BY[[#This Row],[Total Spending before Truncation is Applied]]</f>
        <v>1</v>
      </c>
    </row>
    <row r="1928" spans="1:10" x14ac:dyDescent="0.25">
      <c r="A1928" s="394"/>
      <c r="B1928" s="395"/>
      <c r="C1928" s="396"/>
      <c r="D1928" s="459"/>
      <c r="E1928" s="397"/>
      <c r="F1928" s="398"/>
      <c r="G1928" s="463"/>
      <c r="H1928" s="398"/>
      <c r="I1928" s="403"/>
      <c r="J1928" s="241" t="b">
        <f>Age_Sex_BY[[#This Row],[Total Spending After Applying Truncation at the Member Level]]+Age_Sex_BY[[#This Row],[Total Dollars Excluded from Spending After Applying Truncation at the Member Level]]=Age_Sex_BY[[#This Row],[Total Spending before Truncation is Applied]]</f>
        <v>1</v>
      </c>
    </row>
    <row r="1929" spans="1:10" x14ac:dyDescent="0.25">
      <c r="A1929" s="393"/>
      <c r="B1929" s="387"/>
      <c r="C1929" s="388"/>
      <c r="D1929" s="458"/>
      <c r="E1929" s="389"/>
      <c r="F1929" s="390"/>
      <c r="G1929" s="462"/>
      <c r="H1929" s="390"/>
      <c r="I1929" s="402"/>
      <c r="J1929" s="241" t="b">
        <f>Age_Sex_BY[[#This Row],[Total Spending After Applying Truncation at the Member Level]]+Age_Sex_BY[[#This Row],[Total Dollars Excluded from Spending After Applying Truncation at the Member Level]]=Age_Sex_BY[[#This Row],[Total Spending before Truncation is Applied]]</f>
        <v>1</v>
      </c>
    </row>
    <row r="1930" spans="1:10" x14ac:dyDescent="0.25">
      <c r="A1930" s="394"/>
      <c r="B1930" s="395"/>
      <c r="C1930" s="396"/>
      <c r="D1930" s="459"/>
      <c r="E1930" s="397"/>
      <c r="F1930" s="398"/>
      <c r="G1930" s="463"/>
      <c r="H1930" s="398"/>
      <c r="I1930" s="403"/>
      <c r="J1930" s="241" t="b">
        <f>Age_Sex_BY[[#This Row],[Total Spending After Applying Truncation at the Member Level]]+Age_Sex_BY[[#This Row],[Total Dollars Excluded from Spending After Applying Truncation at the Member Level]]=Age_Sex_BY[[#This Row],[Total Spending before Truncation is Applied]]</f>
        <v>1</v>
      </c>
    </row>
    <row r="1931" spans="1:10" x14ac:dyDescent="0.25">
      <c r="A1931" s="393"/>
      <c r="B1931" s="387"/>
      <c r="C1931" s="388"/>
      <c r="D1931" s="458"/>
      <c r="E1931" s="389"/>
      <c r="F1931" s="390"/>
      <c r="G1931" s="462"/>
      <c r="H1931" s="390"/>
      <c r="I1931" s="402"/>
      <c r="J1931" s="241" t="b">
        <f>Age_Sex_BY[[#This Row],[Total Spending After Applying Truncation at the Member Level]]+Age_Sex_BY[[#This Row],[Total Dollars Excluded from Spending After Applying Truncation at the Member Level]]=Age_Sex_BY[[#This Row],[Total Spending before Truncation is Applied]]</f>
        <v>1</v>
      </c>
    </row>
    <row r="1932" spans="1:10" x14ac:dyDescent="0.25">
      <c r="A1932" s="394"/>
      <c r="B1932" s="395"/>
      <c r="C1932" s="396"/>
      <c r="D1932" s="459"/>
      <c r="E1932" s="397"/>
      <c r="F1932" s="398"/>
      <c r="G1932" s="463"/>
      <c r="H1932" s="398"/>
      <c r="I1932" s="403"/>
      <c r="J1932" s="241" t="b">
        <f>Age_Sex_BY[[#This Row],[Total Spending After Applying Truncation at the Member Level]]+Age_Sex_BY[[#This Row],[Total Dollars Excluded from Spending After Applying Truncation at the Member Level]]=Age_Sex_BY[[#This Row],[Total Spending before Truncation is Applied]]</f>
        <v>1</v>
      </c>
    </row>
    <row r="1933" spans="1:10" x14ac:dyDescent="0.25">
      <c r="A1933" s="393"/>
      <c r="B1933" s="387"/>
      <c r="C1933" s="388"/>
      <c r="D1933" s="458"/>
      <c r="E1933" s="389"/>
      <c r="F1933" s="390"/>
      <c r="G1933" s="462"/>
      <c r="H1933" s="390"/>
      <c r="I1933" s="402"/>
      <c r="J1933" s="241" t="b">
        <f>Age_Sex_BY[[#This Row],[Total Spending After Applying Truncation at the Member Level]]+Age_Sex_BY[[#This Row],[Total Dollars Excluded from Spending After Applying Truncation at the Member Level]]=Age_Sex_BY[[#This Row],[Total Spending before Truncation is Applied]]</f>
        <v>1</v>
      </c>
    </row>
    <row r="1934" spans="1:10" x14ac:dyDescent="0.25">
      <c r="A1934" s="394"/>
      <c r="B1934" s="395"/>
      <c r="C1934" s="396"/>
      <c r="D1934" s="459"/>
      <c r="E1934" s="397"/>
      <c r="F1934" s="398"/>
      <c r="G1934" s="463"/>
      <c r="H1934" s="398"/>
      <c r="I1934" s="403"/>
      <c r="J1934" s="241" t="b">
        <f>Age_Sex_BY[[#This Row],[Total Spending After Applying Truncation at the Member Level]]+Age_Sex_BY[[#This Row],[Total Dollars Excluded from Spending After Applying Truncation at the Member Level]]=Age_Sex_BY[[#This Row],[Total Spending before Truncation is Applied]]</f>
        <v>1</v>
      </c>
    </row>
    <row r="1935" spans="1:10" x14ac:dyDescent="0.25">
      <c r="A1935" s="393"/>
      <c r="B1935" s="387"/>
      <c r="C1935" s="388"/>
      <c r="D1935" s="458"/>
      <c r="E1935" s="389"/>
      <c r="F1935" s="390"/>
      <c r="G1935" s="462"/>
      <c r="H1935" s="390"/>
      <c r="I1935" s="402"/>
      <c r="J1935" s="241" t="b">
        <f>Age_Sex_BY[[#This Row],[Total Spending After Applying Truncation at the Member Level]]+Age_Sex_BY[[#This Row],[Total Dollars Excluded from Spending After Applying Truncation at the Member Level]]=Age_Sex_BY[[#This Row],[Total Spending before Truncation is Applied]]</f>
        <v>1</v>
      </c>
    </row>
    <row r="1936" spans="1:10" x14ac:dyDescent="0.25">
      <c r="A1936" s="394"/>
      <c r="B1936" s="395"/>
      <c r="C1936" s="396"/>
      <c r="D1936" s="459"/>
      <c r="E1936" s="397"/>
      <c r="F1936" s="398"/>
      <c r="G1936" s="463"/>
      <c r="H1936" s="398"/>
      <c r="I1936" s="403"/>
      <c r="J1936" s="241" t="b">
        <f>Age_Sex_BY[[#This Row],[Total Spending After Applying Truncation at the Member Level]]+Age_Sex_BY[[#This Row],[Total Dollars Excluded from Spending After Applying Truncation at the Member Level]]=Age_Sex_BY[[#This Row],[Total Spending before Truncation is Applied]]</f>
        <v>1</v>
      </c>
    </row>
    <row r="1937" spans="1:10" x14ac:dyDescent="0.25">
      <c r="A1937" s="393"/>
      <c r="B1937" s="387"/>
      <c r="C1937" s="388"/>
      <c r="D1937" s="458"/>
      <c r="E1937" s="389"/>
      <c r="F1937" s="390"/>
      <c r="G1937" s="462"/>
      <c r="H1937" s="390"/>
      <c r="I1937" s="402"/>
      <c r="J1937" s="241" t="b">
        <f>Age_Sex_BY[[#This Row],[Total Spending After Applying Truncation at the Member Level]]+Age_Sex_BY[[#This Row],[Total Dollars Excluded from Spending After Applying Truncation at the Member Level]]=Age_Sex_BY[[#This Row],[Total Spending before Truncation is Applied]]</f>
        <v>1</v>
      </c>
    </row>
    <row r="1938" spans="1:10" x14ac:dyDescent="0.25">
      <c r="A1938" s="394"/>
      <c r="B1938" s="395"/>
      <c r="C1938" s="396"/>
      <c r="D1938" s="459"/>
      <c r="E1938" s="397"/>
      <c r="F1938" s="398"/>
      <c r="G1938" s="463"/>
      <c r="H1938" s="398"/>
      <c r="I1938" s="403"/>
      <c r="J1938" s="241" t="b">
        <f>Age_Sex_BY[[#This Row],[Total Spending After Applying Truncation at the Member Level]]+Age_Sex_BY[[#This Row],[Total Dollars Excluded from Spending After Applying Truncation at the Member Level]]=Age_Sex_BY[[#This Row],[Total Spending before Truncation is Applied]]</f>
        <v>1</v>
      </c>
    </row>
    <row r="1939" spans="1:10" x14ac:dyDescent="0.25">
      <c r="A1939" s="393"/>
      <c r="B1939" s="387"/>
      <c r="C1939" s="388"/>
      <c r="D1939" s="458"/>
      <c r="E1939" s="389"/>
      <c r="F1939" s="390"/>
      <c r="G1939" s="462"/>
      <c r="H1939" s="390"/>
      <c r="I1939" s="402"/>
      <c r="J1939" s="241" t="b">
        <f>Age_Sex_BY[[#This Row],[Total Spending After Applying Truncation at the Member Level]]+Age_Sex_BY[[#This Row],[Total Dollars Excluded from Spending After Applying Truncation at the Member Level]]=Age_Sex_BY[[#This Row],[Total Spending before Truncation is Applied]]</f>
        <v>1</v>
      </c>
    </row>
    <row r="1940" spans="1:10" x14ac:dyDescent="0.25">
      <c r="A1940" s="394"/>
      <c r="B1940" s="395"/>
      <c r="C1940" s="396"/>
      <c r="D1940" s="459"/>
      <c r="E1940" s="397"/>
      <c r="F1940" s="398"/>
      <c r="G1940" s="463"/>
      <c r="H1940" s="398"/>
      <c r="I1940" s="403"/>
      <c r="J1940" s="241" t="b">
        <f>Age_Sex_BY[[#This Row],[Total Spending After Applying Truncation at the Member Level]]+Age_Sex_BY[[#This Row],[Total Dollars Excluded from Spending After Applying Truncation at the Member Level]]=Age_Sex_BY[[#This Row],[Total Spending before Truncation is Applied]]</f>
        <v>1</v>
      </c>
    </row>
    <row r="1941" spans="1:10" x14ac:dyDescent="0.25">
      <c r="A1941" s="393"/>
      <c r="B1941" s="387"/>
      <c r="C1941" s="388"/>
      <c r="D1941" s="458"/>
      <c r="E1941" s="389"/>
      <c r="F1941" s="390"/>
      <c r="G1941" s="462"/>
      <c r="H1941" s="390"/>
      <c r="I1941" s="402"/>
      <c r="J1941" s="241" t="b">
        <f>Age_Sex_BY[[#This Row],[Total Spending After Applying Truncation at the Member Level]]+Age_Sex_BY[[#This Row],[Total Dollars Excluded from Spending After Applying Truncation at the Member Level]]=Age_Sex_BY[[#This Row],[Total Spending before Truncation is Applied]]</f>
        <v>1</v>
      </c>
    </row>
    <row r="1942" spans="1:10" x14ac:dyDescent="0.25">
      <c r="A1942" s="394"/>
      <c r="B1942" s="395"/>
      <c r="C1942" s="396"/>
      <c r="D1942" s="459"/>
      <c r="E1942" s="397"/>
      <c r="F1942" s="398"/>
      <c r="G1942" s="463"/>
      <c r="H1942" s="398"/>
      <c r="I1942" s="403"/>
      <c r="J1942" s="241" t="b">
        <f>Age_Sex_BY[[#This Row],[Total Spending After Applying Truncation at the Member Level]]+Age_Sex_BY[[#This Row],[Total Dollars Excluded from Spending After Applying Truncation at the Member Level]]=Age_Sex_BY[[#This Row],[Total Spending before Truncation is Applied]]</f>
        <v>1</v>
      </c>
    </row>
    <row r="1943" spans="1:10" x14ac:dyDescent="0.25">
      <c r="A1943" s="393"/>
      <c r="B1943" s="387"/>
      <c r="C1943" s="388"/>
      <c r="D1943" s="458"/>
      <c r="E1943" s="389"/>
      <c r="F1943" s="390"/>
      <c r="G1943" s="462"/>
      <c r="H1943" s="390"/>
      <c r="I1943" s="402"/>
      <c r="J1943" s="241" t="b">
        <f>Age_Sex_BY[[#This Row],[Total Spending After Applying Truncation at the Member Level]]+Age_Sex_BY[[#This Row],[Total Dollars Excluded from Spending After Applying Truncation at the Member Level]]=Age_Sex_BY[[#This Row],[Total Spending before Truncation is Applied]]</f>
        <v>1</v>
      </c>
    </row>
    <row r="1944" spans="1:10" x14ac:dyDescent="0.25">
      <c r="A1944" s="394"/>
      <c r="B1944" s="395"/>
      <c r="C1944" s="396"/>
      <c r="D1944" s="459"/>
      <c r="E1944" s="397"/>
      <c r="F1944" s="398"/>
      <c r="G1944" s="463"/>
      <c r="H1944" s="398"/>
      <c r="I1944" s="403"/>
      <c r="J1944" s="241" t="b">
        <f>Age_Sex_BY[[#This Row],[Total Spending After Applying Truncation at the Member Level]]+Age_Sex_BY[[#This Row],[Total Dollars Excluded from Spending After Applying Truncation at the Member Level]]=Age_Sex_BY[[#This Row],[Total Spending before Truncation is Applied]]</f>
        <v>1</v>
      </c>
    </row>
    <row r="1945" spans="1:10" x14ac:dyDescent="0.25">
      <c r="A1945" s="393"/>
      <c r="B1945" s="387"/>
      <c r="C1945" s="388"/>
      <c r="D1945" s="458"/>
      <c r="E1945" s="389"/>
      <c r="F1945" s="390"/>
      <c r="G1945" s="462"/>
      <c r="H1945" s="390"/>
      <c r="I1945" s="402"/>
      <c r="J1945" s="241" t="b">
        <f>Age_Sex_BY[[#This Row],[Total Spending After Applying Truncation at the Member Level]]+Age_Sex_BY[[#This Row],[Total Dollars Excluded from Spending After Applying Truncation at the Member Level]]=Age_Sex_BY[[#This Row],[Total Spending before Truncation is Applied]]</f>
        <v>1</v>
      </c>
    </row>
    <row r="1946" spans="1:10" x14ac:dyDescent="0.25">
      <c r="A1946" s="394"/>
      <c r="B1946" s="395"/>
      <c r="C1946" s="396"/>
      <c r="D1946" s="459"/>
      <c r="E1946" s="397"/>
      <c r="F1946" s="398"/>
      <c r="G1946" s="463"/>
      <c r="H1946" s="398"/>
      <c r="I1946" s="403"/>
      <c r="J1946" s="241" t="b">
        <f>Age_Sex_BY[[#This Row],[Total Spending After Applying Truncation at the Member Level]]+Age_Sex_BY[[#This Row],[Total Dollars Excluded from Spending After Applying Truncation at the Member Level]]=Age_Sex_BY[[#This Row],[Total Spending before Truncation is Applied]]</f>
        <v>1</v>
      </c>
    </row>
    <row r="1947" spans="1:10" x14ac:dyDescent="0.25">
      <c r="A1947" s="393"/>
      <c r="B1947" s="387"/>
      <c r="C1947" s="388"/>
      <c r="D1947" s="458"/>
      <c r="E1947" s="389"/>
      <c r="F1947" s="390"/>
      <c r="G1947" s="462"/>
      <c r="H1947" s="390"/>
      <c r="I1947" s="402"/>
      <c r="J1947" s="241" t="b">
        <f>Age_Sex_BY[[#This Row],[Total Spending After Applying Truncation at the Member Level]]+Age_Sex_BY[[#This Row],[Total Dollars Excluded from Spending After Applying Truncation at the Member Level]]=Age_Sex_BY[[#This Row],[Total Spending before Truncation is Applied]]</f>
        <v>1</v>
      </c>
    </row>
    <row r="1948" spans="1:10" x14ac:dyDescent="0.25">
      <c r="A1948" s="394"/>
      <c r="B1948" s="395"/>
      <c r="C1948" s="396"/>
      <c r="D1948" s="459"/>
      <c r="E1948" s="397"/>
      <c r="F1948" s="398"/>
      <c r="G1948" s="463"/>
      <c r="H1948" s="398"/>
      <c r="I1948" s="403"/>
      <c r="J1948" s="241" t="b">
        <f>Age_Sex_BY[[#This Row],[Total Spending After Applying Truncation at the Member Level]]+Age_Sex_BY[[#This Row],[Total Dollars Excluded from Spending After Applying Truncation at the Member Level]]=Age_Sex_BY[[#This Row],[Total Spending before Truncation is Applied]]</f>
        <v>1</v>
      </c>
    </row>
    <row r="1949" spans="1:10" x14ac:dyDescent="0.25">
      <c r="A1949" s="393"/>
      <c r="B1949" s="387"/>
      <c r="C1949" s="388"/>
      <c r="D1949" s="458"/>
      <c r="E1949" s="389"/>
      <c r="F1949" s="390"/>
      <c r="G1949" s="462"/>
      <c r="H1949" s="390"/>
      <c r="I1949" s="402"/>
      <c r="J1949" s="241" t="b">
        <f>Age_Sex_BY[[#This Row],[Total Spending After Applying Truncation at the Member Level]]+Age_Sex_BY[[#This Row],[Total Dollars Excluded from Spending After Applying Truncation at the Member Level]]=Age_Sex_BY[[#This Row],[Total Spending before Truncation is Applied]]</f>
        <v>1</v>
      </c>
    </row>
    <row r="1950" spans="1:10" x14ac:dyDescent="0.25">
      <c r="A1950" s="394"/>
      <c r="B1950" s="395"/>
      <c r="C1950" s="396"/>
      <c r="D1950" s="459"/>
      <c r="E1950" s="397"/>
      <c r="F1950" s="398"/>
      <c r="G1950" s="463"/>
      <c r="H1950" s="398"/>
      <c r="I1950" s="403"/>
      <c r="J1950" s="241" t="b">
        <f>Age_Sex_BY[[#This Row],[Total Spending After Applying Truncation at the Member Level]]+Age_Sex_BY[[#This Row],[Total Dollars Excluded from Spending After Applying Truncation at the Member Level]]=Age_Sex_BY[[#This Row],[Total Spending before Truncation is Applied]]</f>
        <v>1</v>
      </c>
    </row>
    <row r="1951" spans="1:10" x14ac:dyDescent="0.25">
      <c r="A1951" s="393"/>
      <c r="B1951" s="387"/>
      <c r="C1951" s="388"/>
      <c r="D1951" s="458"/>
      <c r="E1951" s="389"/>
      <c r="F1951" s="390"/>
      <c r="G1951" s="462"/>
      <c r="H1951" s="390"/>
      <c r="I1951" s="402"/>
      <c r="J1951" s="241" t="b">
        <f>Age_Sex_BY[[#This Row],[Total Spending After Applying Truncation at the Member Level]]+Age_Sex_BY[[#This Row],[Total Dollars Excluded from Spending After Applying Truncation at the Member Level]]=Age_Sex_BY[[#This Row],[Total Spending before Truncation is Applied]]</f>
        <v>1</v>
      </c>
    </row>
    <row r="1952" spans="1:10" x14ac:dyDescent="0.25">
      <c r="A1952" s="394"/>
      <c r="B1952" s="395"/>
      <c r="C1952" s="396"/>
      <c r="D1952" s="459"/>
      <c r="E1952" s="397"/>
      <c r="F1952" s="398"/>
      <c r="G1952" s="463"/>
      <c r="H1952" s="398"/>
      <c r="I1952" s="403"/>
      <c r="J1952" s="241" t="b">
        <f>Age_Sex_BY[[#This Row],[Total Spending After Applying Truncation at the Member Level]]+Age_Sex_BY[[#This Row],[Total Dollars Excluded from Spending After Applying Truncation at the Member Level]]=Age_Sex_BY[[#This Row],[Total Spending before Truncation is Applied]]</f>
        <v>1</v>
      </c>
    </row>
    <row r="1953" spans="1:10" x14ac:dyDescent="0.25">
      <c r="A1953" s="393"/>
      <c r="B1953" s="387"/>
      <c r="C1953" s="388"/>
      <c r="D1953" s="458"/>
      <c r="E1953" s="389"/>
      <c r="F1953" s="390"/>
      <c r="G1953" s="462"/>
      <c r="H1953" s="390"/>
      <c r="I1953" s="402"/>
      <c r="J1953" s="241" t="b">
        <f>Age_Sex_BY[[#This Row],[Total Spending After Applying Truncation at the Member Level]]+Age_Sex_BY[[#This Row],[Total Dollars Excluded from Spending After Applying Truncation at the Member Level]]=Age_Sex_BY[[#This Row],[Total Spending before Truncation is Applied]]</f>
        <v>1</v>
      </c>
    </row>
    <row r="1954" spans="1:10" x14ac:dyDescent="0.25">
      <c r="A1954" s="394"/>
      <c r="B1954" s="395"/>
      <c r="C1954" s="396"/>
      <c r="D1954" s="459"/>
      <c r="E1954" s="397"/>
      <c r="F1954" s="398"/>
      <c r="G1954" s="463"/>
      <c r="H1954" s="398"/>
      <c r="I1954" s="403"/>
      <c r="J1954" s="241" t="b">
        <f>Age_Sex_BY[[#This Row],[Total Spending After Applying Truncation at the Member Level]]+Age_Sex_BY[[#This Row],[Total Dollars Excluded from Spending After Applying Truncation at the Member Level]]=Age_Sex_BY[[#This Row],[Total Spending before Truncation is Applied]]</f>
        <v>1</v>
      </c>
    </row>
    <row r="1955" spans="1:10" x14ac:dyDescent="0.25">
      <c r="A1955" s="393"/>
      <c r="B1955" s="387"/>
      <c r="C1955" s="388"/>
      <c r="D1955" s="458"/>
      <c r="E1955" s="389"/>
      <c r="F1955" s="390"/>
      <c r="G1955" s="462"/>
      <c r="H1955" s="390"/>
      <c r="I1955" s="402"/>
      <c r="J1955" s="241" t="b">
        <f>Age_Sex_BY[[#This Row],[Total Spending After Applying Truncation at the Member Level]]+Age_Sex_BY[[#This Row],[Total Dollars Excluded from Spending After Applying Truncation at the Member Level]]=Age_Sex_BY[[#This Row],[Total Spending before Truncation is Applied]]</f>
        <v>1</v>
      </c>
    </row>
    <row r="1956" spans="1:10" x14ac:dyDescent="0.25">
      <c r="A1956" s="394"/>
      <c r="B1956" s="395"/>
      <c r="C1956" s="396"/>
      <c r="D1956" s="459"/>
      <c r="E1956" s="397"/>
      <c r="F1956" s="398"/>
      <c r="G1956" s="463"/>
      <c r="H1956" s="398"/>
      <c r="I1956" s="403"/>
      <c r="J1956" s="241" t="b">
        <f>Age_Sex_BY[[#This Row],[Total Spending After Applying Truncation at the Member Level]]+Age_Sex_BY[[#This Row],[Total Dollars Excluded from Spending After Applying Truncation at the Member Level]]=Age_Sex_BY[[#This Row],[Total Spending before Truncation is Applied]]</f>
        <v>1</v>
      </c>
    </row>
    <row r="1957" spans="1:10" x14ac:dyDescent="0.25">
      <c r="A1957" s="393"/>
      <c r="B1957" s="387"/>
      <c r="C1957" s="388"/>
      <c r="D1957" s="458"/>
      <c r="E1957" s="389"/>
      <c r="F1957" s="390"/>
      <c r="G1957" s="462"/>
      <c r="H1957" s="390"/>
      <c r="I1957" s="402"/>
      <c r="J1957" s="241" t="b">
        <f>Age_Sex_BY[[#This Row],[Total Spending After Applying Truncation at the Member Level]]+Age_Sex_BY[[#This Row],[Total Dollars Excluded from Spending After Applying Truncation at the Member Level]]=Age_Sex_BY[[#This Row],[Total Spending before Truncation is Applied]]</f>
        <v>1</v>
      </c>
    </row>
    <row r="1958" spans="1:10" x14ac:dyDescent="0.25">
      <c r="A1958" s="394"/>
      <c r="B1958" s="395"/>
      <c r="C1958" s="396"/>
      <c r="D1958" s="459"/>
      <c r="E1958" s="397"/>
      <c r="F1958" s="398"/>
      <c r="G1958" s="463"/>
      <c r="H1958" s="398"/>
      <c r="I1958" s="403"/>
      <c r="J1958" s="241" t="b">
        <f>Age_Sex_BY[[#This Row],[Total Spending After Applying Truncation at the Member Level]]+Age_Sex_BY[[#This Row],[Total Dollars Excluded from Spending After Applying Truncation at the Member Level]]=Age_Sex_BY[[#This Row],[Total Spending before Truncation is Applied]]</f>
        <v>1</v>
      </c>
    </row>
    <row r="1959" spans="1:10" x14ac:dyDescent="0.25">
      <c r="A1959" s="393"/>
      <c r="B1959" s="387"/>
      <c r="C1959" s="388"/>
      <c r="D1959" s="458"/>
      <c r="E1959" s="389"/>
      <c r="F1959" s="390"/>
      <c r="G1959" s="462"/>
      <c r="H1959" s="390"/>
      <c r="I1959" s="402"/>
      <c r="J1959" s="241" t="b">
        <f>Age_Sex_BY[[#This Row],[Total Spending After Applying Truncation at the Member Level]]+Age_Sex_BY[[#This Row],[Total Dollars Excluded from Spending After Applying Truncation at the Member Level]]=Age_Sex_BY[[#This Row],[Total Spending before Truncation is Applied]]</f>
        <v>1</v>
      </c>
    </row>
    <row r="1960" spans="1:10" x14ac:dyDescent="0.25">
      <c r="A1960" s="394"/>
      <c r="B1960" s="395"/>
      <c r="C1960" s="396"/>
      <c r="D1960" s="459"/>
      <c r="E1960" s="397"/>
      <c r="F1960" s="398"/>
      <c r="G1960" s="463"/>
      <c r="H1960" s="398"/>
      <c r="I1960" s="403"/>
      <c r="J1960" s="241" t="b">
        <f>Age_Sex_BY[[#This Row],[Total Spending After Applying Truncation at the Member Level]]+Age_Sex_BY[[#This Row],[Total Dollars Excluded from Spending After Applying Truncation at the Member Level]]=Age_Sex_BY[[#This Row],[Total Spending before Truncation is Applied]]</f>
        <v>1</v>
      </c>
    </row>
    <row r="1961" spans="1:10" x14ac:dyDescent="0.25">
      <c r="A1961" s="393"/>
      <c r="B1961" s="387"/>
      <c r="C1961" s="388"/>
      <c r="D1961" s="458"/>
      <c r="E1961" s="389"/>
      <c r="F1961" s="390"/>
      <c r="G1961" s="462"/>
      <c r="H1961" s="390"/>
      <c r="I1961" s="402"/>
      <c r="J1961" s="241" t="b">
        <f>Age_Sex_BY[[#This Row],[Total Spending After Applying Truncation at the Member Level]]+Age_Sex_BY[[#This Row],[Total Dollars Excluded from Spending After Applying Truncation at the Member Level]]=Age_Sex_BY[[#This Row],[Total Spending before Truncation is Applied]]</f>
        <v>1</v>
      </c>
    </row>
    <row r="1962" spans="1:10" x14ac:dyDescent="0.25">
      <c r="A1962" s="394"/>
      <c r="B1962" s="395"/>
      <c r="C1962" s="396"/>
      <c r="D1962" s="459"/>
      <c r="E1962" s="397"/>
      <c r="F1962" s="398"/>
      <c r="G1962" s="463"/>
      <c r="H1962" s="398"/>
      <c r="I1962" s="403"/>
      <c r="J1962" s="241" t="b">
        <f>Age_Sex_BY[[#This Row],[Total Spending After Applying Truncation at the Member Level]]+Age_Sex_BY[[#This Row],[Total Dollars Excluded from Spending After Applying Truncation at the Member Level]]=Age_Sex_BY[[#This Row],[Total Spending before Truncation is Applied]]</f>
        <v>1</v>
      </c>
    </row>
    <row r="1963" spans="1:10" x14ac:dyDescent="0.25">
      <c r="A1963" s="393"/>
      <c r="B1963" s="387"/>
      <c r="C1963" s="388"/>
      <c r="D1963" s="458"/>
      <c r="E1963" s="389"/>
      <c r="F1963" s="390"/>
      <c r="G1963" s="462"/>
      <c r="H1963" s="390"/>
      <c r="I1963" s="402"/>
      <c r="J1963" s="241" t="b">
        <f>Age_Sex_BY[[#This Row],[Total Spending After Applying Truncation at the Member Level]]+Age_Sex_BY[[#This Row],[Total Dollars Excluded from Spending After Applying Truncation at the Member Level]]=Age_Sex_BY[[#This Row],[Total Spending before Truncation is Applied]]</f>
        <v>1</v>
      </c>
    </row>
    <row r="1964" spans="1:10" x14ac:dyDescent="0.25">
      <c r="A1964" s="394"/>
      <c r="B1964" s="395"/>
      <c r="C1964" s="396"/>
      <c r="D1964" s="459"/>
      <c r="E1964" s="397"/>
      <c r="F1964" s="398"/>
      <c r="G1964" s="463"/>
      <c r="H1964" s="398"/>
      <c r="I1964" s="403"/>
      <c r="J1964" s="241" t="b">
        <f>Age_Sex_BY[[#This Row],[Total Spending After Applying Truncation at the Member Level]]+Age_Sex_BY[[#This Row],[Total Dollars Excluded from Spending After Applying Truncation at the Member Level]]=Age_Sex_BY[[#This Row],[Total Spending before Truncation is Applied]]</f>
        <v>1</v>
      </c>
    </row>
    <row r="1965" spans="1:10" x14ac:dyDescent="0.25">
      <c r="A1965" s="393"/>
      <c r="B1965" s="387"/>
      <c r="C1965" s="388"/>
      <c r="D1965" s="458"/>
      <c r="E1965" s="389"/>
      <c r="F1965" s="390"/>
      <c r="G1965" s="462"/>
      <c r="H1965" s="390"/>
      <c r="I1965" s="402"/>
      <c r="J1965" s="241" t="b">
        <f>Age_Sex_BY[[#This Row],[Total Spending After Applying Truncation at the Member Level]]+Age_Sex_BY[[#This Row],[Total Dollars Excluded from Spending After Applying Truncation at the Member Level]]=Age_Sex_BY[[#This Row],[Total Spending before Truncation is Applied]]</f>
        <v>1</v>
      </c>
    </row>
    <row r="1966" spans="1:10" x14ac:dyDescent="0.25">
      <c r="A1966" s="394"/>
      <c r="B1966" s="395"/>
      <c r="C1966" s="396"/>
      <c r="D1966" s="459"/>
      <c r="E1966" s="397"/>
      <c r="F1966" s="398"/>
      <c r="G1966" s="463"/>
      <c r="H1966" s="398"/>
      <c r="I1966" s="403"/>
      <c r="J1966" s="241" t="b">
        <f>Age_Sex_BY[[#This Row],[Total Spending After Applying Truncation at the Member Level]]+Age_Sex_BY[[#This Row],[Total Dollars Excluded from Spending After Applying Truncation at the Member Level]]=Age_Sex_BY[[#This Row],[Total Spending before Truncation is Applied]]</f>
        <v>1</v>
      </c>
    </row>
    <row r="1967" spans="1:10" x14ac:dyDescent="0.25">
      <c r="A1967" s="393"/>
      <c r="B1967" s="387"/>
      <c r="C1967" s="388"/>
      <c r="D1967" s="458"/>
      <c r="E1967" s="389"/>
      <c r="F1967" s="390"/>
      <c r="G1967" s="462"/>
      <c r="H1967" s="390"/>
      <c r="I1967" s="402"/>
      <c r="J1967" s="241" t="b">
        <f>Age_Sex_BY[[#This Row],[Total Spending After Applying Truncation at the Member Level]]+Age_Sex_BY[[#This Row],[Total Dollars Excluded from Spending After Applying Truncation at the Member Level]]=Age_Sex_BY[[#This Row],[Total Spending before Truncation is Applied]]</f>
        <v>1</v>
      </c>
    </row>
    <row r="1968" spans="1:10" x14ac:dyDescent="0.25">
      <c r="A1968" s="394"/>
      <c r="B1968" s="395"/>
      <c r="C1968" s="396"/>
      <c r="D1968" s="459"/>
      <c r="E1968" s="397"/>
      <c r="F1968" s="398"/>
      <c r="G1968" s="463"/>
      <c r="H1968" s="398"/>
      <c r="I1968" s="403"/>
      <c r="J1968" s="241" t="b">
        <f>Age_Sex_BY[[#This Row],[Total Spending After Applying Truncation at the Member Level]]+Age_Sex_BY[[#This Row],[Total Dollars Excluded from Spending After Applying Truncation at the Member Level]]=Age_Sex_BY[[#This Row],[Total Spending before Truncation is Applied]]</f>
        <v>1</v>
      </c>
    </row>
    <row r="1969" spans="1:10" x14ac:dyDescent="0.25">
      <c r="A1969" s="393"/>
      <c r="B1969" s="387"/>
      <c r="C1969" s="388"/>
      <c r="D1969" s="458"/>
      <c r="E1969" s="389"/>
      <c r="F1969" s="390"/>
      <c r="G1969" s="462"/>
      <c r="H1969" s="390"/>
      <c r="I1969" s="402"/>
      <c r="J1969" s="241" t="b">
        <f>Age_Sex_BY[[#This Row],[Total Spending After Applying Truncation at the Member Level]]+Age_Sex_BY[[#This Row],[Total Dollars Excluded from Spending After Applying Truncation at the Member Level]]=Age_Sex_BY[[#This Row],[Total Spending before Truncation is Applied]]</f>
        <v>1</v>
      </c>
    </row>
    <row r="1970" spans="1:10" x14ac:dyDescent="0.25">
      <c r="A1970" s="394"/>
      <c r="B1970" s="395"/>
      <c r="C1970" s="396"/>
      <c r="D1970" s="459"/>
      <c r="E1970" s="397"/>
      <c r="F1970" s="398"/>
      <c r="G1970" s="463"/>
      <c r="H1970" s="398"/>
      <c r="I1970" s="403"/>
      <c r="J1970" s="241" t="b">
        <f>Age_Sex_BY[[#This Row],[Total Spending After Applying Truncation at the Member Level]]+Age_Sex_BY[[#This Row],[Total Dollars Excluded from Spending After Applying Truncation at the Member Level]]=Age_Sex_BY[[#This Row],[Total Spending before Truncation is Applied]]</f>
        <v>1</v>
      </c>
    </row>
    <row r="1971" spans="1:10" x14ac:dyDescent="0.25">
      <c r="A1971" s="393"/>
      <c r="B1971" s="387"/>
      <c r="C1971" s="388"/>
      <c r="D1971" s="458"/>
      <c r="E1971" s="389"/>
      <c r="F1971" s="390"/>
      <c r="G1971" s="462"/>
      <c r="H1971" s="390"/>
      <c r="I1971" s="402"/>
      <c r="J1971" s="241" t="b">
        <f>Age_Sex_BY[[#This Row],[Total Spending After Applying Truncation at the Member Level]]+Age_Sex_BY[[#This Row],[Total Dollars Excluded from Spending After Applying Truncation at the Member Level]]=Age_Sex_BY[[#This Row],[Total Spending before Truncation is Applied]]</f>
        <v>1</v>
      </c>
    </row>
    <row r="1972" spans="1:10" x14ac:dyDescent="0.25">
      <c r="A1972" s="394"/>
      <c r="B1972" s="395"/>
      <c r="C1972" s="396"/>
      <c r="D1972" s="459"/>
      <c r="E1972" s="397"/>
      <c r="F1972" s="398"/>
      <c r="G1972" s="463"/>
      <c r="H1972" s="398"/>
      <c r="I1972" s="403"/>
      <c r="J1972" s="241" t="b">
        <f>Age_Sex_BY[[#This Row],[Total Spending After Applying Truncation at the Member Level]]+Age_Sex_BY[[#This Row],[Total Dollars Excluded from Spending After Applying Truncation at the Member Level]]=Age_Sex_BY[[#This Row],[Total Spending before Truncation is Applied]]</f>
        <v>1</v>
      </c>
    </row>
    <row r="1973" spans="1:10" x14ac:dyDescent="0.25">
      <c r="A1973" s="393"/>
      <c r="B1973" s="387"/>
      <c r="C1973" s="388"/>
      <c r="D1973" s="458"/>
      <c r="E1973" s="389"/>
      <c r="F1973" s="390"/>
      <c r="G1973" s="462"/>
      <c r="H1973" s="390"/>
      <c r="I1973" s="402"/>
      <c r="J1973" s="241" t="b">
        <f>Age_Sex_BY[[#This Row],[Total Spending After Applying Truncation at the Member Level]]+Age_Sex_BY[[#This Row],[Total Dollars Excluded from Spending After Applying Truncation at the Member Level]]=Age_Sex_BY[[#This Row],[Total Spending before Truncation is Applied]]</f>
        <v>1</v>
      </c>
    </row>
    <row r="1974" spans="1:10" x14ac:dyDescent="0.25">
      <c r="A1974" s="394"/>
      <c r="B1974" s="395"/>
      <c r="C1974" s="396"/>
      <c r="D1974" s="459"/>
      <c r="E1974" s="397"/>
      <c r="F1974" s="398"/>
      <c r="G1974" s="463"/>
      <c r="H1974" s="398"/>
      <c r="I1974" s="403"/>
      <c r="J1974" s="241" t="b">
        <f>Age_Sex_BY[[#This Row],[Total Spending After Applying Truncation at the Member Level]]+Age_Sex_BY[[#This Row],[Total Dollars Excluded from Spending After Applying Truncation at the Member Level]]=Age_Sex_BY[[#This Row],[Total Spending before Truncation is Applied]]</f>
        <v>1</v>
      </c>
    </row>
    <row r="1975" spans="1:10" x14ac:dyDescent="0.25">
      <c r="A1975" s="393"/>
      <c r="B1975" s="387"/>
      <c r="C1975" s="388"/>
      <c r="D1975" s="458"/>
      <c r="E1975" s="389"/>
      <c r="F1975" s="390"/>
      <c r="G1975" s="462"/>
      <c r="H1975" s="390"/>
      <c r="I1975" s="402"/>
      <c r="J1975" s="241" t="b">
        <f>Age_Sex_BY[[#This Row],[Total Spending After Applying Truncation at the Member Level]]+Age_Sex_BY[[#This Row],[Total Dollars Excluded from Spending After Applying Truncation at the Member Level]]=Age_Sex_BY[[#This Row],[Total Spending before Truncation is Applied]]</f>
        <v>1</v>
      </c>
    </row>
    <row r="1976" spans="1:10" x14ac:dyDescent="0.25">
      <c r="A1976" s="394"/>
      <c r="B1976" s="395"/>
      <c r="C1976" s="396"/>
      <c r="D1976" s="459"/>
      <c r="E1976" s="397"/>
      <c r="F1976" s="398"/>
      <c r="G1976" s="463"/>
      <c r="H1976" s="398"/>
      <c r="I1976" s="403"/>
      <c r="J1976" s="241" t="b">
        <f>Age_Sex_BY[[#This Row],[Total Spending After Applying Truncation at the Member Level]]+Age_Sex_BY[[#This Row],[Total Dollars Excluded from Spending After Applying Truncation at the Member Level]]=Age_Sex_BY[[#This Row],[Total Spending before Truncation is Applied]]</f>
        <v>1</v>
      </c>
    </row>
    <row r="1977" spans="1:10" x14ac:dyDescent="0.25">
      <c r="A1977" s="393"/>
      <c r="B1977" s="387"/>
      <c r="C1977" s="388"/>
      <c r="D1977" s="458"/>
      <c r="E1977" s="389"/>
      <c r="F1977" s="390"/>
      <c r="G1977" s="462"/>
      <c r="H1977" s="390"/>
      <c r="I1977" s="402"/>
      <c r="J1977" s="241" t="b">
        <f>Age_Sex_BY[[#This Row],[Total Spending After Applying Truncation at the Member Level]]+Age_Sex_BY[[#This Row],[Total Dollars Excluded from Spending After Applying Truncation at the Member Level]]=Age_Sex_BY[[#This Row],[Total Spending before Truncation is Applied]]</f>
        <v>1</v>
      </c>
    </row>
    <row r="1978" spans="1:10" x14ac:dyDescent="0.25">
      <c r="A1978" s="394"/>
      <c r="B1978" s="395"/>
      <c r="C1978" s="396"/>
      <c r="D1978" s="459"/>
      <c r="E1978" s="397"/>
      <c r="F1978" s="398"/>
      <c r="G1978" s="463"/>
      <c r="H1978" s="398"/>
      <c r="I1978" s="403"/>
      <c r="J1978" s="241" t="b">
        <f>Age_Sex_BY[[#This Row],[Total Spending After Applying Truncation at the Member Level]]+Age_Sex_BY[[#This Row],[Total Dollars Excluded from Spending After Applying Truncation at the Member Level]]=Age_Sex_BY[[#This Row],[Total Spending before Truncation is Applied]]</f>
        <v>1</v>
      </c>
    </row>
    <row r="1979" spans="1:10" x14ac:dyDescent="0.25">
      <c r="A1979" s="393"/>
      <c r="B1979" s="387"/>
      <c r="C1979" s="388"/>
      <c r="D1979" s="458"/>
      <c r="E1979" s="389"/>
      <c r="F1979" s="390"/>
      <c r="G1979" s="462"/>
      <c r="H1979" s="390"/>
      <c r="I1979" s="402"/>
      <c r="J1979" s="241" t="b">
        <f>Age_Sex_BY[[#This Row],[Total Spending After Applying Truncation at the Member Level]]+Age_Sex_BY[[#This Row],[Total Dollars Excluded from Spending After Applying Truncation at the Member Level]]=Age_Sex_BY[[#This Row],[Total Spending before Truncation is Applied]]</f>
        <v>1</v>
      </c>
    </row>
    <row r="1980" spans="1:10" x14ac:dyDescent="0.25">
      <c r="A1980" s="394"/>
      <c r="B1980" s="395"/>
      <c r="C1980" s="396"/>
      <c r="D1980" s="459"/>
      <c r="E1980" s="397"/>
      <c r="F1980" s="398"/>
      <c r="G1980" s="463"/>
      <c r="H1980" s="398"/>
      <c r="I1980" s="403"/>
      <c r="J1980" s="241" t="b">
        <f>Age_Sex_BY[[#This Row],[Total Spending After Applying Truncation at the Member Level]]+Age_Sex_BY[[#This Row],[Total Dollars Excluded from Spending After Applying Truncation at the Member Level]]=Age_Sex_BY[[#This Row],[Total Spending before Truncation is Applied]]</f>
        <v>1</v>
      </c>
    </row>
    <row r="1981" spans="1:10" x14ac:dyDescent="0.25">
      <c r="A1981" s="393"/>
      <c r="B1981" s="387"/>
      <c r="C1981" s="388"/>
      <c r="D1981" s="458"/>
      <c r="E1981" s="389"/>
      <c r="F1981" s="390"/>
      <c r="G1981" s="462"/>
      <c r="H1981" s="390"/>
      <c r="I1981" s="402"/>
      <c r="J1981" s="241" t="b">
        <f>Age_Sex_BY[[#This Row],[Total Spending After Applying Truncation at the Member Level]]+Age_Sex_BY[[#This Row],[Total Dollars Excluded from Spending After Applying Truncation at the Member Level]]=Age_Sex_BY[[#This Row],[Total Spending before Truncation is Applied]]</f>
        <v>1</v>
      </c>
    </row>
    <row r="1982" spans="1:10" x14ac:dyDescent="0.25">
      <c r="A1982" s="394"/>
      <c r="B1982" s="395"/>
      <c r="C1982" s="396"/>
      <c r="D1982" s="459"/>
      <c r="E1982" s="397"/>
      <c r="F1982" s="398"/>
      <c r="G1982" s="463"/>
      <c r="H1982" s="398"/>
      <c r="I1982" s="403"/>
      <c r="J1982" s="241" t="b">
        <f>Age_Sex_BY[[#This Row],[Total Spending After Applying Truncation at the Member Level]]+Age_Sex_BY[[#This Row],[Total Dollars Excluded from Spending After Applying Truncation at the Member Level]]=Age_Sex_BY[[#This Row],[Total Spending before Truncation is Applied]]</f>
        <v>1</v>
      </c>
    </row>
    <row r="1983" spans="1:10" x14ac:dyDescent="0.25">
      <c r="A1983" s="393"/>
      <c r="B1983" s="387"/>
      <c r="C1983" s="388"/>
      <c r="D1983" s="458"/>
      <c r="E1983" s="389"/>
      <c r="F1983" s="390"/>
      <c r="G1983" s="462"/>
      <c r="H1983" s="390"/>
      <c r="I1983" s="402"/>
      <c r="J1983" s="241" t="b">
        <f>Age_Sex_BY[[#This Row],[Total Spending After Applying Truncation at the Member Level]]+Age_Sex_BY[[#This Row],[Total Dollars Excluded from Spending After Applying Truncation at the Member Level]]=Age_Sex_BY[[#This Row],[Total Spending before Truncation is Applied]]</f>
        <v>1</v>
      </c>
    </row>
    <row r="1984" spans="1:10" x14ac:dyDescent="0.25">
      <c r="A1984" s="394"/>
      <c r="B1984" s="395"/>
      <c r="C1984" s="396"/>
      <c r="D1984" s="459"/>
      <c r="E1984" s="397"/>
      <c r="F1984" s="398"/>
      <c r="G1984" s="463"/>
      <c r="H1984" s="398"/>
      <c r="I1984" s="403"/>
      <c r="J1984" s="241" t="b">
        <f>Age_Sex_BY[[#This Row],[Total Spending After Applying Truncation at the Member Level]]+Age_Sex_BY[[#This Row],[Total Dollars Excluded from Spending After Applying Truncation at the Member Level]]=Age_Sex_BY[[#This Row],[Total Spending before Truncation is Applied]]</f>
        <v>1</v>
      </c>
    </row>
    <row r="1985" spans="1:10" x14ac:dyDescent="0.25">
      <c r="A1985" s="393"/>
      <c r="B1985" s="387"/>
      <c r="C1985" s="388"/>
      <c r="D1985" s="458"/>
      <c r="E1985" s="389"/>
      <c r="F1985" s="390"/>
      <c r="G1985" s="462"/>
      <c r="H1985" s="390"/>
      <c r="I1985" s="402"/>
      <c r="J1985" s="241" t="b">
        <f>Age_Sex_BY[[#This Row],[Total Spending After Applying Truncation at the Member Level]]+Age_Sex_BY[[#This Row],[Total Dollars Excluded from Spending After Applying Truncation at the Member Level]]=Age_Sex_BY[[#This Row],[Total Spending before Truncation is Applied]]</f>
        <v>1</v>
      </c>
    </row>
    <row r="1986" spans="1:10" x14ac:dyDescent="0.25">
      <c r="A1986" s="394"/>
      <c r="B1986" s="395"/>
      <c r="C1986" s="396"/>
      <c r="D1986" s="459"/>
      <c r="E1986" s="397"/>
      <c r="F1986" s="398"/>
      <c r="G1986" s="463"/>
      <c r="H1986" s="398"/>
      <c r="I1986" s="403"/>
      <c r="J1986" s="241" t="b">
        <f>Age_Sex_BY[[#This Row],[Total Spending After Applying Truncation at the Member Level]]+Age_Sex_BY[[#This Row],[Total Dollars Excluded from Spending After Applying Truncation at the Member Level]]=Age_Sex_BY[[#This Row],[Total Spending before Truncation is Applied]]</f>
        <v>1</v>
      </c>
    </row>
    <row r="1987" spans="1:10" x14ac:dyDescent="0.25">
      <c r="A1987" s="393"/>
      <c r="B1987" s="387"/>
      <c r="C1987" s="388"/>
      <c r="D1987" s="458"/>
      <c r="E1987" s="389"/>
      <c r="F1987" s="390"/>
      <c r="G1987" s="462"/>
      <c r="H1987" s="390"/>
      <c r="I1987" s="402"/>
      <c r="J1987" s="241" t="b">
        <f>Age_Sex_BY[[#This Row],[Total Spending After Applying Truncation at the Member Level]]+Age_Sex_BY[[#This Row],[Total Dollars Excluded from Spending After Applying Truncation at the Member Level]]=Age_Sex_BY[[#This Row],[Total Spending before Truncation is Applied]]</f>
        <v>1</v>
      </c>
    </row>
    <row r="1988" spans="1:10" x14ac:dyDescent="0.25">
      <c r="A1988" s="394"/>
      <c r="B1988" s="395"/>
      <c r="C1988" s="396"/>
      <c r="D1988" s="459"/>
      <c r="E1988" s="397"/>
      <c r="F1988" s="398"/>
      <c r="G1988" s="463"/>
      <c r="H1988" s="398"/>
      <c r="I1988" s="403"/>
      <c r="J1988" s="241" t="b">
        <f>Age_Sex_BY[[#This Row],[Total Spending After Applying Truncation at the Member Level]]+Age_Sex_BY[[#This Row],[Total Dollars Excluded from Spending After Applying Truncation at the Member Level]]=Age_Sex_BY[[#This Row],[Total Spending before Truncation is Applied]]</f>
        <v>1</v>
      </c>
    </row>
    <row r="1989" spans="1:10" x14ac:dyDescent="0.25">
      <c r="A1989" s="393"/>
      <c r="B1989" s="387"/>
      <c r="C1989" s="388"/>
      <c r="D1989" s="458"/>
      <c r="E1989" s="389"/>
      <c r="F1989" s="390"/>
      <c r="G1989" s="462"/>
      <c r="H1989" s="390"/>
      <c r="I1989" s="402"/>
      <c r="J1989" s="241" t="b">
        <f>Age_Sex_BY[[#This Row],[Total Spending After Applying Truncation at the Member Level]]+Age_Sex_BY[[#This Row],[Total Dollars Excluded from Spending After Applying Truncation at the Member Level]]=Age_Sex_BY[[#This Row],[Total Spending before Truncation is Applied]]</f>
        <v>1</v>
      </c>
    </row>
    <row r="1990" spans="1:10" x14ac:dyDescent="0.25">
      <c r="A1990" s="394"/>
      <c r="B1990" s="395"/>
      <c r="C1990" s="396"/>
      <c r="D1990" s="459"/>
      <c r="E1990" s="397"/>
      <c r="F1990" s="398"/>
      <c r="G1990" s="463"/>
      <c r="H1990" s="398"/>
      <c r="I1990" s="403"/>
      <c r="J1990" s="241" t="b">
        <f>Age_Sex_BY[[#This Row],[Total Spending After Applying Truncation at the Member Level]]+Age_Sex_BY[[#This Row],[Total Dollars Excluded from Spending After Applying Truncation at the Member Level]]=Age_Sex_BY[[#This Row],[Total Spending before Truncation is Applied]]</f>
        <v>1</v>
      </c>
    </row>
    <row r="1991" spans="1:10" x14ac:dyDescent="0.25">
      <c r="A1991" s="393"/>
      <c r="B1991" s="387"/>
      <c r="C1991" s="388"/>
      <c r="D1991" s="458"/>
      <c r="E1991" s="389"/>
      <c r="F1991" s="390"/>
      <c r="G1991" s="462"/>
      <c r="H1991" s="390"/>
      <c r="I1991" s="402"/>
      <c r="J1991" s="241" t="b">
        <f>Age_Sex_BY[[#This Row],[Total Spending After Applying Truncation at the Member Level]]+Age_Sex_BY[[#This Row],[Total Dollars Excluded from Spending After Applying Truncation at the Member Level]]=Age_Sex_BY[[#This Row],[Total Spending before Truncation is Applied]]</f>
        <v>1</v>
      </c>
    </row>
    <row r="1992" spans="1:10" x14ac:dyDescent="0.25">
      <c r="A1992" s="394"/>
      <c r="B1992" s="395"/>
      <c r="C1992" s="396"/>
      <c r="D1992" s="459"/>
      <c r="E1992" s="397"/>
      <c r="F1992" s="398"/>
      <c r="G1992" s="463"/>
      <c r="H1992" s="398"/>
      <c r="I1992" s="403"/>
      <c r="J1992" s="241" t="b">
        <f>Age_Sex_BY[[#This Row],[Total Spending After Applying Truncation at the Member Level]]+Age_Sex_BY[[#This Row],[Total Dollars Excluded from Spending After Applying Truncation at the Member Level]]=Age_Sex_BY[[#This Row],[Total Spending before Truncation is Applied]]</f>
        <v>1</v>
      </c>
    </row>
    <row r="1993" spans="1:10" x14ac:dyDescent="0.25">
      <c r="A1993" s="393"/>
      <c r="B1993" s="387"/>
      <c r="C1993" s="388"/>
      <c r="D1993" s="458"/>
      <c r="E1993" s="389"/>
      <c r="F1993" s="390"/>
      <c r="G1993" s="462"/>
      <c r="H1993" s="390"/>
      <c r="I1993" s="402"/>
      <c r="J1993" s="241" t="b">
        <f>Age_Sex_BY[[#This Row],[Total Spending After Applying Truncation at the Member Level]]+Age_Sex_BY[[#This Row],[Total Dollars Excluded from Spending After Applying Truncation at the Member Level]]=Age_Sex_BY[[#This Row],[Total Spending before Truncation is Applied]]</f>
        <v>1</v>
      </c>
    </row>
    <row r="1994" spans="1:10" x14ac:dyDescent="0.25">
      <c r="A1994" s="394"/>
      <c r="B1994" s="395"/>
      <c r="C1994" s="396"/>
      <c r="D1994" s="459"/>
      <c r="E1994" s="397"/>
      <c r="F1994" s="398"/>
      <c r="G1994" s="463"/>
      <c r="H1994" s="398"/>
      <c r="I1994" s="403"/>
      <c r="J1994" s="241" t="b">
        <f>Age_Sex_BY[[#This Row],[Total Spending After Applying Truncation at the Member Level]]+Age_Sex_BY[[#This Row],[Total Dollars Excluded from Spending After Applying Truncation at the Member Level]]=Age_Sex_BY[[#This Row],[Total Spending before Truncation is Applied]]</f>
        <v>1</v>
      </c>
    </row>
    <row r="1995" spans="1:10" x14ac:dyDescent="0.25">
      <c r="A1995" s="393"/>
      <c r="B1995" s="387"/>
      <c r="C1995" s="388"/>
      <c r="D1995" s="458"/>
      <c r="E1995" s="389"/>
      <c r="F1995" s="390"/>
      <c r="G1995" s="462"/>
      <c r="H1995" s="390"/>
      <c r="I1995" s="402"/>
      <c r="J1995" s="241" t="b">
        <f>Age_Sex_BY[[#This Row],[Total Spending After Applying Truncation at the Member Level]]+Age_Sex_BY[[#This Row],[Total Dollars Excluded from Spending After Applying Truncation at the Member Level]]=Age_Sex_BY[[#This Row],[Total Spending before Truncation is Applied]]</f>
        <v>1</v>
      </c>
    </row>
    <row r="1996" spans="1:10" x14ac:dyDescent="0.25">
      <c r="A1996" s="394"/>
      <c r="B1996" s="395"/>
      <c r="C1996" s="396"/>
      <c r="D1996" s="459"/>
      <c r="E1996" s="397"/>
      <c r="F1996" s="398"/>
      <c r="G1996" s="463"/>
      <c r="H1996" s="398"/>
      <c r="I1996" s="403"/>
      <c r="J1996" s="241" t="b">
        <f>Age_Sex_BY[[#This Row],[Total Spending After Applying Truncation at the Member Level]]+Age_Sex_BY[[#This Row],[Total Dollars Excluded from Spending After Applying Truncation at the Member Level]]=Age_Sex_BY[[#This Row],[Total Spending before Truncation is Applied]]</f>
        <v>1</v>
      </c>
    </row>
    <row r="1997" spans="1:10" x14ac:dyDescent="0.25">
      <c r="A1997" s="393"/>
      <c r="B1997" s="387"/>
      <c r="C1997" s="388"/>
      <c r="D1997" s="458"/>
      <c r="E1997" s="389"/>
      <c r="F1997" s="390"/>
      <c r="G1997" s="462"/>
      <c r="H1997" s="390"/>
      <c r="I1997" s="402"/>
      <c r="J1997" s="241" t="b">
        <f>Age_Sex_BY[[#This Row],[Total Spending After Applying Truncation at the Member Level]]+Age_Sex_BY[[#This Row],[Total Dollars Excluded from Spending After Applying Truncation at the Member Level]]=Age_Sex_BY[[#This Row],[Total Spending before Truncation is Applied]]</f>
        <v>1</v>
      </c>
    </row>
    <row r="1998" spans="1:10" x14ac:dyDescent="0.25">
      <c r="A1998" s="394"/>
      <c r="B1998" s="395"/>
      <c r="C1998" s="396"/>
      <c r="D1998" s="459"/>
      <c r="E1998" s="397"/>
      <c r="F1998" s="398"/>
      <c r="G1998" s="463"/>
      <c r="H1998" s="398"/>
      <c r="I1998" s="403"/>
      <c r="J1998" s="241" t="b">
        <f>Age_Sex_BY[[#This Row],[Total Spending After Applying Truncation at the Member Level]]+Age_Sex_BY[[#This Row],[Total Dollars Excluded from Spending After Applying Truncation at the Member Level]]=Age_Sex_BY[[#This Row],[Total Spending before Truncation is Applied]]</f>
        <v>1</v>
      </c>
    </row>
    <row r="1999" spans="1:10" x14ac:dyDescent="0.25">
      <c r="A1999" s="393"/>
      <c r="B1999" s="387"/>
      <c r="C1999" s="388"/>
      <c r="D1999" s="458"/>
      <c r="E1999" s="389"/>
      <c r="F1999" s="390"/>
      <c r="G1999" s="462"/>
      <c r="H1999" s="390"/>
      <c r="I1999" s="402"/>
      <c r="J1999" s="241" t="b">
        <f>Age_Sex_BY[[#This Row],[Total Spending After Applying Truncation at the Member Level]]+Age_Sex_BY[[#This Row],[Total Dollars Excluded from Spending After Applying Truncation at the Member Level]]=Age_Sex_BY[[#This Row],[Total Spending before Truncation is Applied]]</f>
        <v>1</v>
      </c>
    </row>
    <row r="2000" spans="1:10" x14ac:dyDescent="0.25">
      <c r="A2000" s="394"/>
      <c r="B2000" s="395"/>
      <c r="C2000" s="396"/>
      <c r="D2000" s="459"/>
      <c r="E2000" s="397"/>
      <c r="F2000" s="398"/>
      <c r="G2000" s="463"/>
      <c r="H2000" s="398"/>
      <c r="I2000" s="403"/>
      <c r="J2000" s="241" t="b">
        <f>Age_Sex_BY[[#This Row],[Total Spending After Applying Truncation at the Member Level]]+Age_Sex_BY[[#This Row],[Total Dollars Excluded from Spending After Applying Truncation at the Member Level]]=Age_Sex_BY[[#This Row],[Total Spending before Truncation is Applied]]</f>
        <v>1</v>
      </c>
    </row>
    <row r="2001" spans="1:10" x14ac:dyDescent="0.25">
      <c r="A2001" s="393"/>
      <c r="B2001" s="387"/>
      <c r="C2001" s="388"/>
      <c r="D2001" s="458"/>
      <c r="E2001" s="389"/>
      <c r="F2001" s="390"/>
      <c r="G2001" s="462"/>
      <c r="H2001" s="390"/>
      <c r="I2001" s="402"/>
      <c r="J2001" s="241" t="b">
        <f>Age_Sex_BY[[#This Row],[Total Spending After Applying Truncation at the Member Level]]+Age_Sex_BY[[#This Row],[Total Dollars Excluded from Spending After Applying Truncation at the Member Level]]=Age_Sex_BY[[#This Row],[Total Spending before Truncation is Applied]]</f>
        <v>1</v>
      </c>
    </row>
    <row r="2002" spans="1:10" x14ac:dyDescent="0.25">
      <c r="A2002" s="394"/>
      <c r="B2002" s="395"/>
      <c r="C2002" s="396"/>
      <c r="D2002" s="459"/>
      <c r="E2002" s="397"/>
      <c r="F2002" s="398"/>
      <c r="G2002" s="463"/>
      <c r="H2002" s="398"/>
      <c r="I2002" s="403"/>
      <c r="J2002" s="241" t="b">
        <f>Age_Sex_BY[[#This Row],[Total Spending After Applying Truncation at the Member Level]]+Age_Sex_BY[[#This Row],[Total Dollars Excluded from Spending After Applying Truncation at the Member Level]]=Age_Sex_BY[[#This Row],[Total Spending before Truncation is Applied]]</f>
        <v>1</v>
      </c>
    </row>
    <row r="2003" spans="1:10" x14ac:dyDescent="0.25">
      <c r="A2003" s="393"/>
      <c r="B2003" s="387"/>
      <c r="C2003" s="388"/>
      <c r="D2003" s="458"/>
      <c r="E2003" s="389"/>
      <c r="F2003" s="390"/>
      <c r="G2003" s="462"/>
      <c r="H2003" s="390"/>
      <c r="I2003" s="402"/>
      <c r="J2003" s="241" t="b">
        <f>Age_Sex_BY[[#This Row],[Total Spending After Applying Truncation at the Member Level]]+Age_Sex_BY[[#This Row],[Total Dollars Excluded from Spending After Applying Truncation at the Member Level]]=Age_Sex_BY[[#This Row],[Total Spending before Truncation is Applied]]</f>
        <v>1</v>
      </c>
    </row>
    <row r="2004" spans="1:10" x14ac:dyDescent="0.25">
      <c r="A2004" s="394"/>
      <c r="B2004" s="395"/>
      <c r="C2004" s="396"/>
      <c r="D2004" s="459"/>
      <c r="E2004" s="397"/>
      <c r="F2004" s="398"/>
      <c r="G2004" s="463"/>
      <c r="H2004" s="398"/>
      <c r="I2004" s="403"/>
      <c r="J2004" s="241" t="b">
        <f>Age_Sex_BY[[#This Row],[Total Spending After Applying Truncation at the Member Level]]+Age_Sex_BY[[#This Row],[Total Dollars Excluded from Spending After Applying Truncation at the Member Level]]=Age_Sex_BY[[#This Row],[Total Spending before Truncation is Applied]]</f>
        <v>1</v>
      </c>
    </row>
    <row r="2005" spans="1:10" x14ac:dyDescent="0.25">
      <c r="A2005" s="393"/>
      <c r="B2005" s="387"/>
      <c r="C2005" s="388"/>
      <c r="D2005" s="458"/>
      <c r="E2005" s="389"/>
      <c r="F2005" s="390"/>
      <c r="G2005" s="462"/>
      <c r="H2005" s="390"/>
      <c r="I2005" s="402"/>
      <c r="J2005" s="241" t="b">
        <f>Age_Sex_BY[[#This Row],[Total Spending After Applying Truncation at the Member Level]]+Age_Sex_BY[[#This Row],[Total Dollars Excluded from Spending After Applying Truncation at the Member Level]]=Age_Sex_BY[[#This Row],[Total Spending before Truncation is Applied]]</f>
        <v>1</v>
      </c>
    </row>
    <row r="2006" spans="1:10" x14ac:dyDescent="0.25">
      <c r="A2006" s="394"/>
      <c r="B2006" s="395"/>
      <c r="C2006" s="396"/>
      <c r="D2006" s="459"/>
      <c r="E2006" s="397"/>
      <c r="F2006" s="398"/>
      <c r="G2006" s="463"/>
      <c r="H2006" s="398"/>
      <c r="I2006" s="403"/>
      <c r="J2006" s="241" t="b">
        <f>Age_Sex_BY[[#This Row],[Total Spending After Applying Truncation at the Member Level]]+Age_Sex_BY[[#This Row],[Total Dollars Excluded from Spending After Applying Truncation at the Member Level]]=Age_Sex_BY[[#This Row],[Total Spending before Truncation is Applied]]</f>
        <v>1</v>
      </c>
    </row>
    <row r="2007" spans="1:10" x14ac:dyDescent="0.25">
      <c r="A2007" s="393"/>
      <c r="B2007" s="387"/>
      <c r="C2007" s="388"/>
      <c r="D2007" s="458"/>
      <c r="E2007" s="389"/>
      <c r="F2007" s="390"/>
      <c r="G2007" s="462"/>
      <c r="H2007" s="390"/>
      <c r="I2007" s="402"/>
      <c r="J2007" s="241" t="b">
        <f>Age_Sex_BY[[#This Row],[Total Spending After Applying Truncation at the Member Level]]+Age_Sex_BY[[#This Row],[Total Dollars Excluded from Spending After Applying Truncation at the Member Level]]=Age_Sex_BY[[#This Row],[Total Spending before Truncation is Applied]]</f>
        <v>1</v>
      </c>
    </row>
    <row r="2008" spans="1:10" x14ac:dyDescent="0.25">
      <c r="A2008" s="394"/>
      <c r="B2008" s="395"/>
      <c r="C2008" s="396"/>
      <c r="D2008" s="459"/>
      <c r="E2008" s="397"/>
      <c r="F2008" s="398"/>
      <c r="G2008" s="463"/>
      <c r="H2008" s="398"/>
      <c r="I2008" s="403"/>
      <c r="J2008" s="241" t="b">
        <f>Age_Sex_BY[[#This Row],[Total Spending After Applying Truncation at the Member Level]]+Age_Sex_BY[[#This Row],[Total Dollars Excluded from Spending After Applying Truncation at the Member Level]]=Age_Sex_BY[[#This Row],[Total Spending before Truncation is Applied]]</f>
        <v>1</v>
      </c>
    </row>
    <row r="2009" spans="1:10" x14ac:dyDescent="0.25">
      <c r="A2009" s="393"/>
      <c r="B2009" s="387"/>
      <c r="C2009" s="388"/>
      <c r="D2009" s="458"/>
      <c r="E2009" s="389"/>
      <c r="F2009" s="390"/>
      <c r="G2009" s="462"/>
      <c r="H2009" s="390"/>
      <c r="I2009" s="402"/>
      <c r="J2009" s="241" t="b">
        <f>Age_Sex_BY[[#This Row],[Total Spending After Applying Truncation at the Member Level]]+Age_Sex_BY[[#This Row],[Total Dollars Excluded from Spending After Applying Truncation at the Member Level]]=Age_Sex_BY[[#This Row],[Total Spending before Truncation is Applied]]</f>
        <v>1</v>
      </c>
    </row>
    <row r="2010" spans="1:10" x14ac:dyDescent="0.25">
      <c r="A2010" s="394"/>
      <c r="B2010" s="395"/>
      <c r="C2010" s="396"/>
      <c r="D2010" s="459"/>
      <c r="E2010" s="397"/>
      <c r="F2010" s="398"/>
      <c r="G2010" s="463"/>
      <c r="H2010" s="398"/>
      <c r="I2010" s="403"/>
      <c r="J2010" s="241" t="b">
        <f>Age_Sex_BY[[#This Row],[Total Spending After Applying Truncation at the Member Level]]+Age_Sex_BY[[#This Row],[Total Dollars Excluded from Spending After Applying Truncation at the Member Level]]=Age_Sex_BY[[#This Row],[Total Spending before Truncation is Applied]]</f>
        <v>1</v>
      </c>
    </row>
  </sheetData>
  <sheetProtection algorithmName="SHA-512" hashValue="Ep7yxvPH+ZpPNqUEbvA8aprYyQkia+GB/2Z6WsxZ4XMd0ITSdFO5Zx+xUN0bZb0bOXoit2MfUzaYjkUbeT3aPQ==" saltValue="NzNvCcRQBZWaLl7KDe0zlw==" spinCount="100000" sheet="1" insertRows="0" sort="0" autoFilter="0"/>
  <protectedRanges>
    <protectedRange sqref="A11:J2010" name="Range1"/>
  </protectedRanges>
  <mergeCells count="1">
    <mergeCell ref="C3:D4"/>
  </mergeCells>
  <dataValidations xWindow="1882" yWindow="769" count="7">
    <dataValidation type="decimal" operator="greaterThanOrEqual" allowBlank="1" showInputMessage="1" showErrorMessage="1" error="See Definitions tab._x000a_No negative values." prompt="See Definitions tab._x000a_No negative values._x000a_" sqref="F11:F2010 H11:I2010" xr:uid="{30EF85CE-4229-487A-B097-38E0F0977AE7}">
      <formula1>0</formula1>
    </dataValidation>
    <dataValidation type="whole" allowBlank="1" showInputMessage="1" showErrorMessage="1" error="Please input the OHS-assigned organizational ID of the Advanced Network." prompt="Please input the OHS-assigned organizational ID of the Advanced Network." sqref="A11:A2010" xr:uid="{E5825D81-55AE-464F-935F-648F01B2E81A}">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6483432A-9363-456F-94A1-66E7F12A05D5}">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5E2243D-C58A-4912-B03C-D41342839F6B}">
      <formula1>1</formula1>
      <formula2>8</formula2>
    </dataValidation>
    <dataValidation type="decimal" allowBlank="1" showInputMessage="1" showErrorMessage="1" error="Please input the sex band being reported." prompt="1 = Female_x000a_2 = Male" sqref="D11:D2010" xr:uid="{BBF9FDD4-6653-4A44-BD4C-E59A1A23E93F}">
      <formula1>1</formula1>
      <formula2>2</formula2>
    </dataValidation>
    <dataValidation type="whole" operator="greaterThanOrEqual" allowBlank="1" showInputMessage="1" showErrorMessage="1" error="See Definitions tab._x000a_No negative values." prompt="See Definitions tab._x000a_No negative values._x000a_" sqref="G11:G2010" xr:uid="{C075FDB6-3642-43D8-A2D4-A6B94FA0E2DA}">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6A51B6E5-D244-4589-81DC-1058AD15D145}">
      <formula1>0</formula1>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267A-9476-49BF-B1A9-1F6514FEFEA2}">
  <sheetPr codeName="Sheet16">
    <tabColor theme="3"/>
  </sheetPr>
  <dimension ref="A1:J2010"/>
  <sheetViews>
    <sheetView zoomScale="90" zoomScaleNormal="90" workbookViewId="0"/>
  </sheetViews>
  <sheetFormatPr defaultRowHeight="15" x14ac:dyDescent="0.25"/>
  <cols>
    <col min="1" max="1" width="25.5703125" customWidth="1"/>
    <col min="2" max="9" width="28.5703125" customWidth="1"/>
    <col min="10" max="10" width="26.5703125" customWidth="1"/>
  </cols>
  <sheetData>
    <row r="1" spans="1:10" x14ac:dyDescent="0.25">
      <c r="A1" s="1" t="s">
        <v>162</v>
      </c>
    </row>
    <row r="2" spans="1:10" x14ac:dyDescent="0.25">
      <c r="A2" s="1" t="s">
        <v>250</v>
      </c>
    </row>
    <row r="4" spans="1:10" x14ac:dyDescent="0.25">
      <c r="A4" t="s">
        <v>164</v>
      </c>
      <c r="C4" s="548" t="s">
        <v>177</v>
      </c>
      <c r="D4" s="548"/>
    </row>
    <row r="5" spans="1:10" x14ac:dyDescent="0.25">
      <c r="A5" s="158"/>
      <c r="C5" s="548"/>
      <c r="D5" s="548"/>
    </row>
    <row r="9" spans="1:10" x14ac:dyDescent="0.25">
      <c r="C9" s="4" t="s">
        <v>184</v>
      </c>
      <c r="D9" s="4" t="s">
        <v>185</v>
      </c>
      <c r="E9" s="4" t="s">
        <v>186</v>
      </c>
      <c r="F9" s="4" t="s">
        <v>187</v>
      </c>
      <c r="G9" s="4" t="s">
        <v>188</v>
      </c>
      <c r="H9" s="4" t="s">
        <v>189</v>
      </c>
      <c r="I9" s="4" t="s">
        <v>190</v>
      </c>
      <c r="J9" s="4" t="s">
        <v>191</v>
      </c>
    </row>
    <row r="10" spans="1:10" ht="60" x14ac:dyDescent="0.25">
      <c r="A10" s="160" t="s">
        <v>247</v>
      </c>
      <c r="B10" s="161" t="s">
        <v>80</v>
      </c>
      <c r="C10" s="161" t="s">
        <v>102</v>
      </c>
      <c r="D10" s="161" t="s">
        <v>154</v>
      </c>
      <c r="E10" s="161" t="s">
        <v>156</v>
      </c>
      <c r="F10" s="161" t="s">
        <v>157</v>
      </c>
      <c r="G10" s="161" t="s">
        <v>158</v>
      </c>
      <c r="H10" s="161" t="s">
        <v>159</v>
      </c>
      <c r="I10" s="161" t="s">
        <v>248</v>
      </c>
      <c r="J10" s="244" t="s">
        <v>249</v>
      </c>
    </row>
    <row r="11" spans="1:10" x14ac:dyDescent="0.25">
      <c r="A11" s="339"/>
      <c r="B11" s="270"/>
      <c r="C11" s="271"/>
      <c r="D11" s="456"/>
      <c r="E11" s="362"/>
      <c r="F11" s="272"/>
      <c r="G11" s="460"/>
      <c r="H11" s="272"/>
      <c r="I11" s="399"/>
      <c r="J11" s="242" t="b">
        <f>Age_Sex_PY[[#This Row],[Total Spending After Applying Truncation at the Member Level]]+Age_Sex_PY[[#This Row],[Total Dollars Excluded from Spending After Applying Truncation at the Member Level]]=Age_Sex_PY[[#This Row],[Total Spending before Truncation is Applied]]</f>
        <v>1</v>
      </c>
    </row>
    <row r="12" spans="1:10" x14ac:dyDescent="0.25">
      <c r="A12" s="342"/>
      <c r="B12" s="4"/>
      <c r="C12" s="16"/>
      <c r="D12" s="457"/>
      <c r="E12" s="363"/>
      <c r="F12" s="273"/>
      <c r="G12" s="226"/>
      <c r="H12" s="273"/>
      <c r="I12" s="400"/>
      <c r="J12" s="242" t="b">
        <f>Age_Sex_PY[[#This Row],[Total Spending After Applying Truncation at the Member Level]]+Age_Sex_PY[[#This Row],[Total Dollars Excluded from Spending After Applying Truncation at the Member Level]]=Age_Sex_PY[[#This Row],[Total Spending before Truncation is Applied]]</f>
        <v>1</v>
      </c>
    </row>
    <row r="13" spans="1:10" x14ac:dyDescent="0.25">
      <c r="A13" s="339"/>
      <c r="B13" s="270"/>
      <c r="C13" s="271"/>
      <c r="D13" s="456"/>
      <c r="E13" s="362"/>
      <c r="F13" s="272"/>
      <c r="G13" s="460"/>
      <c r="H13" s="272"/>
      <c r="I13" s="399"/>
      <c r="J13" s="242" t="b">
        <f>Age_Sex_PY[[#This Row],[Total Spending After Applying Truncation at the Member Level]]+Age_Sex_PY[[#This Row],[Total Dollars Excluded from Spending After Applying Truncation at the Member Level]]=Age_Sex_PY[[#This Row],[Total Spending before Truncation is Applied]]</f>
        <v>1</v>
      </c>
    </row>
    <row r="14" spans="1:10" x14ac:dyDescent="0.25">
      <c r="A14" s="342"/>
      <c r="B14" s="4"/>
      <c r="C14" s="16"/>
      <c r="D14" s="457"/>
      <c r="E14" s="363"/>
      <c r="F14" s="273"/>
      <c r="G14" s="226"/>
      <c r="H14" s="273"/>
      <c r="I14" s="400"/>
      <c r="J14" s="242" t="b">
        <f>Age_Sex_PY[[#This Row],[Total Spending After Applying Truncation at the Member Level]]+Age_Sex_PY[[#This Row],[Total Dollars Excluded from Spending After Applying Truncation at the Member Level]]=Age_Sex_PY[[#This Row],[Total Spending before Truncation is Applied]]</f>
        <v>1</v>
      </c>
    </row>
    <row r="15" spans="1:10" x14ac:dyDescent="0.25">
      <c r="A15" s="339"/>
      <c r="B15" s="270"/>
      <c r="C15" s="271"/>
      <c r="D15" s="456"/>
      <c r="E15" s="362"/>
      <c r="F15" s="272"/>
      <c r="G15" s="460"/>
      <c r="H15" s="272"/>
      <c r="I15" s="399"/>
      <c r="J15" s="242" t="b">
        <f>Age_Sex_PY[[#This Row],[Total Spending After Applying Truncation at the Member Level]]+Age_Sex_PY[[#This Row],[Total Dollars Excluded from Spending After Applying Truncation at the Member Level]]=Age_Sex_PY[[#This Row],[Total Spending before Truncation is Applied]]</f>
        <v>1</v>
      </c>
    </row>
    <row r="16" spans="1:10" x14ac:dyDescent="0.25">
      <c r="A16" s="342"/>
      <c r="B16" s="4"/>
      <c r="C16" s="16"/>
      <c r="D16" s="457"/>
      <c r="E16" s="363"/>
      <c r="F16" s="273"/>
      <c r="G16" s="226"/>
      <c r="H16" s="273"/>
      <c r="I16" s="400"/>
      <c r="J16" s="242" t="b">
        <f>Age_Sex_PY[[#This Row],[Total Spending After Applying Truncation at the Member Level]]+Age_Sex_PY[[#This Row],[Total Dollars Excluded from Spending After Applying Truncation at the Member Level]]=Age_Sex_PY[[#This Row],[Total Spending before Truncation is Applied]]</f>
        <v>1</v>
      </c>
    </row>
    <row r="17" spans="1:10" x14ac:dyDescent="0.25">
      <c r="A17" s="339"/>
      <c r="B17" s="270"/>
      <c r="C17" s="271"/>
      <c r="D17" s="456"/>
      <c r="E17" s="362"/>
      <c r="F17" s="272"/>
      <c r="G17" s="460"/>
      <c r="H17" s="272"/>
      <c r="I17" s="399"/>
      <c r="J17" s="242" t="b">
        <f>Age_Sex_PY[[#This Row],[Total Spending After Applying Truncation at the Member Level]]+Age_Sex_PY[[#This Row],[Total Dollars Excluded from Spending After Applying Truncation at the Member Level]]=Age_Sex_PY[[#This Row],[Total Spending before Truncation is Applied]]</f>
        <v>1</v>
      </c>
    </row>
    <row r="18" spans="1:10" x14ac:dyDescent="0.25">
      <c r="A18" s="342"/>
      <c r="B18" s="4"/>
      <c r="C18" s="16"/>
      <c r="D18" s="457"/>
      <c r="E18" s="363"/>
      <c r="F18" s="273"/>
      <c r="G18" s="226"/>
      <c r="H18" s="273"/>
      <c r="I18" s="400"/>
      <c r="J18" s="242" t="b">
        <f>Age_Sex_PY[[#This Row],[Total Spending After Applying Truncation at the Member Level]]+Age_Sex_PY[[#This Row],[Total Dollars Excluded from Spending After Applying Truncation at the Member Level]]=Age_Sex_PY[[#This Row],[Total Spending before Truncation is Applied]]</f>
        <v>1</v>
      </c>
    </row>
    <row r="19" spans="1:10" x14ac:dyDescent="0.25">
      <c r="A19" s="339"/>
      <c r="B19" s="270"/>
      <c r="C19" s="271"/>
      <c r="D19" s="456"/>
      <c r="E19" s="362"/>
      <c r="F19" s="272"/>
      <c r="G19" s="460"/>
      <c r="H19" s="272"/>
      <c r="I19" s="399"/>
      <c r="J19" s="242" t="b">
        <f>Age_Sex_PY[[#This Row],[Total Spending After Applying Truncation at the Member Level]]+Age_Sex_PY[[#This Row],[Total Dollars Excluded from Spending After Applying Truncation at the Member Level]]=Age_Sex_PY[[#This Row],[Total Spending before Truncation is Applied]]</f>
        <v>1</v>
      </c>
    </row>
    <row r="20" spans="1:10" x14ac:dyDescent="0.25">
      <c r="A20" s="342"/>
      <c r="B20" s="4"/>
      <c r="C20" s="16"/>
      <c r="D20" s="457"/>
      <c r="E20" s="363"/>
      <c r="F20" s="273"/>
      <c r="G20" s="226"/>
      <c r="H20" s="273"/>
      <c r="I20" s="400"/>
      <c r="J20" s="242" t="b">
        <f>Age_Sex_PY[[#This Row],[Total Spending After Applying Truncation at the Member Level]]+Age_Sex_PY[[#This Row],[Total Dollars Excluded from Spending After Applying Truncation at the Member Level]]=Age_Sex_PY[[#This Row],[Total Spending before Truncation is Applied]]</f>
        <v>1</v>
      </c>
    </row>
    <row r="21" spans="1:10" x14ac:dyDescent="0.25">
      <c r="A21" s="339"/>
      <c r="B21" s="270"/>
      <c r="C21" s="271"/>
      <c r="D21" s="456"/>
      <c r="E21" s="362"/>
      <c r="F21" s="272"/>
      <c r="G21" s="460"/>
      <c r="H21" s="272"/>
      <c r="I21" s="399"/>
      <c r="J21" s="242" t="b">
        <f>Age_Sex_PY[[#This Row],[Total Spending After Applying Truncation at the Member Level]]+Age_Sex_PY[[#This Row],[Total Dollars Excluded from Spending After Applying Truncation at the Member Level]]=Age_Sex_PY[[#This Row],[Total Spending before Truncation is Applied]]</f>
        <v>1</v>
      </c>
    </row>
    <row r="22" spans="1:10" x14ac:dyDescent="0.25">
      <c r="A22" s="342"/>
      <c r="B22" s="4"/>
      <c r="C22" s="16"/>
      <c r="D22" s="457"/>
      <c r="E22" s="363"/>
      <c r="F22" s="273"/>
      <c r="G22" s="226"/>
      <c r="H22" s="273"/>
      <c r="I22" s="400"/>
      <c r="J22" s="242" t="b">
        <f>Age_Sex_PY[[#This Row],[Total Spending After Applying Truncation at the Member Level]]+Age_Sex_PY[[#This Row],[Total Dollars Excluded from Spending After Applying Truncation at the Member Level]]=Age_Sex_PY[[#This Row],[Total Spending before Truncation is Applied]]</f>
        <v>1</v>
      </c>
    </row>
    <row r="23" spans="1:10" x14ac:dyDescent="0.25">
      <c r="A23" s="339"/>
      <c r="B23" s="270"/>
      <c r="C23" s="271"/>
      <c r="D23" s="456"/>
      <c r="E23" s="362"/>
      <c r="F23" s="272"/>
      <c r="G23" s="460"/>
      <c r="H23" s="272"/>
      <c r="I23" s="399"/>
      <c r="J23" s="242" t="b">
        <f>Age_Sex_PY[[#This Row],[Total Spending After Applying Truncation at the Member Level]]+Age_Sex_PY[[#This Row],[Total Dollars Excluded from Spending After Applying Truncation at the Member Level]]=Age_Sex_PY[[#This Row],[Total Spending before Truncation is Applied]]</f>
        <v>1</v>
      </c>
    </row>
    <row r="24" spans="1:10" x14ac:dyDescent="0.25">
      <c r="A24" s="342"/>
      <c r="B24" s="4"/>
      <c r="C24" s="16"/>
      <c r="D24" s="457"/>
      <c r="E24" s="363"/>
      <c r="F24" s="273"/>
      <c r="G24" s="226"/>
      <c r="H24" s="273"/>
      <c r="I24" s="400"/>
      <c r="J24" s="242" t="b">
        <f>Age_Sex_PY[[#This Row],[Total Spending After Applying Truncation at the Member Level]]+Age_Sex_PY[[#This Row],[Total Dollars Excluded from Spending After Applying Truncation at the Member Level]]=Age_Sex_PY[[#This Row],[Total Spending before Truncation is Applied]]</f>
        <v>1</v>
      </c>
    </row>
    <row r="25" spans="1:10" x14ac:dyDescent="0.25">
      <c r="A25" s="339"/>
      <c r="B25" s="270"/>
      <c r="C25" s="271"/>
      <c r="D25" s="456"/>
      <c r="E25" s="362"/>
      <c r="F25" s="272"/>
      <c r="G25" s="460"/>
      <c r="H25" s="272"/>
      <c r="I25" s="399"/>
      <c r="J25" s="242" t="b">
        <f>Age_Sex_PY[[#This Row],[Total Spending After Applying Truncation at the Member Level]]+Age_Sex_PY[[#This Row],[Total Dollars Excluded from Spending After Applying Truncation at the Member Level]]=Age_Sex_PY[[#This Row],[Total Spending before Truncation is Applied]]</f>
        <v>1</v>
      </c>
    </row>
    <row r="26" spans="1:10" x14ac:dyDescent="0.25">
      <c r="A26" s="342"/>
      <c r="B26" s="4"/>
      <c r="C26" s="16"/>
      <c r="D26" s="457"/>
      <c r="E26" s="363"/>
      <c r="F26" s="273"/>
      <c r="G26" s="226"/>
      <c r="H26" s="273"/>
      <c r="I26" s="400"/>
      <c r="J26" s="242" t="b">
        <f>Age_Sex_PY[[#This Row],[Total Spending After Applying Truncation at the Member Level]]+Age_Sex_PY[[#This Row],[Total Dollars Excluded from Spending After Applying Truncation at the Member Level]]=Age_Sex_PY[[#This Row],[Total Spending before Truncation is Applied]]</f>
        <v>1</v>
      </c>
    </row>
    <row r="27" spans="1:10" x14ac:dyDescent="0.25">
      <c r="A27" s="339"/>
      <c r="B27" s="270"/>
      <c r="C27" s="271"/>
      <c r="D27" s="456"/>
      <c r="E27" s="362"/>
      <c r="F27" s="272"/>
      <c r="G27" s="460"/>
      <c r="H27" s="272"/>
      <c r="I27" s="399"/>
      <c r="J27" s="242" t="b">
        <f>Age_Sex_PY[[#This Row],[Total Spending After Applying Truncation at the Member Level]]+Age_Sex_PY[[#This Row],[Total Dollars Excluded from Spending After Applying Truncation at the Member Level]]=Age_Sex_PY[[#This Row],[Total Spending before Truncation is Applied]]</f>
        <v>1</v>
      </c>
    </row>
    <row r="28" spans="1:10" x14ac:dyDescent="0.25">
      <c r="A28" s="342"/>
      <c r="B28" s="4"/>
      <c r="C28" s="16"/>
      <c r="D28" s="457"/>
      <c r="E28" s="363"/>
      <c r="F28" s="273"/>
      <c r="G28" s="226"/>
      <c r="H28" s="273"/>
      <c r="I28" s="400"/>
      <c r="J28" s="242" t="b">
        <f>Age_Sex_PY[[#This Row],[Total Spending After Applying Truncation at the Member Level]]+Age_Sex_PY[[#This Row],[Total Dollars Excluded from Spending After Applying Truncation at the Member Level]]=Age_Sex_PY[[#This Row],[Total Spending before Truncation is Applied]]</f>
        <v>1</v>
      </c>
    </row>
    <row r="29" spans="1:10" x14ac:dyDescent="0.25">
      <c r="A29" s="339"/>
      <c r="B29" s="270"/>
      <c r="C29" s="271"/>
      <c r="D29" s="456"/>
      <c r="E29" s="362"/>
      <c r="F29" s="272"/>
      <c r="G29" s="460"/>
      <c r="H29" s="272"/>
      <c r="I29" s="399"/>
      <c r="J29" s="242" t="b">
        <f>Age_Sex_PY[[#This Row],[Total Spending After Applying Truncation at the Member Level]]+Age_Sex_PY[[#This Row],[Total Dollars Excluded from Spending After Applying Truncation at the Member Level]]=Age_Sex_PY[[#This Row],[Total Spending before Truncation is Applied]]</f>
        <v>1</v>
      </c>
    </row>
    <row r="30" spans="1:10" x14ac:dyDescent="0.25">
      <c r="A30" s="342"/>
      <c r="B30" s="4"/>
      <c r="C30" s="16"/>
      <c r="D30" s="457"/>
      <c r="E30" s="363"/>
      <c r="F30" s="273"/>
      <c r="G30" s="226"/>
      <c r="H30" s="273"/>
      <c r="I30" s="400"/>
      <c r="J30" s="242" t="b">
        <f>Age_Sex_PY[[#This Row],[Total Spending After Applying Truncation at the Member Level]]+Age_Sex_PY[[#This Row],[Total Dollars Excluded from Spending After Applying Truncation at the Member Level]]=Age_Sex_PY[[#This Row],[Total Spending before Truncation is Applied]]</f>
        <v>1</v>
      </c>
    </row>
    <row r="31" spans="1:10" x14ac:dyDescent="0.25">
      <c r="A31" s="339"/>
      <c r="B31" s="270"/>
      <c r="C31" s="271"/>
      <c r="D31" s="456"/>
      <c r="E31" s="362"/>
      <c r="F31" s="272"/>
      <c r="G31" s="460"/>
      <c r="H31" s="272"/>
      <c r="I31" s="399"/>
      <c r="J31" s="242" t="b">
        <f>Age_Sex_PY[[#This Row],[Total Spending After Applying Truncation at the Member Level]]+Age_Sex_PY[[#This Row],[Total Dollars Excluded from Spending After Applying Truncation at the Member Level]]=Age_Sex_PY[[#This Row],[Total Spending before Truncation is Applied]]</f>
        <v>1</v>
      </c>
    </row>
    <row r="32" spans="1:10" x14ac:dyDescent="0.25">
      <c r="A32" s="342"/>
      <c r="B32" s="4"/>
      <c r="C32" s="16"/>
      <c r="D32" s="457"/>
      <c r="E32" s="363"/>
      <c r="F32" s="273"/>
      <c r="G32" s="226"/>
      <c r="H32" s="273"/>
      <c r="I32" s="400"/>
      <c r="J32" s="242" t="b">
        <f>Age_Sex_PY[[#This Row],[Total Spending After Applying Truncation at the Member Level]]+Age_Sex_PY[[#This Row],[Total Dollars Excluded from Spending After Applying Truncation at the Member Level]]=Age_Sex_PY[[#This Row],[Total Spending before Truncation is Applied]]</f>
        <v>1</v>
      </c>
    </row>
    <row r="33" spans="1:10" x14ac:dyDescent="0.25">
      <c r="A33" s="339"/>
      <c r="B33" s="270"/>
      <c r="C33" s="271"/>
      <c r="D33" s="456"/>
      <c r="E33" s="362"/>
      <c r="F33" s="272"/>
      <c r="G33" s="460"/>
      <c r="H33" s="272"/>
      <c r="I33" s="399"/>
      <c r="J33" s="242" t="b">
        <f>Age_Sex_PY[[#This Row],[Total Spending After Applying Truncation at the Member Level]]+Age_Sex_PY[[#This Row],[Total Dollars Excluded from Spending After Applying Truncation at the Member Level]]=Age_Sex_PY[[#This Row],[Total Spending before Truncation is Applied]]</f>
        <v>1</v>
      </c>
    </row>
    <row r="34" spans="1:10" x14ac:dyDescent="0.25">
      <c r="A34" s="342"/>
      <c r="B34" s="4"/>
      <c r="C34" s="16"/>
      <c r="D34" s="457"/>
      <c r="E34" s="363"/>
      <c r="F34" s="273"/>
      <c r="G34" s="226"/>
      <c r="H34" s="273"/>
      <c r="I34" s="400"/>
      <c r="J34" s="242" t="b">
        <f>Age_Sex_PY[[#This Row],[Total Spending After Applying Truncation at the Member Level]]+Age_Sex_PY[[#This Row],[Total Dollars Excluded from Spending After Applying Truncation at the Member Level]]=Age_Sex_PY[[#This Row],[Total Spending before Truncation is Applied]]</f>
        <v>1</v>
      </c>
    </row>
    <row r="35" spans="1:10" x14ac:dyDescent="0.25">
      <c r="A35" s="339"/>
      <c r="B35" s="270"/>
      <c r="C35" s="271"/>
      <c r="D35" s="456"/>
      <c r="E35" s="362"/>
      <c r="F35" s="272"/>
      <c r="G35" s="460"/>
      <c r="H35" s="272"/>
      <c r="I35" s="399"/>
      <c r="J35" s="242" t="b">
        <f>Age_Sex_PY[[#This Row],[Total Spending After Applying Truncation at the Member Level]]+Age_Sex_PY[[#This Row],[Total Dollars Excluded from Spending After Applying Truncation at the Member Level]]=Age_Sex_PY[[#This Row],[Total Spending before Truncation is Applied]]</f>
        <v>1</v>
      </c>
    </row>
    <row r="36" spans="1:10" x14ac:dyDescent="0.25">
      <c r="A36" s="342"/>
      <c r="B36" s="4"/>
      <c r="C36" s="16"/>
      <c r="D36" s="457"/>
      <c r="E36" s="363"/>
      <c r="F36" s="273"/>
      <c r="G36" s="226"/>
      <c r="H36" s="273"/>
      <c r="I36" s="400"/>
      <c r="J36" s="242" t="b">
        <f>Age_Sex_PY[[#This Row],[Total Spending After Applying Truncation at the Member Level]]+Age_Sex_PY[[#This Row],[Total Dollars Excluded from Spending After Applying Truncation at the Member Level]]=Age_Sex_PY[[#This Row],[Total Spending before Truncation is Applied]]</f>
        <v>1</v>
      </c>
    </row>
    <row r="37" spans="1:10" x14ac:dyDescent="0.25">
      <c r="A37" s="339"/>
      <c r="B37" s="270"/>
      <c r="C37" s="271"/>
      <c r="D37" s="456"/>
      <c r="E37" s="362"/>
      <c r="F37" s="272"/>
      <c r="G37" s="460"/>
      <c r="H37" s="272"/>
      <c r="I37" s="399"/>
      <c r="J37" s="242" t="b">
        <f>Age_Sex_PY[[#This Row],[Total Spending After Applying Truncation at the Member Level]]+Age_Sex_PY[[#This Row],[Total Dollars Excluded from Spending After Applying Truncation at the Member Level]]=Age_Sex_PY[[#This Row],[Total Spending before Truncation is Applied]]</f>
        <v>1</v>
      </c>
    </row>
    <row r="38" spans="1:10" x14ac:dyDescent="0.25">
      <c r="A38" s="342"/>
      <c r="B38" s="4"/>
      <c r="C38" s="16"/>
      <c r="D38" s="457"/>
      <c r="E38" s="363"/>
      <c r="F38" s="273"/>
      <c r="G38" s="226"/>
      <c r="H38" s="273"/>
      <c r="I38" s="400"/>
      <c r="J38" s="242" t="b">
        <f>Age_Sex_PY[[#This Row],[Total Spending After Applying Truncation at the Member Level]]+Age_Sex_PY[[#This Row],[Total Dollars Excluded from Spending After Applying Truncation at the Member Level]]=Age_Sex_PY[[#This Row],[Total Spending before Truncation is Applied]]</f>
        <v>1</v>
      </c>
    </row>
    <row r="39" spans="1:10" x14ac:dyDescent="0.25">
      <c r="A39" s="339"/>
      <c r="B39" s="270"/>
      <c r="C39" s="271"/>
      <c r="D39" s="456"/>
      <c r="E39" s="362"/>
      <c r="F39" s="272"/>
      <c r="G39" s="460"/>
      <c r="H39" s="272"/>
      <c r="I39" s="399"/>
      <c r="J39" s="242" t="b">
        <f>Age_Sex_PY[[#This Row],[Total Spending After Applying Truncation at the Member Level]]+Age_Sex_PY[[#This Row],[Total Dollars Excluded from Spending After Applying Truncation at the Member Level]]=Age_Sex_PY[[#This Row],[Total Spending before Truncation is Applied]]</f>
        <v>1</v>
      </c>
    </row>
    <row r="40" spans="1:10" x14ac:dyDescent="0.25">
      <c r="A40" s="342"/>
      <c r="B40" s="4"/>
      <c r="C40" s="16"/>
      <c r="D40" s="457"/>
      <c r="E40" s="363"/>
      <c r="F40" s="273"/>
      <c r="G40" s="226"/>
      <c r="H40" s="273"/>
      <c r="I40" s="400"/>
      <c r="J40" s="242" t="b">
        <f>Age_Sex_PY[[#This Row],[Total Spending After Applying Truncation at the Member Level]]+Age_Sex_PY[[#This Row],[Total Dollars Excluded from Spending After Applying Truncation at the Member Level]]=Age_Sex_PY[[#This Row],[Total Spending before Truncation is Applied]]</f>
        <v>1</v>
      </c>
    </row>
    <row r="41" spans="1:10" x14ac:dyDescent="0.25">
      <c r="A41" s="339"/>
      <c r="B41" s="270"/>
      <c r="C41" s="271"/>
      <c r="D41" s="456"/>
      <c r="E41" s="362"/>
      <c r="F41" s="272"/>
      <c r="G41" s="460"/>
      <c r="H41" s="272"/>
      <c r="I41" s="399"/>
      <c r="J41" s="242" t="b">
        <f>Age_Sex_PY[[#This Row],[Total Spending After Applying Truncation at the Member Level]]+Age_Sex_PY[[#This Row],[Total Dollars Excluded from Spending After Applying Truncation at the Member Level]]=Age_Sex_PY[[#This Row],[Total Spending before Truncation is Applied]]</f>
        <v>1</v>
      </c>
    </row>
    <row r="42" spans="1:10" x14ac:dyDescent="0.25">
      <c r="A42" s="342"/>
      <c r="B42" s="4"/>
      <c r="C42" s="16"/>
      <c r="D42" s="457"/>
      <c r="E42" s="363"/>
      <c r="F42" s="273"/>
      <c r="G42" s="226"/>
      <c r="H42" s="273"/>
      <c r="I42" s="400"/>
      <c r="J42" s="242" t="b">
        <f>Age_Sex_PY[[#This Row],[Total Spending After Applying Truncation at the Member Level]]+Age_Sex_PY[[#This Row],[Total Dollars Excluded from Spending After Applying Truncation at the Member Level]]=Age_Sex_PY[[#This Row],[Total Spending before Truncation is Applied]]</f>
        <v>1</v>
      </c>
    </row>
    <row r="43" spans="1:10" x14ac:dyDescent="0.25">
      <c r="A43" s="339"/>
      <c r="B43" s="270"/>
      <c r="C43" s="271"/>
      <c r="D43" s="456"/>
      <c r="E43" s="362"/>
      <c r="F43" s="272"/>
      <c r="G43" s="460"/>
      <c r="H43" s="272"/>
      <c r="I43" s="399"/>
      <c r="J43" s="242" t="b">
        <f>Age_Sex_PY[[#This Row],[Total Spending After Applying Truncation at the Member Level]]+Age_Sex_PY[[#This Row],[Total Dollars Excluded from Spending After Applying Truncation at the Member Level]]=Age_Sex_PY[[#This Row],[Total Spending before Truncation is Applied]]</f>
        <v>1</v>
      </c>
    </row>
    <row r="44" spans="1:10" x14ac:dyDescent="0.25">
      <c r="A44" s="342"/>
      <c r="B44" s="4"/>
      <c r="C44" s="16"/>
      <c r="D44" s="457"/>
      <c r="E44" s="363"/>
      <c r="F44" s="273"/>
      <c r="G44" s="226"/>
      <c r="H44" s="273"/>
      <c r="I44" s="400"/>
      <c r="J44" s="242" t="b">
        <f>Age_Sex_PY[[#This Row],[Total Spending After Applying Truncation at the Member Level]]+Age_Sex_PY[[#This Row],[Total Dollars Excluded from Spending After Applying Truncation at the Member Level]]=Age_Sex_PY[[#This Row],[Total Spending before Truncation is Applied]]</f>
        <v>1</v>
      </c>
    </row>
    <row r="45" spans="1:10" x14ac:dyDescent="0.25">
      <c r="A45" s="339"/>
      <c r="B45" s="270"/>
      <c r="C45" s="271"/>
      <c r="D45" s="456"/>
      <c r="E45" s="362"/>
      <c r="F45" s="272"/>
      <c r="G45" s="460"/>
      <c r="H45" s="272"/>
      <c r="I45" s="399"/>
      <c r="J45" s="242" t="b">
        <f>Age_Sex_PY[[#This Row],[Total Spending After Applying Truncation at the Member Level]]+Age_Sex_PY[[#This Row],[Total Dollars Excluded from Spending After Applying Truncation at the Member Level]]=Age_Sex_PY[[#This Row],[Total Spending before Truncation is Applied]]</f>
        <v>1</v>
      </c>
    </row>
    <row r="46" spans="1:10" x14ac:dyDescent="0.25">
      <c r="A46" s="342"/>
      <c r="B46" s="4"/>
      <c r="C46" s="16"/>
      <c r="D46" s="457"/>
      <c r="E46" s="363"/>
      <c r="F46" s="273"/>
      <c r="G46" s="226"/>
      <c r="H46" s="273"/>
      <c r="I46" s="400"/>
      <c r="J46" s="242" t="b">
        <f>Age_Sex_PY[[#This Row],[Total Spending After Applying Truncation at the Member Level]]+Age_Sex_PY[[#This Row],[Total Dollars Excluded from Spending After Applying Truncation at the Member Level]]=Age_Sex_PY[[#This Row],[Total Spending before Truncation is Applied]]</f>
        <v>1</v>
      </c>
    </row>
    <row r="47" spans="1:10" x14ac:dyDescent="0.25">
      <c r="A47" s="339"/>
      <c r="B47" s="270"/>
      <c r="C47" s="271"/>
      <c r="D47" s="456"/>
      <c r="E47" s="362"/>
      <c r="F47" s="272"/>
      <c r="G47" s="460"/>
      <c r="H47" s="272"/>
      <c r="I47" s="399"/>
      <c r="J47" s="242" t="b">
        <f>Age_Sex_PY[[#This Row],[Total Spending After Applying Truncation at the Member Level]]+Age_Sex_PY[[#This Row],[Total Dollars Excluded from Spending After Applying Truncation at the Member Level]]=Age_Sex_PY[[#This Row],[Total Spending before Truncation is Applied]]</f>
        <v>1</v>
      </c>
    </row>
    <row r="48" spans="1:10" x14ac:dyDescent="0.25">
      <c r="A48" s="342"/>
      <c r="B48" s="4"/>
      <c r="C48" s="16"/>
      <c r="D48" s="457"/>
      <c r="E48" s="363"/>
      <c r="F48" s="273"/>
      <c r="G48" s="226"/>
      <c r="H48" s="273"/>
      <c r="I48" s="400"/>
      <c r="J48" s="242" t="b">
        <f>Age_Sex_PY[[#This Row],[Total Spending After Applying Truncation at the Member Level]]+Age_Sex_PY[[#This Row],[Total Dollars Excluded from Spending After Applying Truncation at the Member Level]]=Age_Sex_PY[[#This Row],[Total Spending before Truncation is Applied]]</f>
        <v>1</v>
      </c>
    </row>
    <row r="49" spans="1:10" x14ac:dyDescent="0.25">
      <c r="A49" s="339"/>
      <c r="B49" s="270"/>
      <c r="C49" s="271"/>
      <c r="D49" s="456"/>
      <c r="E49" s="362"/>
      <c r="F49" s="272"/>
      <c r="G49" s="460"/>
      <c r="H49" s="272"/>
      <c r="I49" s="399"/>
      <c r="J49" s="242" t="b">
        <f>Age_Sex_PY[[#This Row],[Total Spending After Applying Truncation at the Member Level]]+Age_Sex_PY[[#This Row],[Total Dollars Excluded from Spending After Applying Truncation at the Member Level]]=Age_Sex_PY[[#This Row],[Total Spending before Truncation is Applied]]</f>
        <v>1</v>
      </c>
    </row>
    <row r="50" spans="1:10" x14ac:dyDescent="0.25">
      <c r="A50" s="342"/>
      <c r="B50" s="4"/>
      <c r="C50" s="16"/>
      <c r="D50" s="457"/>
      <c r="E50" s="363"/>
      <c r="F50" s="273"/>
      <c r="G50" s="226"/>
      <c r="H50" s="273"/>
      <c r="I50" s="400"/>
      <c r="J50" s="242" t="b">
        <f>Age_Sex_PY[[#This Row],[Total Spending After Applying Truncation at the Member Level]]+Age_Sex_PY[[#This Row],[Total Dollars Excluded from Spending After Applying Truncation at the Member Level]]=Age_Sex_PY[[#This Row],[Total Spending before Truncation is Applied]]</f>
        <v>1</v>
      </c>
    </row>
    <row r="51" spans="1:10" x14ac:dyDescent="0.25">
      <c r="A51" s="339"/>
      <c r="B51" s="270"/>
      <c r="C51" s="271"/>
      <c r="D51" s="456"/>
      <c r="E51" s="362"/>
      <c r="F51" s="272"/>
      <c r="G51" s="460"/>
      <c r="H51" s="272"/>
      <c r="I51" s="399"/>
      <c r="J51" s="242" t="b">
        <f>Age_Sex_PY[[#This Row],[Total Spending After Applying Truncation at the Member Level]]+Age_Sex_PY[[#This Row],[Total Dollars Excluded from Spending After Applying Truncation at the Member Level]]=Age_Sex_PY[[#This Row],[Total Spending before Truncation is Applied]]</f>
        <v>1</v>
      </c>
    </row>
    <row r="52" spans="1:10" x14ac:dyDescent="0.25">
      <c r="A52" s="342"/>
      <c r="B52" s="4"/>
      <c r="C52" s="16"/>
      <c r="D52" s="457"/>
      <c r="E52" s="363"/>
      <c r="F52" s="273"/>
      <c r="G52" s="226"/>
      <c r="H52" s="273"/>
      <c r="I52" s="400"/>
      <c r="J52" s="242" t="b">
        <f>Age_Sex_PY[[#This Row],[Total Spending After Applying Truncation at the Member Level]]+Age_Sex_PY[[#This Row],[Total Dollars Excluded from Spending After Applying Truncation at the Member Level]]=Age_Sex_PY[[#This Row],[Total Spending before Truncation is Applied]]</f>
        <v>1</v>
      </c>
    </row>
    <row r="53" spans="1:10" x14ac:dyDescent="0.25">
      <c r="A53" s="339"/>
      <c r="B53" s="270"/>
      <c r="C53" s="271"/>
      <c r="D53" s="456"/>
      <c r="E53" s="362"/>
      <c r="F53" s="272"/>
      <c r="G53" s="460"/>
      <c r="H53" s="272"/>
      <c r="I53" s="399"/>
      <c r="J53" s="242" t="b">
        <f>Age_Sex_PY[[#This Row],[Total Spending After Applying Truncation at the Member Level]]+Age_Sex_PY[[#This Row],[Total Dollars Excluded from Spending After Applying Truncation at the Member Level]]=Age_Sex_PY[[#This Row],[Total Spending before Truncation is Applied]]</f>
        <v>1</v>
      </c>
    </row>
    <row r="54" spans="1:10" x14ac:dyDescent="0.25">
      <c r="A54" s="342"/>
      <c r="B54" s="4"/>
      <c r="C54" s="16"/>
      <c r="D54" s="457"/>
      <c r="E54" s="363"/>
      <c r="F54" s="273"/>
      <c r="G54" s="226"/>
      <c r="H54" s="273"/>
      <c r="I54" s="400"/>
      <c r="J54" s="242" t="b">
        <f>Age_Sex_PY[[#This Row],[Total Spending After Applying Truncation at the Member Level]]+Age_Sex_PY[[#This Row],[Total Dollars Excluded from Spending After Applying Truncation at the Member Level]]=Age_Sex_PY[[#This Row],[Total Spending before Truncation is Applied]]</f>
        <v>1</v>
      </c>
    </row>
    <row r="55" spans="1:10" x14ac:dyDescent="0.25">
      <c r="A55" s="339"/>
      <c r="B55" s="270"/>
      <c r="C55" s="271"/>
      <c r="D55" s="456"/>
      <c r="E55" s="362"/>
      <c r="F55" s="272"/>
      <c r="G55" s="460"/>
      <c r="H55" s="272"/>
      <c r="I55" s="399"/>
      <c r="J55" s="242" t="b">
        <f>Age_Sex_PY[[#This Row],[Total Spending After Applying Truncation at the Member Level]]+Age_Sex_PY[[#This Row],[Total Dollars Excluded from Spending After Applying Truncation at the Member Level]]=Age_Sex_PY[[#This Row],[Total Spending before Truncation is Applied]]</f>
        <v>1</v>
      </c>
    </row>
    <row r="56" spans="1:10" x14ac:dyDescent="0.25">
      <c r="A56" s="342"/>
      <c r="B56" s="4"/>
      <c r="C56" s="16"/>
      <c r="D56" s="457"/>
      <c r="E56" s="363"/>
      <c r="F56" s="273"/>
      <c r="G56" s="226"/>
      <c r="H56" s="273"/>
      <c r="I56" s="400"/>
      <c r="J56" s="242" t="b">
        <f>Age_Sex_PY[[#This Row],[Total Spending After Applying Truncation at the Member Level]]+Age_Sex_PY[[#This Row],[Total Dollars Excluded from Spending After Applying Truncation at the Member Level]]=Age_Sex_PY[[#This Row],[Total Spending before Truncation is Applied]]</f>
        <v>1</v>
      </c>
    </row>
    <row r="57" spans="1:10" x14ac:dyDescent="0.25">
      <c r="A57" s="339"/>
      <c r="B57" s="270"/>
      <c r="C57" s="271"/>
      <c r="D57" s="456"/>
      <c r="E57" s="362"/>
      <c r="F57" s="272"/>
      <c r="G57" s="460"/>
      <c r="H57" s="272"/>
      <c r="I57" s="399"/>
      <c r="J57" s="242" t="b">
        <f>Age_Sex_PY[[#This Row],[Total Spending After Applying Truncation at the Member Level]]+Age_Sex_PY[[#This Row],[Total Dollars Excluded from Spending After Applying Truncation at the Member Level]]=Age_Sex_PY[[#This Row],[Total Spending before Truncation is Applied]]</f>
        <v>1</v>
      </c>
    </row>
    <row r="58" spans="1:10" x14ac:dyDescent="0.25">
      <c r="A58" s="342"/>
      <c r="B58" s="4"/>
      <c r="C58" s="16"/>
      <c r="D58" s="457"/>
      <c r="E58" s="363"/>
      <c r="F58" s="273"/>
      <c r="G58" s="226"/>
      <c r="H58" s="273"/>
      <c r="I58" s="400"/>
      <c r="J58" s="242" t="b">
        <f>Age_Sex_PY[[#This Row],[Total Spending After Applying Truncation at the Member Level]]+Age_Sex_PY[[#This Row],[Total Dollars Excluded from Spending After Applying Truncation at the Member Level]]=Age_Sex_PY[[#This Row],[Total Spending before Truncation is Applied]]</f>
        <v>1</v>
      </c>
    </row>
    <row r="59" spans="1:10" x14ac:dyDescent="0.25">
      <c r="A59" s="339"/>
      <c r="B59" s="270"/>
      <c r="C59" s="271"/>
      <c r="D59" s="456"/>
      <c r="E59" s="362"/>
      <c r="F59" s="272"/>
      <c r="G59" s="460"/>
      <c r="H59" s="272"/>
      <c r="I59" s="399"/>
      <c r="J59" s="242" t="b">
        <f>Age_Sex_PY[[#This Row],[Total Spending After Applying Truncation at the Member Level]]+Age_Sex_PY[[#This Row],[Total Dollars Excluded from Spending After Applying Truncation at the Member Level]]=Age_Sex_PY[[#This Row],[Total Spending before Truncation is Applied]]</f>
        <v>1</v>
      </c>
    </row>
    <row r="60" spans="1:10" x14ac:dyDescent="0.25">
      <c r="A60" s="342"/>
      <c r="B60" s="4"/>
      <c r="C60" s="16"/>
      <c r="D60" s="457"/>
      <c r="E60" s="363"/>
      <c r="F60" s="273"/>
      <c r="G60" s="226"/>
      <c r="H60" s="273"/>
      <c r="I60" s="400"/>
      <c r="J60" s="242" t="b">
        <f>Age_Sex_PY[[#This Row],[Total Spending After Applying Truncation at the Member Level]]+Age_Sex_PY[[#This Row],[Total Dollars Excluded from Spending After Applying Truncation at the Member Level]]=Age_Sex_PY[[#This Row],[Total Spending before Truncation is Applied]]</f>
        <v>1</v>
      </c>
    </row>
    <row r="61" spans="1:10" x14ac:dyDescent="0.25">
      <c r="A61" s="339"/>
      <c r="B61" s="270"/>
      <c r="C61" s="271"/>
      <c r="D61" s="456"/>
      <c r="E61" s="362"/>
      <c r="F61" s="272"/>
      <c r="G61" s="460"/>
      <c r="H61" s="272"/>
      <c r="I61" s="399"/>
      <c r="J61" s="242" t="b">
        <f>Age_Sex_PY[[#This Row],[Total Spending After Applying Truncation at the Member Level]]+Age_Sex_PY[[#This Row],[Total Dollars Excluded from Spending After Applying Truncation at the Member Level]]=Age_Sex_PY[[#This Row],[Total Spending before Truncation is Applied]]</f>
        <v>1</v>
      </c>
    </row>
    <row r="62" spans="1:10" x14ac:dyDescent="0.25">
      <c r="A62" s="342"/>
      <c r="B62" s="4"/>
      <c r="C62" s="16"/>
      <c r="D62" s="457"/>
      <c r="E62" s="363"/>
      <c r="F62" s="273"/>
      <c r="G62" s="226"/>
      <c r="H62" s="273"/>
      <c r="I62" s="400"/>
      <c r="J62" s="242" t="b">
        <f>Age_Sex_PY[[#This Row],[Total Spending After Applying Truncation at the Member Level]]+Age_Sex_PY[[#This Row],[Total Dollars Excluded from Spending After Applying Truncation at the Member Level]]=Age_Sex_PY[[#This Row],[Total Spending before Truncation is Applied]]</f>
        <v>1</v>
      </c>
    </row>
    <row r="63" spans="1:10" x14ac:dyDescent="0.25">
      <c r="A63" s="339"/>
      <c r="B63" s="270"/>
      <c r="C63" s="271"/>
      <c r="D63" s="456"/>
      <c r="E63" s="362"/>
      <c r="F63" s="272"/>
      <c r="G63" s="460"/>
      <c r="H63" s="272"/>
      <c r="I63" s="399"/>
      <c r="J63" s="242" t="b">
        <f>Age_Sex_PY[[#This Row],[Total Spending After Applying Truncation at the Member Level]]+Age_Sex_PY[[#This Row],[Total Dollars Excluded from Spending After Applying Truncation at the Member Level]]=Age_Sex_PY[[#This Row],[Total Spending before Truncation is Applied]]</f>
        <v>1</v>
      </c>
    </row>
    <row r="64" spans="1:10" x14ac:dyDescent="0.25">
      <c r="A64" s="342"/>
      <c r="B64" s="4"/>
      <c r="C64" s="16"/>
      <c r="D64" s="457"/>
      <c r="E64" s="363"/>
      <c r="F64" s="273"/>
      <c r="G64" s="226"/>
      <c r="H64" s="273"/>
      <c r="I64" s="400"/>
      <c r="J64" s="242" t="b">
        <f>Age_Sex_PY[[#This Row],[Total Spending After Applying Truncation at the Member Level]]+Age_Sex_PY[[#This Row],[Total Dollars Excluded from Spending After Applying Truncation at the Member Level]]=Age_Sex_PY[[#This Row],[Total Spending before Truncation is Applied]]</f>
        <v>1</v>
      </c>
    </row>
    <row r="65" spans="1:10" x14ac:dyDescent="0.25">
      <c r="A65" s="339"/>
      <c r="B65" s="270"/>
      <c r="C65" s="271"/>
      <c r="D65" s="456"/>
      <c r="E65" s="362"/>
      <c r="F65" s="272"/>
      <c r="G65" s="460"/>
      <c r="H65" s="272"/>
      <c r="I65" s="399"/>
      <c r="J65" s="242" t="b">
        <f>Age_Sex_PY[[#This Row],[Total Spending After Applying Truncation at the Member Level]]+Age_Sex_PY[[#This Row],[Total Dollars Excluded from Spending After Applying Truncation at the Member Level]]=Age_Sex_PY[[#This Row],[Total Spending before Truncation is Applied]]</f>
        <v>1</v>
      </c>
    </row>
    <row r="66" spans="1:10" x14ac:dyDescent="0.25">
      <c r="A66" s="342"/>
      <c r="B66" s="4"/>
      <c r="C66" s="16"/>
      <c r="D66" s="457"/>
      <c r="E66" s="363"/>
      <c r="F66" s="273"/>
      <c r="G66" s="226"/>
      <c r="H66" s="273"/>
      <c r="I66" s="400"/>
      <c r="J66" s="242" t="b">
        <f>Age_Sex_PY[[#This Row],[Total Spending After Applying Truncation at the Member Level]]+Age_Sex_PY[[#This Row],[Total Dollars Excluded from Spending After Applying Truncation at the Member Level]]=Age_Sex_PY[[#This Row],[Total Spending before Truncation is Applied]]</f>
        <v>1</v>
      </c>
    </row>
    <row r="67" spans="1:10" x14ac:dyDescent="0.25">
      <c r="A67" s="339"/>
      <c r="B67" s="270"/>
      <c r="C67" s="271"/>
      <c r="D67" s="456"/>
      <c r="E67" s="362"/>
      <c r="F67" s="272"/>
      <c r="G67" s="460"/>
      <c r="H67" s="272"/>
      <c r="I67" s="399"/>
      <c r="J67" s="242" t="b">
        <f>Age_Sex_PY[[#This Row],[Total Spending After Applying Truncation at the Member Level]]+Age_Sex_PY[[#This Row],[Total Dollars Excluded from Spending After Applying Truncation at the Member Level]]=Age_Sex_PY[[#This Row],[Total Spending before Truncation is Applied]]</f>
        <v>1</v>
      </c>
    </row>
    <row r="68" spans="1:10" x14ac:dyDescent="0.25">
      <c r="A68" s="342"/>
      <c r="B68" s="4"/>
      <c r="C68" s="16"/>
      <c r="D68" s="457"/>
      <c r="E68" s="363"/>
      <c r="F68" s="273"/>
      <c r="G68" s="226"/>
      <c r="H68" s="273"/>
      <c r="I68" s="400"/>
      <c r="J68" s="242" t="b">
        <f>Age_Sex_PY[[#This Row],[Total Spending After Applying Truncation at the Member Level]]+Age_Sex_PY[[#This Row],[Total Dollars Excluded from Spending After Applying Truncation at the Member Level]]=Age_Sex_PY[[#This Row],[Total Spending before Truncation is Applied]]</f>
        <v>1</v>
      </c>
    </row>
    <row r="69" spans="1:10" x14ac:dyDescent="0.25">
      <c r="A69" s="339"/>
      <c r="B69" s="270"/>
      <c r="C69" s="271"/>
      <c r="D69" s="456"/>
      <c r="E69" s="362"/>
      <c r="F69" s="272"/>
      <c r="G69" s="460"/>
      <c r="H69" s="272"/>
      <c r="I69" s="399"/>
      <c r="J69" s="242" t="b">
        <f>Age_Sex_PY[[#This Row],[Total Spending After Applying Truncation at the Member Level]]+Age_Sex_PY[[#This Row],[Total Dollars Excluded from Spending After Applying Truncation at the Member Level]]=Age_Sex_PY[[#This Row],[Total Spending before Truncation is Applied]]</f>
        <v>1</v>
      </c>
    </row>
    <row r="70" spans="1:10" x14ac:dyDescent="0.25">
      <c r="A70" s="342"/>
      <c r="B70" s="4"/>
      <c r="C70" s="16"/>
      <c r="D70" s="457"/>
      <c r="E70" s="363"/>
      <c r="F70" s="273"/>
      <c r="G70" s="226"/>
      <c r="H70" s="273"/>
      <c r="I70" s="400"/>
      <c r="J70" s="242" t="b">
        <f>Age_Sex_PY[[#This Row],[Total Spending After Applying Truncation at the Member Level]]+Age_Sex_PY[[#This Row],[Total Dollars Excluded from Spending After Applying Truncation at the Member Level]]=Age_Sex_PY[[#This Row],[Total Spending before Truncation is Applied]]</f>
        <v>1</v>
      </c>
    </row>
    <row r="71" spans="1:10" x14ac:dyDescent="0.25">
      <c r="A71" s="339"/>
      <c r="B71" s="270"/>
      <c r="C71" s="271"/>
      <c r="D71" s="456"/>
      <c r="E71" s="362"/>
      <c r="F71" s="272"/>
      <c r="G71" s="460"/>
      <c r="H71" s="272"/>
      <c r="I71" s="399"/>
      <c r="J71" s="242" t="b">
        <f>Age_Sex_PY[[#This Row],[Total Spending After Applying Truncation at the Member Level]]+Age_Sex_PY[[#This Row],[Total Dollars Excluded from Spending After Applying Truncation at the Member Level]]=Age_Sex_PY[[#This Row],[Total Spending before Truncation is Applied]]</f>
        <v>1</v>
      </c>
    </row>
    <row r="72" spans="1:10" x14ac:dyDescent="0.25">
      <c r="A72" s="342"/>
      <c r="B72" s="4"/>
      <c r="C72" s="16"/>
      <c r="D72" s="457"/>
      <c r="E72" s="363"/>
      <c r="F72" s="273"/>
      <c r="G72" s="226"/>
      <c r="H72" s="273"/>
      <c r="I72" s="400"/>
      <c r="J72" s="242" t="b">
        <f>Age_Sex_PY[[#This Row],[Total Spending After Applying Truncation at the Member Level]]+Age_Sex_PY[[#This Row],[Total Dollars Excluded from Spending After Applying Truncation at the Member Level]]=Age_Sex_PY[[#This Row],[Total Spending before Truncation is Applied]]</f>
        <v>1</v>
      </c>
    </row>
    <row r="73" spans="1:10" x14ac:dyDescent="0.25">
      <c r="A73" s="339"/>
      <c r="B73" s="270"/>
      <c r="C73" s="271"/>
      <c r="D73" s="456"/>
      <c r="E73" s="362"/>
      <c r="F73" s="272"/>
      <c r="G73" s="460"/>
      <c r="H73" s="272"/>
      <c r="I73" s="399"/>
      <c r="J73" s="242" t="b">
        <f>Age_Sex_PY[[#This Row],[Total Spending After Applying Truncation at the Member Level]]+Age_Sex_PY[[#This Row],[Total Dollars Excluded from Spending After Applying Truncation at the Member Level]]=Age_Sex_PY[[#This Row],[Total Spending before Truncation is Applied]]</f>
        <v>1</v>
      </c>
    </row>
    <row r="74" spans="1:10" x14ac:dyDescent="0.25">
      <c r="A74" s="342"/>
      <c r="B74" s="4"/>
      <c r="C74" s="16"/>
      <c r="D74" s="457"/>
      <c r="E74" s="363"/>
      <c r="F74" s="273"/>
      <c r="G74" s="226"/>
      <c r="H74" s="273"/>
      <c r="I74" s="400"/>
      <c r="J74" s="242" t="b">
        <f>Age_Sex_PY[[#This Row],[Total Spending After Applying Truncation at the Member Level]]+Age_Sex_PY[[#This Row],[Total Dollars Excluded from Spending After Applying Truncation at the Member Level]]=Age_Sex_PY[[#This Row],[Total Spending before Truncation is Applied]]</f>
        <v>1</v>
      </c>
    </row>
    <row r="75" spans="1:10" x14ac:dyDescent="0.25">
      <c r="A75" s="339"/>
      <c r="B75" s="270"/>
      <c r="C75" s="271"/>
      <c r="D75" s="456"/>
      <c r="E75" s="362"/>
      <c r="F75" s="272"/>
      <c r="G75" s="460"/>
      <c r="H75" s="272"/>
      <c r="I75" s="399"/>
      <c r="J75" s="242" t="b">
        <f>Age_Sex_PY[[#This Row],[Total Spending After Applying Truncation at the Member Level]]+Age_Sex_PY[[#This Row],[Total Dollars Excluded from Spending After Applying Truncation at the Member Level]]=Age_Sex_PY[[#This Row],[Total Spending before Truncation is Applied]]</f>
        <v>1</v>
      </c>
    </row>
    <row r="76" spans="1:10" x14ac:dyDescent="0.25">
      <c r="A76" s="342"/>
      <c r="B76" s="4"/>
      <c r="C76" s="16"/>
      <c r="D76" s="457"/>
      <c r="E76" s="363"/>
      <c r="F76" s="273"/>
      <c r="G76" s="226"/>
      <c r="H76" s="273"/>
      <c r="I76" s="400"/>
      <c r="J76" s="242" t="b">
        <f>Age_Sex_PY[[#This Row],[Total Spending After Applying Truncation at the Member Level]]+Age_Sex_PY[[#This Row],[Total Dollars Excluded from Spending After Applying Truncation at the Member Level]]=Age_Sex_PY[[#This Row],[Total Spending before Truncation is Applied]]</f>
        <v>1</v>
      </c>
    </row>
    <row r="77" spans="1:10" x14ac:dyDescent="0.25">
      <c r="A77" s="339"/>
      <c r="B77" s="270"/>
      <c r="C77" s="271"/>
      <c r="D77" s="456"/>
      <c r="E77" s="362"/>
      <c r="F77" s="272"/>
      <c r="G77" s="460"/>
      <c r="H77" s="272"/>
      <c r="I77" s="399"/>
      <c r="J77" s="242" t="b">
        <f>Age_Sex_PY[[#This Row],[Total Spending After Applying Truncation at the Member Level]]+Age_Sex_PY[[#This Row],[Total Dollars Excluded from Spending After Applying Truncation at the Member Level]]=Age_Sex_PY[[#This Row],[Total Spending before Truncation is Applied]]</f>
        <v>1</v>
      </c>
    </row>
    <row r="78" spans="1:10" x14ac:dyDescent="0.25">
      <c r="A78" s="342"/>
      <c r="B78" s="4"/>
      <c r="C78" s="16"/>
      <c r="D78" s="457"/>
      <c r="E78" s="363"/>
      <c r="F78" s="273"/>
      <c r="G78" s="226"/>
      <c r="H78" s="273"/>
      <c r="I78" s="400"/>
      <c r="J78" s="242" t="b">
        <f>Age_Sex_PY[[#This Row],[Total Spending After Applying Truncation at the Member Level]]+Age_Sex_PY[[#This Row],[Total Dollars Excluded from Spending After Applying Truncation at the Member Level]]=Age_Sex_PY[[#This Row],[Total Spending before Truncation is Applied]]</f>
        <v>1</v>
      </c>
    </row>
    <row r="79" spans="1:10" x14ac:dyDescent="0.25">
      <c r="A79" s="339"/>
      <c r="B79" s="270"/>
      <c r="C79" s="271"/>
      <c r="D79" s="456"/>
      <c r="E79" s="362"/>
      <c r="F79" s="272"/>
      <c r="G79" s="460"/>
      <c r="H79" s="272"/>
      <c r="I79" s="399"/>
      <c r="J79" s="242" t="b">
        <f>Age_Sex_PY[[#This Row],[Total Spending After Applying Truncation at the Member Level]]+Age_Sex_PY[[#This Row],[Total Dollars Excluded from Spending After Applying Truncation at the Member Level]]=Age_Sex_PY[[#This Row],[Total Spending before Truncation is Applied]]</f>
        <v>1</v>
      </c>
    </row>
    <row r="80" spans="1:10" x14ac:dyDescent="0.25">
      <c r="A80" s="342"/>
      <c r="B80" s="4"/>
      <c r="C80" s="16"/>
      <c r="D80" s="457"/>
      <c r="E80" s="363"/>
      <c r="F80" s="273"/>
      <c r="G80" s="226"/>
      <c r="H80" s="273"/>
      <c r="I80" s="400"/>
      <c r="J80" s="242" t="b">
        <f>Age_Sex_PY[[#This Row],[Total Spending After Applying Truncation at the Member Level]]+Age_Sex_PY[[#This Row],[Total Dollars Excluded from Spending After Applying Truncation at the Member Level]]=Age_Sex_PY[[#This Row],[Total Spending before Truncation is Applied]]</f>
        <v>1</v>
      </c>
    </row>
    <row r="81" spans="1:10" x14ac:dyDescent="0.25">
      <c r="A81" s="339"/>
      <c r="B81" s="270"/>
      <c r="C81" s="271"/>
      <c r="D81" s="456"/>
      <c r="E81" s="362"/>
      <c r="F81" s="272"/>
      <c r="G81" s="460"/>
      <c r="H81" s="272"/>
      <c r="I81" s="399"/>
      <c r="J81" s="242" t="b">
        <f>Age_Sex_PY[[#This Row],[Total Spending After Applying Truncation at the Member Level]]+Age_Sex_PY[[#This Row],[Total Dollars Excluded from Spending After Applying Truncation at the Member Level]]=Age_Sex_PY[[#This Row],[Total Spending before Truncation is Applied]]</f>
        <v>1</v>
      </c>
    </row>
    <row r="82" spans="1:10" x14ac:dyDescent="0.25">
      <c r="A82" s="342"/>
      <c r="B82" s="4"/>
      <c r="C82" s="16"/>
      <c r="D82" s="457"/>
      <c r="E82" s="363"/>
      <c r="F82" s="273"/>
      <c r="G82" s="226"/>
      <c r="H82" s="273"/>
      <c r="I82" s="400"/>
      <c r="J82" s="242" t="b">
        <f>Age_Sex_PY[[#This Row],[Total Spending After Applying Truncation at the Member Level]]+Age_Sex_PY[[#This Row],[Total Dollars Excluded from Spending After Applying Truncation at the Member Level]]=Age_Sex_PY[[#This Row],[Total Spending before Truncation is Applied]]</f>
        <v>1</v>
      </c>
    </row>
    <row r="83" spans="1:10" x14ac:dyDescent="0.25">
      <c r="A83" s="339"/>
      <c r="B83" s="270"/>
      <c r="C83" s="271"/>
      <c r="D83" s="456"/>
      <c r="E83" s="362"/>
      <c r="F83" s="272"/>
      <c r="G83" s="460"/>
      <c r="H83" s="272"/>
      <c r="I83" s="399"/>
      <c r="J83" s="242" t="b">
        <f>Age_Sex_PY[[#This Row],[Total Spending After Applying Truncation at the Member Level]]+Age_Sex_PY[[#This Row],[Total Dollars Excluded from Spending After Applying Truncation at the Member Level]]=Age_Sex_PY[[#This Row],[Total Spending before Truncation is Applied]]</f>
        <v>1</v>
      </c>
    </row>
    <row r="84" spans="1:10" x14ac:dyDescent="0.25">
      <c r="A84" s="342"/>
      <c r="B84" s="4"/>
      <c r="C84" s="16"/>
      <c r="D84" s="457"/>
      <c r="E84" s="363"/>
      <c r="F84" s="273"/>
      <c r="G84" s="226"/>
      <c r="H84" s="273"/>
      <c r="I84" s="400"/>
      <c r="J84" s="242" t="b">
        <f>Age_Sex_PY[[#This Row],[Total Spending After Applying Truncation at the Member Level]]+Age_Sex_PY[[#This Row],[Total Dollars Excluded from Spending After Applying Truncation at the Member Level]]=Age_Sex_PY[[#This Row],[Total Spending before Truncation is Applied]]</f>
        <v>1</v>
      </c>
    </row>
    <row r="85" spans="1:10" x14ac:dyDescent="0.25">
      <c r="A85" s="339"/>
      <c r="B85" s="270"/>
      <c r="C85" s="271"/>
      <c r="D85" s="456"/>
      <c r="E85" s="362"/>
      <c r="F85" s="272"/>
      <c r="G85" s="460"/>
      <c r="H85" s="272"/>
      <c r="I85" s="399"/>
      <c r="J85" s="242" t="b">
        <f>Age_Sex_PY[[#This Row],[Total Spending After Applying Truncation at the Member Level]]+Age_Sex_PY[[#This Row],[Total Dollars Excluded from Spending After Applying Truncation at the Member Level]]=Age_Sex_PY[[#This Row],[Total Spending before Truncation is Applied]]</f>
        <v>1</v>
      </c>
    </row>
    <row r="86" spans="1:10" x14ac:dyDescent="0.25">
      <c r="A86" s="342"/>
      <c r="B86" s="4"/>
      <c r="C86" s="16"/>
      <c r="D86" s="457"/>
      <c r="E86" s="363"/>
      <c r="F86" s="273"/>
      <c r="G86" s="226"/>
      <c r="H86" s="273"/>
      <c r="I86" s="400"/>
      <c r="J86" s="242" t="b">
        <f>Age_Sex_PY[[#This Row],[Total Spending After Applying Truncation at the Member Level]]+Age_Sex_PY[[#This Row],[Total Dollars Excluded from Spending After Applying Truncation at the Member Level]]=Age_Sex_PY[[#This Row],[Total Spending before Truncation is Applied]]</f>
        <v>1</v>
      </c>
    </row>
    <row r="87" spans="1:10" x14ac:dyDescent="0.25">
      <c r="A87" s="339"/>
      <c r="B87" s="270"/>
      <c r="C87" s="271"/>
      <c r="D87" s="456"/>
      <c r="E87" s="362"/>
      <c r="F87" s="272"/>
      <c r="G87" s="460"/>
      <c r="H87" s="272"/>
      <c r="I87" s="399"/>
      <c r="J87" s="242" t="b">
        <f>Age_Sex_PY[[#This Row],[Total Spending After Applying Truncation at the Member Level]]+Age_Sex_PY[[#This Row],[Total Dollars Excluded from Spending After Applying Truncation at the Member Level]]=Age_Sex_PY[[#This Row],[Total Spending before Truncation is Applied]]</f>
        <v>1</v>
      </c>
    </row>
    <row r="88" spans="1:10" x14ac:dyDescent="0.25">
      <c r="A88" s="342"/>
      <c r="B88" s="4"/>
      <c r="C88" s="16"/>
      <c r="D88" s="457"/>
      <c r="E88" s="363"/>
      <c r="F88" s="273"/>
      <c r="G88" s="226"/>
      <c r="H88" s="273"/>
      <c r="I88" s="400"/>
      <c r="J88" s="242" t="b">
        <f>Age_Sex_PY[[#This Row],[Total Spending After Applying Truncation at the Member Level]]+Age_Sex_PY[[#This Row],[Total Dollars Excluded from Spending After Applying Truncation at the Member Level]]=Age_Sex_PY[[#This Row],[Total Spending before Truncation is Applied]]</f>
        <v>1</v>
      </c>
    </row>
    <row r="89" spans="1:10" x14ac:dyDescent="0.25">
      <c r="A89" s="339"/>
      <c r="B89" s="270"/>
      <c r="C89" s="271"/>
      <c r="D89" s="456"/>
      <c r="E89" s="362"/>
      <c r="F89" s="272"/>
      <c r="G89" s="460"/>
      <c r="H89" s="272"/>
      <c r="I89" s="399"/>
      <c r="J89" s="242" t="b">
        <f>Age_Sex_PY[[#This Row],[Total Spending After Applying Truncation at the Member Level]]+Age_Sex_PY[[#This Row],[Total Dollars Excluded from Spending After Applying Truncation at the Member Level]]=Age_Sex_PY[[#This Row],[Total Spending before Truncation is Applied]]</f>
        <v>1</v>
      </c>
    </row>
    <row r="90" spans="1:10" x14ac:dyDescent="0.25">
      <c r="A90" s="342"/>
      <c r="B90" s="4"/>
      <c r="C90" s="16"/>
      <c r="D90" s="457"/>
      <c r="E90" s="363"/>
      <c r="F90" s="273"/>
      <c r="G90" s="226"/>
      <c r="H90" s="273"/>
      <c r="I90" s="400"/>
      <c r="J90" s="242" t="b">
        <f>Age_Sex_PY[[#This Row],[Total Spending After Applying Truncation at the Member Level]]+Age_Sex_PY[[#This Row],[Total Dollars Excluded from Spending After Applying Truncation at the Member Level]]=Age_Sex_PY[[#This Row],[Total Spending before Truncation is Applied]]</f>
        <v>1</v>
      </c>
    </row>
    <row r="91" spans="1:10" x14ac:dyDescent="0.25">
      <c r="A91" s="339"/>
      <c r="B91" s="270"/>
      <c r="C91" s="271"/>
      <c r="D91" s="456"/>
      <c r="E91" s="362"/>
      <c r="F91" s="272"/>
      <c r="G91" s="460"/>
      <c r="H91" s="272"/>
      <c r="I91" s="399"/>
      <c r="J91" s="242" t="b">
        <f>Age_Sex_PY[[#This Row],[Total Spending After Applying Truncation at the Member Level]]+Age_Sex_PY[[#This Row],[Total Dollars Excluded from Spending After Applying Truncation at the Member Level]]=Age_Sex_PY[[#This Row],[Total Spending before Truncation is Applied]]</f>
        <v>1</v>
      </c>
    </row>
    <row r="92" spans="1:10" x14ac:dyDescent="0.25">
      <c r="A92" s="342"/>
      <c r="B92" s="4"/>
      <c r="C92" s="16"/>
      <c r="D92" s="457"/>
      <c r="E92" s="363"/>
      <c r="F92" s="273"/>
      <c r="G92" s="226"/>
      <c r="H92" s="273"/>
      <c r="I92" s="400"/>
      <c r="J92" s="242" t="b">
        <f>Age_Sex_PY[[#This Row],[Total Spending After Applying Truncation at the Member Level]]+Age_Sex_PY[[#This Row],[Total Dollars Excluded from Spending After Applying Truncation at the Member Level]]=Age_Sex_PY[[#This Row],[Total Spending before Truncation is Applied]]</f>
        <v>1</v>
      </c>
    </row>
    <row r="93" spans="1:10" x14ac:dyDescent="0.25">
      <c r="A93" s="339"/>
      <c r="B93" s="270"/>
      <c r="C93" s="271"/>
      <c r="D93" s="456"/>
      <c r="E93" s="362"/>
      <c r="F93" s="272"/>
      <c r="G93" s="460"/>
      <c r="H93" s="272"/>
      <c r="I93" s="399"/>
      <c r="J93" s="242" t="b">
        <f>Age_Sex_PY[[#This Row],[Total Spending After Applying Truncation at the Member Level]]+Age_Sex_PY[[#This Row],[Total Dollars Excluded from Spending After Applying Truncation at the Member Level]]=Age_Sex_PY[[#This Row],[Total Spending before Truncation is Applied]]</f>
        <v>1</v>
      </c>
    </row>
    <row r="94" spans="1:10" x14ac:dyDescent="0.25">
      <c r="A94" s="342"/>
      <c r="B94" s="4"/>
      <c r="C94" s="16"/>
      <c r="D94" s="457"/>
      <c r="E94" s="363"/>
      <c r="F94" s="273"/>
      <c r="G94" s="226"/>
      <c r="H94" s="273"/>
      <c r="I94" s="400"/>
      <c r="J94" s="242" t="b">
        <f>Age_Sex_PY[[#This Row],[Total Spending After Applying Truncation at the Member Level]]+Age_Sex_PY[[#This Row],[Total Dollars Excluded from Spending After Applying Truncation at the Member Level]]=Age_Sex_PY[[#This Row],[Total Spending before Truncation is Applied]]</f>
        <v>1</v>
      </c>
    </row>
    <row r="95" spans="1:10" x14ac:dyDescent="0.25">
      <c r="A95" s="339"/>
      <c r="B95" s="270"/>
      <c r="C95" s="271"/>
      <c r="D95" s="456"/>
      <c r="E95" s="362"/>
      <c r="F95" s="272"/>
      <c r="G95" s="460"/>
      <c r="H95" s="272"/>
      <c r="I95" s="399"/>
      <c r="J95" s="242" t="b">
        <f>Age_Sex_PY[[#This Row],[Total Spending After Applying Truncation at the Member Level]]+Age_Sex_PY[[#This Row],[Total Dollars Excluded from Spending After Applying Truncation at the Member Level]]=Age_Sex_PY[[#This Row],[Total Spending before Truncation is Applied]]</f>
        <v>1</v>
      </c>
    </row>
    <row r="96" spans="1:10" x14ac:dyDescent="0.25">
      <c r="A96" s="342"/>
      <c r="B96" s="4"/>
      <c r="C96" s="16"/>
      <c r="D96" s="457"/>
      <c r="E96" s="363"/>
      <c r="F96" s="273"/>
      <c r="G96" s="226"/>
      <c r="H96" s="273"/>
      <c r="I96" s="400"/>
      <c r="J96" s="242" t="b">
        <f>Age_Sex_PY[[#This Row],[Total Spending After Applying Truncation at the Member Level]]+Age_Sex_PY[[#This Row],[Total Dollars Excluded from Spending After Applying Truncation at the Member Level]]=Age_Sex_PY[[#This Row],[Total Spending before Truncation is Applied]]</f>
        <v>1</v>
      </c>
    </row>
    <row r="97" spans="1:10" x14ac:dyDescent="0.25">
      <c r="A97" s="339"/>
      <c r="B97" s="270"/>
      <c r="C97" s="271"/>
      <c r="D97" s="456"/>
      <c r="E97" s="362"/>
      <c r="F97" s="272"/>
      <c r="G97" s="460"/>
      <c r="H97" s="272"/>
      <c r="I97" s="399"/>
      <c r="J97" s="242" t="b">
        <f>Age_Sex_PY[[#This Row],[Total Spending After Applying Truncation at the Member Level]]+Age_Sex_PY[[#This Row],[Total Dollars Excluded from Spending After Applying Truncation at the Member Level]]=Age_Sex_PY[[#This Row],[Total Spending before Truncation is Applied]]</f>
        <v>1</v>
      </c>
    </row>
    <row r="98" spans="1:10" x14ac:dyDescent="0.25">
      <c r="A98" s="342"/>
      <c r="B98" s="4"/>
      <c r="C98" s="16"/>
      <c r="D98" s="457"/>
      <c r="E98" s="363"/>
      <c r="F98" s="273"/>
      <c r="G98" s="226"/>
      <c r="H98" s="273"/>
      <c r="I98" s="400"/>
      <c r="J98" s="242" t="b">
        <f>Age_Sex_PY[[#This Row],[Total Spending After Applying Truncation at the Member Level]]+Age_Sex_PY[[#This Row],[Total Dollars Excluded from Spending After Applying Truncation at the Member Level]]=Age_Sex_PY[[#This Row],[Total Spending before Truncation is Applied]]</f>
        <v>1</v>
      </c>
    </row>
    <row r="99" spans="1:10" x14ac:dyDescent="0.25">
      <c r="A99" s="339"/>
      <c r="B99" s="270"/>
      <c r="C99" s="271"/>
      <c r="D99" s="456"/>
      <c r="E99" s="362"/>
      <c r="F99" s="272"/>
      <c r="G99" s="460"/>
      <c r="H99" s="272"/>
      <c r="I99" s="399"/>
      <c r="J99" s="242" t="b">
        <f>Age_Sex_PY[[#This Row],[Total Spending After Applying Truncation at the Member Level]]+Age_Sex_PY[[#This Row],[Total Dollars Excluded from Spending After Applying Truncation at the Member Level]]=Age_Sex_PY[[#This Row],[Total Spending before Truncation is Applied]]</f>
        <v>1</v>
      </c>
    </row>
    <row r="100" spans="1:10" x14ac:dyDescent="0.25">
      <c r="A100" s="342"/>
      <c r="B100" s="4"/>
      <c r="C100" s="16"/>
      <c r="D100" s="457"/>
      <c r="E100" s="363"/>
      <c r="F100" s="273"/>
      <c r="G100" s="226"/>
      <c r="H100" s="273"/>
      <c r="I100" s="400"/>
      <c r="J100" s="242" t="b">
        <f>Age_Sex_PY[[#This Row],[Total Spending After Applying Truncation at the Member Level]]+Age_Sex_PY[[#This Row],[Total Dollars Excluded from Spending After Applying Truncation at the Member Level]]=Age_Sex_PY[[#This Row],[Total Spending before Truncation is Applied]]</f>
        <v>1</v>
      </c>
    </row>
    <row r="101" spans="1:10" x14ac:dyDescent="0.25">
      <c r="A101" s="339"/>
      <c r="B101" s="270"/>
      <c r="C101" s="271"/>
      <c r="D101" s="456"/>
      <c r="E101" s="362"/>
      <c r="F101" s="272"/>
      <c r="G101" s="460"/>
      <c r="H101" s="272"/>
      <c r="I101" s="399"/>
      <c r="J101" s="242" t="b">
        <f>Age_Sex_PY[[#This Row],[Total Spending After Applying Truncation at the Member Level]]+Age_Sex_PY[[#This Row],[Total Dollars Excluded from Spending After Applying Truncation at the Member Level]]=Age_Sex_PY[[#This Row],[Total Spending before Truncation is Applied]]</f>
        <v>1</v>
      </c>
    </row>
    <row r="102" spans="1:10" x14ac:dyDescent="0.25">
      <c r="A102" s="342"/>
      <c r="B102" s="4"/>
      <c r="C102" s="16"/>
      <c r="D102" s="457"/>
      <c r="E102" s="363"/>
      <c r="F102" s="273"/>
      <c r="G102" s="226"/>
      <c r="H102" s="273"/>
      <c r="I102" s="400"/>
      <c r="J102" s="242" t="b">
        <f>Age_Sex_PY[[#This Row],[Total Spending After Applying Truncation at the Member Level]]+Age_Sex_PY[[#This Row],[Total Dollars Excluded from Spending After Applying Truncation at the Member Level]]=Age_Sex_PY[[#This Row],[Total Spending before Truncation is Applied]]</f>
        <v>1</v>
      </c>
    </row>
    <row r="103" spans="1:10" x14ac:dyDescent="0.25">
      <c r="A103" s="339"/>
      <c r="B103" s="270"/>
      <c r="C103" s="271"/>
      <c r="D103" s="456"/>
      <c r="E103" s="362"/>
      <c r="F103" s="272"/>
      <c r="G103" s="460"/>
      <c r="H103" s="272"/>
      <c r="I103" s="399"/>
      <c r="J103" s="242" t="b">
        <f>Age_Sex_PY[[#This Row],[Total Spending After Applying Truncation at the Member Level]]+Age_Sex_PY[[#This Row],[Total Dollars Excluded from Spending After Applying Truncation at the Member Level]]=Age_Sex_PY[[#This Row],[Total Spending before Truncation is Applied]]</f>
        <v>1</v>
      </c>
    </row>
    <row r="104" spans="1:10" x14ac:dyDescent="0.25">
      <c r="A104" s="342"/>
      <c r="B104" s="4"/>
      <c r="C104" s="16"/>
      <c r="D104" s="457"/>
      <c r="E104" s="363"/>
      <c r="F104" s="273"/>
      <c r="G104" s="226"/>
      <c r="H104" s="273"/>
      <c r="I104" s="400"/>
      <c r="J104" s="242" t="b">
        <f>Age_Sex_PY[[#This Row],[Total Spending After Applying Truncation at the Member Level]]+Age_Sex_PY[[#This Row],[Total Dollars Excluded from Spending After Applying Truncation at the Member Level]]=Age_Sex_PY[[#This Row],[Total Spending before Truncation is Applied]]</f>
        <v>1</v>
      </c>
    </row>
    <row r="105" spans="1:10" x14ac:dyDescent="0.25">
      <c r="A105" s="339"/>
      <c r="B105" s="270"/>
      <c r="C105" s="271"/>
      <c r="D105" s="456"/>
      <c r="E105" s="362"/>
      <c r="F105" s="272"/>
      <c r="G105" s="460"/>
      <c r="H105" s="272"/>
      <c r="I105" s="399"/>
      <c r="J105" s="242" t="b">
        <f>Age_Sex_PY[[#This Row],[Total Spending After Applying Truncation at the Member Level]]+Age_Sex_PY[[#This Row],[Total Dollars Excluded from Spending After Applying Truncation at the Member Level]]=Age_Sex_PY[[#This Row],[Total Spending before Truncation is Applied]]</f>
        <v>1</v>
      </c>
    </row>
    <row r="106" spans="1:10" x14ac:dyDescent="0.25">
      <c r="A106" s="342"/>
      <c r="B106" s="4"/>
      <c r="C106" s="16"/>
      <c r="D106" s="457"/>
      <c r="E106" s="363"/>
      <c r="F106" s="273"/>
      <c r="G106" s="226"/>
      <c r="H106" s="273"/>
      <c r="I106" s="400"/>
      <c r="J106" s="242" t="b">
        <f>Age_Sex_PY[[#This Row],[Total Spending After Applying Truncation at the Member Level]]+Age_Sex_PY[[#This Row],[Total Dollars Excluded from Spending After Applying Truncation at the Member Level]]=Age_Sex_PY[[#This Row],[Total Spending before Truncation is Applied]]</f>
        <v>1</v>
      </c>
    </row>
    <row r="107" spans="1:10" x14ac:dyDescent="0.25">
      <c r="A107" s="339"/>
      <c r="B107" s="270"/>
      <c r="C107" s="271"/>
      <c r="D107" s="456"/>
      <c r="E107" s="362"/>
      <c r="F107" s="272"/>
      <c r="G107" s="460"/>
      <c r="H107" s="272"/>
      <c r="I107" s="399"/>
      <c r="J107" s="242" t="b">
        <f>Age_Sex_PY[[#This Row],[Total Spending After Applying Truncation at the Member Level]]+Age_Sex_PY[[#This Row],[Total Dollars Excluded from Spending After Applying Truncation at the Member Level]]=Age_Sex_PY[[#This Row],[Total Spending before Truncation is Applied]]</f>
        <v>1</v>
      </c>
    </row>
    <row r="108" spans="1:10" x14ac:dyDescent="0.25">
      <c r="A108" s="342"/>
      <c r="B108" s="4"/>
      <c r="C108" s="16"/>
      <c r="D108" s="457"/>
      <c r="E108" s="363"/>
      <c r="F108" s="273"/>
      <c r="G108" s="226"/>
      <c r="H108" s="273"/>
      <c r="I108" s="400"/>
      <c r="J108" s="242" t="b">
        <f>Age_Sex_PY[[#This Row],[Total Spending After Applying Truncation at the Member Level]]+Age_Sex_PY[[#This Row],[Total Dollars Excluded from Spending After Applying Truncation at the Member Level]]=Age_Sex_PY[[#This Row],[Total Spending before Truncation is Applied]]</f>
        <v>1</v>
      </c>
    </row>
    <row r="109" spans="1:10" x14ac:dyDescent="0.25">
      <c r="A109" s="339"/>
      <c r="B109" s="270"/>
      <c r="C109" s="271"/>
      <c r="D109" s="456"/>
      <c r="E109" s="362"/>
      <c r="F109" s="272"/>
      <c r="G109" s="460"/>
      <c r="H109" s="272"/>
      <c r="I109" s="399"/>
      <c r="J109" s="242" t="b">
        <f>Age_Sex_PY[[#This Row],[Total Spending After Applying Truncation at the Member Level]]+Age_Sex_PY[[#This Row],[Total Dollars Excluded from Spending After Applying Truncation at the Member Level]]=Age_Sex_PY[[#This Row],[Total Spending before Truncation is Applied]]</f>
        <v>1</v>
      </c>
    </row>
    <row r="110" spans="1:10" x14ac:dyDescent="0.25">
      <c r="A110" s="342"/>
      <c r="B110" s="4"/>
      <c r="C110" s="16"/>
      <c r="D110" s="457"/>
      <c r="E110" s="363"/>
      <c r="F110" s="273"/>
      <c r="G110" s="226"/>
      <c r="H110" s="273"/>
      <c r="I110" s="400"/>
      <c r="J110" s="242" t="b">
        <f>Age_Sex_PY[[#This Row],[Total Spending After Applying Truncation at the Member Level]]+Age_Sex_PY[[#This Row],[Total Dollars Excluded from Spending After Applying Truncation at the Member Level]]=Age_Sex_PY[[#This Row],[Total Spending before Truncation is Applied]]</f>
        <v>1</v>
      </c>
    </row>
    <row r="111" spans="1:10" x14ac:dyDescent="0.25">
      <c r="A111" s="339"/>
      <c r="B111" s="270"/>
      <c r="C111" s="271"/>
      <c r="D111" s="456"/>
      <c r="E111" s="362"/>
      <c r="F111" s="272"/>
      <c r="G111" s="460"/>
      <c r="H111" s="272"/>
      <c r="I111" s="399"/>
      <c r="J111" s="242" t="b">
        <f>Age_Sex_PY[[#This Row],[Total Spending After Applying Truncation at the Member Level]]+Age_Sex_PY[[#This Row],[Total Dollars Excluded from Spending After Applying Truncation at the Member Level]]=Age_Sex_PY[[#This Row],[Total Spending before Truncation is Applied]]</f>
        <v>1</v>
      </c>
    </row>
    <row r="112" spans="1:10" x14ac:dyDescent="0.25">
      <c r="A112" s="342"/>
      <c r="B112" s="4"/>
      <c r="C112" s="16"/>
      <c r="D112" s="457"/>
      <c r="E112" s="363"/>
      <c r="F112" s="273"/>
      <c r="G112" s="226"/>
      <c r="H112" s="273"/>
      <c r="I112" s="400"/>
      <c r="J112" s="242" t="b">
        <f>Age_Sex_PY[[#This Row],[Total Spending After Applying Truncation at the Member Level]]+Age_Sex_PY[[#This Row],[Total Dollars Excluded from Spending After Applying Truncation at the Member Level]]=Age_Sex_PY[[#This Row],[Total Spending before Truncation is Applied]]</f>
        <v>1</v>
      </c>
    </row>
    <row r="113" spans="1:10" x14ac:dyDescent="0.25">
      <c r="A113" s="339"/>
      <c r="B113" s="270"/>
      <c r="C113" s="271"/>
      <c r="D113" s="456"/>
      <c r="E113" s="362"/>
      <c r="F113" s="272"/>
      <c r="G113" s="460"/>
      <c r="H113" s="272"/>
      <c r="I113" s="399"/>
      <c r="J113" s="242" t="b">
        <f>Age_Sex_PY[[#This Row],[Total Spending After Applying Truncation at the Member Level]]+Age_Sex_PY[[#This Row],[Total Dollars Excluded from Spending After Applying Truncation at the Member Level]]=Age_Sex_PY[[#This Row],[Total Spending before Truncation is Applied]]</f>
        <v>1</v>
      </c>
    </row>
    <row r="114" spans="1:10" x14ac:dyDescent="0.25">
      <c r="A114" s="342"/>
      <c r="B114" s="4"/>
      <c r="C114" s="16"/>
      <c r="D114" s="457"/>
      <c r="E114" s="363"/>
      <c r="F114" s="273"/>
      <c r="G114" s="226"/>
      <c r="H114" s="273"/>
      <c r="I114" s="400"/>
      <c r="J114" s="242" t="b">
        <f>Age_Sex_PY[[#This Row],[Total Spending After Applying Truncation at the Member Level]]+Age_Sex_PY[[#This Row],[Total Dollars Excluded from Spending After Applying Truncation at the Member Level]]=Age_Sex_PY[[#This Row],[Total Spending before Truncation is Applied]]</f>
        <v>1</v>
      </c>
    </row>
    <row r="115" spans="1:10" x14ac:dyDescent="0.25">
      <c r="A115" s="339"/>
      <c r="B115" s="270"/>
      <c r="C115" s="271"/>
      <c r="D115" s="456"/>
      <c r="E115" s="362"/>
      <c r="F115" s="272"/>
      <c r="G115" s="460"/>
      <c r="H115" s="272"/>
      <c r="I115" s="399"/>
      <c r="J115" s="242" t="b">
        <f>Age_Sex_PY[[#This Row],[Total Spending After Applying Truncation at the Member Level]]+Age_Sex_PY[[#This Row],[Total Dollars Excluded from Spending After Applying Truncation at the Member Level]]=Age_Sex_PY[[#This Row],[Total Spending before Truncation is Applied]]</f>
        <v>1</v>
      </c>
    </row>
    <row r="116" spans="1:10" x14ac:dyDescent="0.25">
      <c r="A116" s="342"/>
      <c r="B116" s="4"/>
      <c r="C116" s="16"/>
      <c r="D116" s="457"/>
      <c r="E116" s="363"/>
      <c r="F116" s="273"/>
      <c r="G116" s="226"/>
      <c r="H116" s="273"/>
      <c r="I116" s="400"/>
      <c r="J116" s="242" t="b">
        <f>Age_Sex_PY[[#This Row],[Total Spending After Applying Truncation at the Member Level]]+Age_Sex_PY[[#This Row],[Total Dollars Excluded from Spending After Applying Truncation at the Member Level]]=Age_Sex_PY[[#This Row],[Total Spending before Truncation is Applied]]</f>
        <v>1</v>
      </c>
    </row>
    <row r="117" spans="1:10" x14ac:dyDescent="0.25">
      <c r="A117" s="339"/>
      <c r="B117" s="270"/>
      <c r="C117" s="271"/>
      <c r="D117" s="456"/>
      <c r="E117" s="362"/>
      <c r="F117" s="272"/>
      <c r="G117" s="460"/>
      <c r="H117" s="272"/>
      <c r="I117" s="399"/>
      <c r="J117" s="242" t="b">
        <f>Age_Sex_PY[[#This Row],[Total Spending After Applying Truncation at the Member Level]]+Age_Sex_PY[[#This Row],[Total Dollars Excluded from Spending After Applying Truncation at the Member Level]]=Age_Sex_PY[[#This Row],[Total Spending before Truncation is Applied]]</f>
        <v>1</v>
      </c>
    </row>
    <row r="118" spans="1:10" x14ac:dyDescent="0.25">
      <c r="A118" s="342"/>
      <c r="B118" s="4"/>
      <c r="C118" s="16"/>
      <c r="D118" s="457"/>
      <c r="E118" s="363"/>
      <c r="F118" s="273"/>
      <c r="G118" s="226"/>
      <c r="H118" s="273"/>
      <c r="I118" s="400"/>
      <c r="J118" s="242" t="b">
        <f>Age_Sex_PY[[#This Row],[Total Spending After Applying Truncation at the Member Level]]+Age_Sex_PY[[#This Row],[Total Dollars Excluded from Spending After Applying Truncation at the Member Level]]=Age_Sex_PY[[#This Row],[Total Spending before Truncation is Applied]]</f>
        <v>1</v>
      </c>
    </row>
    <row r="119" spans="1:10" x14ac:dyDescent="0.25">
      <c r="A119" s="339"/>
      <c r="B119" s="270"/>
      <c r="C119" s="271"/>
      <c r="D119" s="456"/>
      <c r="E119" s="362"/>
      <c r="F119" s="272"/>
      <c r="G119" s="460"/>
      <c r="H119" s="272"/>
      <c r="I119" s="399"/>
      <c r="J119" s="242" t="b">
        <f>Age_Sex_PY[[#This Row],[Total Spending After Applying Truncation at the Member Level]]+Age_Sex_PY[[#This Row],[Total Dollars Excluded from Spending After Applying Truncation at the Member Level]]=Age_Sex_PY[[#This Row],[Total Spending before Truncation is Applied]]</f>
        <v>1</v>
      </c>
    </row>
    <row r="120" spans="1:10" x14ac:dyDescent="0.25">
      <c r="A120" s="342"/>
      <c r="B120" s="4"/>
      <c r="C120" s="16"/>
      <c r="D120" s="457"/>
      <c r="E120" s="363"/>
      <c r="F120" s="273"/>
      <c r="G120" s="226"/>
      <c r="H120" s="273"/>
      <c r="I120" s="400"/>
      <c r="J120" s="242" t="b">
        <f>Age_Sex_PY[[#This Row],[Total Spending After Applying Truncation at the Member Level]]+Age_Sex_PY[[#This Row],[Total Dollars Excluded from Spending After Applying Truncation at the Member Level]]=Age_Sex_PY[[#This Row],[Total Spending before Truncation is Applied]]</f>
        <v>1</v>
      </c>
    </row>
    <row r="121" spans="1:10" x14ac:dyDescent="0.25">
      <c r="A121" s="339"/>
      <c r="B121" s="270"/>
      <c r="C121" s="271"/>
      <c r="D121" s="456"/>
      <c r="E121" s="362"/>
      <c r="F121" s="272"/>
      <c r="G121" s="460"/>
      <c r="H121" s="272"/>
      <c r="I121" s="399"/>
      <c r="J121" s="242" t="b">
        <f>Age_Sex_PY[[#This Row],[Total Spending After Applying Truncation at the Member Level]]+Age_Sex_PY[[#This Row],[Total Dollars Excluded from Spending After Applying Truncation at the Member Level]]=Age_Sex_PY[[#This Row],[Total Spending before Truncation is Applied]]</f>
        <v>1</v>
      </c>
    </row>
    <row r="122" spans="1:10" x14ac:dyDescent="0.25">
      <c r="A122" s="342"/>
      <c r="B122" s="4"/>
      <c r="C122" s="16"/>
      <c r="D122" s="457"/>
      <c r="E122" s="363"/>
      <c r="F122" s="273"/>
      <c r="G122" s="226"/>
      <c r="H122" s="273"/>
      <c r="I122" s="400"/>
      <c r="J122" s="242" t="b">
        <f>Age_Sex_PY[[#This Row],[Total Spending After Applying Truncation at the Member Level]]+Age_Sex_PY[[#This Row],[Total Dollars Excluded from Spending After Applying Truncation at the Member Level]]=Age_Sex_PY[[#This Row],[Total Spending before Truncation is Applied]]</f>
        <v>1</v>
      </c>
    </row>
    <row r="123" spans="1:10" x14ac:dyDescent="0.25">
      <c r="A123" s="339"/>
      <c r="B123" s="270"/>
      <c r="C123" s="271"/>
      <c r="D123" s="456"/>
      <c r="E123" s="362"/>
      <c r="F123" s="272"/>
      <c r="G123" s="460"/>
      <c r="H123" s="272"/>
      <c r="I123" s="399"/>
      <c r="J123" s="242" t="b">
        <f>Age_Sex_PY[[#This Row],[Total Spending After Applying Truncation at the Member Level]]+Age_Sex_PY[[#This Row],[Total Dollars Excluded from Spending After Applying Truncation at the Member Level]]=Age_Sex_PY[[#This Row],[Total Spending before Truncation is Applied]]</f>
        <v>1</v>
      </c>
    </row>
    <row r="124" spans="1:10" x14ac:dyDescent="0.25">
      <c r="A124" s="342"/>
      <c r="B124" s="4"/>
      <c r="C124" s="16"/>
      <c r="D124" s="457"/>
      <c r="E124" s="363"/>
      <c r="F124" s="273"/>
      <c r="G124" s="226"/>
      <c r="H124" s="273"/>
      <c r="I124" s="400"/>
      <c r="J124" s="242" t="b">
        <f>Age_Sex_PY[[#This Row],[Total Spending After Applying Truncation at the Member Level]]+Age_Sex_PY[[#This Row],[Total Dollars Excluded from Spending After Applying Truncation at the Member Level]]=Age_Sex_PY[[#This Row],[Total Spending before Truncation is Applied]]</f>
        <v>1</v>
      </c>
    </row>
    <row r="125" spans="1:10" x14ac:dyDescent="0.25">
      <c r="A125" s="339"/>
      <c r="B125" s="270"/>
      <c r="C125" s="271"/>
      <c r="D125" s="456"/>
      <c r="E125" s="362"/>
      <c r="F125" s="272"/>
      <c r="G125" s="460"/>
      <c r="H125" s="272"/>
      <c r="I125" s="399"/>
      <c r="J125" s="242" t="b">
        <f>Age_Sex_PY[[#This Row],[Total Spending After Applying Truncation at the Member Level]]+Age_Sex_PY[[#This Row],[Total Dollars Excluded from Spending After Applying Truncation at the Member Level]]=Age_Sex_PY[[#This Row],[Total Spending before Truncation is Applied]]</f>
        <v>1</v>
      </c>
    </row>
    <row r="126" spans="1:10" x14ac:dyDescent="0.25">
      <c r="A126" s="342"/>
      <c r="B126" s="4"/>
      <c r="C126" s="16"/>
      <c r="D126" s="457"/>
      <c r="E126" s="363"/>
      <c r="F126" s="273"/>
      <c r="G126" s="226"/>
      <c r="H126" s="273"/>
      <c r="I126" s="400"/>
      <c r="J126" s="242" t="b">
        <f>Age_Sex_PY[[#This Row],[Total Spending After Applying Truncation at the Member Level]]+Age_Sex_PY[[#This Row],[Total Dollars Excluded from Spending After Applying Truncation at the Member Level]]=Age_Sex_PY[[#This Row],[Total Spending before Truncation is Applied]]</f>
        <v>1</v>
      </c>
    </row>
    <row r="127" spans="1:10" x14ac:dyDescent="0.25">
      <c r="A127" s="339"/>
      <c r="B127" s="270"/>
      <c r="C127" s="271"/>
      <c r="D127" s="456"/>
      <c r="E127" s="362"/>
      <c r="F127" s="272"/>
      <c r="G127" s="460"/>
      <c r="H127" s="272"/>
      <c r="I127" s="399"/>
      <c r="J127" s="242" t="b">
        <f>Age_Sex_PY[[#This Row],[Total Spending After Applying Truncation at the Member Level]]+Age_Sex_PY[[#This Row],[Total Dollars Excluded from Spending After Applying Truncation at the Member Level]]=Age_Sex_PY[[#This Row],[Total Spending before Truncation is Applied]]</f>
        <v>1</v>
      </c>
    </row>
    <row r="128" spans="1:10" x14ac:dyDescent="0.25">
      <c r="A128" s="342"/>
      <c r="B128" s="4"/>
      <c r="C128" s="16"/>
      <c r="D128" s="457"/>
      <c r="E128" s="363"/>
      <c r="F128" s="273"/>
      <c r="G128" s="226"/>
      <c r="H128" s="273"/>
      <c r="I128" s="400"/>
      <c r="J128" s="242" t="b">
        <f>Age_Sex_PY[[#This Row],[Total Spending After Applying Truncation at the Member Level]]+Age_Sex_PY[[#This Row],[Total Dollars Excluded from Spending After Applying Truncation at the Member Level]]=Age_Sex_PY[[#This Row],[Total Spending before Truncation is Applied]]</f>
        <v>1</v>
      </c>
    </row>
    <row r="129" spans="1:10" x14ac:dyDescent="0.25">
      <c r="A129" s="339"/>
      <c r="B129" s="270"/>
      <c r="C129" s="271"/>
      <c r="D129" s="456"/>
      <c r="E129" s="362"/>
      <c r="F129" s="272"/>
      <c r="G129" s="460"/>
      <c r="H129" s="272"/>
      <c r="I129" s="399"/>
      <c r="J129" s="242" t="b">
        <f>Age_Sex_PY[[#This Row],[Total Spending After Applying Truncation at the Member Level]]+Age_Sex_PY[[#This Row],[Total Dollars Excluded from Spending After Applying Truncation at the Member Level]]=Age_Sex_PY[[#This Row],[Total Spending before Truncation is Applied]]</f>
        <v>1</v>
      </c>
    </row>
    <row r="130" spans="1:10" x14ac:dyDescent="0.25">
      <c r="A130" s="342"/>
      <c r="B130" s="4"/>
      <c r="C130" s="16"/>
      <c r="D130" s="457"/>
      <c r="E130" s="363"/>
      <c r="F130" s="273"/>
      <c r="G130" s="226"/>
      <c r="H130" s="273"/>
      <c r="I130" s="400"/>
      <c r="J130" s="242" t="b">
        <f>Age_Sex_PY[[#This Row],[Total Spending After Applying Truncation at the Member Level]]+Age_Sex_PY[[#This Row],[Total Dollars Excluded from Spending After Applying Truncation at the Member Level]]=Age_Sex_PY[[#This Row],[Total Spending before Truncation is Applied]]</f>
        <v>1</v>
      </c>
    </row>
    <row r="131" spans="1:10" x14ac:dyDescent="0.25">
      <c r="A131" s="339"/>
      <c r="B131" s="270"/>
      <c r="C131" s="271"/>
      <c r="D131" s="456"/>
      <c r="E131" s="362"/>
      <c r="F131" s="272"/>
      <c r="G131" s="460"/>
      <c r="H131" s="272"/>
      <c r="I131" s="399"/>
      <c r="J131" s="242" t="b">
        <f>Age_Sex_PY[[#This Row],[Total Spending After Applying Truncation at the Member Level]]+Age_Sex_PY[[#This Row],[Total Dollars Excluded from Spending After Applying Truncation at the Member Level]]=Age_Sex_PY[[#This Row],[Total Spending before Truncation is Applied]]</f>
        <v>1</v>
      </c>
    </row>
    <row r="132" spans="1:10" x14ac:dyDescent="0.25">
      <c r="A132" s="342"/>
      <c r="B132" s="4"/>
      <c r="C132" s="16"/>
      <c r="D132" s="457"/>
      <c r="E132" s="363"/>
      <c r="F132" s="273"/>
      <c r="G132" s="226"/>
      <c r="H132" s="273"/>
      <c r="I132" s="400"/>
      <c r="J132" s="242" t="b">
        <f>Age_Sex_PY[[#This Row],[Total Spending After Applying Truncation at the Member Level]]+Age_Sex_PY[[#This Row],[Total Dollars Excluded from Spending After Applying Truncation at the Member Level]]=Age_Sex_PY[[#This Row],[Total Spending before Truncation is Applied]]</f>
        <v>1</v>
      </c>
    </row>
    <row r="133" spans="1:10" x14ac:dyDescent="0.25">
      <c r="A133" s="339"/>
      <c r="B133" s="270"/>
      <c r="C133" s="271"/>
      <c r="D133" s="456"/>
      <c r="E133" s="362"/>
      <c r="F133" s="272"/>
      <c r="G133" s="460"/>
      <c r="H133" s="272"/>
      <c r="I133" s="399"/>
      <c r="J133" s="242" t="b">
        <f>Age_Sex_PY[[#This Row],[Total Spending After Applying Truncation at the Member Level]]+Age_Sex_PY[[#This Row],[Total Dollars Excluded from Spending After Applying Truncation at the Member Level]]=Age_Sex_PY[[#This Row],[Total Spending before Truncation is Applied]]</f>
        <v>1</v>
      </c>
    </row>
    <row r="134" spans="1:10" x14ac:dyDescent="0.25">
      <c r="A134" s="342"/>
      <c r="B134" s="4"/>
      <c r="C134" s="16"/>
      <c r="D134" s="457"/>
      <c r="E134" s="363"/>
      <c r="F134" s="273"/>
      <c r="G134" s="226"/>
      <c r="H134" s="273"/>
      <c r="I134" s="400"/>
      <c r="J134" s="242" t="b">
        <f>Age_Sex_PY[[#This Row],[Total Spending After Applying Truncation at the Member Level]]+Age_Sex_PY[[#This Row],[Total Dollars Excluded from Spending After Applying Truncation at the Member Level]]=Age_Sex_PY[[#This Row],[Total Spending before Truncation is Applied]]</f>
        <v>1</v>
      </c>
    </row>
    <row r="135" spans="1:10" x14ac:dyDescent="0.25">
      <c r="A135" s="339"/>
      <c r="B135" s="270"/>
      <c r="C135" s="271"/>
      <c r="D135" s="456"/>
      <c r="E135" s="362"/>
      <c r="F135" s="272"/>
      <c r="G135" s="460"/>
      <c r="H135" s="272"/>
      <c r="I135" s="399"/>
      <c r="J135" s="242" t="b">
        <f>Age_Sex_PY[[#This Row],[Total Spending After Applying Truncation at the Member Level]]+Age_Sex_PY[[#This Row],[Total Dollars Excluded from Spending After Applying Truncation at the Member Level]]=Age_Sex_PY[[#This Row],[Total Spending before Truncation is Applied]]</f>
        <v>1</v>
      </c>
    </row>
    <row r="136" spans="1:10" x14ac:dyDescent="0.25">
      <c r="A136" s="342"/>
      <c r="B136" s="4"/>
      <c r="C136" s="16"/>
      <c r="D136" s="457"/>
      <c r="E136" s="363"/>
      <c r="F136" s="273"/>
      <c r="G136" s="226"/>
      <c r="H136" s="273"/>
      <c r="I136" s="400"/>
      <c r="J136" s="242" t="b">
        <f>Age_Sex_PY[[#This Row],[Total Spending After Applying Truncation at the Member Level]]+Age_Sex_PY[[#This Row],[Total Dollars Excluded from Spending After Applying Truncation at the Member Level]]=Age_Sex_PY[[#This Row],[Total Spending before Truncation is Applied]]</f>
        <v>1</v>
      </c>
    </row>
    <row r="137" spans="1:10" x14ac:dyDescent="0.25">
      <c r="A137" s="339"/>
      <c r="B137" s="270"/>
      <c r="C137" s="271"/>
      <c r="D137" s="456"/>
      <c r="E137" s="362"/>
      <c r="F137" s="272"/>
      <c r="G137" s="460"/>
      <c r="H137" s="272"/>
      <c r="I137" s="399"/>
      <c r="J137" s="242" t="b">
        <f>Age_Sex_PY[[#This Row],[Total Spending After Applying Truncation at the Member Level]]+Age_Sex_PY[[#This Row],[Total Dollars Excluded from Spending After Applying Truncation at the Member Level]]=Age_Sex_PY[[#This Row],[Total Spending before Truncation is Applied]]</f>
        <v>1</v>
      </c>
    </row>
    <row r="138" spans="1:10" x14ac:dyDescent="0.25">
      <c r="A138" s="342"/>
      <c r="B138" s="4"/>
      <c r="C138" s="16"/>
      <c r="D138" s="457"/>
      <c r="E138" s="363"/>
      <c r="F138" s="273"/>
      <c r="G138" s="226"/>
      <c r="H138" s="273"/>
      <c r="I138" s="400"/>
      <c r="J138" s="242" t="b">
        <f>Age_Sex_PY[[#This Row],[Total Spending After Applying Truncation at the Member Level]]+Age_Sex_PY[[#This Row],[Total Dollars Excluded from Spending After Applying Truncation at the Member Level]]=Age_Sex_PY[[#This Row],[Total Spending before Truncation is Applied]]</f>
        <v>1</v>
      </c>
    </row>
    <row r="139" spans="1:10" x14ac:dyDescent="0.25">
      <c r="A139" s="339"/>
      <c r="B139" s="270"/>
      <c r="C139" s="271"/>
      <c r="D139" s="456"/>
      <c r="E139" s="362"/>
      <c r="F139" s="272"/>
      <c r="G139" s="460"/>
      <c r="H139" s="272"/>
      <c r="I139" s="399"/>
      <c r="J139" s="242" t="b">
        <f>Age_Sex_PY[[#This Row],[Total Spending After Applying Truncation at the Member Level]]+Age_Sex_PY[[#This Row],[Total Dollars Excluded from Spending After Applying Truncation at the Member Level]]=Age_Sex_PY[[#This Row],[Total Spending before Truncation is Applied]]</f>
        <v>1</v>
      </c>
    </row>
    <row r="140" spans="1:10" x14ac:dyDescent="0.25">
      <c r="A140" s="342"/>
      <c r="B140" s="4"/>
      <c r="C140" s="16"/>
      <c r="D140" s="457"/>
      <c r="E140" s="363"/>
      <c r="F140" s="273"/>
      <c r="G140" s="226"/>
      <c r="H140" s="273"/>
      <c r="I140" s="400"/>
      <c r="J140" s="242" t="b">
        <f>Age_Sex_PY[[#This Row],[Total Spending After Applying Truncation at the Member Level]]+Age_Sex_PY[[#This Row],[Total Dollars Excluded from Spending After Applying Truncation at the Member Level]]=Age_Sex_PY[[#This Row],[Total Spending before Truncation is Applied]]</f>
        <v>1</v>
      </c>
    </row>
    <row r="141" spans="1:10" x14ac:dyDescent="0.25">
      <c r="A141" s="339"/>
      <c r="B141" s="270"/>
      <c r="C141" s="271"/>
      <c r="D141" s="456"/>
      <c r="E141" s="362"/>
      <c r="F141" s="272"/>
      <c r="G141" s="460"/>
      <c r="H141" s="272"/>
      <c r="I141" s="399"/>
      <c r="J141" s="242" t="b">
        <f>Age_Sex_PY[[#This Row],[Total Spending After Applying Truncation at the Member Level]]+Age_Sex_PY[[#This Row],[Total Dollars Excluded from Spending After Applying Truncation at the Member Level]]=Age_Sex_PY[[#This Row],[Total Spending before Truncation is Applied]]</f>
        <v>1</v>
      </c>
    </row>
    <row r="142" spans="1:10" x14ac:dyDescent="0.25">
      <c r="A142" s="342"/>
      <c r="B142" s="4"/>
      <c r="C142" s="16"/>
      <c r="D142" s="457"/>
      <c r="E142" s="363"/>
      <c r="F142" s="273"/>
      <c r="G142" s="226"/>
      <c r="H142" s="273"/>
      <c r="I142" s="400"/>
      <c r="J142" s="242" t="b">
        <f>Age_Sex_PY[[#This Row],[Total Spending After Applying Truncation at the Member Level]]+Age_Sex_PY[[#This Row],[Total Dollars Excluded from Spending After Applying Truncation at the Member Level]]=Age_Sex_PY[[#This Row],[Total Spending before Truncation is Applied]]</f>
        <v>1</v>
      </c>
    </row>
    <row r="143" spans="1:10" x14ac:dyDescent="0.25">
      <c r="A143" s="339"/>
      <c r="B143" s="270"/>
      <c r="C143" s="271"/>
      <c r="D143" s="456"/>
      <c r="E143" s="362"/>
      <c r="F143" s="272"/>
      <c r="G143" s="460"/>
      <c r="H143" s="272"/>
      <c r="I143" s="399"/>
      <c r="J143" s="242" t="b">
        <f>Age_Sex_PY[[#This Row],[Total Spending After Applying Truncation at the Member Level]]+Age_Sex_PY[[#This Row],[Total Dollars Excluded from Spending After Applying Truncation at the Member Level]]=Age_Sex_PY[[#This Row],[Total Spending before Truncation is Applied]]</f>
        <v>1</v>
      </c>
    </row>
    <row r="144" spans="1:10" x14ac:dyDescent="0.25">
      <c r="A144" s="342"/>
      <c r="B144" s="4"/>
      <c r="C144" s="16"/>
      <c r="D144" s="457"/>
      <c r="E144" s="363"/>
      <c r="F144" s="273"/>
      <c r="G144" s="226"/>
      <c r="H144" s="273"/>
      <c r="I144" s="400"/>
      <c r="J144" s="242" t="b">
        <f>Age_Sex_PY[[#This Row],[Total Spending After Applying Truncation at the Member Level]]+Age_Sex_PY[[#This Row],[Total Dollars Excluded from Spending After Applying Truncation at the Member Level]]=Age_Sex_PY[[#This Row],[Total Spending before Truncation is Applied]]</f>
        <v>1</v>
      </c>
    </row>
    <row r="145" spans="1:10" x14ac:dyDescent="0.25">
      <c r="A145" s="339"/>
      <c r="B145" s="270"/>
      <c r="C145" s="271"/>
      <c r="D145" s="456"/>
      <c r="E145" s="362"/>
      <c r="F145" s="272"/>
      <c r="G145" s="460"/>
      <c r="H145" s="272"/>
      <c r="I145" s="399"/>
      <c r="J145" s="242" t="b">
        <f>Age_Sex_PY[[#This Row],[Total Spending After Applying Truncation at the Member Level]]+Age_Sex_PY[[#This Row],[Total Dollars Excluded from Spending After Applying Truncation at the Member Level]]=Age_Sex_PY[[#This Row],[Total Spending before Truncation is Applied]]</f>
        <v>1</v>
      </c>
    </row>
    <row r="146" spans="1:10" x14ac:dyDescent="0.25">
      <c r="A146" s="342"/>
      <c r="B146" s="4"/>
      <c r="C146" s="16"/>
      <c r="D146" s="457"/>
      <c r="E146" s="363"/>
      <c r="F146" s="273"/>
      <c r="G146" s="226"/>
      <c r="H146" s="273"/>
      <c r="I146" s="400"/>
      <c r="J146" s="242" t="b">
        <f>Age_Sex_PY[[#This Row],[Total Spending After Applying Truncation at the Member Level]]+Age_Sex_PY[[#This Row],[Total Dollars Excluded from Spending After Applying Truncation at the Member Level]]=Age_Sex_PY[[#This Row],[Total Spending before Truncation is Applied]]</f>
        <v>1</v>
      </c>
    </row>
    <row r="147" spans="1:10" x14ac:dyDescent="0.25">
      <c r="A147" s="339"/>
      <c r="B147" s="270"/>
      <c r="C147" s="271"/>
      <c r="D147" s="456"/>
      <c r="E147" s="362"/>
      <c r="F147" s="272"/>
      <c r="G147" s="460"/>
      <c r="H147" s="272"/>
      <c r="I147" s="399"/>
      <c r="J147" s="242" t="b">
        <f>Age_Sex_PY[[#This Row],[Total Spending After Applying Truncation at the Member Level]]+Age_Sex_PY[[#This Row],[Total Dollars Excluded from Spending After Applying Truncation at the Member Level]]=Age_Sex_PY[[#This Row],[Total Spending before Truncation is Applied]]</f>
        <v>1</v>
      </c>
    </row>
    <row r="148" spans="1:10" x14ac:dyDescent="0.25">
      <c r="A148" s="342"/>
      <c r="B148" s="4"/>
      <c r="C148" s="16"/>
      <c r="D148" s="457"/>
      <c r="E148" s="363"/>
      <c r="F148" s="273"/>
      <c r="G148" s="226"/>
      <c r="H148" s="273"/>
      <c r="I148" s="400"/>
      <c r="J148" s="242" t="b">
        <f>Age_Sex_PY[[#This Row],[Total Spending After Applying Truncation at the Member Level]]+Age_Sex_PY[[#This Row],[Total Dollars Excluded from Spending After Applying Truncation at the Member Level]]=Age_Sex_PY[[#This Row],[Total Spending before Truncation is Applied]]</f>
        <v>1</v>
      </c>
    </row>
    <row r="149" spans="1:10" x14ac:dyDescent="0.25">
      <c r="A149" s="339"/>
      <c r="B149" s="270"/>
      <c r="C149" s="271"/>
      <c r="D149" s="456"/>
      <c r="E149" s="362"/>
      <c r="F149" s="272"/>
      <c r="G149" s="460"/>
      <c r="H149" s="272"/>
      <c r="I149" s="399"/>
      <c r="J149" s="242" t="b">
        <f>Age_Sex_PY[[#This Row],[Total Spending After Applying Truncation at the Member Level]]+Age_Sex_PY[[#This Row],[Total Dollars Excluded from Spending After Applying Truncation at the Member Level]]=Age_Sex_PY[[#This Row],[Total Spending before Truncation is Applied]]</f>
        <v>1</v>
      </c>
    </row>
    <row r="150" spans="1:10" x14ac:dyDescent="0.25">
      <c r="A150" s="342"/>
      <c r="B150" s="4"/>
      <c r="C150" s="16"/>
      <c r="D150" s="457"/>
      <c r="E150" s="363"/>
      <c r="F150" s="273"/>
      <c r="G150" s="226"/>
      <c r="H150" s="273"/>
      <c r="I150" s="400"/>
      <c r="J150" s="242" t="b">
        <f>Age_Sex_PY[[#This Row],[Total Spending After Applying Truncation at the Member Level]]+Age_Sex_PY[[#This Row],[Total Dollars Excluded from Spending After Applying Truncation at the Member Level]]=Age_Sex_PY[[#This Row],[Total Spending before Truncation is Applied]]</f>
        <v>1</v>
      </c>
    </row>
    <row r="151" spans="1:10" x14ac:dyDescent="0.25">
      <c r="A151" s="339"/>
      <c r="B151" s="270"/>
      <c r="C151" s="271"/>
      <c r="D151" s="456"/>
      <c r="E151" s="362"/>
      <c r="F151" s="272"/>
      <c r="G151" s="460"/>
      <c r="H151" s="272"/>
      <c r="I151" s="399"/>
      <c r="J151" s="242" t="b">
        <f>Age_Sex_PY[[#This Row],[Total Spending After Applying Truncation at the Member Level]]+Age_Sex_PY[[#This Row],[Total Dollars Excluded from Spending After Applying Truncation at the Member Level]]=Age_Sex_PY[[#This Row],[Total Spending before Truncation is Applied]]</f>
        <v>1</v>
      </c>
    </row>
    <row r="152" spans="1:10" x14ac:dyDescent="0.25">
      <c r="A152" s="342"/>
      <c r="B152" s="4"/>
      <c r="C152" s="16"/>
      <c r="D152" s="457"/>
      <c r="E152" s="363"/>
      <c r="F152" s="273"/>
      <c r="G152" s="226"/>
      <c r="H152" s="273"/>
      <c r="I152" s="400"/>
      <c r="J152" s="242" t="b">
        <f>Age_Sex_PY[[#This Row],[Total Spending After Applying Truncation at the Member Level]]+Age_Sex_PY[[#This Row],[Total Dollars Excluded from Spending After Applying Truncation at the Member Level]]=Age_Sex_PY[[#This Row],[Total Spending before Truncation is Applied]]</f>
        <v>1</v>
      </c>
    </row>
    <row r="153" spans="1:10" x14ac:dyDescent="0.25">
      <c r="A153" s="339"/>
      <c r="B153" s="270"/>
      <c r="C153" s="271"/>
      <c r="D153" s="456"/>
      <c r="E153" s="362"/>
      <c r="F153" s="272"/>
      <c r="G153" s="460"/>
      <c r="H153" s="272"/>
      <c r="I153" s="399"/>
      <c r="J153" s="242" t="b">
        <f>Age_Sex_PY[[#This Row],[Total Spending After Applying Truncation at the Member Level]]+Age_Sex_PY[[#This Row],[Total Dollars Excluded from Spending After Applying Truncation at the Member Level]]=Age_Sex_PY[[#This Row],[Total Spending before Truncation is Applied]]</f>
        <v>1</v>
      </c>
    </row>
    <row r="154" spans="1:10" x14ac:dyDescent="0.25">
      <c r="A154" s="342"/>
      <c r="B154" s="4"/>
      <c r="C154" s="16"/>
      <c r="D154" s="457"/>
      <c r="E154" s="363"/>
      <c r="F154" s="273"/>
      <c r="G154" s="226"/>
      <c r="H154" s="273"/>
      <c r="I154" s="400"/>
      <c r="J154" s="242" t="b">
        <f>Age_Sex_PY[[#This Row],[Total Spending After Applying Truncation at the Member Level]]+Age_Sex_PY[[#This Row],[Total Dollars Excluded from Spending After Applying Truncation at the Member Level]]=Age_Sex_PY[[#This Row],[Total Spending before Truncation is Applied]]</f>
        <v>1</v>
      </c>
    </row>
    <row r="155" spans="1:10" x14ac:dyDescent="0.25">
      <c r="A155" s="339"/>
      <c r="B155" s="270"/>
      <c r="C155" s="271"/>
      <c r="D155" s="456"/>
      <c r="E155" s="362"/>
      <c r="F155" s="272"/>
      <c r="G155" s="460"/>
      <c r="H155" s="272"/>
      <c r="I155" s="399"/>
      <c r="J155" s="242" t="b">
        <f>Age_Sex_PY[[#This Row],[Total Spending After Applying Truncation at the Member Level]]+Age_Sex_PY[[#This Row],[Total Dollars Excluded from Spending After Applying Truncation at the Member Level]]=Age_Sex_PY[[#This Row],[Total Spending before Truncation is Applied]]</f>
        <v>1</v>
      </c>
    </row>
    <row r="156" spans="1:10" x14ac:dyDescent="0.25">
      <c r="A156" s="342"/>
      <c r="B156" s="4"/>
      <c r="C156" s="16"/>
      <c r="D156" s="457"/>
      <c r="E156" s="363"/>
      <c r="F156" s="273"/>
      <c r="G156" s="226"/>
      <c r="H156" s="273"/>
      <c r="I156" s="400"/>
      <c r="J156" s="242" t="b">
        <f>Age_Sex_PY[[#This Row],[Total Spending After Applying Truncation at the Member Level]]+Age_Sex_PY[[#This Row],[Total Dollars Excluded from Spending After Applying Truncation at the Member Level]]=Age_Sex_PY[[#This Row],[Total Spending before Truncation is Applied]]</f>
        <v>1</v>
      </c>
    </row>
    <row r="157" spans="1:10" x14ac:dyDescent="0.25">
      <c r="A157" s="339"/>
      <c r="B157" s="270"/>
      <c r="C157" s="271"/>
      <c r="D157" s="456"/>
      <c r="E157" s="362"/>
      <c r="F157" s="272"/>
      <c r="G157" s="460"/>
      <c r="H157" s="272"/>
      <c r="I157" s="399"/>
      <c r="J157" s="242" t="b">
        <f>Age_Sex_PY[[#This Row],[Total Spending After Applying Truncation at the Member Level]]+Age_Sex_PY[[#This Row],[Total Dollars Excluded from Spending After Applying Truncation at the Member Level]]=Age_Sex_PY[[#This Row],[Total Spending before Truncation is Applied]]</f>
        <v>1</v>
      </c>
    </row>
    <row r="158" spans="1:10" x14ac:dyDescent="0.25">
      <c r="A158" s="342"/>
      <c r="B158" s="4"/>
      <c r="C158" s="16"/>
      <c r="D158" s="457"/>
      <c r="E158" s="363"/>
      <c r="F158" s="273"/>
      <c r="G158" s="226"/>
      <c r="H158" s="273"/>
      <c r="I158" s="400"/>
      <c r="J158" s="242" t="b">
        <f>Age_Sex_PY[[#This Row],[Total Spending After Applying Truncation at the Member Level]]+Age_Sex_PY[[#This Row],[Total Dollars Excluded from Spending After Applying Truncation at the Member Level]]=Age_Sex_PY[[#This Row],[Total Spending before Truncation is Applied]]</f>
        <v>1</v>
      </c>
    </row>
    <row r="159" spans="1:10" x14ac:dyDescent="0.25">
      <c r="A159" s="339"/>
      <c r="B159" s="270"/>
      <c r="C159" s="271"/>
      <c r="D159" s="456"/>
      <c r="E159" s="362"/>
      <c r="F159" s="272"/>
      <c r="G159" s="460"/>
      <c r="H159" s="272"/>
      <c r="I159" s="399"/>
      <c r="J159" s="242" t="b">
        <f>Age_Sex_PY[[#This Row],[Total Spending After Applying Truncation at the Member Level]]+Age_Sex_PY[[#This Row],[Total Dollars Excluded from Spending After Applying Truncation at the Member Level]]=Age_Sex_PY[[#This Row],[Total Spending before Truncation is Applied]]</f>
        <v>1</v>
      </c>
    </row>
    <row r="160" spans="1:10" x14ac:dyDescent="0.25">
      <c r="A160" s="342"/>
      <c r="B160" s="4"/>
      <c r="C160" s="16"/>
      <c r="D160" s="457"/>
      <c r="E160" s="363"/>
      <c r="F160" s="273"/>
      <c r="G160" s="226"/>
      <c r="H160" s="273"/>
      <c r="I160" s="400"/>
      <c r="J160" s="242" t="b">
        <f>Age_Sex_PY[[#This Row],[Total Spending After Applying Truncation at the Member Level]]+Age_Sex_PY[[#This Row],[Total Dollars Excluded from Spending After Applying Truncation at the Member Level]]=Age_Sex_PY[[#This Row],[Total Spending before Truncation is Applied]]</f>
        <v>1</v>
      </c>
    </row>
    <row r="161" spans="1:10" x14ac:dyDescent="0.25">
      <c r="A161" s="339"/>
      <c r="B161" s="270"/>
      <c r="C161" s="271"/>
      <c r="D161" s="456"/>
      <c r="E161" s="362"/>
      <c r="F161" s="272"/>
      <c r="G161" s="460"/>
      <c r="H161" s="272"/>
      <c r="I161" s="399"/>
      <c r="J161" s="242" t="b">
        <f>Age_Sex_PY[[#This Row],[Total Spending After Applying Truncation at the Member Level]]+Age_Sex_PY[[#This Row],[Total Dollars Excluded from Spending After Applying Truncation at the Member Level]]=Age_Sex_PY[[#This Row],[Total Spending before Truncation is Applied]]</f>
        <v>1</v>
      </c>
    </row>
    <row r="162" spans="1:10" x14ac:dyDescent="0.25">
      <c r="A162" s="342"/>
      <c r="B162" s="4"/>
      <c r="C162" s="16"/>
      <c r="D162" s="457"/>
      <c r="E162" s="363"/>
      <c r="F162" s="273"/>
      <c r="G162" s="226"/>
      <c r="H162" s="273"/>
      <c r="I162" s="400"/>
      <c r="J162" s="242" t="b">
        <f>Age_Sex_PY[[#This Row],[Total Spending After Applying Truncation at the Member Level]]+Age_Sex_PY[[#This Row],[Total Dollars Excluded from Spending After Applying Truncation at the Member Level]]=Age_Sex_PY[[#This Row],[Total Spending before Truncation is Applied]]</f>
        <v>1</v>
      </c>
    </row>
    <row r="163" spans="1:10" x14ac:dyDescent="0.25">
      <c r="A163" s="339"/>
      <c r="B163" s="270"/>
      <c r="C163" s="271"/>
      <c r="D163" s="456"/>
      <c r="E163" s="362"/>
      <c r="F163" s="272"/>
      <c r="G163" s="460"/>
      <c r="H163" s="272"/>
      <c r="I163" s="399"/>
      <c r="J163" s="242" t="b">
        <f>Age_Sex_PY[[#This Row],[Total Spending After Applying Truncation at the Member Level]]+Age_Sex_PY[[#This Row],[Total Dollars Excluded from Spending After Applying Truncation at the Member Level]]=Age_Sex_PY[[#This Row],[Total Spending before Truncation is Applied]]</f>
        <v>1</v>
      </c>
    </row>
    <row r="164" spans="1:10" x14ac:dyDescent="0.25">
      <c r="A164" s="342"/>
      <c r="B164" s="4"/>
      <c r="C164" s="16"/>
      <c r="D164" s="457"/>
      <c r="E164" s="363"/>
      <c r="F164" s="273"/>
      <c r="G164" s="226"/>
      <c r="H164" s="273"/>
      <c r="I164" s="400"/>
      <c r="J164" s="242" t="b">
        <f>Age_Sex_PY[[#This Row],[Total Spending After Applying Truncation at the Member Level]]+Age_Sex_PY[[#This Row],[Total Dollars Excluded from Spending After Applying Truncation at the Member Level]]=Age_Sex_PY[[#This Row],[Total Spending before Truncation is Applied]]</f>
        <v>1</v>
      </c>
    </row>
    <row r="165" spans="1:10" x14ac:dyDescent="0.25">
      <c r="A165" s="339"/>
      <c r="B165" s="270"/>
      <c r="C165" s="271"/>
      <c r="D165" s="456"/>
      <c r="E165" s="362"/>
      <c r="F165" s="272"/>
      <c r="G165" s="460"/>
      <c r="H165" s="272"/>
      <c r="I165" s="399"/>
      <c r="J165" s="242" t="b">
        <f>Age_Sex_PY[[#This Row],[Total Spending After Applying Truncation at the Member Level]]+Age_Sex_PY[[#This Row],[Total Dollars Excluded from Spending After Applying Truncation at the Member Level]]=Age_Sex_PY[[#This Row],[Total Spending before Truncation is Applied]]</f>
        <v>1</v>
      </c>
    </row>
    <row r="166" spans="1:10" x14ac:dyDescent="0.25">
      <c r="A166" s="342"/>
      <c r="B166" s="4"/>
      <c r="C166" s="16"/>
      <c r="D166" s="457"/>
      <c r="E166" s="363"/>
      <c r="F166" s="273"/>
      <c r="G166" s="226"/>
      <c r="H166" s="273"/>
      <c r="I166" s="400"/>
      <c r="J166" s="242" t="b">
        <f>Age_Sex_PY[[#This Row],[Total Spending After Applying Truncation at the Member Level]]+Age_Sex_PY[[#This Row],[Total Dollars Excluded from Spending After Applying Truncation at the Member Level]]=Age_Sex_PY[[#This Row],[Total Spending before Truncation is Applied]]</f>
        <v>1</v>
      </c>
    </row>
    <row r="167" spans="1:10" x14ac:dyDescent="0.25">
      <c r="A167" s="339"/>
      <c r="B167" s="270"/>
      <c r="C167" s="271"/>
      <c r="D167" s="456"/>
      <c r="E167" s="362"/>
      <c r="F167" s="272"/>
      <c r="G167" s="460"/>
      <c r="H167" s="272"/>
      <c r="I167" s="399"/>
      <c r="J167" s="242" t="b">
        <f>Age_Sex_PY[[#This Row],[Total Spending After Applying Truncation at the Member Level]]+Age_Sex_PY[[#This Row],[Total Dollars Excluded from Spending After Applying Truncation at the Member Level]]=Age_Sex_PY[[#This Row],[Total Spending before Truncation is Applied]]</f>
        <v>1</v>
      </c>
    </row>
    <row r="168" spans="1:10" x14ac:dyDescent="0.25">
      <c r="A168" s="342"/>
      <c r="B168" s="4"/>
      <c r="C168" s="16"/>
      <c r="D168" s="457"/>
      <c r="E168" s="363"/>
      <c r="F168" s="273"/>
      <c r="G168" s="226"/>
      <c r="H168" s="273"/>
      <c r="I168" s="400"/>
      <c r="J168" s="242" t="b">
        <f>Age_Sex_PY[[#This Row],[Total Spending After Applying Truncation at the Member Level]]+Age_Sex_PY[[#This Row],[Total Dollars Excluded from Spending After Applying Truncation at the Member Level]]=Age_Sex_PY[[#This Row],[Total Spending before Truncation is Applied]]</f>
        <v>1</v>
      </c>
    </row>
    <row r="169" spans="1:10" x14ac:dyDescent="0.25">
      <c r="A169" s="339"/>
      <c r="B169" s="270"/>
      <c r="C169" s="271"/>
      <c r="D169" s="456"/>
      <c r="E169" s="362"/>
      <c r="F169" s="272"/>
      <c r="G169" s="460"/>
      <c r="H169" s="272"/>
      <c r="I169" s="399"/>
      <c r="J169" s="242" t="b">
        <f>Age_Sex_PY[[#This Row],[Total Spending After Applying Truncation at the Member Level]]+Age_Sex_PY[[#This Row],[Total Dollars Excluded from Spending After Applying Truncation at the Member Level]]=Age_Sex_PY[[#This Row],[Total Spending before Truncation is Applied]]</f>
        <v>1</v>
      </c>
    </row>
    <row r="170" spans="1:10" x14ac:dyDescent="0.25">
      <c r="A170" s="342"/>
      <c r="B170" s="4"/>
      <c r="C170" s="16"/>
      <c r="D170" s="457"/>
      <c r="E170" s="363"/>
      <c r="F170" s="273"/>
      <c r="G170" s="226"/>
      <c r="H170" s="273"/>
      <c r="I170" s="400"/>
      <c r="J170" s="242" t="b">
        <f>Age_Sex_PY[[#This Row],[Total Spending After Applying Truncation at the Member Level]]+Age_Sex_PY[[#This Row],[Total Dollars Excluded from Spending After Applying Truncation at the Member Level]]=Age_Sex_PY[[#This Row],[Total Spending before Truncation is Applied]]</f>
        <v>1</v>
      </c>
    </row>
    <row r="171" spans="1:10" x14ac:dyDescent="0.25">
      <c r="A171" s="339"/>
      <c r="B171" s="270"/>
      <c r="C171" s="271"/>
      <c r="D171" s="456"/>
      <c r="E171" s="362"/>
      <c r="F171" s="272"/>
      <c r="G171" s="460"/>
      <c r="H171" s="272"/>
      <c r="I171" s="399"/>
      <c r="J171" s="242" t="b">
        <f>Age_Sex_PY[[#This Row],[Total Spending After Applying Truncation at the Member Level]]+Age_Sex_PY[[#This Row],[Total Dollars Excluded from Spending After Applying Truncation at the Member Level]]=Age_Sex_PY[[#This Row],[Total Spending before Truncation is Applied]]</f>
        <v>1</v>
      </c>
    </row>
    <row r="172" spans="1:10" x14ac:dyDescent="0.25">
      <c r="A172" s="342"/>
      <c r="B172" s="4"/>
      <c r="C172" s="16"/>
      <c r="D172" s="457"/>
      <c r="E172" s="363"/>
      <c r="F172" s="273"/>
      <c r="G172" s="226"/>
      <c r="H172" s="273"/>
      <c r="I172" s="400"/>
      <c r="J172" s="242" t="b">
        <f>Age_Sex_PY[[#This Row],[Total Spending After Applying Truncation at the Member Level]]+Age_Sex_PY[[#This Row],[Total Dollars Excluded from Spending After Applying Truncation at the Member Level]]=Age_Sex_PY[[#This Row],[Total Spending before Truncation is Applied]]</f>
        <v>1</v>
      </c>
    </row>
    <row r="173" spans="1:10" x14ac:dyDescent="0.25">
      <c r="A173" s="339"/>
      <c r="B173" s="270"/>
      <c r="C173" s="271"/>
      <c r="D173" s="456"/>
      <c r="E173" s="362"/>
      <c r="F173" s="272"/>
      <c r="G173" s="460"/>
      <c r="H173" s="272"/>
      <c r="I173" s="399"/>
      <c r="J173" s="242" t="b">
        <f>Age_Sex_PY[[#This Row],[Total Spending After Applying Truncation at the Member Level]]+Age_Sex_PY[[#This Row],[Total Dollars Excluded from Spending After Applying Truncation at the Member Level]]=Age_Sex_PY[[#This Row],[Total Spending before Truncation is Applied]]</f>
        <v>1</v>
      </c>
    </row>
    <row r="174" spans="1:10" x14ac:dyDescent="0.25">
      <c r="A174" s="342"/>
      <c r="B174" s="4"/>
      <c r="C174" s="16"/>
      <c r="D174" s="457"/>
      <c r="E174" s="363"/>
      <c r="F174" s="273"/>
      <c r="G174" s="226"/>
      <c r="H174" s="273"/>
      <c r="I174" s="400"/>
      <c r="J174" s="242" t="b">
        <f>Age_Sex_PY[[#This Row],[Total Spending After Applying Truncation at the Member Level]]+Age_Sex_PY[[#This Row],[Total Dollars Excluded from Spending After Applying Truncation at the Member Level]]=Age_Sex_PY[[#This Row],[Total Spending before Truncation is Applied]]</f>
        <v>1</v>
      </c>
    </row>
    <row r="175" spans="1:10" x14ac:dyDescent="0.25">
      <c r="A175" s="339"/>
      <c r="B175" s="270"/>
      <c r="C175" s="271"/>
      <c r="D175" s="456"/>
      <c r="E175" s="362"/>
      <c r="F175" s="272"/>
      <c r="G175" s="460"/>
      <c r="H175" s="272"/>
      <c r="I175" s="399"/>
      <c r="J175" s="242" t="b">
        <f>Age_Sex_PY[[#This Row],[Total Spending After Applying Truncation at the Member Level]]+Age_Sex_PY[[#This Row],[Total Dollars Excluded from Spending After Applying Truncation at the Member Level]]=Age_Sex_PY[[#This Row],[Total Spending before Truncation is Applied]]</f>
        <v>1</v>
      </c>
    </row>
    <row r="176" spans="1:10" x14ac:dyDescent="0.25">
      <c r="A176" s="342"/>
      <c r="B176" s="4"/>
      <c r="C176" s="16"/>
      <c r="D176" s="457"/>
      <c r="E176" s="363"/>
      <c r="F176" s="273"/>
      <c r="G176" s="226"/>
      <c r="H176" s="273"/>
      <c r="I176" s="400"/>
      <c r="J176" s="242" t="b">
        <f>Age_Sex_PY[[#This Row],[Total Spending After Applying Truncation at the Member Level]]+Age_Sex_PY[[#This Row],[Total Dollars Excluded from Spending After Applying Truncation at the Member Level]]=Age_Sex_PY[[#This Row],[Total Spending before Truncation is Applied]]</f>
        <v>1</v>
      </c>
    </row>
    <row r="177" spans="1:10" x14ac:dyDescent="0.25">
      <c r="A177" s="339"/>
      <c r="B177" s="270"/>
      <c r="C177" s="271"/>
      <c r="D177" s="456"/>
      <c r="E177" s="362"/>
      <c r="F177" s="272"/>
      <c r="G177" s="460"/>
      <c r="H177" s="272"/>
      <c r="I177" s="399"/>
      <c r="J177" s="242" t="b">
        <f>Age_Sex_PY[[#This Row],[Total Spending After Applying Truncation at the Member Level]]+Age_Sex_PY[[#This Row],[Total Dollars Excluded from Spending After Applying Truncation at the Member Level]]=Age_Sex_PY[[#This Row],[Total Spending before Truncation is Applied]]</f>
        <v>1</v>
      </c>
    </row>
    <row r="178" spans="1:10" x14ac:dyDescent="0.25">
      <c r="A178" s="342"/>
      <c r="B178" s="4"/>
      <c r="C178" s="16"/>
      <c r="D178" s="457"/>
      <c r="E178" s="363"/>
      <c r="F178" s="273"/>
      <c r="G178" s="226"/>
      <c r="H178" s="273"/>
      <c r="I178" s="400"/>
      <c r="J178" s="242" t="b">
        <f>Age_Sex_PY[[#This Row],[Total Spending After Applying Truncation at the Member Level]]+Age_Sex_PY[[#This Row],[Total Dollars Excluded from Spending After Applying Truncation at the Member Level]]=Age_Sex_PY[[#This Row],[Total Spending before Truncation is Applied]]</f>
        <v>1</v>
      </c>
    </row>
    <row r="179" spans="1:10" x14ac:dyDescent="0.25">
      <c r="A179" s="339"/>
      <c r="B179" s="270"/>
      <c r="C179" s="271"/>
      <c r="D179" s="456"/>
      <c r="E179" s="362"/>
      <c r="F179" s="272"/>
      <c r="G179" s="460"/>
      <c r="H179" s="272"/>
      <c r="I179" s="399"/>
      <c r="J179" s="242" t="b">
        <f>Age_Sex_PY[[#This Row],[Total Spending After Applying Truncation at the Member Level]]+Age_Sex_PY[[#This Row],[Total Dollars Excluded from Spending After Applying Truncation at the Member Level]]=Age_Sex_PY[[#This Row],[Total Spending before Truncation is Applied]]</f>
        <v>1</v>
      </c>
    </row>
    <row r="180" spans="1:10" x14ac:dyDescent="0.25">
      <c r="A180" s="342"/>
      <c r="B180" s="4"/>
      <c r="C180" s="16"/>
      <c r="D180" s="457"/>
      <c r="E180" s="363"/>
      <c r="F180" s="273"/>
      <c r="G180" s="226"/>
      <c r="H180" s="273"/>
      <c r="I180" s="400"/>
      <c r="J180" s="242" t="b">
        <f>Age_Sex_PY[[#This Row],[Total Spending After Applying Truncation at the Member Level]]+Age_Sex_PY[[#This Row],[Total Dollars Excluded from Spending After Applying Truncation at the Member Level]]=Age_Sex_PY[[#This Row],[Total Spending before Truncation is Applied]]</f>
        <v>1</v>
      </c>
    </row>
    <row r="181" spans="1:10" x14ac:dyDescent="0.25">
      <c r="A181" s="339"/>
      <c r="B181" s="270"/>
      <c r="C181" s="271"/>
      <c r="D181" s="456"/>
      <c r="E181" s="362"/>
      <c r="F181" s="272"/>
      <c r="G181" s="460"/>
      <c r="H181" s="272"/>
      <c r="I181" s="399"/>
      <c r="J181" s="242" t="b">
        <f>Age_Sex_PY[[#This Row],[Total Spending After Applying Truncation at the Member Level]]+Age_Sex_PY[[#This Row],[Total Dollars Excluded from Spending After Applying Truncation at the Member Level]]=Age_Sex_PY[[#This Row],[Total Spending before Truncation is Applied]]</f>
        <v>1</v>
      </c>
    </row>
    <row r="182" spans="1:10" x14ac:dyDescent="0.25">
      <c r="A182" s="342"/>
      <c r="B182" s="4"/>
      <c r="C182" s="16"/>
      <c r="D182" s="457"/>
      <c r="E182" s="363"/>
      <c r="F182" s="273"/>
      <c r="G182" s="226"/>
      <c r="H182" s="273"/>
      <c r="I182" s="400"/>
      <c r="J182" s="242" t="b">
        <f>Age_Sex_PY[[#This Row],[Total Spending After Applying Truncation at the Member Level]]+Age_Sex_PY[[#This Row],[Total Dollars Excluded from Spending After Applying Truncation at the Member Level]]=Age_Sex_PY[[#This Row],[Total Spending before Truncation is Applied]]</f>
        <v>1</v>
      </c>
    </row>
    <row r="183" spans="1:10" x14ac:dyDescent="0.25">
      <c r="A183" s="339"/>
      <c r="B183" s="270"/>
      <c r="C183" s="271"/>
      <c r="D183" s="456"/>
      <c r="E183" s="362"/>
      <c r="F183" s="272"/>
      <c r="G183" s="460"/>
      <c r="H183" s="272"/>
      <c r="I183" s="399"/>
      <c r="J183" s="242" t="b">
        <f>Age_Sex_PY[[#This Row],[Total Spending After Applying Truncation at the Member Level]]+Age_Sex_PY[[#This Row],[Total Dollars Excluded from Spending After Applying Truncation at the Member Level]]=Age_Sex_PY[[#This Row],[Total Spending before Truncation is Applied]]</f>
        <v>1</v>
      </c>
    </row>
    <row r="184" spans="1:10" x14ac:dyDescent="0.25">
      <c r="A184" s="342"/>
      <c r="B184" s="4"/>
      <c r="C184" s="16"/>
      <c r="D184" s="457"/>
      <c r="E184" s="363"/>
      <c r="F184" s="273"/>
      <c r="G184" s="226"/>
      <c r="H184" s="273"/>
      <c r="I184" s="400"/>
      <c r="J184" s="242" t="b">
        <f>Age_Sex_PY[[#This Row],[Total Spending After Applying Truncation at the Member Level]]+Age_Sex_PY[[#This Row],[Total Dollars Excluded from Spending After Applying Truncation at the Member Level]]=Age_Sex_PY[[#This Row],[Total Spending before Truncation is Applied]]</f>
        <v>1</v>
      </c>
    </row>
    <row r="185" spans="1:10" x14ac:dyDescent="0.25">
      <c r="A185" s="339"/>
      <c r="B185" s="270"/>
      <c r="C185" s="271"/>
      <c r="D185" s="456"/>
      <c r="E185" s="362"/>
      <c r="F185" s="272"/>
      <c r="G185" s="460"/>
      <c r="H185" s="272"/>
      <c r="I185" s="399"/>
      <c r="J185" s="242" t="b">
        <f>Age_Sex_PY[[#This Row],[Total Spending After Applying Truncation at the Member Level]]+Age_Sex_PY[[#This Row],[Total Dollars Excluded from Spending After Applying Truncation at the Member Level]]=Age_Sex_PY[[#This Row],[Total Spending before Truncation is Applied]]</f>
        <v>1</v>
      </c>
    </row>
    <row r="186" spans="1:10" x14ac:dyDescent="0.25">
      <c r="A186" s="342"/>
      <c r="B186" s="4"/>
      <c r="C186" s="16"/>
      <c r="D186" s="457"/>
      <c r="E186" s="363"/>
      <c r="F186" s="273"/>
      <c r="G186" s="226"/>
      <c r="H186" s="273"/>
      <c r="I186" s="400"/>
      <c r="J186" s="242" t="b">
        <f>Age_Sex_PY[[#This Row],[Total Spending After Applying Truncation at the Member Level]]+Age_Sex_PY[[#This Row],[Total Dollars Excluded from Spending After Applying Truncation at the Member Level]]=Age_Sex_PY[[#This Row],[Total Spending before Truncation is Applied]]</f>
        <v>1</v>
      </c>
    </row>
    <row r="187" spans="1:10" x14ac:dyDescent="0.25">
      <c r="A187" s="339"/>
      <c r="B187" s="270"/>
      <c r="C187" s="271"/>
      <c r="D187" s="456"/>
      <c r="E187" s="362"/>
      <c r="F187" s="272"/>
      <c r="G187" s="460"/>
      <c r="H187" s="272"/>
      <c r="I187" s="399"/>
      <c r="J187" s="242" t="b">
        <f>Age_Sex_PY[[#This Row],[Total Spending After Applying Truncation at the Member Level]]+Age_Sex_PY[[#This Row],[Total Dollars Excluded from Spending After Applying Truncation at the Member Level]]=Age_Sex_PY[[#This Row],[Total Spending before Truncation is Applied]]</f>
        <v>1</v>
      </c>
    </row>
    <row r="188" spans="1:10" x14ac:dyDescent="0.25">
      <c r="A188" s="342"/>
      <c r="B188" s="4"/>
      <c r="C188" s="16"/>
      <c r="D188" s="457"/>
      <c r="E188" s="363"/>
      <c r="F188" s="273"/>
      <c r="G188" s="226"/>
      <c r="H188" s="273"/>
      <c r="I188" s="400"/>
      <c r="J188" s="242" t="b">
        <f>Age_Sex_PY[[#This Row],[Total Spending After Applying Truncation at the Member Level]]+Age_Sex_PY[[#This Row],[Total Dollars Excluded from Spending After Applying Truncation at the Member Level]]=Age_Sex_PY[[#This Row],[Total Spending before Truncation is Applied]]</f>
        <v>1</v>
      </c>
    </row>
    <row r="189" spans="1:10" x14ac:dyDescent="0.25">
      <c r="A189" s="339"/>
      <c r="B189" s="270"/>
      <c r="C189" s="271"/>
      <c r="D189" s="456"/>
      <c r="E189" s="362"/>
      <c r="F189" s="272"/>
      <c r="G189" s="460"/>
      <c r="H189" s="272"/>
      <c r="I189" s="399"/>
      <c r="J189" s="242" t="b">
        <f>Age_Sex_PY[[#This Row],[Total Spending After Applying Truncation at the Member Level]]+Age_Sex_PY[[#This Row],[Total Dollars Excluded from Spending After Applying Truncation at the Member Level]]=Age_Sex_PY[[#This Row],[Total Spending before Truncation is Applied]]</f>
        <v>1</v>
      </c>
    </row>
    <row r="190" spans="1:10" x14ac:dyDescent="0.25">
      <c r="A190" s="342"/>
      <c r="B190" s="4"/>
      <c r="C190" s="16"/>
      <c r="D190" s="457"/>
      <c r="E190" s="363"/>
      <c r="F190" s="273"/>
      <c r="G190" s="226"/>
      <c r="H190" s="273"/>
      <c r="I190" s="400"/>
      <c r="J190" s="242" t="b">
        <f>Age_Sex_PY[[#This Row],[Total Spending After Applying Truncation at the Member Level]]+Age_Sex_PY[[#This Row],[Total Dollars Excluded from Spending After Applying Truncation at the Member Level]]=Age_Sex_PY[[#This Row],[Total Spending before Truncation is Applied]]</f>
        <v>1</v>
      </c>
    </row>
    <row r="191" spans="1:10" x14ac:dyDescent="0.25">
      <c r="A191" s="339"/>
      <c r="B191" s="270"/>
      <c r="C191" s="271"/>
      <c r="D191" s="456"/>
      <c r="E191" s="362"/>
      <c r="F191" s="272"/>
      <c r="G191" s="460"/>
      <c r="H191" s="272"/>
      <c r="I191" s="399"/>
      <c r="J191" s="242" t="b">
        <f>Age_Sex_PY[[#This Row],[Total Spending After Applying Truncation at the Member Level]]+Age_Sex_PY[[#This Row],[Total Dollars Excluded from Spending After Applying Truncation at the Member Level]]=Age_Sex_PY[[#This Row],[Total Spending before Truncation is Applied]]</f>
        <v>1</v>
      </c>
    </row>
    <row r="192" spans="1:10" x14ac:dyDescent="0.25">
      <c r="A192" s="342"/>
      <c r="B192" s="4"/>
      <c r="C192" s="16"/>
      <c r="D192" s="457"/>
      <c r="E192" s="363"/>
      <c r="F192" s="273"/>
      <c r="G192" s="226"/>
      <c r="H192" s="273"/>
      <c r="I192" s="400"/>
      <c r="J192" s="242" t="b">
        <f>Age_Sex_PY[[#This Row],[Total Spending After Applying Truncation at the Member Level]]+Age_Sex_PY[[#This Row],[Total Dollars Excluded from Spending After Applying Truncation at the Member Level]]=Age_Sex_PY[[#This Row],[Total Spending before Truncation is Applied]]</f>
        <v>1</v>
      </c>
    </row>
    <row r="193" spans="1:10" x14ac:dyDescent="0.25">
      <c r="A193" s="339"/>
      <c r="B193" s="270"/>
      <c r="C193" s="271"/>
      <c r="D193" s="456"/>
      <c r="E193" s="362"/>
      <c r="F193" s="272"/>
      <c r="G193" s="460"/>
      <c r="H193" s="272"/>
      <c r="I193" s="399"/>
      <c r="J193" s="242" t="b">
        <f>Age_Sex_PY[[#This Row],[Total Spending After Applying Truncation at the Member Level]]+Age_Sex_PY[[#This Row],[Total Dollars Excluded from Spending After Applying Truncation at the Member Level]]=Age_Sex_PY[[#This Row],[Total Spending before Truncation is Applied]]</f>
        <v>1</v>
      </c>
    </row>
    <row r="194" spans="1:10" x14ac:dyDescent="0.25">
      <c r="A194" s="342"/>
      <c r="B194" s="4"/>
      <c r="C194" s="16"/>
      <c r="D194" s="457"/>
      <c r="E194" s="363"/>
      <c r="F194" s="273"/>
      <c r="G194" s="226"/>
      <c r="H194" s="273"/>
      <c r="I194" s="400"/>
      <c r="J194" s="242" t="b">
        <f>Age_Sex_PY[[#This Row],[Total Spending After Applying Truncation at the Member Level]]+Age_Sex_PY[[#This Row],[Total Dollars Excluded from Spending After Applying Truncation at the Member Level]]=Age_Sex_PY[[#This Row],[Total Spending before Truncation is Applied]]</f>
        <v>1</v>
      </c>
    </row>
    <row r="195" spans="1:10" x14ac:dyDescent="0.25">
      <c r="A195" s="339"/>
      <c r="B195" s="270"/>
      <c r="C195" s="271"/>
      <c r="D195" s="456"/>
      <c r="E195" s="362"/>
      <c r="F195" s="272"/>
      <c r="G195" s="460"/>
      <c r="H195" s="272"/>
      <c r="I195" s="399"/>
      <c r="J195" s="242" t="b">
        <f>Age_Sex_PY[[#This Row],[Total Spending After Applying Truncation at the Member Level]]+Age_Sex_PY[[#This Row],[Total Dollars Excluded from Spending After Applying Truncation at the Member Level]]=Age_Sex_PY[[#This Row],[Total Spending before Truncation is Applied]]</f>
        <v>1</v>
      </c>
    </row>
    <row r="196" spans="1:10" x14ac:dyDescent="0.25">
      <c r="A196" s="342"/>
      <c r="B196" s="4"/>
      <c r="C196" s="16"/>
      <c r="D196" s="457"/>
      <c r="E196" s="363"/>
      <c r="F196" s="273"/>
      <c r="G196" s="226"/>
      <c r="H196" s="273"/>
      <c r="I196" s="400"/>
      <c r="J196" s="242" t="b">
        <f>Age_Sex_PY[[#This Row],[Total Spending After Applying Truncation at the Member Level]]+Age_Sex_PY[[#This Row],[Total Dollars Excluded from Spending After Applying Truncation at the Member Level]]=Age_Sex_PY[[#This Row],[Total Spending before Truncation is Applied]]</f>
        <v>1</v>
      </c>
    </row>
    <row r="197" spans="1:10" x14ac:dyDescent="0.25">
      <c r="A197" s="339"/>
      <c r="B197" s="270"/>
      <c r="C197" s="271"/>
      <c r="D197" s="456"/>
      <c r="E197" s="362"/>
      <c r="F197" s="272"/>
      <c r="G197" s="460"/>
      <c r="H197" s="272"/>
      <c r="I197" s="399"/>
      <c r="J197" s="242" t="b">
        <f>Age_Sex_PY[[#This Row],[Total Spending After Applying Truncation at the Member Level]]+Age_Sex_PY[[#This Row],[Total Dollars Excluded from Spending After Applying Truncation at the Member Level]]=Age_Sex_PY[[#This Row],[Total Spending before Truncation is Applied]]</f>
        <v>1</v>
      </c>
    </row>
    <row r="198" spans="1:10" x14ac:dyDescent="0.25">
      <c r="A198" s="342"/>
      <c r="B198" s="4"/>
      <c r="C198" s="16"/>
      <c r="D198" s="457"/>
      <c r="E198" s="363"/>
      <c r="F198" s="273"/>
      <c r="G198" s="226"/>
      <c r="H198" s="273"/>
      <c r="I198" s="400"/>
      <c r="J198" s="242" t="b">
        <f>Age_Sex_PY[[#This Row],[Total Spending After Applying Truncation at the Member Level]]+Age_Sex_PY[[#This Row],[Total Dollars Excluded from Spending After Applying Truncation at the Member Level]]=Age_Sex_PY[[#This Row],[Total Spending before Truncation is Applied]]</f>
        <v>1</v>
      </c>
    </row>
    <row r="199" spans="1:10" x14ac:dyDescent="0.25">
      <c r="A199" s="339"/>
      <c r="B199" s="270"/>
      <c r="C199" s="271"/>
      <c r="D199" s="456"/>
      <c r="E199" s="362"/>
      <c r="F199" s="272"/>
      <c r="G199" s="460"/>
      <c r="H199" s="272"/>
      <c r="I199" s="399"/>
      <c r="J199" s="242" t="b">
        <f>Age_Sex_PY[[#This Row],[Total Spending After Applying Truncation at the Member Level]]+Age_Sex_PY[[#This Row],[Total Dollars Excluded from Spending After Applying Truncation at the Member Level]]=Age_Sex_PY[[#This Row],[Total Spending before Truncation is Applied]]</f>
        <v>1</v>
      </c>
    </row>
    <row r="200" spans="1:10" x14ac:dyDescent="0.25">
      <c r="A200" s="342"/>
      <c r="B200" s="4"/>
      <c r="C200" s="16"/>
      <c r="D200" s="457"/>
      <c r="E200" s="363"/>
      <c r="F200" s="273"/>
      <c r="G200" s="226"/>
      <c r="H200" s="273"/>
      <c r="I200" s="400"/>
      <c r="J200" s="242" t="b">
        <f>Age_Sex_PY[[#This Row],[Total Spending After Applying Truncation at the Member Level]]+Age_Sex_PY[[#This Row],[Total Dollars Excluded from Spending After Applying Truncation at the Member Level]]=Age_Sex_PY[[#This Row],[Total Spending before Truncation is Applied]]</f>
        <v>1</v>
      </c>
    </row>
    <row r="201" spans="1:10" x14ac:dyDescent="0.25">
      <c r="A201" s="339"/>
      <c r="B201" s="270"/>
      <c r="C201" s="271"/>
      <c r="D201" s="456"/>
      <c r="E201" s="362"/>
      <c r="F201" s="272"/>
      <c r="G201" s="460"/>
      <c r="H201" s="272"/>
      <c r="I201" s="399"/>
      <c r="J201" s="242" t="b">
        <f>Age_Sex_PY[[#This Row],[Total Spending After Applying Truncation at the Member Level]]+Age_Sex_PY[[#This Row],[Total Dollars Excluded from Spending After Applying Truncation at the Member Level]]=Age_Sex_PY[[#This Row],[Total Spending before Truncation is Applied]]</f>
        <v>1</v>
      </c>
    </row>
    <row r="202" spans="1:10" x14ac:dyDescent="0.25">
      <c r="A202" s="342"/>
      <c r="B202" s="4"/>
      <c r="C202" s="16"/>
      <c r="D202" s="457"/>
      <c r="E202" s="363"/>
      <c r="F202" s="273"/>
      <c r="G202" s="226"/>
      <c r="H202" s="273"/>
      <c r="I202" s="400"/>
      <c r="J202" s="242" t="b">
        <f>Age_Sex_PY[[#This Row],[Total Spending After Applying Truncation at the Member Level]]+Age_Sex_PY[[#This Row],[Total Dollars Excluded from Spending After Applying Truncation at the Member Level]]=Age_Sex_PY[[#This Row],[Total Spending before Truncation is Applied]]</f>
        <v>1</v>
      </c>
    </row>
    <row r="203" spans="1:10" x14ac:dyDescent="0.25">
      <c r="A203" s="339"/>
      <c r="B203" s="270"/>
      <c r="C203" s="271"/>
      <c r="D203" s="456"/>
      <c r="E203" s="362"/>
      <c r="F203" s="272"/>
      <c r="G203" s="460"/>
      <c r="H203" s="272"/>
      <c r="I203" s="399"/>
      <c r="J203" s="242" t="b">
        <f>Age_Sex_PY[[#This Row],[Total Spending After Applying Truncation at the Member Level]]+Age_Sex_PY[[#This Row],[Total Dollars Excluded from Spending After Applying Truncation at the Member Level]]=Age_Sex_PY[[#This Row],[Total Spending before Truncation is Applied]]</f>
        <v>1</v>
      </c>
    </row>
    <row r="204" spans="1:10" x14ac:dyDescent="0.25">
      <c r="A204" s="342"/>
      <c r="B204" s="4"/>
      <c r="C204" s="16"/>
      <c r="D204" s="457"/>
      <c r="E204" s="363"/>
      <c r="F204" s="273"/>
      <c r="G204" s="226"/>
      <c r="H204" s="273"/>
      <c r="I204" s="400"/>
      <c r="J204" s="242" t="b">
        <f>Age_Sex_PY[[#This Row],[Total Spending After Applying Truncation at the Member Level]]+Age_Sex_PY[[#This Row],[Total Dollars Excluded from Spending After Applying Truncation at the Member Level]]=Age_Sex_PY[[#This Row],[Total Spending before Truncation is Applied]]</f>
        <v>1</v>
      </c>
    </row>
    <row r="205" spans="1:10" x14ac:dyDescent="0.25">
      <c r="A205" s="339"/>
      <c r="B205" s="270"/>
      <c r="C205" s="271"/>
      <c r="D205" s="456"/>
      <c r="E205" s="362"/>
      <c r="F205" s="272"/>
      <c r="G205" s="460"/>
      <c r="H205" s="272"/>
      <c r="I205" s="399"/>
      <c r="J205" s="242" t="b">
        <f>Age_Sex_PY[[#This Row],[Total Spending After Applying Truncation at the Member Level]]+Age_Sex_PY[[#This Row],[Total Dollars Excluded from Spending After Applying Truncation at the Member Level]]=Age_Sex_PY[[#This Row],[Total Spending before Truncation is Applied]]</f>
        <v>1</v>
      </c>
    </row>
    <row r="206" spans="1:10" x14ac:dyDescent="0.25">
      <c r="A206" s="342"/>
      <c r="B206" s="4"/>
      <c r="C206" s="16"/>
      <c r="D206" s="457"/>
      <c r="E206" s="363"/>
      <c r="F206" s="273"/>
      <c r="G206" s="226"/>
      <c r="H206" s="273"/>
      <c r="I206" s="400"/>
      <c r="J206" s="242" t="b">
        <f>Age_Sex_PY[[#This Row],[Total Spending After Applying Truncation at the Member Level]]+Age_Sex_PY[[#This Row],[Total Dollars Excluded from Spending After Applying Truncation at the Member Level]]=Age_Sex_PY[[#This Row],[Total Spending before Truncation is Applied]]</f>
        <v>1</v>
      </c>
    </row>
    <row r="207" spans="1:10" x14ac:dyDescent="0.25">
      <c r="A207" s="339"/>
      <c r="B207" s="270"/>
      <c r="C207" s="271"/>
      <c r="D207" s="456"/>
      <c r="E207" s="362"/>
      <c r="F207" s="272"/>
      <c r="G207" s="460"/>
      <c r="H207" s="272"/>
      <c r="I207" s="399"/>
      <c r="J207" s="242" t="b">
        <f>Age_Sex_PY[[#This Row],[Total Spending After Applying Truncation at the Member Level]]+Age_Sex_PY[[#This Row],[Total Dollars Excluded from Spending After Applying Truncation at the Member Level]]=Age_Sex_PY[[#This Row],[Total Spending before Truncation is Applied]]</f>
        <v>1</v>
      </c>
    </row>
    <row r="208" spans="1:10" x14ac:dyDescent="0.25">
      <c r="A208" s="342"/>
      <c r="B208" s="4"/>
      <c r="C208" s="16"/>
      <c r="D208" s="457"/>
      <c r="E208" s="363"/>
      <c r="F208" s="273"/>
      <c r="G208" s="226"/>
      <c r="H208" s="273"/>
      <c r="I208" s="400"/>
      <c r="J208" s="242" t="b">
        <f>Age_Sex_PY[[#This Row],[Total Spending After Applying Truncation at the Member Level]]+Age_Sex_PY[[#This Row],[Total Dollars Excluded from Spending After Applying Truncation at the Member Level]]=Age_Sex_PY[[#This Row],[Total Spending before Truncation is Applied]]</f>
        <v>1</v>
      </c>
    </row>
    <row r="209" spans="1:10" x14ac:dyDescent="0.25">
      <c r="A209" s="339"/>
      <c r="B209" s="270"/>
      <c r="C209" s="271"/>
      <c r="D209" s="456"/>
      <c r="E209" s="362"/>
      <c r="F209" s="272"/>
      <c r="G209" s="460"/>
      <c r="H209" s="272"/>
      <c r="I209" s="399"/>
      <c r="J209" s="242" t="b">
        <f>Age_Sex_PY[[#This Row],[Total Spending After Applying Truncation at the Member Level]]+Age_Sex_PY[[#This Row],[Total Dollars Excluded from Spending After Applying Truncation at the Member Level]]=Age_Sex_PY[[#This Row],[Total Spending before Truncation is Applied]]</f>
        <v>1</v>
      </c>
    </row>
    <row r="210" spans="1:10" x14ac:dyDescent="0.25">
      <c r="A210" s="342"/>
      <c r="B210" s="4"/>
      <c r="C210" s="16"/>
      <c r="D210" s="457"/>
      <c r="E210" s="363"/>
      <c r="F210" s="273"/>
      <c r="G210" s="226"/>
      <c r="H210" s="273"/>
      <c r="I210" s="400"/>
      <c r="J210" s="242" t="b">
        <f>Age_Sex_PY[[#This Row],[Total Spending After Applying Truncation at the Member Level]]+Age_Sex_PY[[#This Row],[Total Dollars Excluded from Spending After Applying Truncation at the Member Level]]=Age_Sex_PY[[#This Row],[Total Spending before Truncation is Applied]]</f>
        <v>1</v>
      </c>
    </row>
    <row r="211" spans="1:10" x14ac:dyDescent="0.25">
      <c r="A211" s="339"/>
      <c r="B211" s="270"/>
      <c r="C211" s="271"/>
      <c r="D211" s="456"/>
      <c r="E211" s="362"/>
      <c r="F211" s="272"/>
      <c r="G211" s="460"/>
      <c r="H211" s="272"/>
      <c r="I211" s="399"/>
      <c r="J211" s="242" t="b">
        <f>Age_Sex_PY[[#This Row],[Total Spending After Applying Truncation at the Member Level]]+Age_Sex_PY[[#This Row],[Total Dollars Excluded from Spending After Applying Truncation at the Member Level]]=Age_Sex_PY[[#This Row],[Total Spending before Truncation is Applied]]</f>
        <v>1</v>
      </c>
    </row>
    <row r="212" spans="1:10" x14ac:dyDescent="0.25">
      <c r="A212" s="342"/>
      <c r="B212" s="4"/>
      <c r="C212" s="16"/>
      <c r="D212" s="457"/>
      <c r="E212" s="363"/>
      <c r="F212" s="273"/>
      <c r="G212" s="226"/>
      <c r="H212" s="273"/>
      <c r="I212" s="400"/>
      <c r="J212" s="242" t="b">
        <f>Age_Sex_PY[[#This Row],[Total Spending After Applying Truncation at the Member Level]]+Age_Sex_PY[[#This Row],[Total Dollars Excluded from Spending After Applying Truncation at the Member Level]]=Age_Sex_PY[[#This Row],[Total Spending before Truncation is Applied]]</f>
        <v>1</v>
      </c>
    </row>
    <row r="213" spans="1:10" x14ac:dyDescent="0.25">
      <c r="A213" s="339"/>
      <c r="B213" s="270"/>
      <c r="C213" s="271"/>
      <c r="D213" s="456"/>
      <c r="E213" s="362"/>
      <c r="F213" s="272"/>
      <c r="G213" s="460"/>
      <c r="H213" s="272"/>
      <c r="I213" s="399"/>
      <c r="J213" s="242" t="b">
        <f>Age_Sex_PY[[#This Row],[Total Spending After Applying Truncation at the Member Level]]+Age_Sex_PY[[#This Row],[Total Dollars Excluded from Spending After Applying Truncation at the Member Level]]=Age_Sex_PY[[#This Row],[Total Spending before Truncation is Applied]]</f>
        <v>1</v>
      </c>
    </row>
    <row r="214" spans="1:10" x14ac:dyDescent="0.25">
      <c r="A214" s="342"/>
      <c r="B214" s="4"/>
      <c r="C214" s="16"/>
      <c r="D214" s="457"/>
      <c r="E214" s="363"/>
      <c r="F214" s="273"/>
      <c r="G214" s="226"/>
      <c r="H214" s="273"/>
      <c r="I214" s="400"/>
      <c r="J214" s="242" t="b">
        <f>Age_Sex_PY[[#This Row],[Total Spending After Applying Truncation at the Member Level]]+Age_Sex_PY[[#This Row],[Total Dollars Excluded from Spending After Applying Truncation at the Member Level]]=Age_Sex_PY[[#This Row],[Total Spending before Truncation is Applied]]</f>
        <v>1</v>
      </c>
    </row>
    <row r="215" spans="1:10" x14ac:dyDescent="0.25">
      <c r="A215" s="339"/>
      <c r="B215" s="270"/>
      <c r="C215" s="271"/>
      <c r="D215" s="456"/>
      <c r="E215" s="362"/>
      <c r="F215" s="272"/>
      <c r="G215" s="460"/>
      <c r="H215" s="272"/>
      <c r="I215" s="399"/>
      <c r="J215" s="242" t="b">
        <f>Age_Sex_PY[[#This Row],[Total Spending After Applying Truncation at the Member Level]]+Age_Sex_PY[[#This Row],[Total Dollars Excluded from Spending After Applying Truncation at the Member Level]]=Age_Sex_PY[[#This Row],[Total Spending before Truncation is Applied]]</f>
        <v>1</v>
      </c>
    </row>
    <row r="216" spans="1:10" x14ac:dyDescent="0.25">
      <c r="A216" s="342"/>
      <c r="B216" s="4"/>
      <c r="C216" s="16"/>
      <c r="D216" s="457"/>
      <c r="E216" s="363"/>
      <c r="F216" s="273"/>
      <c r="G216" s="226"/>
      <c r="H216" s="273"/>
      <c r="I216" s="400"/>
      <c r="J216" s="242" t="b">
        <f>Age_Sex_PY[[#This Row],[Total Spending After Applying Truncation at the Member Level]]+Age_Sex_PY[[#This Row],[Total Dollars Excluded from Spending After Applying Truncation at the Member Level]]=Age_Sex_PY[[#This Row],[Total Spending before Truncation is Applied]]</f>
        <v>1</v>
      </c>
    </row>
    <row r="217" spans="1:10" x14ac:dyDescent="0.25">
      <c r="A217" s="339"/>
      <c r="B217" s="270"/>
      <c r="C217" s="271"/>
      <c r="D217" s="456"/>
      <c r="E217" s="362"/>
      <c r="F217" s="272"/>
      <c r="G217" s="460"/>
      <c r="H217" s="272"/>
      <c r="I217" s="399"/>
      <c r="J217" s="242" t="b">
        <f>Age_Sex_PY[[#This Row],[Total Spending After Applying Truncation at the Member Level]]+Age_Sex_PY[[#This Row],[Total Dollars Excluded from Spending After Applying Truncation at the Member Level]]=Age_Sex_PY[[#This Row],[Total Spending before Truncation is Applied]]</f>
        <v>1</v>
      </c>
    </row>
    <row r="218" spans="1:10" x14ac:dyDescent="0.25">
      <c r="A218" s="342"/>
      <c r="B218" s="4"/>
      <c r="C218" s="16"/>
      <c r="D218" s="457"/>
      <c r="E218" s="363"/>
      <c r="F218" s="273"/>
      <c r="G218" s="226"/>
      <c r="H218" s="273"/>
      <c r="I218" s="400"/>
      <c r="J218" s="242" t="b">
        <f>Age_Sex_PY[[#This Row],[Total Spending After Applying Truncation at the Member Level]]+Age_Sex_PY[[#This Row],[Total Dollars Excluded from Spending After Applying Truncation at the Member Level]]=Age_Sex_PY[[#This Row],[Total Spending before Truncation is Applied]]</f>
        <v>1</v>
      </c>
    </row>
    <row r="219" spans="1:10" x14ac:dyDescent="0.25">
      <c r="A219" s="339"/>
      <c r="B219" s="270"/>
      <c r="C219" s="271"/>
      <c r="D219" s="456"/>
      <c r="E219" s="362"/>
      <c r="F219" s="272"/>
      <c r="G219" s="460"/>
      <c r="H219" s="272"/>
      <c r="I219" s="399"/>
      <c r="J219" s="242" t="b">
        <f>Age_Sex_PY[[#This Row],[Total Spending After Applying Truncation at the Member Level]]+Age_Sex_PY[[#This Row],[Total Dollars Excluded from Spending After Applying Truncation at the Member Level]]=Age_Sex_PY[[#This Row],[Total Spending before Truncation is Applied]]</f>
        <v>1</v>
      </c>
    </row>
    <row r="220" spans="1:10" x14ac:dyDescent="0.25">
      <c r="A220" s="342"/>
      <c r="B220" s="4"/>
      <c r="C220" s="16"/>
      <c r="D220" s="457"/>
      <c r="E220" s="363"/>
      <c r="F220" s="273"/>
      <c r="G220" s="226"/>
      <c r="H220" s="273"/>
      <c r="I220" s="400"/>
      <c r="J220" s="242" t="b">
        <f>Age_Sex_PY[[#This Row],[Total Spending After Applying Truncation at the Member Level]]+Age_Sex_PY[[#This Row],[Total Dollars Excluded from Spending After Applying Truncation at the Member Level]]=Age_Sex_PY[[#This Row],[Total Spending before Truncation is Applied]]</f>
        <v>1</v>
      </c>
    </row>
    <row r="221" spans="1:10" x14ac:dyDescent="0.25">
      <c r="A221" s="339"/>
      <c r="B221" s="270"/>
      <c r="C221" s="271"/>
      <c r="D221" s="456"/>
      <c r="E221" s="362"/>
      <c r="F221" s="272"/>
      <c r="G221" s="460"/>
      <c r="H221" s="272"/>
      <c r="I221" s="399"/>
      <c r="J221" s="242" t="b">
        <f>Age_Sex_PY[[#This Row],[Total Spending After Applying Truncation at the Member Level]]+Age_Sex_PY[[#This Row],[Total Dollars Excluded from Spending After Applying Truncation at the Member Level]]=Age_Sex_PY[[#This Row],[Total Spending before Truncation is Applied]]</f>
        <v>1</v>
      </c>
    </row>
    <row r="222" spans="1:10" x14ac:dyDescent="0.25">
      <c r="A222" s="342"/>
      <c r="B222" s="4"/>
      <c r="C222" s="16"/>
      <c r="D222" s="457"/>
      <c r="E222" s="363"/>
      <c r="F222" s="273"/>
      <c r="G222" s="226"/>
      <c r="H222" s="273"/>
      <c r="I222" s="400"/>
      <c r="J222" s="242" t="b">
        <f>Age_Sex_PY[[#This Row],[Total Spending After Applying Truncation at the Member Level]]+Age_Sex_PY[[#This Row],[Total Dollars Excluded from Spending After Applying Truncation at the Member Level]]=Age_Sex_PY[[#This Row],[Total Spending before Truncation is Applied]]</f>
        <v>1</v>
      </c>
    </row>
    <row r="223" spans="1:10" x14ac:dyDescent="0.25">
      <c r="A223" s="339"/>
      <c r="B223" s="270"/>
      <c r="C223" s="271"/>
      <c r="D223" s="456"/>
      <c r="E223" s="362"/>
      <c r="F223" s="272"/>
      <c r="G223" s="460"/>
      <c r="H223" s="272"/>
      <c r="I223" s="399"/>
      <c r="J223" s="242" t="b">
        <f>Age_Sex_PY[[#This Row],[Total Spending After Applying Truncation at the Member Level]]+Age_Sex_PY[[#This Row],[Total Dollars Excluded from Spending After Applying Truncation at the Member Level]]=Age_Sex_PY[[#This Row],[Total Spending before Truncation is Applied]]</f>
        <v>1</v>
      </c>
    </row>
    <row r="224" spans="1:10" x14ac:dyDescent="0.25">
      <c r="A224" s="342"/>
      <c r="B224" s="4"/>
      <c r="C224" s="16"/>
      <c r="D224" s="457"/>
      <c r="E224" s="363"/>
      <c r="F224" s="273"/>
      <c r="G224" s="226"/>
      <c r="H224" s="273"/>
      <c r="I224" s="400"/>
      <c r="J224" s="242" t="b">
        <f>Age_Sex_PY[[#This Row],[Total Spending After Applying Truncation at the Member Level]]+Age_Sex_PY[[#This Row],[Total Dollars Excluded from Spending After Applying Truncation at the Member Level]]=Age_Sex_PY[[#This Row],[Total Spending before Truncation is Applied]]</f>
        <v>1</v>
      </c>
    </row>
    <row r="225" spans="1:10" x14ac:dyDescent="0.25">
      <c r="A225" s="339"/>
      <c r="B225" s="270"/>
      <c r="C225" s="271"/>
      <c r="D225" s="456"/>
      <c r="E225" s="362"/>
      <c r="F225" s="272"/>
      <c r="G225" s="460"/>
      <c r="H225" s="272"/>
      <c r="I225" s="399"/>
      <c r="J225" s="242" t="b">
        <f>Age_Sex_PY[[#This Row],[Total Spending After Applying Truncation at the Member Level]]+Age_Sex_PY[[#This Row],[Total Dollars Excluded from Spending After Applying Truncation at the Member Level]]=Age_Sex_PY[[#This Row],[Total Spending before Truncation is Applied]]</f>
        <v>1</v>
      </c>
    </row>
    <row r="226" spans="1:10" x14ac:dyDescent="0.25">
      <c r="A226" s="342"/>
      <c r="B226" s="4"/>
      <c r="C226" s="16"/>
      <c r="D226" s="457"/>
      <c r="E226" s="363"/>
      <c r="F226" s="273"/>
      <c r="G226" s="226"/>
      <c r="H226" s="273"/>
      <c r="I226" s="400"/>
      <c r="J226" s="242" t="b">
        <f>Age_Sex_PY[[#This Row],[Total Spending After Applying Truncation at the Member Level]]+Age_Sex_PY[[#This Row],[Total Dollars Excluded from Spending After Applying Truncation at the Member Level]]=Age_Sex_PY[[#This Row],[Total Spending before Truncation is Applied]]</f>
        <v>1</v>
      </c>
    </row>
    <row r="227" spans="1:10" x14ac:dyDescent="0.25">
      <c r="A227" s="339"/>
      <c r="B227" s="270"/>
      <c r="C227" s="271"/>
      <c r="D227" s="456"/>
      <c r="E227" s="362"/>
      <c r="F227" s="272"/>
      <c r="G227" s="460"/>
      <c r="H227" s="272"/>
      <c r="I227" s="399"/>
      <c r="J227" s="242" t="b">
        <f>Age_Sex_PY[[#This Row],[Total Spending After Applying Truncation at the Member Level]]+Age_Sex_PY[[#This Row],[Total Dollars Excluded from Spending After Applying Truncation at the Member Level]]=Age_Sex_PY[[#This Row],[Total Spending before Truncation is Applied]]</f>
        <v>1</v>
      </c>
    </row>
    <row r="228" spans="1:10" x14ac:dyDescent="0.25">
      <c r="A228" s="342"/>
      <c r="B228" s="4"/>
      <c r="C228" s="16"/>
      <c r="D228" s="457"/>
      <c r="E228" s="363"/>
      <c r="F228" s="273"/>
      <c r="G228" s="226"/>
      <c r="H228" s="273"/>
      <c r="I228" s="400"/>
      <c r="J228" s="242" t="b">
        <f>Age_Sex_PY[[#This Row],[Total Spending After Applying Truncation at the Member Level]]+Age_Sex_PY[[#This Row],[Total Dollars Excluded from Spending After Applying Truncation at the Member Level]]=Age_Sex_PY[[#This Row],[Total Spending before Truncation is Applied]]</f>
        <v>1</v>
      </c>
    </row>
    <row r="229" spans="1:10" x14ac:dyDescent="0.25">
      <c r="A229" s="339"/>
      <c r="B229" s="270"/>
      <c r="C229" s="271"/>
      <c r="D229" s="456"/>
      <c r="E229" s="362"/>
      <c r="F229" s="272"/>
      <c r="G229" s="460"/>
      <c r="H229" s="272"/>
      <c r="I229" s="399"/>
      <c r="J229" s="242" t="b">
        <f>Age_Sex_PY[[#This Row],[Total Spending After Applying Truncation at the Member Level]]+Age_Sex_PY[[#This Row],[Total Dollars Excluded from Spending After Applying Truncation at the Member Level]]=Age_Sex_PY[[#This Row],[Total Spending before Truncation is Applied]]</f>
        <v>1</v>
      </c>
    </row>
    <row r="230" spans="1:10" x14ac:dyDescent="0.25">
      <c r="A230" s="342"/>
      <c r="B230" s="4"/>
      <c r="C230" s="16"/>
      <c r="D230" s="457"/>
      <c r="E230" s="363"/>
      <c r="F230" s="273"/>
      <c r="G230" s="226"/>
      <c r="H230" s="273"/>
      <c r="I230" s="400"/>
      <c r="J230" s="242" t="b">
        <f>Age_Sex_PY[[#This Row],[Total Spending After Applying Truncation at the Member Level]]+Age_Sex_PY[[#This Row],[Total Dollars Excluded from Spending After Applying Truncation at the Member Level]]=Age_Sex_PY[[#This Row],[Total Spending before Truncation is Applied]]</f>
        <v>1</v>
      </c>
    </row>
    <row r="231" spans="1:10" x14ac:dyDescent="0.25">
      <c r="A231" s="339"/>
      <c r="B231" s="270"/>
      <c r="C231" s="271"/>
      <c r="D231" s="456"/>
      <c r="E231" s="362"/>
      <c r="F231" s="272"/>
      <c r="G231" s="460"/>
      <c r="H231" s="272"/>
      <c r="I231" s="399"/>
      <c r="J231" s="242" t="b">
        <f>Age_Sex_PY[[#This Row],[Total Spending After Applying Truncation at the Member Level]]+Age_Sex_PY[[#This Row],[Total Dollars Excluded from Spending After Applying Truncation at the Member Level]]=Age_Sex_PY[[#This Row],[Total Spending before Truncation is Applied]]</f>
        <v>1</v>
      </c>
    </row>
    <row r="232" spans="1:10" x14ac:dyDescent="0.25">
      <c r="A232" s="342"/>
      <c r="B232" s="4"/>
      <c r="C232" s="16"/>
      <c r="D232" s="457"/>
      <c r="E232" s="363"/>
      <c r="F232" s="273"/>
      <c r="G232" s="226"/>
      <c r="H232" s="273"/>
      <c r="I232" s="400"/>
      <c r="J232" s="242" t="b">
        <f>Age_Sex_PY[[#This Row],[Total Spending After Applying Truncation at the Member Level]]+Age_Sex_PY[[#This Row],[Total Dollars Excluded from Spending After Applying Truncation at the Member Level]]=Age_Sex_PY[[#This Row],[Total Spending before Truncation is Applied]]</f>
        <v>1</v>
      </c>
    </row>
    <row r="233" spans="1:10" x14ac:dyDescent="0.25">
      <c r="A233" s="339"/>
      <c r="B233" s="270"/>
      <c r="C233" s="271"/>
      <c r="D233" s="456"/>
      <c r="E233" s="362"/>
      <c r="F233" s="272"/>
      <c r="G233" s="460"/>
      <c r="H233" s="272"/>
      <c r="I233" s="399"/>
      <c r="J233" s="242" t="b">
        <f>Age_Sex_PY[[#This Row],[Total Spending After Applying Truncation at the Member Level]]+Age_Sex_PY[[#This Row],[Total Dollars Excluded from Spending After Applying Truncation at the Member Level]]=Age_Sex_PY[[#This Row],[Total Spending before Truncation is Applied]]</f>
        <v>1</v>
      </c>
    </row>
    <row r="234" spans="1:10" x14ac:dyDescent="0.25">
      <c r="A234" s="342"/>
      <c r="B234" s="4"/>
      <c r="C234" s="16"/>
      <c r="D234" s="457"/>
      <c r="E234" s="363"/>
      <c r="F234" s="273"/>
      <c r="G234" s="226"/>
      <c r="H234" s="273"/>
      <c r="I234" s="400"/>
      <c r="J234" s="242" t="b">
        <f>Age_Sex_PY[[#This Row],[Total Spending After Applying Truncation at the Member Level]]+Age_Sex_PY[[#This Row],[Total Dollars Excluded from Spending After Applying Truncation at the Member Level]]=Age_Sex_PY[[#This Row],[Total Spending before Truncation is Applied]]</f>
        <v>1</v>
      </c>
    </row>
    <row r="235" spans="1:10" x14ac:dyDescent="0.25">
      <c r="A235" s="339"/>
      <c r="B235" s="270"/>
      <c r="C235" s="271"/>
      <c r="D235" s="456"/>
      <c r="E235" s="362"/>
      <c r="F235" s="272"/>
      <c r="G235" s="460"/>
      <c r="H235" s="272"/>
      <c r="I235" s="399"/>
      <c r="J235" s="242" t="b">
        <f>Age_Sex_PY[[#This Row],[Total Spending After Applying Truncation at the Member Level]]+Age_Sex_PY[[#This Row],[Total Dollars Excluded from Spending After Applying Truncation at the Member Level]]=Age_Sex_PY[[#This Row],[Total Spending before Truncation is Applied]]</f>
        <v>1</v>
      </c>
    </row>
    <row r="236" spans="1:10" x14ac:dyDescent="0.25">
      <c r="A236" s="342"/>
      <c r="B236" s="4"/>
      <c r="C236" s="16"/>
      <c r="D236" s="457"/>
      <c r="E236" s="363"/>
      <c r="F236" s="273"/>
      <c r="G236" s="226"/>
      <c r="H236" s="273"/>
      <c r="I236" s="400"/>
      <c r="J236" s="242" t="b">
        <f>Age_Sex_PY[[#This Row],[Total Spending After Applying Truncation at the Member Level]]+Age_Sex_PY[[#This Row],[Total Dollars Excluded from Spending After Applying Truncation at the Member Level]]=Age_Sex_PY[[#This Row],[Total Spending before Truncation is Applied]]</f>
        <v>1</v>
      </c>
    </row>
    <row r="237" spans="1:10" x14ac:dyDescent="0.25">
      <c r="A237" s="339"/>
      <c r="B237" s="270"/>
      <c r="C237" s="271"/>
      <c r="D237" s="456"/>
      <c r="E237" s="362"/>
      <c r="F237" s="272"/>
      <c r="G237" s="460"/>
      <c r="H237" s="272"/>
      <c r="I237" s="399"/>
      <c r="J237" s="242" t="b">
        <f>Age_Sex_PY[[#This Row],[Total Spending After Applying Truncation at the Member Level]]+Age_Sex_PY[[#This Row],[Total Dollars Excluded from Spending After Applying Truncation at the Member Level]]=Age_Sex_PY[[#This Row],[Total Spending before Truncation is Applied]]</f>
        <v>1</v>
      </c>
    </row>
    <row r="238" spans="1:10" x14ac:dyDescent="0.25">
      <c r="A238" s="342"/>
      <c r="B238" s="4"/>
      <c r="C238" s="16"/>
      <c r="D238" s="457"/>
      <c r="E238" s="363"/>
      <c r="F238" s="273"/>
      <c r="G238" s="226"/>
      <c r="H238" s="273"/>
      <c r="I238" s="400"/>
      <c r="J238" s="242" t="b">
        <f>Age_Sex_PY[[#This Row],[Total Spending After Applying Truncation at the Member Level]]+Age_Sex_PY[[#This Row],[Total Dollars Excluded from Spending After Applying Truncation at the Member Level]]=Age_Sex_PY[[#This Row],[Total Spending before Truncation is Applied]]</f>
        <v>1</v>
      </c>
    </row>
    <row r="239" spans="1:10" x14ac:dyDescent="0.25">
      <c r="A239" s="339"/>
      <c r="B239" s="270"/>
      <c r="C239" s="271"/>
      <c r="D239" s="456"/>
      <c r="E239" s="362"/>
      <c r="F239" s="272"/>
      <c r="G239" s="460"/>
      <c r="H239" s="272"/>
      <c r="I239" s="399"/>
      <c r="J239" s="242" t="b">
        <f>Age_Sex_PY[[#This Row],[Total Spending After Applying Truncation at the Member Level]]+Age_Sex_PY[[#This Row],[Total Dollars Excluded from Spending After Applying Truncation at the Member Level]]=Age_Sex_PY[[#This Row],[Total Spending before Truncation is Applied]]</f>
        <v>1</v>
      </c>
    </row>
    <row r="240" spans="1:10" x14ac:dyDescent="0.25">
      <c r="A240" s="342"/>
      <c r="B240" s="4"/>
      <c r="C240" s="16"/>
      <c r="D240" s="457"/>
      <c r="E240" s="363"/>
      <c r="F240" s="273"/>
      <c r="G240" s="226"/>
      <c r="H240" s="273"/>
      <c r="I240" s="400"/>
      <c r="J240" s="242" t="b">
        <f>Age_Sex_PY[[#This Row],[Total Spending After Applying Truncation at the Member Level]]+Age_Sex_PY[[#This Row],[Total Dollars Excluded from Spending After Applying Truncation at the Member Level]]=Age_Sex_PY[[#This Row],[Total Spending before Truncation is Applied]]</f>
        <v>1</v>
      </c>
    </row>
    <row r="241" spans="1:10" x14ac:dyDescent="0.25">
      <c r="A241" s="339"/>
      <c r="B241" s="270"/>
      <c r="C241" s="271"/>
      <c r="D241" s="456"/>
      <c r="E241" s="362"/>
      <c r="F241" s="272"/>
      <c r="G241" s="460"/>
      <c r="H241" s="272"/>
      <c r="I241" s="399"/>
      <c r="J241" s="242" t="b">
        <f>Age_Sex_PY[[#This Row],[Total Spending After Applying Truncation at the Member Level]]+Age_Sex_PY[[#This Row],[Total Dollars Excluded from Spending After Applying Truncation at the Member Level]]=Age_Sex_PY[[#This Row],[Total Spending before Truncation is Applied]]</f>
        <v>1</v>
      </c>
    </row>
    <row r="242" spans="1:10" x14ac:dyDescent="0.25">
      <c r="A242" s="342"/>
      <c r="B242" s="4"/>
      <c r="C242" s="16"/>
      <c r="D242" s="457"/>
      <c r="E242" s="363"/>
      <c r="F242" s="273"/>
      <c r="G242" s="226"/>
      <c r="H242" s="273"/>
      <c r="I242" s="400"/>
      <c r="J242" s="242" t="b">
        <f>Age_Sex_PY[[#This Row],[Total Spending After Applying Truncation at the Member Level]]+Age_Sex_PY[[#This Row],[Total Dollars Excluded from Spending After Applying Truncation at the Member Level]]=Age_Sex_PY[[#This Row],[Total Spending before Truncation is Applied]]</f>
        <v>1</v>
      </c>
    </row>
    <row r="243" spans="1:10" x14ac:dyDescent="0.25">
      <c r="A243" s="339"/>
      <c r="B243" s="270"/>
      <c r="C243" s="271"/>
      <c r="D243" s="456"/>
      <c r="E243" s="362"/>
      <c r="F243" s="272"/>
      <c r="G243" s="460"/>
      <c r="H243" s="272"/>
      <c r="I243" s="399"/>
      <c r="J243" s="242" t="b">
        <f>Age_Sex_PY[[#This Row],[Total Spending After Applying Truncation at the Member Level]]+Age_Sex_PY[[#This Row],[Total Dollars Excluded from Spending After Applying Truncation at the Member Level]]=Age_Sex_PY[[#This Row],[Total Spending before Truncation is Applied]]</f>
        <v>1</v>
      </c>
    </row>
    <row r="244" spans="1:10" x14ac:dyDescent="0.25">
      <c r="A244" s="342"/>
      <c r="B244" s="4"/>
      <c r="C244" s="16"/>
      <c r="D244" s="457"/>
      <c r="E244" s="363"/>
      <c r="F244" s="273"/>
      <c r="G244" s="226"/>
      <c r="H244" s="273"/>
      <c r="I244" s="400"/>
      <c r="J244" s="242" t="b">
        <f>Age_Sex_PY[[#This Row],[Total Spending After Applying Truncation at the Member Level]]+Age_Sex_PY[[#This Row],[Total Dollars Excluded from Spending After Applying Truncation at the Member Level]]=Age_Sex_PY[[#This Row],[Total Spending before Truncation is Applied]]</f>
        <v>1</v>
      </c>
    </row>
    <row r="245" spans="1:10" x14ac:dyDescent="0.25">
      <c r="A245" s="339"/>
      <c r="B245" s="270"/>
      <c r="C245" s="271"/>
      <c r="D245" s="456"/>
      <c r="E245" s="362"/>
      <c r="F245" s="272"/>
      <c r="G245" s="460"/>
      <c r="H245" s="272"/>
      <c r="I245" s="399"/>
      <c r="J245" s="242" t="b">
        <f>Age_Sex_PY[[#This Row],[Total Spending After Applying Truncation at the Member Level]]+Age_Sex_PY[[#This Row],[Total Dollars Excluded from Spending After Applying Truncation at the Member Level]]=Age_Sex_PY[[#This Row],[Total Spending before Truncation is Applied]]</f>
        <v>1</v>
      </c>
    </row>
    <row r="246" spans="1:10" x14ac:dyDescent="0.25">
      <c r="A246" s="342"/>
      <c r="B246" s="4"/>
      <c r="C246" s="16"/>
      <c r="D246" s="457"/>
      <c r="E246" s="363"/>
      <c r="F246" s="273"/>
      <c r="G246" s="226"/>
      <c r="H246" s="273"/>
      <c r="I246" s="400"/>
      <c r="J246" s="242" t="b">
        <f>Age_Sex_PY[[#This Row],[Total Spending After Applying Truncation at the Member Level]]+Age_Sex_PY[[#This Row],[Total Dollars Excluded from Spending After Applying Truncation at the Member Level]]=Age_Sex_PY[[#This Row],[Total Spending before Truncation is Applied]]</f>
        <v>1</v>
      </c>
    </row>
    <row r="247" spans="1:10" x14ac:dyDescent="0.25">
      <c r="A247" s="339"/>
      <c r="B247" s="270"/>
      <c r="C247" s="271"/>
      <c r="D247" s="456"/>
      <c r="E247" s="362"/>
      <c r="F247" s="272"/>
      <c r="G247" s="460"/>
      <c r="H247" s="272"/>
      <c r="I247" s="399"/>
      <c r="J247" s="242" t="b">
        <f>Age_Sex_PY[[#This Row],[Total Spending After Applying Truncation at the Member Level]]+Age_Sex_PY[[#This Row],[Total Dollars Excluded from Spending After Applying Truncation at the Member Level]]=Age_Sex_PY[[#This Row],[Total Spending before Truncation is Applied]]</f>
        <v>1</v>
      </c>
    </row>
    <row r="248" spans="1:10" x14ac:dyDescent="0.25">
      <c r="A248" s="342"/>
      <c r="B248" s="4"/>
      <c r="C248" s="16"/>
      <c r="D248" s="457"/>
      <c r="E248" s="363"/>
      <c r="F248" s="273"/>
      <c r="G248" s="226"/>
      <c r="H248" s="273"/>
      <c r="I248" s="400"/>
      <c r="J248" s="242" t="b">
        <f>Age_Sex_PY[[#This Row],[Total Spending After Applying Truncation at the Member Level]]+Age_Sex_PY[[#This Row],[Total Dollars Excluded from Spending After Applying Truncation at the Member Level]]=Age_Sex_PY[[#This Row],[Total Spending before Truncation is Applied]]</f>
        <v>1</v>
      </c>
    </row>
    <row r="249" spans="1:10" x14ac:dyDescent="0.25">
      <c r="A249" s="339"/>
      <c r="B249" s="270"/>
      <c r="C249" s="271"/>
      <c r="D249" s="456"/>
      <c r="E249" s="362"/>
      <c r="F249" s="272"/>
      <c r="G249" s="460"/>
      <c r="H249" s="272"/>
      <c r="I249" s="399"/>
      <c r="J249" s="242" t="b">
        <f>Age_Sex_PY[[#This Row],[Total Spending After Applying Truncation at the Member Level]]+Age_Sex_PY[[#This Row],[Total Dollars Excluded from Spending After Applying Truncation at the Member Level]]=Age_Sex_PY[[#This Row],[Total Spending before Truncation is Applied]]</f>
        <v>1</v>
      </c>
    </row>
    <row r="250" spans="1:10" x14ac:dyDescent="0.25">
      <c r="A250" s="342"/>
      <c r="B250" s="4"/>
      <c r="C250" s="16"/>
      <c r="D250" s="457"/>
      <c r="E250" s="363"/>
      <c r="F250" s="273"/>
      <c r="G250" s="226"/>
      <c r="H250" s="273"/>
      <c r="I250" s="400"/>
      <c r="J250" s="242" t="b">
        <f>Age_Sex_PY[[#This Row],[Total Spending After Applying Truncation at the Member Level]]+Age_Sex_PY[[#This Row],[Total Dollars Excluded from Spending After Applying Truncation at the Member Level]]=Age_Sex_PY[[#This Row],[Total Spending before Truncation is Applied]]</f>
        <v>1</v>
      </c>
    </row>
    <row r="251" spans="1:10" x14ac:dyDescent="0.25">
      <c r="A251" s="339"/>
      <c r="B251" s="270"/>
      <c r="C251" s="271"/>
      <c r="D251" s="456"/>
      <c r="E251" s="362"/>
      <c r="F251" s="272"/>
      <c r="G251" s="460"/>
      <c r="H251" s="272"/>
      <c r="I251" s="399"/>
      <c r="J251" s="242" t="b">
        <f>Age_Sex_PY[[#This Row],[Total Spending After Applying Truncation at the Member Level]]+Age_Sex_PY[[#This Row],[Total Dollars Excluded from Spending After Applying Truncation at the Member Level]]=Age_Sex_PY[[#This Row],[Total Spending before Truncation is Applied]]</f>
        <v>1</v>
      </c>
    </row>
    <row r="252" spans="1:10" x14ac:dyDescent="0.25">
      <c r="A252" s="342"/>
      <c r="B252" s="4"/>
      <c r="C252" s="16"/>
      <c r="D252" s="457"/>
      <c r="E252" s="363"/>
      <c r="F252" s="273"/>
      <c r="G252" s="226"/>
      <c r="H252" s="273"/>
      <c r="I252" s="400"/>
      <c r="J252" s="242" t="b">
        <f>Age_Sex_PY[[#This Row],[Total Spending After Applying Truncation at the Member Level]]+Age_Sex_PY[[#This Row],[Total Dollars Excluded from Spending After Applying Truncation at the Member Level]]=Age_Sex_PY[[#This Row],[Total Spending before Truncation is Applied]]</f>
        <v>1</v>
      </c>
    </row>
    <row r="253" spans="1:10" x14ac:dyDescent="0.25">
      <c r="A253" s="339"/>
      <c r="B253" s="270"/>
      <c r="C253" s="271"/>
      <c r="D253" s="456"/>
      <c r="E253" s="362"/>
      <c r="F253" s="272"/>
      <c r="G253" s="460"/>
      <c r="H253" s="272"/>
      <c r="I253" s="399"/>
      <c r="J253" s="242" t="b">
        <f>Age_Sex_PY[[#This Row],[Total Spending After Applying Truncation at the Member Level]]+Age_Sex_PY[[#This Row],[Total Dollars Excluded from Spending After Applying Truncation at the Member Level]]=Age_Sex_PY[[#This Row],[Total Spending before Truncation is Applied]]</f>
        <v>1</v>
      </c>
    </row>
    <row r="254" spans="1:10" x14ac:dyDescent="0.25">
      <c r="A254" s="342"/>
      <c r="B254" s="4"/>
      <c r="C254" s="16"/>
      <c r="D254" s="457"/>
      <c r="E254" s="363"/>
      <c r="F254" s="273"/>
      <c r="G254" s="226"/>
      <c r="H254" s="273"/>
      <c r="I254" s="400"/>
      <c r="J254" s="242" t="b">
        <f>Age_Sex_PY[[#This Row],[Total Spending After Applying Truncation at the Member Level]]+Age_Sex_PY[[#This Row],[Total Dollars Excluded from Spending After Applying Truncation at the Member Level]]=Age_Sex_PY[[#This Row],[Total Spending before Truncation is Applied]]</f>
        <v>1</v>
      </c>
    </row>
    <row r="255" spans="1:10" x14ac:dyDescent="0.25">
      <c r="A255" s="339"/>
      <c r="B255" s="270"/>
      <c r="C255" s="271"/>
      <c r="D255" s="456"/>
      <c r="E255" s="362"/>
      <c r="F255" s="272"/>
      <c r="G255" s="460"/>
      <c r="H255" s="272"/>
      <c r="I255" s="399"/>
      <c r="J255" s="242" t="b">
        <f>Age_Sex_PY[[#This Row],[Total Spending After Applying Truncation at the Member Level]]+Age_Sex_PY[[#This Row],[Total Dollars Excluded from Spending After Applying Truncation at the Member Level]]=Age_Sex_PY[[#This Row],[Total Spending before Truncation is Applied]]</f>
        <v>1</v>
      </c>
    </row>
    <row r="256" spans="1:10" x14ac:dyDescent="0.25">
      <c r="A256" s="342"/>
      <c r="B256" s="4"/>
      <c r="C256" s="16"/>
      <c r="D256" s="457"/>
      <c r="E256" s="363"/>
      <c r="F256" s="273"/>
      <c r="G256" s="226"/>
      <c r="H256" s="273"/>
      <c r="I256" s="400"/>
      <c r="J256" s="242" t="b">
        <f>Age_Sex_PY[[#This Row],[Total Spending After Applying Truncation at the Member Level]]+Age_Sex_PY[[#This Row],[Total Dollars Excluded from Spending After Applying Truncation at the Member Level]]=Age_Sex_PY[[#This Row],[Total Spending before Truncation is Applied]]</f>
        <v>1</v>
      </c>
    </row>
    <row r="257" spans="1:10" x14ac:dyDescent="0.25">
      <c r="A257" s="339"/>
      <c r="B257" s="270"/>
      <c r="C257" s="271"/>
      <c r="D257" s="456"/>
      <c r="E257" s="362"/>
      <c r="F257" s="272"/>
      <c r="G257" s="460"/>
      <c r="H257" s="272"/>
      <c r="I257" s="399"/>
      <c r="J257" s="242" t="b">
        <f>Age_Sex_PY[[#This Row],[Total Spending After Applying Truncation at the Member Level]]+Age_Sex_PY[[#This Row],[Total Dollars Excluded from Spending After Applying Truncation at the Member Level]]=Age_Sex_PY[[#This Row],[Total Spending before Truncation is Applied]]</f>
        <v>1</v>
      </c>
    </row>
    <row r="258" spans="1:10" x14ac:dyDescent="0.25">
      <c r="A258" s="342"/>
      <c r="B258" s="4"/>
      <c r="C258" s="16"/>
      <c r="D258" s="457"/>
      <c r="E258" s="363"/>
      <c r="F258" s="273"/>
      <c r="G258" s="226"/>
      <c r="H258" s="273"/>
      <c r="I258" s="400"/>
      <c r="J258" s="242" t="b">
        <f>Age_Sex_PY[[#This Row],[Total Spending After Applying Truncation at the Member Level]]+Age_Sex_PY[[#This Row],[Total Dollars Excluded from Spending After Applying Truncation at the Member Level]]=Age_Sex_PY[[#This Row],[Total Spending before Truncation is Applied]]</f>
        <v>1</v>
      </c>
    </row>
    <row r="259" spans="1:10" x14ac:dyDescent="0.25">
      <c r="A259" s="339"/>
      <c r="B259" s="270"/>
      <c r="C259" s="271"/>
      <c r="D259" s="456"/>
      <c r="E259" s="362"/>
      <c r="F259" s="272"/>
      <c r="G259" s="460"/>
      <c r="H259" s="272"/>
      <c r="I259" s="399"/>
      <c r="J259" s="242" t="b">
        <f>Age_Sex_PY[[#This Row],[Total Spending After Applying Truncation at the Member Level]]+Age_Sex_PY[[#This Row],[Total Dollars Excluded from Spending After Applying Truncation at the Member Level]]=Age_Sex_PY[[#This Row],[Total Spending before Truncation is Applied]]</f>
        <v>1</v>
      </c>
    </row>
    <row r="260" spans="1:10" x14ac:dyDescent="0.25">
      <c r="A260" s="342"/>
      <c r="B260" s="4"/>
      <c r="C260" s="16"/>
      <c r="D260" s="457"/>
      <c r="E260" s="363"/>
      <c r="F260" s="273"/>
      <c r="G260" s="226"/>
      <c r="H260" s="273"/>
      <c r="I260" s="400"/>
      <c r="J260" s="242" t="b">
        <f>Age_Sex_PY[[#This Row],[Total Spending After Applying Truncation at the Member Level]]+Age_Sex_PY[[#This Row],[Total Dollars Excluded from Spending After Applying Truncation at the Member Level]]=Age_Sex_PY[[#This Row],[Total Spending before Truncation is Applied]]</f>
        <v>1</v>
      </c>
    </row>
    <row r="261" spans="1:10" x14ac:dyDescent="0.25">
      <c r="A261" s="339"/>
      <c r="B261" s="270"/>
      <c r="C261" s="271"/>
      <c r="D261" s="456"/>
      <c r="E261" s="362"/>
      <c r="F261" s="272"/>
      <c r="G261" s="460"/>
      <c r="H261" s="272"/>
      <c r="I261" s="399"/>
      <c r="J261" s="242" t="b">
        <f>Age_Sex_PY[[#This Row],[Total Spending After Applying Truncation at the Member Level]]+Age_Sex_PY[[#This Row],[Total Dollars Excluded from Spending After Applying Truncation at the Member Level]]=Age_Sex_PY[[#This Row],[Total Spending before Truncation is Applied]]</f>
        <v>1</v>
      </c>
    </row>
    <row r="262" spans="1:10" x14ac:dyDescent="0.25">
      <c r="A262" s="342"/>
      <c r="B262" s="4"/>
      <c r="C262" s="16"/>
      <c r="D262" s="457"/>
      <c r="E262" s="363"/>
      <c r="F262" s="273"/>
      <c r="G262" s="226"/>
      <c r="H262" s="273"/>
      <c r="I262" s="400"/>
      <c r="J262" s="242" t="b">
        <f>Age_Sex_PY[[#This Row],[Total Spending After Applying Truncation at the Member Level]]+Age_Sex_PY[[#This Row],[Total Dollars Excluded from Spending After Applying Truncation at the Member Level]]=Age_Sex_PY[[#This Row],[Total Spending before Truncation is Applied]]</f>
        <v>1</v>
      </c>
    </row>
    <row r="263" spans="1:10" x14ac:dyDescent="0.25">
      <c r="A263" s="339"/>
      <c r="B263" s="270"/>
      <c r="C263" s="271"/>
      <c r="D263" s="456"/>
      <c r="E263" s="362"/>
      <c r="F263" s="272"/>
      <c r="G263" s="460"/>
      <c r="H263" s="272"/>
      <c r="I263" s="399"/>
      <c r="J263" s="242" t="b">
        <f>Age_Sex_PY[[#This Row],[Total Spending After Applying Truncation at the Member Level]]+Age_Sex_PY[[#This Row],[Total Dollars Excluded from Spending After Applying Truncation at the Member Level]]=Age_Sex_PY[[#This Row],[Total Spending before Truncation is Applied]]</f>
        <v>1</v>
      </c>
    </row>
    <row r="264" spans="1:10" x14ac:dyDescent="0.25">
      <c r="A264" s="342"/>
      <c r="B264" s="4"/>
      <c r="C264" s="16"/>
      <c r="D264" s="457"/>
      <c r="E264" s="363"/>
      <c r="F264" s="273"/>
      <c r="G264" s="226"/>
      <c r="H264" s="273"/>
      <c r="I264" s="400"/>
      <c r="J264" s="242" t="b">
        <f>Age_Sex_PY[[#This Row],[Total Spending After Applying Truncation at the Member Level]]+Age_Sex_PY[[#This Row],[Total Dollars Excluded from Spending After Applying Truncation at the Member Level]]=Age_Sex_PY[[#This Row],[Total Spending before Truncation is Applied]]</f>
        <v>1</v>
      </c>
    </row>
    <row r="265" spans="1:10" x14ac:dyDescent="0.25">
      <c r="A265" s="339"/>
      <c r="B265" s="270"/>
      <c r="C265" s="271"/>
      <c r="D265" s="456"/>
      <c r="E265" s="362"/>
      <c r="F265" s="272"/>
      <c r="G265" s="460"/>
      <c r="H265" s="272"/>
      <c r="I265" s="399"/>
      <c r="J265" s="242" t="b">
        <f>Age_Sex_PY[[#This Row],[Total Spending After Applying Truncation at the Member Level]]+Age_Sex_PY[[#This Row],[Total Dollars Excluded from Spending After Applying Truncation at the Member Level]]=Age_Sex_PY[[#This Row],[Total Spending before Truncation is Applied]]</f>
        <v>1</v>
      </c>
    </row>
    <row r="266" spans="1:10" x14ac:dyDescent="0.25">
      <c r="A266" s="342"/>
      <c r="B266" s="4"/>
      <c r="C266" s="16"/>
      <c r="D266" s="457"/>
      <c r="E266" s="363"/>
      <c r="F266" s="273"/>
      <c r="G266" s="226"/>
      <c r="H266" s="273"/>
      <c r="I266" s="400"/>
      <c r="J266" s="242" t="b">
        <f>Age_Sex_PY[[#This Row],[Total Spending After Applying Truncation at the Member Level]]+Age_Sex_PY[[#This Row],[Total Dollars Excluded from Spending After Applying Truncation at the Member Level]]=Age_Sex_PY[[#This Row],[Total Spending before Truncation is Applied]]</f>
        <v>1</v>
      </c>
    </row>
    <row r="267" spans="1:10" x14ac:dyDescent="0.25">
      <c r="A267" s="339"/>
      <c r="B267" s="270"/>
      <c r="C267" s="271"/>
      <c r="D267" s="456"/>
      <c r="E267" s="362"/>
      <c r="F267" s="272"/>
      <c r="G267" s="460"/>
      <c r="H267" s="272"/>
      <c r="I267" s="399"/>
      <c r="J267" s="242" t="b">
        <f>Age_Sex_PY[[#This Row],[Total Spending After Applying Truncation at the Member Level]]+Age_Sex_PY[[#This Row],[Total Dollars Excluded from Spending After Applying Truncation at the Member Level]]=Age_Sex_PY[[#This Row],[Total Spending before Truncation is Applied]]</f>
        <v>1</v>
      </c>
    </row>
    <row r="268" spans="1:10" x14ac:dyDescent="0.25">
      <c r="A268" s="342"/>
      <c r="B268" s="4"/>
      <c r="C268" s="16"/>
      <c r="D268" s="457"/>
      <c r="E268" s="363"/>
      <c r="F268" s="273"/>
      <c r="G268" s="226"/>
      <c r="H268" s="273"/>
      <c r="I268" s="400"/>
      <c r="J268" s="242" t="b">
        <f>Age_Sex_PY[[#This Row],[Total Spending After Applying Truncation at the Member Level]]+Age_Sex_PY[[#This Row],[Total Dollars Excluded from Spending After Applying Truncation at the Member Level]]=Age_Sex_PY[[#This Row],[Total Spending before Truncation is Applied]]</f>
        <v>1</v>
      </c>
    </row>
    <row r="269" spans="1:10" x14ac:dyDescent="0.25">
      <c r="A269" s="339"/>
      <c r="B269" s="270"/>
      <c r="C269" s="271"/>
      <c r="D269" s="456"/>
      <c r="E269" s="362"/>
      <c r="F269" s="272"/>
      <c r="G269" s="460"/>
      <c r="H269" s="272"/>
      <c r="I269" s="399"/>
      <c r="J269" s="242" t="b">
        <f>Age_Sex_PY[[#This Row],[Total Spending After Applying Truncation at the Member Level]]+Age_Sex_PY[[#This Row],[Total Dollars Excluded from Spending After Applying Truncation at the Member Level]]=Age_Sex_PY[[#This Row],[Total Spending before Truncation is Applied]]</f>
        <v>1</v>
      </c>
    </row>
    <row r="270" spans="1:10" x14ac:dyDescent="0.25">
      <c r="A270" s="342"/>
      <c r="B270" s="4"/>
      <c r="C270" s="16"/>
      <c r="D270" s="457"/>
      <c r="E270" s="363"/>
      <c r="F270" s="273"/>
      <c r="G270" s="226"/>
      <c r="H270" s="273"/>
      <c r="I270" s="400"/>
      <c r="J270" s="242" t="b">
        <f>Age_Sex_PY[[#This Row],[Total Spending After Applying Truncation at the Member Level]]+Age_Sex_PY[[#This Row],[Total Dollars Excluded from Spending After Applying Truncation at the Member Level]]=Age_Sex_PY[[#This Row],[Total Spending before Truncation is Applied]]</f>
        <v>1</v>
      </c>
    </row>
    <row r="271" spans="1:10" x14ac:dyDescent="0.25">
      <c r="A271" s="339"/>
      <c r="B271" s="270"/>
      <c r="C271" s="271"/>
      <c r="D271" s="456"/>
      <c r="E271" s="362"/>
      <c r="F271" s="272"/>
      <c r="G271" s="460"/>
      <c r="H271" s="272"/>
      <c r="I271" s="399"/>
      <c r="J271" s="242" t="b">
        <f>Age_Sex_PY[[#This Row],[Total Spending After Applying Truncation at the Member Level]]+Age_Sex_PY[[#This Row],[Total Dollars Excluded from Spending After Applying Truncation at the Member Level]]=Age_Sex_PY[[#This Row],[Total Spending before Truncation is Applied]]</f>
        <v>1</v>
      </c>
    </row>
    <row r="272" spans="1:10" x14ac:dyDescent="0.25">
      <c r="A272" s="342"/>
      <c r="B272" s="4"/>
      <c r="C272" s="16"/>
      <c r="D272" s="457"/>
      <c r="E272" s="363"/>
      <c r="F272" s="273"/>
      <c r="G272" s="226"/>
      <c r="H272" s="273"/>
      <c r="I272" s="400"/>
      <c r="J272" s="242" t="b">
        <f>Age_Sex_PY[[#This Row],[Total Spending After Applying Truncation at the Member Level]]+Age_Sex_PY[[#This Row],[Total Dollars Excluded from Spending After Applying Truncation at the Member Level]]=Age_Sex_PY[[#This Row],[Total Spending before Truncation is Applied]]</f>
        <v>1</v>
      </c>
    </row>
    <row r="273" spans="1:10" x14ac:dyDescent="0.25">
      <c r="A273" s="339"/>
      <c r="B273" s="270"/>
      <c r="C273" s="271"/>
      <c r="D273" s="456"/>
      <c r="E273" s="362"/>
      <c r="F273" s="272"/>
      <c r="G273" s="460"/>
      <c r="H273" s="272"/>
      <c r="I273" s="399"/>
      <c r="J273" s="242" t="b">
        <f>Age_Sex_PY[[#This Row],[Total Spending After Applying Truncation at the Member Level]]+Age_Sex_PY[[#This Row],[Total Dollars Excluded from Spending After Applying Truncation at the Member Level]]=Age_Sex_PY[[#This Row],[Total Spending before Truncation is Applied]]</f>
        <v>1</v>
      </c>
    </row>
    <row r="274" spans="1:10" x14ac:dyDescent="0.25">
      <c r="A274" s="342"/>
      <c r="B274" s="4"/>
      <c r="C274" s="16"/>
      <c r="D274" s="457"/>
      <c r="E274" s="363"/>
      <c r="F274" s="273"/>
      <c r="G274" s="226"/>
      <c r="H274" s="273"/>
      <c r="I274" s="400"/>
      <c r="J274" s="242" t="b">
        <f>Age_Sex_PY[[#This Row],[Total Spending After Applying Truncation at the Member Level]]+Age_Sex_PY[[#This Row],[Total Dollars Excluded from Spending After Applying Truncation at the Member Level]]=Age_Sex_PY[[#This Row],[Total Spending before Truncation is Applied]]</f>
        <v>1</v>
      </c>
    </row>
    <row r="275" spans="1:10" x14ac:dyDescent="0.25">
      <c r="A275" s="339"/>
      <c r="B275" s="270"/>
      <c r="C275" s="271"/>
      <c r="D275" s="456"/>
      <c r="E275" s="362"/>
      <c r="F275" s="272"/>
      <c r="G275" s="460"/>
      <c r="H275" s="272"/>
      <c r="I275" s="399"/>
      <c r="J275" s="242" t="b">
        <f>Age_Sex_PY[[#This Row],[Total Spending After Applying Truncation at the Member Level]]+Age_Sex_PY[[#This Row],[Total Dollars Excluded from Spending After Applying Truncation at the Member Level]]=Age_Sex_PY[[#This Row],[Total Spending before Truncation is Applied]]</f>
        <v>1</v>
      </c>
    </row>
    <row r="276" spans="1:10" x14ac:dyDescent="0.25">
      <c r="A276" s="342"/>
      <c r="B276" s="4"/>
      <c r="C276" s="16"/>
      <c r="D276" s="457"/>
      <c r="E276" s="363"/>
      <c r="F276" s="273"/>
      <c r="G276" s="226"/>
      <c r="H276" s="273"/>
      <c r="I276" s="400"/>
      <c r="J276" s="242" t="b">
        <f>Age_Sex_PY[[#This Row],[Total Spending After Applying Truncation at the Member Level]]+Age_Sex_PY[[#This Row],[Total Dollars Excluded from Spending After Applying Truncation at the Member Level]]=Age_Sex_PY[[#This Row],[Total Spending before Truncation is Applied]]</f>
        <v>1</v>
      </c>
    </row>
    <row r="277" spans="1:10" x14ac:dyDescent="0.25">
      <c r="A277" s="339"/>
      <c r="B277" s="270"/>
      <c r="C277" s="271"/>
      <c r="D277" s="456"/>
      <c r="E277" s="362"/>
      <c r="F277" s="272"/>
      <c r="G277" s="460"/>
      <c r="H277" s="272"/>
      <c r="I277" s="399"/>
      <c r="J277" s="242" t="b">
        <f>Age_Sex_PY[[#This Row],[Total Spending After Applying Truncation at the Member Level]]+Age_Sex_PY[[#This Row],[Total Dollars Excluded from Spending After Applying Truncation at the Member Level]]=Age_Sex_PY[[#This Row],[Total Spending before Truncation is Applied]]</f>
        <v>1</v>
      </c>
    </row>
    <row r="278" spans="1:10" x14ac:dyDescent="0.25">
      <c r="A278" s="342"/>
      <c r="B278" s="4"/>
      <c r="C278" s="16"/>
      <c r="D278" s="457"/>
      <c r="E278" s="363"/>
      <c r="F278" s="273"/>
      <c r="G278" s="226"/>
      <c r="H278" s="273"/>
      <c r="I278" s="400"/>
      <c r="J278" s="242" t="b">
        <f>Age_Sex_PY[[#This Row],[Total Spending After Applying Truncation at the Member Level]]+Age_Sex_PY[[#This Row],[Total Dollars Excluded from Spending After Applying Truncation at the Member Level]]=Age_Sex_PY[[#This Row],[Total Spending before Truncation is Applied]]</f>
        <v>1</v>
      </c>
    </row>
    <row r="279" spans="1:10" x14ac:dyDescent="0.25">
      <c r="A279" s="339"/>
      <c r="B279" s="270"/>
      <c r="C279" s="271"/>
      <c r="D279" s="456"/>
      <c r="E279" s="362"/>
      <c r="F279" s="272"/>
      <c r="G279" s="460"/>
      <c r="H279" s="272"/>
      <c r="I279" s="399"/>
      <c r="J279" s="242" t="b">
        <f>Age_Sex_PY[[#This Row],[Total Spending After Applying Truncation at the Member Level]]+Age_Sex_PY[[#This Row],[Total Dollars Excluded from Spending After Applying Truncation at the Member Level]]=Age_Sex_PY[[#This Row],[Total Spending before Truncation is Applied]]</f>
        <v>1</v>
      </c>
    </row>
    <row r="280" spans="1:10" x14ac:dyDescent="0.25">
      <c r="A280" s="342"/>
      <c r="B280" s="4"/>
      <c r="C280" s="16"/>
      <c r="D280" s="457"/>
      <c r="E280" s="363"/>
      <c r="F280" s="273"/>
      <c r="G280" s="226"/>
      <c r="H280" s="273"/>
      <c r="I280" s="400"/>
      <c r="J280" s="242" t="b">
        <f>Age_Sex_PY[[#This Row],[Total Spending After Applying Truncation at the Member Level]]+Age_Sex_PY[[#This Row],[Total Dollars Excluded from Spending After Applying Truncation at the Member Level]]=Age_Sex_PY[[#This Row],[Total Spending before Truncation is Applied]]</f>
        <v>1</v>
      </c>
    </row>
    <row r="281" spans="1:10" x14ac:dyDescent="0.25">
      <c r="A281" s="339"/>
      <c r="B281" s="270"/>
      <c r="C281" s="271"/>
      <c r="D281" s="456"/>
      <c r="E281" s="362"/>
      <c r="F281" s="272"/>
      <c r="G281" s="460"/>
      <c r="H281" s="272"/>
      <c r="I281" s="399"/>
      <c r="J281" s="242" t="b">
        <f>Age_Sex_PY[[#This Row],[Total Spending After Applying Truncation at the Member Level]]+Age_Sex_PY[[#This Row],[Total Dollars Excluded from Spending After Applying Truncation at the Member Level]]=Age_Sex_PY[[#This Row],[Total Spending before Truncation is Applied]]</f>
        <v>1</v>
      </c>
    </row>
    <row r="282" spans="1:10" x14ac:dyDescent="0.25">
      <c r="A282" s="342"/>
      <c r="B282" s="4"/>
      <c r="C282" s="16"/>
      <c r="D282" s="457"/>
      <c r="E282" s="363"/>
      <c r="F282" s="273"/>
      <c r="G282" s="226"/>
      <c r="H282" s="273"/>
      <c r="I282" s="400"/>
      <c r="J282" s="242" t="b">
        <f>Age_Sex_PY[[#This Row],[Total Spending After Applying Truncation at the Member Level]]+Age_Sex_PY[[#This Row],[Total Dollars Excluded from Spending After Applying Truncation at the Member Level]]=Age_Sex_PY[[#This Row],[Total Spending before Truncation is Applied]]</f>
        <v>1</v>
      </c>
    </row>
    <row r="283" spans="1:10" x14ac:dyDescent="0.25">
      <c r="A283" s="339"/>
      <c r="B283" s="270"/>
      <c r="C283" s="271"/>
      <c r="D283" s="456"/>
      <c r="E283" s="362"/>
      <c r="F283" s="272"/>
      <c r="G283" s="460"/>
      <c r="H283" s="272"/>
      <c r="I283" s="399"/>
      <c r="J283" s="242" t="b">
        <f>Age_Sex_PY[[#This Row],[Total Spending After Applying Truncation at the Member Level]]+Age_Sex_PY[[#This Row],[Total Dollars Excluded from Spending After Applying Truncation at the Member Level]]=Age_Sex_PY[[#This Row],[Total Spending before Truncation is Applied]]</f>
        <v>1</v>
      </c>
    </row>
    <row r="284" spans="1:10" x14ac:dyDescent="0.25">
      <c r="A284" s="342"/>
      <c r="B284" s="4"/>
      <c r="C284" s="16"/>
      <c r="D284" s="457"/>
      <c r="E284" s="363"/>
      <c r="F284" s="273"/>
      <c r="G284" s="226"/>
      <c r="H284" s="273"/>
      <c r="I284" s="400"/>
      <c r="J284" s="242" t="b">
        <f>Age_Sex_PY[[#This Row],[Total Spending After Applying Truncation at the Member Level]]+Age_Sex_PY[[#This Row],[Total Dollars Excluded from Spending After Applying Truncation at the Member Level]]=Age_Sex_PY[[#This Row],[Total Spending before Truncation is Applied]]</f>
        <v>1</v>
      </c>
    </row>
    <row r="285" spans="1:10" x14ac:dyDescent="0.25">
      <c r="A285" s="339"/>
      <c r="B285" s="270"/>
      <c r="C285" s="271"/>
      <c r="D285" s="456"/>
      <c r="E285" s="362"/>
      <c r="F285" s="272"/>
      <c r="G285" s="460"/>
      <c r="H285" s="272"/>
      <c r="I285" s="399"/>
      <c r="J285" s="242" t="b">
        <f>Age_Sex_PY[[#This Row],[Total Spending After Applying Truncation at the Member Level]]+Age_Sex_PY[[#This Row],[Total Dollars Excluded from Spending After Applying Truncation at the Member Level]]=Age_Sex_PY[[#This Row],[Total Spending before Truncation is Applied]]</f>
        <v>1</v>
      </c>
    </row>
    <row r="286" spans="1:10" x14ac:dyDescent="0.25">
      <c r="A286" s="342"/>
      <c r="B286" s="4"/>
      <c r="C286" s="16"/>
      <c r="D286" s="457"/>
      <c r="E286" s="363"/>
      <c r="F286" s="273"/>
      <c r="G286" s="226"/>
      <c r="H286" s="273"/>
      <c r="I286" s="400"/>
      <c r="J286" s="242" t="b">
        <f>Age_Sex_PY[[#This Row],[Total Spending After Applying Truncation at the Member Level]]+Age_Sex_PY[[#This Row],[Total Dollars Excluded from Spending After Applying Truncation at the Member Level]]=Age_Sex_PY[[#This Row],[Total Spending before Truncation is Applied]]</f>
        <v>1</v>
      </c>
    </row>
    <row r="287" spans="1:10" x14ac:dyDescent="0.25">
      <c r="A287" s="339"/>
      <c r="B287" s="270"/>
      <c r="C287" s="271"/>
      <c r="D287" s="456"/>
      <c r="E287" s="362"/>
      <c r="F287" s="272"/>
      <c r="G287" s="460"/>
      <c r="H287" s="272"/>
      <c r="I287" s="399"/>
      <c r="J287" s="242" t="b">
        <f>Age_Sex_PY[[#This Row],[Total Spending After Applying Truncation at the Member Level]]+Age_Sex_PY[[#This Row],[Total Dollars Excluded from Spending After Applying Truncation at the Member Level]]=Age_Sex_PY[[#This Row],[Total Spending before Truncation is Applied]]</f>
        <v>1</v>
      </c>
    </row>
    <row r="288" spans="1:10" x14ac:dyDescent="0.25">
      <c r="A288" s="342"/>
      <c r="B288" s="4"/>
      <c r="C288" s="16"/>
      <c r="D288" s="457"/>
      <c r="E288" s="363"/>
      <c r="F288" s="273"/>
      <c r="G288" s="226"/>
      <c r="H288" s="273"/>
      <c r="I288" s="400"/>
      <c r="J288" s="242" t="b">
        <f>Age_Sex_PY[[#This Row],[Total Spending After Applying Truncation at the Member Level]]+Age_Sex_PY[[#This Row],[Total Dollars Excluded from Spending After Applying Truncation at the Member Level]]=Age_Sex_PY[[#This Row],[Total Spending before Truncation is Applied]]</f>
        <v>1</v>
      </c>
    </row>
    <row r="289" spans="1:10" x14ac:dyDescent="0.25">
      <c r="A289" s="339"/>
      <c r="B289" s="270"/>
      <c r="C289" s="271"/>
      <c r="D289" s="456"/>
      <c r="E289" s="362"/>
      <c r="F289" s="272"/>
      <c r="G289" s="460"/>
      <c r="H289" s="272"/>
      <c r="I289" s="399"/>
      <c r="J289" s="242" t="b">
        <f>Age_Sex_PY[[#This Row],[Total Spending After Applying Truncation at the Member Level]]+Age_Sex_PY[[#This Row],[Total Dollars Excluded from Spending After Applying Truncation at the Member Level]]=Age_Sex_PY[[#This Row],[Total Spending before Truncation is Applied]]</f>
        <v>1</v>
      </c>
    </row>
    <row r="290" spans="1:10" x14ac:dyDescent="0.25">
      <c r="A290" s="342"/>
      <c r="B290" s="4"/>
      <c r="C290" s="16"/>
      <c r="D290" s="457"/>
      <c r="E290" s="363"/>
      <c r="F290" s="273"/>
      <c r="G290" s="226"/>
      <c r="H290" s="273"/>
      <c r="I290" s="400"/>
      <c r="J290" s="242" t="b">
        <f>Age_Sex_PY[[#This Row],[Total Spending After Applying Truncation at the Member Level]]+Age_Sex_PY[[#This Row],[Total Dollars Excluded from Spending After Applying Truncation at the Member Level]]=Age_Sex_PY[[#This Row],[Total Spending before Truncation is Applied]]</f>
        <v>1</v>
      </c>
    </row>
    <row r="291" spans="1:10" x14ac:dyDescent="0.25">
      <c r="A291" s="339"/>
      <c r="B291" s="270"/>
      <c r="C291" s="271"/>
      <c r="D291" s="456"/>
      <c r="E291" s="362"/>
      <c r="F291" s="272"/>
      <c r="G291" s="460"/>
      <c r="H291" s="272"/>
      <c r="I291" s="399"/>
      <c r="J291" s="242" t="b">
        <f>Age_Sex_PY[[#This Row],[Total Spending After Applying Truncation at the Member Level]]+Age_Sex_PY[[#This Row],[Total Dollars Excluded from Spending After Applying Truncation at the Member Level]]=Age_Sex_PY[[#This Row],[Total Spending before Truncation is Applied]]</f>
        <v>1</v>
      </c>
    </row>
    <row r="292" spans="1:10" x14ac:dyDescent="0.25">
      <c r="A292" s="342"/>
      <c r="B292" s="4"/>
      <c r="C292" s="16"/>
      <c r="D292" s="457"/>
      <c r="E292" s="363"/>
      <c r="F292" s="273"/>
      <c r="G292" s="226"/>
      <c r="H292" s="273"/>
      <c r="I292" s="400"/>
      <c r="J292" s="242" t="b">
        <f>Age_Sex_PY[[#This Row],[Total Spending After Applying Truncation at the Member Level]]+Age_Sex_PY[[#This Row],[Total Dollars Excluded from Spending After Applying Truncation at the Member Level]]=Age_Sex_PY[[#This Row],[Total Spending before Truncation is Applied]]</f>
        <v>1</v>
      </c>
    </row>
    <row r="293" spans="1:10" x14ac:dyDescent="0.25">
      <c r="A293" s="339"/>
      <c r="B293" s="270"/>
      <c r="C293" s="271"/>
      <c r="D293" s="456"/>
      <c r="E293" s="362"/>
      <c r="F293" s="272"/>
      <c r="G293" s="460"/>
      <c r="H293" s="272"/>
      <c r="I293" s="399"/>
      <c r="J293" s="242" t="b">
        <f>Age_Sex_PY[[#This Row],[Total Spending After Applying Truncation at the Member Level]]+Age_Sex_PY[[#This Row],[Total Dollars Excluded from Spending After Applying Truncation at the Member Level]]=Age_Sex_PY[[#This Row],[Total Spending before Truncation is Applied]]</f>
        <v>1</v>
      </c>
    </row>
    <row r="294" spans="1:10" x14ac:dyDescent="0.25">
      <c r="A294" s="342"/>
      <c r="B294" s="4"/>
      <c r="C294" s="16"/>
      <c r="D294" s="457"/>
      <c r="E294" s="363"/>
      <c r="F294" s="273"/>
      <c r="G294" s="226"/>
      <c r="H294" s="273"/>
      <c r="I294" s="400"/>
      <c r="J294" s="242" t="b">
        <f>Age_Sex_PY[[#This Row],[Total Spending After Applying Truncation at the Member Level]]+Age_Sex_PY[[#This Row],[Total Dollars Excluded from Spending After Applying Truncation at the Member Level]]=Age_Sex_PY[[#This Row],[Total Spending before Truncation is Applied]]</f>
        <v>1</v>
      </c>
    </row>
    <row r="295" spans="1:10" x14ac:dyDescent="0.25">
      <c r="A295" s="339"/>
      <c r="B295" s="270"/>
      <c r="C295" s="271"/>
      <c r="D295" s="456"/>
      <c r="E295" s="362"/>
      <c r="F295" s="272"/>
      <c r="G295" s="460"/>
      <c r="H295" s="272"/>
      <c r="I295" s="399"/>
      <c r="J295" s="242" t="b">
        <f>Age_Sex_PY[[#This Row],[Total Spending After Applying Truncation at the Member Level]]+Age_Sex_PY[[#This Row],[Total Dollars Excluded from Spending After Applying Truncation at the Member Level]]=Age_Sex_PY[[#This Row],[Total Spending before Truncation is Applied]]</f>
        <v>1</v>
      </c>
    </row>
    <row r="296" spans="1:10" x14ac:dyDescent="0.25">
      <c r="A296" s="342"/>
      <c r="B296" s="4"/>
      <c r="C296" s="16"/>
      <c r="D296" s="457"/>
      <c r="E296" s="363"/>
      <c r="F296" s="273"/>
      <c r="G296" s="226"/>
      <c r="H296" s="273"/>
      <c r="I296" s="400"/>
      <c r="J296" s="242" t="b">
        <f>Age_Sex_PY[[#This Row],[Total Spending After Applying Truncation at the Member Level]]+Age_Sex_PY[[#This Row],[Total Dollars Excluded from Spending After Applying Truncation at the Member Level]]=Age_Sex_PY[[#This Row],[Total Spending before Truncation is Applied]]</f>
        <v>1</v>
      </c>
    </row>
    <row r="297" spans="1:10" x14ac:dyDescent="0.25">
      <c r="A297" s="339"/>
      <c r="B297" s="270"/>
      <c r="C297" s="271"/>
      <c r="D297" s="456"/>
      <c r="E297" s="362"/>
      <c r="F297" s="272"/>
      <c r="G297" s="460"/>
      <c r="H297" s="272"/>
      <c r="I297" s="399"/>
      <c r="J297" s="242" t="b">
        <f>Age_Sex_PY[[#This Row],[Total Spending After Applying Truncation at the Member Level]]+Age_Sex_PY[[#This Row],[Total Dollars Excluded from Spending After Applying Truncation at the Member Level]]=Age_Sex_PY[[#This Row],[Total Spending before Truncation is Applied]]</f>
        <v>1</v>
      </c>
    </row>
    <row r="298" spans="1:10" x14ac:dyDescent="0.25">
      <c r="A298" s="342"/>
      <c r="B298" s="4"/>
      <c r="C298" s="16"/>
      <c r="D298" s="457"/>
      <c r="E298" s="363"/>
      <c r="F298" s="273"/>
      <c r="G298" s="226"/>
      <c r="H298" s="273"/>
      <c r="I298" s="400"/>
      <c r="J298" s="242" t="b">
        <f>Age_Sex_PY[[#This Row],[Total Spending After Applying Truncation at the Member Level]]+Age_Sex_PY[[#This Row],[Total Dollars Excluded from Spending After Applying Truncation at the Member Level]]=Age_Sex_PY[[#This Row],[Total Spending before Truncation is Applied]]</f>
        <v>1</v>
      </c>
    </row>
    <row r="299" spans="1:10" x14ac:dyDescent="0.25">
      <c r="A299" s="339"/>
      <c r="B299" s="270"/>
      <c r="C299" s="271"/>
      <c r="D299" s="456"/>
      <c r="E299" s="362"/>
      <c r="F299" s="272"/>
      <c r="G299" s="460"/>
      <c r="H299" s="272"/>
      <c r="I299" s="399"/>
      <c r="J299" s="242" t="b">
        <f>Age_Sex_PY[[#This Row],[Total Spending After Applying Truncation at the Member Level]]+Age_Sex_PY[[#This Row],[Total Dollars Excluded from Spending After Applying Truncation at the Member Level]]=Age_Sex_PY[[#This Row],[Total Spending before Truncation is Applied]]</f>
        <v>1</v>
      </c>
    </row>
    <row r="300" spans="1:10" x14ac:dyDescent="0.25">
      <c r="A300" s="342"/>
      <c r="B300" s="4"/>
      <c r="C300" s="16"/>
      <c r="D300" s="457"/>
      <c r="E300" s="363"/>
      <c r="F300" s="273"/>
      <c r="G300" s="226"/>
      <c r="H300" s="273"/>
      <c r="I300" s="400"/>
      <c r="J300" s="242" t="b">
        <f>Age_Sex_PY[[#This Row],[Total Spending After Applying Truncation at the Member Level]]+Age_Sex_PY[[#This Row],[Total Dollars Excluded from Spending After Applying Truncation at the Member Level]]=Age_Sex_PY[[#This Row],[Total Spending before Truncation is Applied]]</f>
        <v>1</v>
      </c>
    </row>
    <row r="301" spans="1:10" x14ac:dyDescent="0.25">
      <c r="A301" s="339"/>
      <c r="B301" s="270"/>
      <c r="C301" s="271"/>
      <c r="D301" s="456"/>
      <c r="E301" s="362"/>
      <c r="F301" s="272"/>
      <c r="G301" s="460"/>
      <c r="H301" s="272"/>
      <c r="I301" s="399"/>
      <c r="J301" s="242" t="b">
        <f>Age_Sex_PY[[#This Row],[Total Spending After Applying Truncation at the Member Level]]+Age_Sex_PY[[#This Row],[Total Dollars Excluded from Spending After Applying Truncation at the Member Level]]=Age_Sex_PY[[#This Row],[Total Spending before Truncation is Applied]]</f>
        <v>1</v>
      </c>
    </row>
    <row r="302" spans="1:10" x14ac:dyDescent="0.25">
      <c r="A302" s="342"/>
      <c r="B302" s="4"/>
      <c r="C302" s="16"/>
      <c r="D302" s="457"/>
      <c r="E302" s="363"/>
      <c r="F302" s="273"/>
      <c r="G302" s="226"/>
      <c r="H302" s="273"/>
      <c r="I302" s="400"/>
      <c r="J302" s="242" t="b">
        <f>Age_Sex_PY[[#This Row],[Total Spending After Applying Truncation at the Member Level]]+Age_Sex_PY[[#This Row],[Total Dollars Excluded from Spending After Applying Truncation at the Member Level]]=Age_Sex_PY[[#This Row],[Total Spending before Truncation is Applied]]</f>
        <v>1</v>
      </c>
    </row>
    <row r="303" spans="1:10" x14ac:dyDescent="0.25">
      <c r="A303" s="339"/>
      <c r="B303" s="270"/>
      <c r="C303" s="271"/>
      <c r="D303" s="456"/>
      <c r="E303" s="362"/>
      <c r="F303" s="272"/>
      <c r="G303" s="460"/>
      <c r="H303" s="272"/>
      <c r="I303" s="399"/>
      <c r="J303" s="241" t="b">
        <f>Age_Sex_PY[[#This Row],[Total Spending After Applying Truncation at the Member Level]]+Age_Sex_PY[[#This Row],[Total Dollars Excluded from Spending After Applying Truncation at the Member Level]]=Age_Sex_PY[[#This Row],[Total Spending before Truncation is Applied]]</f>
        <v>1</v>
      </c>
    </row>
    <row r="304" spans="1:10" x14ac:dyDescent="0.25">
      <c r="A304" s="342"/>
      <c r="B304" s="4"/>
      <c r="C304" s="16"/>
      <c r="D304" s="457"/>
      <c r="E304" s="363"/>
      <c r="F304" s="273"/>
      <c r="G304" s="226"/>
      <c r="H304" s="273"/>
      <c r="I304" s="400"/>
      <c r="J304" s="241" t="b">
        <f>Age_Sex_PY[[#This Row],[Total Spending After Applying Truncation at the Member Level]]+Age_Sex_PY[[#This Row],[Total Dollars Excluded from Spending After Applying Truncation at the Member Level]]=Age_Sex_PY[[#This Row],[Total Spending before Truncation is Applied]]</f>
        <v>1</v>
      </c>
    </row>
    <row r="305" spans="1:10" x14ac:dyDescent="0.25">
      <c r="A305" s="339"/>
      <c r="B305" s="270"/>
      <c r="C305" s="271"/>
      <c r="D305" s="456"/>
      <c r="E305" s="362"/>
      <c r="F305" s="272"/>
      <c r="G305" s="460"/>
      <c r="H305" s="272"/>
      <c r="I305" s="399"/>
      <c r="J305" s="241" t="b">
        <f>Age_Sex_PY[[#This Row],[Total Spending After Applying Truncation at the Member Level]]+Age_Sex_PY[[#This Row],[Total Dollars Excluded from Spending After Applying Truncation at the Member Level]]=Age_Sex_PY[[#This Row],[Total Spending before Truncation is Applied]]</f>
        <v>1</v>
      </c>
    </row>
    <row r="306" spans="1:10" x14ac:dyDescent="0.25">
      <c r="A306" s="342"/>
      <c r="B306" s="4"/>
      <c r="C306" s="16"/>
      <c r="D306" s="457"/>
      <c r="E306" s="363"/>
      <c r="F306" s="273"/>
      <c r="G306" s="226"/>
      <c r="H306" s="273"/>
      <c r="I306" s="400"/>
      <c r="J306" s="241" t="b">
        <f>Age_Sex_PY[[#This Row],[Total Spending After Applying Truncation at the Member Level]]+Age_Sex_PY[[#This Row],[Total Dollars Excluded from Spending After Applying Truncation at the Member Level]]=Age_Sex_PY[[#This Row],[Total Spending before Truncation is Applied]]</f>
        <v>1</v>
      </c>
    </row>
    <row r="307" spans="1:10" x14ac:dyDescent="0.25">
      <c r="A307" s="339"/>
      <c r="B307" s="270"/>
      <c r="C307" s="271"/>
      <c r="D307" s="456"/>
      <c r="E307" s="362"/>
      <c r="F307" s="272"/>
      <c r="G307" s="460"/>
      <c r="H307" s="272"/>
      <c r="I307" s="399"/>
      <c r="J307" s="241" t="b">
        <f>Age_Sex_PY[[#This Row],[Total Spending After Applying Truncation at the Member Level]]+Age_Sex_PY[[#This Row],[Total Dollars Excluded from Spending After Applying Truncation at the Member Level]]=Age_Sex_PY[[#This Row],[Total Spending before Truncation is Applied]]</f>
        <v>1</v>
      </c>
    </row>
    <row r="308" spans="1:10" x14ac:dyDescent="0.25">
      <c r="A308" s="342"/>
      <c r="B308" s="4"/>
      <c r="C308" s="16"/>
      <c r="D308" s="457"/>
      <c r="E308" s="363"/>
      <c r="F308" s="273"/>
      <c r="G308" s="226"/>
      <c r="H308" s="273"/>
      <c r="I308" s="400"/>
      <c r="J308" s="241" t="b">
        <f>Age_Sex_PY[[#This Row],[Total Spending After Applying Truncation at the Member Level]]+Age_Sex_PY[[#This Row],[Total Dollars Excluded from Spending After Applying Truncation at the Member Level]]=Age_Sex_PY[[#This Row],[Total Spending before Truncation is Applied]]</f>
        <v>1</v>
      </c>
    </row>
    <row r="309" spans="1:10" x14ac:dyDescent="0.25">
      <c r="A309" s="339"/>
      <c r="B309" s="270"/>
      <c r="C309" s="271"/>
      <c r="D309" s="456"/>
      <c r="E309" s="362"/>
      <c r="F309" s="272"/>
      <c r="G309" s="460"/>
      <c r="H309" s="272"/>
      <c r="I309" s="399"/>
      <c r="J309" s="241" t="b">
        <f>Age_Sex_PY[[#This Row],[Total Spending After Applying Truncation at the Member Level]]+Age_Sex_PY[[#This Row],[Total Dollars Excluded from Spending After Applying Truncation at the Member Level]]=Age_Sex_PY[[#This Row],[Total Spending before Truncation is Applied]]</f>
        <v>1</v>
      </c>
    </row>
    <row r="310" spans="1:10" x14ac:dyDescent="0.25">
      <c r="A310" s="342"/>
      <c r="B310" s="4"/>
      <c r="C310" s="16"/>
      <c r="D310" s="457"/>
      <c r="E310" s="363"/>
      <c r="F310" s="273"/>
      <c r="G310" s="226"/>
      <c r="H310" s="273"/>
      <c r="I310" s="400"/>
      <c r="J310" s="241" t="b">
        <f>Age_Sex_PY[[#This Row],[Total Spending After Applying Truncation at the Member Level]]+Age_Sex_PY[[#This Row],[Total Dollars Excluded from Spending After Applying Truncation at the Member Level]]=Age_Sex_PY[[#This Row],[Total Spending before Truncation is Applied]]</f>
        <v>1</v>
      </c>
    </row>
    <row r="311" spans="1:10" x14ac:dyDescent="0.25">
      <c r="A311" s="339"/>
      <c r="B311" s="270"/>
      <c r="C311" s="271"/>
      <c r="D311" s="456"/>
      <c r="E311" s="362"/>
      <c r="F311" s="272"/>
      <c r="G311" s="460"/>
      <c r="H311" s="272"/>
      <c r="I311" s="399"/>
      <c r="J311" s="241" t="b">
        <f>Age_Sex_PY[[#This Row],[Total Spending After Applying Truncation at the Member Level]]+Age_Sex_PY[[#This Row],[Total Dollars Excluded from Spending After Applying Truncation at the Member Level]]=Age_Sex_PY[[#This Row],[Total Spending before Truncation is Applied]]</f>
        <v>1</v>
      </c>
    </row>
    <row r="312" spans="1:10" x14ac:dyDescent="0.25">
      <c r="A312" s="342"/>
      <c r="B312" s="4"/>
      <c r="C312" s="16"/>
      <c r="D312" s="457"/>
      <c r="E312" s="363"/>
      <c r="F312" s="273"/>
      <c r="G312" s="226"/>
      <c r="H312" s="273"/>
      <c r="I312" s="400"/>
      <c r="J312" s="241" t="b">
        <f>Age_Sex_PY[[#This Row],[Total Spending After Applying Truncation at the Member Level]]+Age_Sex_PY[[#This Row],[Total Dollars Excluded from Spending After Applying Truncation at the Member Level]]=Age_Sex_PY[[#This Row],[Total Spending before Truncation is Applied]]</f>
        <v>1</v>
      </c>
    </row>
    <row r="313" spans="1:10" x14ac:dyDescent="0.25">
      <c r="A313" s="339"/>
      <c r="B313" s="270"/>
      <c r="C313" s="271"/>
      <c r="D313" s="456"/>
      <c r="E313" s="362"/>
      <c r="F313" s="272"/>
      <c r="G313" s="460"/>
      <c r="H313" s="272"/>
      <c r="I313" s="399"/>
      <c r="J313" s="241" t="b">
        <f>Age_Sex_PY[[#This Row],[Total Spending After Applying Truncation at the Member Level]]+Age_Sex_PY[[#This Row],[Total Dollars Excluded from Spending After Applying Truncation at the Member Level]]=Age_Sex_PY[[#This Row],[Total Spending before Truncation is Applied]]</f>
        <v>1</v>
      </c>
    </row>
    <row r="314" spans="1:10" x14ac:dyDescent="0.25">
      <c r="A314" s="342"/>
      <c r="B314" s="4"/>
      <c r="C314" s="16"/>
      <c r="D314" s="457"/>
      <c r="E314" s="363"/>
      <c r="F314" s="273"/>
      <c r="G314" s="226"/>
      <c r="H314" s="273"/>
      <c r="I314" s="400"/>
      <c r="J314" s="241" t="b">
        <f>Age_Sex_PY[[#This Row],[Total Spending After Applying Truncation at the Member Level]]+Age_Sex_PY[[#This Row],[Total Dollars Excluded from Spending After Applying Truncation at the Member Level]]=Age_Sex_PY[[#This Row],[Total Spending before Truncation is Applied]]</f>
        <v>1</v>
      </c>
    </row>
    <row r="315" spans="1:10" x14ac:dyDescent="0.25">
      <c r="A315" s="339"/>
      <c r="B315" s="270"/>
      <c r="C315" s="271"/>
      <c r="D315" s="456"/>
      <c r="E315" s="362"/>
      <c r="F315" s="272"/>
      <c r="G315" s="460"/>
      <c r="H315" s="272"/>
      <c r="I315" s="399"/>
      <c r="J315" s="241" t="b">
        <f>Age_Sex_PY[[#This Row],[Total Spending After Applying Truncation at the Member Level]]+Age_Sex_PY[[#This Row],[Total Dollars Excluded from Spending After Applying Truncation at the Member Level]]=Age_Sex_PY[[#This Row],[Total Spending before Truncation is Applied]]</f>
        <v>1</v>
      </c>
    </row>
    <row r="316" spans="1:10" x14ac:dyDescent="0.25">
      <c r="A316" s="342"/>
      <c r="B316" s="4"/>
      <c r="C316" s="16"/>
      <c r="D316" s="457"/>
      <c r="E316" s="363"/>
      <c r="F316" s="273"/>
      <c r="G316" s="226"/>
      <c r="H316" s="273"/>
      <c r="I316" s="400"/>
      <c r="J316" s="241" t="b">
        <f>Age_Sex_PY[[#This Row],[Total Spending After Applying Truncation at the Member Level]]+Age_Sex_PY[[#This Row],[Total Dollars Excluded from Spending After Applying Truncation at the Member Level]]=Age_Sex_PY[[#This Row],[Total Spending before Truncation is Applied]]</f>
        <v>1</v>
      </c>
    </row>
    <row r="317" spans="1:10" x14ac:dyDescent="0.25">
      <c r="A317" s="339"/>
      <c r="B317" s="270"/>
      <c r="C317" s="271"/>
      <c r="D317" s="456"/>
      <c r="E317" s="362"/>
      <c r="F317" s="272"/>
      <c r="G317" s="460"/>
      <c r="H317" s="272"/>
      <c r="I317" s="399"/>
      <c r="J317" s="241" t="b">
        <f>Age_Sex_PY[[#This Row],[Total Spending After Applying Truncation at the Member Level]]+Age_Sex_PY[[#This Row],[Total Dollars Excluded from Spending After Applying Truncation at the Member Level]]=Age_Sex_PY[[#This Row],[Total Spending before Truncation is Applied]]</f>
        <v>1</v>
      </c>
    </row>
    <row r="318" spans="1:10" x14ac:dyDescent="0.25">
      <c r="A318" s="342"/>
      <c r="B318" s="4"/>
      <c r="C318" s="16"/>
      <c r="D318" s="457"/>
      <c r="E318" s="363"/>
      <c r="F318" s="273"/>
      <c r="G318" s="226"/>
      <c r="H318" s="273"/>
      <c r="I318" s="400"/>
      <c r="J318" s="241" t="b">
        <f>Age_Sex_PY[[#This Row],[Total Spending After Applying Truncation at the Member Level]]+Age_Sex_PY[[#This Row],[Total Dollars Excluded from Spending After Applying Truncation at the Member Level]]=Age_Sex_PY[[#This Row],[Total Spending before Truncation is Applied]]</f>
        <v>1</v>
      </c>
    </row>
    <row r="319" spans="1:10" x14ac:dyDescent="0.25">
      <c r="A319" s="339"/>
      <c r="B319" s="270"/>
      <c r="C319" s="271"/>
      <c r="D319" s="456"/>
      <c r="E319" s="362"/>
      <c r="F319" s="272"/>
      <c r="G319" s="460"/>
      <c r="H319" s="272"/>
      <c r="I319" s="399"/>
      <c r="J319" s="241" t="b">
        <f>Age_Sex_PY[[#This Row],[Total Spending After Applying Truncation at the Member Level]]+Age_Sex_PY[[#This Row],[Total Dollars Excluded from Spending After Applying Truncation at the Member Level]]=Age_Sex_PY[[#This Row],[Total Spending before Truncation is Applied]]</f>
        <v>1</v>
      </c>
    </row>
    <row r="320" spans="1:10" x14ac:dyDescent="0.25">
      <c r="A320" s="342"/>
      <c r="B320" s="4"/>
      <c r="C320" s="16"/>
      <c r="D320" s="457"/>
      <c r="E320" s="363"/>
      <c r="F320" s="273"/>
      <c r="G320" s="226"/>
      <c r="H320" s="273"/>
      <c r="I320" s="400"/>
      <c r="J320" s="241" t="b">
        <f>Age_Sex_PY[[#This Row],[Total Spending After Applying Truncation at the Member Level]]+Age_Sex_PY[[#This Row],[Total Dollars Excluded from Spending After Applying Truncation at the Member Level]]=Age_Sex_PY[[#This Row],[Total Spending before Truncation is Applied]]</f>
        <v>1</v>
      </c>
    </row>
    <row r="321" spans="1:10" x14ac:dyDescent="0.25">
      <c r="A321" s="339"/>
      <c r="B321" s="270"/>
      <c r="C321" s="271"/>
      <c r="D321" s="456"/>
      <c r="E321" s="362"/>
      <c r="F321" s="272"/>
      <c r="G321" s="460"/>
      <c r="H321" s="272"/>
      <c r="I321" s="399"/>
      <c r="J321" s="241" t="b">
        <f>Age_Sex_PY[[#This Row],[Total Spending After Applying Truncation at the Member Level]]+Age_Sex_PY[[#This Row],[Total Dollars Excluded from Spending After Applying Truncation at the Member Level]]=Age_Sex_PY[[#This Row],[Total Spending before Truncation is Applied]]</f>
        <v>1</v>
      </c>
    </row>
    <row r="322" spans="1:10" x14ac:dyDescent="0.25">
      <c r="A322" s="342"/>
      <c r="B322" s="4"/>
      <c r="C322" s="16"/>
      <c r="D322" s="457"/>
      <c r="E322" s="363"/>
      <c r="F322" s="273"/>
      <c r="G322" s="226"/>
      <c r="H322" s="273"/>
      <c r="I322" s="400"/>
      <c r="J322" s="241" t="b">
        <f>Age_Sex_PY[[#This Row],[Total Spending After Applying Truncation at the Member Level]]+Age_Sex_PY[[#This Row],[Total Dollars Excluded from Spending After Applying Truncation at the Member Level]]=Age_Sex_PY[[#This Row],[Total Spending before Truncation is Applied]]</f>
        <v>1</v>
      </c>
    </row>
    <row r="323" spans="1:10" x14ac:dyDescent="0.25">
      <c r="A323" s="339"/>
      <c r="B323" s="270"/>
      <c r="C323" s="271"/>
      <c r="D323" s="456"/>
      <c r="E323" s="362"/>
      <c r="F323" s="272"/>
      <c r="G323" s="460"/>
      <c r="H323" s="272"/>
      <c r="I323" s="399"/>
      <c r="J323" s="241" t="b">
        <f>Age_Sex_PY[[#This Row],[Total Spending After Applying Truncation at the Member Level]]+Age_Sex_PY[[#This Row],[Total Dollars Excluded from Spending After Applying Truncation at the Member Level]]=Age_Sex_PY[[#This Row],[Total Spending before Truncation is Applied]]</f>
        <v>1</v>
      </c>
    </row>
    <row r="324" spans="1:10" x14ac:dyDescent="0.25">
      <c r="A324" s="342"/>
      <c r="B324" s="4"/>
      <c r="C324" s="16"/>
      <c r="D324" s="457"/>
      <c r="E324" s="363"/>
      <c r="F324" s="273"/>
      <c r="G324" s="226"/>
      <c r="H324" s="273"/>
      <c r="I324" s="400"/>
      <c r="J324" s="241" t="b">
        <f>Age_Sex_PY[[#This Row],[Total Spending After Applying Truncation at the Member Level]]+Age_Sex_PY[[#This Row],[Total Dollars Excluded from Spending After Applying Truncation at the Member Level]]=Age_Sex_PY[[#This Row],[Total Spending before Truncation is Applied]]</f>
        <v>1</v>
      </c>
    </row>
    <row r="325" spans="1:10" x14ac:dyDescent="0.25">
      <c r="A325" s="339"/>
      <c r="B325" s="270"/>
      <c r="C325" s="271"/>
      <c r="D325" s="456"/>
      <c r="E325" s="362"/>
      <c r="F325" s="272"/>
      <c r="G325" s="460"/>
      <c r="H325" s="272"/>
      <c r="I325" s="399"/>
      <c r="J325" s="241" t="b">
        <f>Age_Sex_PY[[#This Row],[Total Spending After Applying Truncation at the Member Level]]+Age_Sex_PY[[#This Row],[Total Dollars Excluded from Spending After Applying Truncation at the Member Level]]=Age_Sex_PY[[#This Row],[Total Spending before Truncation is Applied]]</f>
        <v>1</v>
      </c>
    </row>
    <row r="326" spans="1:10" x14ac:dyDescent="0.25">
      <c r="A326" s="342"/>
      <c r="B326" s="4"/>
      <c r="C326" s="16"/>
      <c r="D326" s="457"/>
      <c r="E326" s="363"/>
      <c r="F326" s="273"/>
      <c r="G326" s="226"/>
      <c r="H326" s="273"/>
      <c r="I326" s="400"/>
      <c r="J326" s="241" t="b">
        <f>Age_Sex_PY[[#This Row],[Total Spending After Applying Truncation at the Member Level]]+Age_Sex_PY[[#This Row],[Total Dollars Excluded from Spending After Applying Truncation at the Member Level]]=Age_Sex_PY[[#This Row],[Total Spending before Truncation is Applied]]</f>
        <v>1</v>
      </c>
    </row>
    <row r="327" spans="1:10" x14ac:dyDescent="0.25">
      <c r="A327" s="339"/>
      <c r="B327" s="270"/>
      <c r="C327" s="271"/>
      <c r="D327" s="456"/>
      <c r="E327" s="362"/>
      <c r="F327" s="272"/>
      <c r="G327" s="460"/>
      <c r="H327" s="272"/>
      <c r="I327" s="399"/>
      <c r="J327" s="241" t="b">
        <f>Age_Sex_PY[[#This Row],[Total Spending After Applying Truncation at the Member Level]]+Age_Sex_PY[[#This Row],[Total Dollars Excluded from Spending After Applying Truncation at the Member Level]]=Age_Sex_PY[[#This Row],[Total Spending before Truncation is Applied]]</f>
        <v>1</v>
      </c>
    </row>
    <row r="328" spans="1:10" x14ac:dyDescent="0.25">
      <c r="A328" s="342"/>
      <c r="B328" s="4"/>
      <c r="C328" s="16"/>
      <c r="D328" s="457"/>
      <c r="E328" s="363"/>
      <c r="F328" s="273"/>
      <c r="G328" s="226"/>
      <c r="H328" s="273"/>
      <c r="I328" s="400"/>
      <c r="J328" s="241" t="b">
        <f>Age_Sex_PY[[#This Row],[Total Spending After Applying Truncation at the Member Level]]+Age_Sex_PY[[#This Row],[Total Dollars Excluded from Spending After Applying Truncation at the Member Level]]=Age_Sex_PY[[#This Row],[Total Spending before Truncation is Applied]]</f>
        <v>1</v>
      </c>
    </row>
    <row r="329" spans="1:10" x14ac:dyDescent="0.25">
      <c r="A329" s="339"/>
      <c r="B329" s="270"/>
      <c r="C329" s="271"/>
      <c r="D329" s="456"/>
      <c r="E329" s="362"/>
      <c r="F329" s="272"/>
      <c r="G329" s="460"/>
      <c r="H329" s="272"/>
      <c r="I329" s="399"/>
      <c r="J329" s="241" t="b">
        <f>Age_Sex_PY[[#This Row],[Total Spending After Applying Truncation at the Member Level]]+Age_Sex_PY[[#This Row],[Total Dollars Excluded from Spending After Applying Truncation at the Member Level]]=Age_Sex_PY[[#This Row],[Total Spending before Truncation is Applied]]</f>
        <v>1</v>
      </c>
    </row>
    <row r="330" spans="1:10" x14ac:dyDescent="0.25">
      <c r="A330" s="342"/>
      <c r="B330" s="4"/>
      <c r="C330" s="16"/>
      <c r="D330" s="457"/>
      <c r="E330" s="363"/>
      <c r="F330" s="273"/>
      <c r="G330" s="226"/>
      <c r="H330" s="273"/>
      <c r="I330" s="400"/>
      <c r="J330" s="241" t="b">
        <f>Age_Sex_PY[[#This Row],[Total Spending After Applying Truncation at the Member Level]]+Age_Sex_PY[[#This Row],[Total Dollars Excluded from Spending After Applying Truncation at the Member Level]]=Age_Sex_PY[[#This Row],[Total Spending before Truncation is Applied]]</f>
        <v>1</v>
      </c>
    </row>
    <row r="331" spans="1:10" x14ac:dyDescent="0.25">
      <c r="A331" s="339"/>
      <c r="B331" s="270"/>
      <c r="C331" s="271"/>
      <c r="D331" s="456"/>
      <c r="E331" s="362"/>
      <c r="F331" s="272"/>
      <c r="G331" s="460"/>
      <c r="H331" s="272"/>
      <c r="I331" s="399"/>
      <c r="J331" s="241" t="b">
        <f>Age_Sex_PY[[#This Row],[Total Spending After Applying Truncation at the Member Level]]+Age_Sex_PY[[#This Row],[Total Dollars Excluded from Spending After Applying Truncation at the Member Level]]=Age_Sex_PY[[#This Row],[Total Spending before Truncation is Applied]]</f>
        <v>1</v>
      </c>
    </row>
    <row r="332" spans="1:10" x14ac:dyDescent="0.25">
      <c r="A332" s="342"/>
      <c r="B332" s="4"/>
      <c r="C332" s="16"/>
      <c r="D332" s="457"/>
      <c r="E332" s="363"/>
      <c r="F332" s="273"/>
      <c r="G332" s="226"/>
      <c r="H332" s="273"/>
      <c r="I332" s="400"/>
      <c r="J332" s="241" t="b">
        <f>Age_Sex_PY[[#This Row],[Total Spending After Applying Truncation at the Member Level]]+Age_Sex_PY[[#This Row],[Total Dollars Excluded from Spending After Applying Truncation at the Member Level]]=Age_Sex_PY[[#This Row],[Total Spending before Truncation is Applied]]</f>
        <v>1</v>
      </c>
    </row>
    <row r="333" spans="1:10" x14ac:dyDescent="0.25">
      <c r="A333" s="339"/>
      <c r="B333" s="270"/>
      <c r="C333" s="271"/>
      <c r="D333" s="456"/>
      <c r="E333" s="362"/>
      <c r="F333" s="272"/>
      <c r="G333" s="460"/>
      <c r="H333" s="272"/>
      <c r="I333" s="399"/>
      <c r="J333" s="241" t="b">
        <f>Age_Sex_PY[[#This Row],[Total Spending After Applying Truncation at the Member Level]]+Age_Sex_PY[[#This Row],[Total Dollars Excluded from Spending After Applying Truncation at the Member Level]]=Age_Sex_PY[[#This Row],[Total Spending before Truncation is Applied]]</f>
        <v>1</v>
      </c>
    </row>
    <row r="334" spans="1:10" x14ac:dyDescent="0.25">
      <c r="A334" s="342"/>
      <c r="B334" s="4"/>
      <c r="C334" s="16"/>
      <c r="D334" s="457"/>
      <c r="E334" s="363"/>
      <c r="F334" s="273"/>
      <c r="G334" s="226"/>
      <c r="H334" s="273"/>
      <c r="I334" s="400"/>
      <c r="J334" s="241" t="b">
        <f>Age_Sex_PY[[#This Row],[Total Spending After Applying Truncation at the Member Level]]+Age_Sex_PY[[#This Row],[Total Dollars Excluded from Spending After Applying Truncation at the Member Level]]=Age_Sex_PY[[#This Row],[Total Spending before Truncation is Applied]]</f>
        <v>1</v>
      </c>
    </row>
    <row r="335" spans="1:10" x14ac:dyDescent="0.25">
      <c r="A335" s="339"/>
      <c r="B335" s="270"/>
      <c r="C335" s="271"/>
      <c r="D335" s="456"/>
      <c r="E335" s="362"/>
      <c r="F335" s="272"/>
      <c r="G335" s="460"/>
      <c r="H335" s="272"/>
      <c r="I335" s="399"/>
      <c r="J335" s="241" t="b">
        <f>Age_Sex_PY[[#This Row],[Total Spending After Applying Truncation at the Member Level]]+Age_Sex_PY[[#This Row],[Total Dollars Excluded from Spending After Applying Truncation at the Member Level]]=Age_Sex_PY[[#This Row],[Total Spending before Truncation is Applied]]</f>
        <v>1</v>
      </c>
    </row>
    <row r="336" spans="1:10" x14ac:dyDescent="0.25">
      <c r="A336" s="342"/>
      <c r="B336" s="4"/>
      <c r="C336" s="16"/>
      <c r="D336" s="457"/>
      <c r="E336" s="363"/>
      <c r="F336" s="273"/>
      <c r="G336" s="226"/>
      <c r="H336" s="273"/>
      <c r="I336" s="400"/>
      <c r="J336" s="241" t="b">
        <f>Age_Sex_PY[[#This Row],[Total Spending After Applying Truncation at the Member Level]]+Age_Sex_PY[[#This Row],[Total Dollars Excluded from Spending After Applying Truncation at the Member Level]]=Age_Sex_PY[[#This Row],[Total Spending before Truncation is Applied]]</f>
        <v>1</v>
      </c>
    </row>
    <row r="337" spans="1:10" x14ac:dyDescent="0.25">
      <c r="A337" s="339"/>
      <c r="B337" s="270"/>
      <c r="C337" s="271"/>
      <c r="D337" s="456"/>
      <c r="E337" s="362"/>
      <c r="F337" s="272"/>
      <c r="G337" s="460"/>
      <c r="H337" s="272"/>
      <c r="I337" s="399"/>
      <c r="J337" s="241" t="b">
        <f>Age_Sex_PY[[#This Row],[Total Spending After Applying Truncation at the Member Level]]+Age_Sex_PY[[#This Row],[Total Dollars Excluded from Spending After Applying Truncation at the Member Level]]=Age_Sex_PY[[#This Row],[Total Spending before Truncation is Applied]]</f>
        <v>1</v>
      </c>
    </row>
    <row r="338" spans="1:10" x14ac:dyDescent="0.25">
      <c r="A338" s="342"/>
      <c r="B338" s="4"/>
      <c r="C338" s="16"/>
      <c r="D338" s="457"/>
      <c r="E338" s="363"/>
      <c r="F338" s="273"/>
      <c r="G338" s="226"/>
      <c r="H338" s="273"/>
      <c r="I338" s="400"/>
      <c r="J338" s="241" t="b">
        <f>Age_Sex_PY[[#This Row],[Total Spending After Applying Truncation at the Member Level]]+Age_Sex_PY[[#This Row],[Total Dollars Excluded from Spending After Applying Truncation at the Member Level]]=Age_Sex_PY[[#This Row],[Total Spending before Truncation is Applied]]</f>
        <v>1</v>
      </c>
    </row>
    <row r="339" spans="1:10" x14ac:dyDescent="0.25">
      <c r="A339" s="339"/>
      <c r="B339" s="270"/>
      <c r="C339" s="271"/>
      <c r="D339" s="456"/>
      <c r="E339" s="362"/>
      <c r="F339" s="272"/>
      <c r="G339" s="460"/>
      <c r="H339" s="272"/>
      <c r="I339" s="399"/>
      <c r="J339" s="241" t="b">
        <f>Age_Sex_PY[[#This Row],[Total Spending After Applying Truncation at the Member Level]]+Age_Sex_PY[[#This Row],[Total Dollars Excluded from Spending After Applying Truncation at the Member Level]]=Age_Sex_PY[[#This Row],[Total Spending before Truncation is Applied]]</f>
        <v>1</v>
      </c>
    </row>
    <row r="340" spans="1:10" x14ac:dyDescent="0.25">
      <c r="A340" s="342"/>
      <c r="B340" s="4"/>
      <c r="C340" s="16"/>
      <c r="D340" s="457"/>
      <c r="E340" s="363"/>
      <c r="F340" s="273"/>
      <c r="G340" s="226"/>
      <c r="H340" s="273"/>
      <c r="I340" s="400"/>
      <c r="J340" s="241" t="b">
        <f>Age_Sex_PY[[#This Row],[Total Spending After Applying Truncation at the Member Level]]+Age_Sex_PY[[#This Row],[Total Dollars Excluded from Spending After Applying Truncation at the Member Level]]=Age_Sex_PY[[#This Row],[Total Spending before Truncation is Applied]]</f>
        <v>1</v>
      </c>
    </row>
    <row r="341" spans="1:10" x14ac:dyDescent="0.25">
      <c r="A341" s="339"/>
      <c r="B341" s="270"/>
      <c r="C341" s="271"/>
      <c r="D341" s="456"/>
      <c r="E341" s="362"/>
      <c r="F341" s="272"/>
      <c r="G341" s="460"/>
      <c r="H341" s="272"/>
      <c r="I341" s="399"/>
      <c r="J341" s="241" t="b">
        <f>Age_Sex_PY[[#This Row],[Total Spending After Applying Truncation at the Member Level]]+Age_Sex_PY[[#This Row],[Total Dollars Excluded from Spending After Applying Truncation at the Member Level]]=Age_Sex_PY[[#This Row],[Total Spending before Truncation is Applied]]</f>
        <v>1</v>
      </c>
    </row>
    <row r="342" spans="1:10" x14ac:dyDescent="0.25">
      <c r="A342" s="342"/>
      <c r="B342" s="4"/>
      <c r="C342" s="16"/>
      <c r="D342" s="457"/>
      <c r="E342" s="363"/>
      <c r="F342" s="273"/>
      <c r="G342" s="226"/>
      <c r="H342" s="273"/>
      <c r="I342" s="400"/>
      <c r="J342" s="241" t="b">
        <f>Age_Sex_PY[[#This Row],[Total Spending After Applying Truncation at the Member Level]]+Age_Sex_PY[[#This Row],[Total Dollars Excluded from Spending After Applying Truncation at the Member Level]]=Age_Sex_PY[[#This Row],[Total Spending before Truncation is Applied]]</f>
        <v>1</v>
      </c>
    </row>
    <row r="343" spans="1:10" x14ac:dyDescent="0.25">
      <c r="A343" s="339"/>
      <c r="B343" s="270"/>
      <c r="C343" s="271"/>
      <c r="D343" s="456"/>
      <c r="E343" s="362"/>
      <c r="F343" s="272"/>
      <c r="G343" s="460"/>
      <c r="H343" s="272"/>
      <c r="I343" s="399"/>
      <c r="J343" s="241" t="b">
        <f>Age_Sex_PY[[#This Row],[Total Spending After Applying Truncation at the Member Level]]+Age_Sex_PY[[#This Row],[Total Dollars Excluded from Spending After Applying Truncation at the Member Level]]=Age_Sex_PY[[#This Row],[Total Spending before Truncation is Applied]]</f>
        <v>1</v>
      </c>
    </row>
    <row r="344" spans="1:10" x14ac:dyDescent="0.25">
      <c r="A344" s="342"/>
      <c r="B344" s="4"/>
      <c r="C344" s="16"/>
      <c r="D344" s="457"/>
      <c r="E344" s="363"/>
      <c r="F344" s="273"/>
      <c r="G344" s="226"/>
      <c r="H344" s="273"/>
      <c r="I344" s="400"/>
      <c r="J344" s="241" t="b">
        <f>Age_Sex_PY[[#This Row],[Total Spending After Applying Truncation at the Member Level]]+Age_Sex_PY[[#This Row],[Total Dollars Excluded from Spending After Applying Truncation at the Member Level]]=Age_Sex_PY[[#This Row],[Total Spending before Truncation is Applied]]</f>
        <v>1</v>
      </c>
    </row>
    <row r="345" spans="1:10" x14ac:dyDescent="0.25">
      <c r="A345" s="339"/>
      <c r="B345" s="270"/>
      <c r="C345" s="271"/>
      <c r="D345" s="456"/>
      <c r="E345" s="362"/>
      <c r="F345" s="272"/>
      <c r="G345" s="460"/>
      <c r="H345" s="272"/>
      <c r="I345" s="399"/>
      <c r="J345" s="241" t="b">
        <f>Age_Sex_PY[[#This Row],[Total Spending After Applying Truncation at the Member Level]]+Age_Sex_PY[[#This Row],[Total Dollars Excluded from Spending After Applying Truncation at the Member Level]]=Age_Sex_PY[[#This Row],[Total Spending before Truncation is Applied]]</f>
        <v>1</v>
      </c>
    </row>
    <row r="346" spans="1:10" x14ac:dyDescent="0.25">
      <c r="A346" s="342"/>
      <c r="B346" s="4"/>
      <c r="C346" s="16"/>
      <c r="D346" s="457"/>
      <c r="E346" s="363"/>
      <c r="F346" s="273"/>
      <c r="G346" s="226"/>
      <c r="H346" s="273"/>
      <c r="I346" s="400"/>
      <c r="J346" s="241" t="b">
        <f>Age_Sex_PY[[#This Row],[Total Spending After Applying Truncation at the Member Level]]+Age_Sex_PY[[#This Row],[Total Dollars Excluded from Spending After Applying Truncation at the Member Level]]=Age_Sex_PY[[#This Row],[Total Spending before Truncation is Applied]]</f>
        <v>1</v>
      </c>
    </row>
    <row r="347" spans="1:10" x14ac:dyDescent="0.25">
      <c r="A347" s="339"/>
      <c r="B347" s="270"/>
      <c r="C347" s="271"/>
      <c r="D347" s="456"/>
      <c r="E347" s="362"/>
      <c r="F347" s="272"/>
      <c r="G347" s="460"/>
      <c r="H347" s="272"/>
      <c r="I347" s="399"/>
      <c r="J347" s="241" t="b">
        <f>Age_Sex_PY[[#This Row],[Total Spending After Applying Truncation at the Member Level]]+Age_Sex_PY[[#This Row],[Total Dollars Excluded from Spending After Applying Truncation at the Member Level]]=Age_Sex_PY[[#This Row],[Total Spending before Truncation is Applied]]</f>
        <v>1</v>
      </c>
    </row>
    <row r="348" spans="1:10" x14ac:dyDescent="0.25">
      <c r="A348" s="342"/>
      <c r="B348" s="4"/>
      <c r="C348" s="16"/>
      <c r="D348" s="457"/>
      <c r="E348" s="363"/>
      <c r="F348" s="273"/>
      <c r="G348" s="226"/>
      <c r="H348" s="273"/>
      <c r="I348" s="400"/>
      <c r="J348" s="241" t="b">
        <f>Age_Sex_PY[[#This Row],[Total Spending After Applying Truncation at the Member Level]]+Age_Sex_PY[[#This Row],[Total Dollars Excluded from Spending After Applying Truncation at the Member Level]]=Age_Sex_PY[[#This Row],[Total Spending before Truncation is Applied]]</f>
        <v>1</v>
      </c>
    </row>
    <row r="349" spans="1:10" x14ac:dyDescent="0.25">
      <c r="A349" s="339"/>
      <c r="B349" s="270"/>
      <c r="C349" s="271"/>
      <c r="D349" s="456"/>
      <c r="E349" s="362"/>
      <c r="F349" s="272"/>
      <c r="G349" s="460"/>
      <c r="H349" s="272"/>
      <c r="I349" s="399"/>
      <c r="J349" s="241" t="b">
        <f>Age_Sex_PY[[#This Row],[Total Spending After Applying Truncation at the Member Level]]+Age_Sex_PY[[#This Row],[Total Dollars Excluded from Spending After Applying Truncation at the Member Level]]=Age_Sex_PY[[#This Row],[Total Spending before Truncation is Applied]]</f>
        <v>1</v>
      </c>
    </row>
    <row r="350" spans="1:10" x14ac:dyDescent="0.25">
      <c r="A350" s="342"/>
      <c r="B350" s="4"/>
      <c r="C350" s="16"/>
      <c r="D350" s="457"/>
      <c r="E350" s="363"/>
      <c r="F350" s="273"/>
      <c r="G350" s="226"/>
      <c r="H350" s="273"/>
      <c r="I350" s="400"/>
      <c r="J350" s="241" t="b">
        <f>Age_Sex_PY[[#This Row],[Total Spending After Applying Truncation at the Member Level]]+Age_Sex_PY[[#This Row],[Total Dollars Excluded from Spending After Applying Truncation at the Member Level]]=Age_Sex_PY[[#This Row],[Total Spending before Truncation is Applied]]</f>
        <v>1</v>
      </c>
    </row>
    <row r="351" spans="1:10" x14ac:dyDescent="0.25">
      <c r="A351" s="339"/>
      <c r="B351" s="270"/>
      <c r="C351" s="271"/>
      <c r="D351" s="456"/>
      <c r="E351" s="362"/>
      <c r="F351" s="272"/>
      <c r="G351" s="460"/>
      <c r="H351" s="272"/>
      <c r="I351" s="399"/>
      <c r="J351" s="241" t="b">
        <f>Age_Sex_PY[[#This Row],[Total Spending After Applying Truncation at the Member Level]]+Age_Sex_PY[[#This Row],[Total Dollars Excluded from Spending After Applying Truncation at the Member Level]]=Age_Sex_PY[[#This Row],[Total Spending before Truncation is Applied]]</f>
        <v>1</v>
      </c>
    </row>
    <row r="352" spans="1:10" x14ac:dyDescent="0.25">
      <c r="A352" s="342"/>
      <c r="B352" s="4"/>
      <c r="C352" s="16"/>
      <c r="D352" s="457"/>
      <c r="E352" s="363"/>
      <c r="F352" s="273"/>
      <c r="G352" s="226"/>
      <c r="H352" s="273"/>
      <c r="I352" s="400"/>
      <c r="J352" s="241" t="b">
        <f>Age_Sex_PY[[#This Row],[Total Spending After Applying Truncation at the Member Level]]+Age_Sex_PY[[#This Row],[Total Dollars Excluded from Spending After Applying Truncation at the Member Level]]=Age_Sex_PY[[#This Row],[Total Spending before Truncation is Applied]]</f>
        <v>1</v>
      </c>
    </row>
    <row r="353" spans="1:10" x14ac:dyDescent="0.25">
      <c r="A353" s="339"/>
      <c r="B353" s="270"/>
      <c r="C353" s="271"/>
      <c r="D353" s="456"/>
      <c r="E353" s="362"/>
      <c r="F353" s="272"/>
      <c r="G353" s="460"/>
      <c r="H353" s="272"/>
      <c r="I353" s="399"/>
      <c r="J353" s="241" t="b">
        <f>Age_Sex_PY[[#This Row],[Total Spending After Applying Truncation at the Member Level]]+Age_Sex_PY[[#This Row],[Total Dollars Excluded from Spending After Applying Truncation at the Member Level]]=Age_Sex_PY[[#This Row],[Total Spending before Truncation is Applied]]</f>
        <v>1</v>
      </c>
    </row>
    <row r="354" spans="1:10" x14ac:dyDescent="0.25">
      <c r="A354" s="342"/>
      <c r="B354" s="4"/>
      <c r="C354" s="16"/>
      <c r="D354" s="457"/>
      <c r="E354" s="363"/>
      <c r="F354" s="273"/>
      <c r="G354" s="226"/>
      <c r="H354" s="273"/>
      <c r="I354" s="400"/>
      <c r="J354" s="241" t="b">
        <f>Age_Sex_PY[[#This Row],[Total Spending After Applying Truncation at the Member Level]]+Age_Sex_PY[[#This Row],[Total Dollars Excluded from Spending After Applying Truncation at the Member Level]]=Age_Sex_PY[[#This Row],[Total Spending before Truncation is Applied]]</f>
        <v>1</v>
      </c>
    </row>
    <row r="355" spans="1:10" x14ac:dyDescent="0.25">
      <c r="A355" s="339"/>
      <c r="B355" s="270"/>
      <c r="C355" s="271"/>
      <c r="D355" s="456"/>
      <c r="E355" s="362"/>
      <c r="F355" s="272"/>
      <c r="G355" s="460"/>
      <c r="H355" s="272"/>
      <c r="I355" s="399"/>
      <c r="J355" s="241" t="b">
        <f>Age_Sex_PY[[#This Row],[Total Spending After Applying Truncation at the Member Level]]+Age_Sex_PY[[#This Row],[Total Dollars Excluded from Spending After Applying Truncation at the Member Level]]=Age_Sex_PY[[#This Row],[Total Spending before Truncation is Applied]]</f>
        <v>1</v>
      </c>
    </row>
    <row r="356" spans="1:10" x14ac:dyDescent="0.25">
      <c r="A356" s="342"/>
      <c r="B356" s="4"/>
      <c r="C356" s="16"/>
      <c r="D356" s="457"/>
      <c r="E356" s="363"/>
      <c r="F356" s="273"/>
      <c r="G356" s="226"/>
      <c r="H356" s="273"/>
      <c r="I356" s="400"/>
      <c r="J356" s="241" t="b">
        <f>Age_Sex_PY[[#This Row],[Total Spending After Applying Truncation at the Member Level]]+Age_Sex_PY[[#This Row],[Total Dollars Excluded from Spending After Applying Truncation at the Member Level]]=Age_Sex_PY[[#This Row],[Total Spending before Truncation is Applied]]</f>
        <v>1</v>
      </c>
    </row>
    <row r="357" spans="1:10" x14ac:dyDescent="0.25">
      <c r="A357" s="339"/>
      <c r="B357" s="270"/>
      <c r="C357" s="271"/>
      <c r="D357" s="456"/>
      <c r="E357" s="362"/>
      <c r="F357" s="272"/>
      <c r="G357" s="460"/>
      <c r="H357" s="272"/>
      <c r="I357" s="399"/>
      <c r="J357" s="241" t="b">
        <f>Age_Sex_PY[[#This Row],[Total Spending After Applying Truncation at the Member Level]]+Age_Sex_PY[[#This Row],[Total Dollars Excluded from Spending After Applying Truncation at the Member Level]]=Age_Sex_PY[[#This Row],[Total Spending before Truncation is Applied]]</f>
        <v>1</v>
      </c>
    </row>
    <row r="358" spans="1:10" x14ac:dyDescent="0.25">
      <c r="A358" s="342"/>
      <c r="B358" s="4"/>
      <c r="C358" s="16"/>
      <c r="D358" s="457"/>
      <c r="E358" s="363"/>
      <c r="F358" s="273"/>
      <c r="G358" s="226"/>
      <c r="H358" s="273"/>
      <c r="I358" s="400"/>
      <c r="J358" s="241" t="b">
        <f>Age_Sex_PY[[#This Row],[Total Spending After Applying Truncation at the Member Level]]+Age_Sex_PY[[#This Row],[Total Dollars Excluded from Spending After Applying Truncation at the Member Level]]=Age_Sex_PY[[#This Row],[Total Spending before Truncation is Applied]]</f>
        <v>1</v>
      </c>
    </row>
    <row r="359" spans="1:10" x14ac:dyDescent="0.25">
      <c r="A359" s="339"/>
      <c r="B359" s="270"/>
      <c r="C359" s="271"/>
      <c r="D359" s="456"/>
      <c r="E359" s="362"/>
      <c r="F359" s="272"/>
      <c r="G359" s="460"/>
      <c r="H359" s="272"/>
      <c r="I359" s="399"/>
      <c r="J359" s="241" t="b">
        <f>Age_Sex_PY[[#This Row],[Total Spending After Applying Truncation at the Member Level]]+Age_Sex_PY[[#This Row],[Total Dollars Excluded from Spending After Applying Truncation at the Member Level]]=Age_Sex_PY[[#This Row],[Total Spending before Truncation is Applied]]</f>
        <v>1</v>
      </c>
    </row>
    <row r="360" spans="1:10" x14ac:dyDescent="0.25">
      <c r="A360" s="342"/>
      <c r="B360" s="4"/>
      <c r="C360" s="16"/>
      <c r="D360" s="457"/>
      <c r="E360" s="363"/>
      <c r="F360" s="273"/>
      <c r="G360" s="226"/>
      <c r="H360" s="273"/>
      <c r="I360" s="400"/>
      <c r="J360" s="241" t="b">
        <f>Age_Sex_PY[[#This Row],[Total Spending After Applying Truncation at the Member Level]]+Age_Sex_PY[[#This Row],[Total Dollars Excluded from Spending After Applying Truncation at the Member Level]]=Age_Sex_PY[[#This Row],[Total Spending before Truncation is Applied]]</f>
        <v>1</v>
      </c>
    </row>
    <row r="361" spans="1:10" x14ac:dyDescent="0.25">
      <c r="A361" s="339"/>
      <c r="B361" s="270"/>
      <c r="C361" s="271"/>
      <c r="D361" s="456"/>
      <c r="E361" s="362"/>
      <c r="F361" s="272"/>
      <c r="G361" s="460"/>
      <c r="H361" s="272"/>
      <c r="I361" s="399"/>
      <c r="J361" s="241" t="b">
        <f>Age_Sex_PY[[#This Row],[Total Spending After Applying Truncation at the Member Level]]+Age_Sex_PY[[#This Row],[Total Dollars Excluded from Spending After Applying Truncation at the Member Level]]=Age_Sex_PY[[#This Row],[Total Spending before Truncation is Applied]]</f>
        <v>1</v>
      </c>
    </row>
    <row r="362" spans="1:10" x14ac:dyDescent="0.25">
      <c r="A362" s="342"/>
      <c r="B362" s="4"/>
      <c r="C362" s="16"/>
      <c r="D362" s="457"/>
      <c r="E362" s="363"/>
      <c r="F362" s="273"/>
      <c r="G362" s="226"/>
      <c r="H362" s="273"/>
      <c r="I362" s="400"/>
      <c r="J362" s="241" t="b">
        <f>Age_Sex_PY[[#This Row],[Total Spending After Applying Truncation at the Member Level]]+Age_Sex_PY[[#This Row],[Total Dollars Excluded from Spending After Applying Truncation at the Member Level]]=Age_Sex_PY[[#This Row],[Total Spending before Truncation is Applied]]</f>
        <v>1</v>
      </c>
    </row>
    <row r="363" spans="1:10" x14ac:dyDescent="0.25">
      <c r="A363" s="339"/>
      <c r="B363" s="270"/>
      <c r="C363" s="271"/>
      <c r="D363" s="456"/>
      <c r="E363" s="362"/>
      <c r="F363" s="272"/>
      <c r="G363" s="460"/>
      <c r="H363" s="272"/>
      <c r="I363" s="399"/>
      <c r="J363" s="241" t="b">
        <f>Age_Sex_PY[[#This Row],[Total Spending After Applying Truncation at the Member Level]]+Age_Sex_PY[[#This Row],[Total Dollars Excluded from Spending After Applying Truncation at the Member Level]]=Age_Sex_PY[[#This Row],[Total Spending before Truncation is Applied]]</f>
        <v>1</v>
      </c>
    </row>
    <row r="364" spans="1:10" x14ac:dyDescent="0.25">
      <c r="A364" s="342"/>
      <c r="B364" s="4"/>
      <c r="C364" s="16"/>
      <c r="D364" s="457"/>
      <c r="E364" s="363"/>
      <c r="F364" s="273"/>
      <c r="G364" s="226"/>
      <c r="H364" s="273"/>
      <c r="I364" s="400"/>
      <c r="J364" s="241" t="b">
        <f>Age_Sex_PY[[#This Row],[Total Spending After Applying Truncation at the Member Level]]+Age_Sex_PY[[#This Row],[Total Dollars Excluded from Spending After Applying Truncation at the Member Level]]=Age_Sex_PY[[#This Row],[Total Spending before Truncation is Applied]]</f>
        <v>1</v>
      </c>
    </row>
    <row r="365" spans="1:10" x14ac:dyDescent="0.25">
      <c r="A365" s="339"/>
      <c r="B365" s="270"/>
      <c r="C365" s="271"/>
      <c r="D365" s="456"/>
      <c r="E365" s="362"/>
      <c r="F365" s="272"/>
      <c r="G365" s="460"/>
      <c r="H365" s="272"/>
      <c r="I365" s="399"/>
      <c r="J365" s="241" t="b">
        <f>Age_Sex_PY[[#This Row],[Total Spending After Applying Truncation at the Member Level]]+Age_Sex_PY[[#This Row],[Total Dollars Excluded from Spending After Applying Truncation at the Member Level]]=Age_Sex_PY[[#This Row],[Total Spending before Truncation is Applied]]</f>
        <v>1</v>
      </c>
    </row>
    <row r="366" spans="1:10" x14ac:dyDescent="0.25">
      <c r="A366" s="342"/>
      <c r="B366" s="4"/>
      <c r="C366" s="16"/>
      <c r="D366" s="457"/>
      <c r="E366" s="363"/>
      <c r="F366" s="273"/>
      <c r="G366" s="226"/>
      <c r="H366" s="273"/>
      <c r="I366" s="400"/>
      <c r="J366" s="241" t="b">
        <f>Age_Sex_PY[[#This Row],[Total Spending After Applying Truncation at the Member Level]]+Age_Sex_PY[[#This Row],[Total Dollars Excluded from Spending After Applying Truncation at the Member Level]]=Age_Sex_PY[[#This Row],[Total Spending before Truncation is Applied]]</f>
        <v>1</v>
      </c>
    </row>
    <row r="367" spans="1:10" x14ac:dyDescent="0.25">
      <c r="A367" s="339"/>
      <c r="B367" s="270"/>
      <c r="C367" s="271"/>
      <c r="D367" s="456"/>
      <c r="E367" s="362"/>
      <c r="F367" s="272"/>
      <c r="G367" s="460"/>
      <c r="H367" s="272"/>
      <c r="I367" s="399"/>
      <c r="J367" s="241" t="b">
        <f>Age_Sex_PY[[#This Row],[Total Spending After Applying Truncation at the Member Level]]+Age_Sex_PY[[#This Row],[Total Dollars Excluded from Spending After Applying Truncation at the Member Level]]=Age_Sex_PY[[#This Row],[Total Spending before Truncation is Applied]]</f>
        <v>1</v>
      </c>
    </row>
    <row r="368" spans="1:10" x14ac:dyDescent="0.25">
      <c r="A368" s="342"/>
      <c r="B368" s="4"/>
      <c r="C368" s="16"/>
      <c r="D368" s="457"/>
      <c r="E368" s="363"/>
      <c r="F368" s="273"/>
      <c r="G368" s="226"/>
      <c r="H368" s="273"/>
      <c r="I368" s="400"/>
      <c r="J368" s="241" t="b">
        <f>Age_Sex_PY[[#This Row],[Total Spending After Applying Truncation at the Member Level]]+Age_Sex_PY[[#This Row],[Total Dollars Excluded from Spending After Applying Truncation at the Member Level]]=Age_Sex_PY[[#This Row],[Total Spending before Truncation is Applied]]</f>
        <v>1</v>
      </c>
    </row>
    <row r="369" spans="1:10" x14ac:dyDescent="0.25">
      <c r="A369" s="339"/>
      <c r="B369" s="270"/>
      <c r="C369" s="271"/>
      <c r="D369" s="456"/>
      <c r="E369" s="362"/>
      <c r="F369" s="272"/>
      <c r="G369" s="460"/>
      <c r="H369" s="272"/>
      <c r="I369" s="399"/>
      <c r="J369" s="241" t="b">
        <f>Age_Sex_PY[[#This Row],[Total Spending After Applying Truncation at the Member Level]]+Age_Sex_PY[[#This Row],[Total Dollars Excluded from Spending After Applying Truncation at the Member Level]]=Age_Sex_PY[[#This Row],[Total Spending before Truncation is Applied]]</f>
        <v>1</v>
      </c>
    </row>
    <row r="370" spans="1:10" x14ac:dyDescent="0.25">
      <c r="A370" s="342"/>
      <c r="B370" s="4"/>
      <c r="C370" s="16"/>
      <c r="D370" s="457"/>
      <c r="E370" s="363"/>
      <c r="F370" s="273"/>
      <c r="G370" s="226"/>
      <c r="H370" s="273"/>
      <c r="I370" s="400"/>
      <c r="J370" s="241" t="b">
        <f>Age_Sex_PY[[#This Row],[Total Spending After Applying Truncation at the Member Level]]+Age_Sex_PY[[#This Row],[Total Dollars Excluded from Spending After Applying Truncation at the Member Level]]=Age_Sex_PY[[#This Row],[Total Spending before Truncation is Applied]]</f>
        <v>1</v>
      </c>
    </row>
    <row r="371" spans="1:10" x14ac:dyDescent="0.25">
      <c r="A371" s="339"/>
      <c r="B371" s="270"/>
      <c r="C371" s="271"/>
      <c r="D371" s="456"/>
      <c r="E371" s="362"/>
      <c r="F371" s="272"/>
      <c r="G371" s="460"/>
      <c r="H371" s="272"/>
      <c r="I371" s="399"/>
      <c r="J371" s="241" t="b">
        <f>Age_Sex_PY[[#This Row],[Total Spending After Applying Truncation at the Member Level]]+Age_Sex_PY[[#This Row],[Total Dollars Excluded from Spending After Applying Truncation at the Member Level]]=Age_Sex_PY[[#This Row],[Total Spending before Truncation is Applied]]</f>
        <v>1</v>
      </c>
    </row>
    <row r="372" spans="1:10" x14ac:dyDescent="0.25">
      <c r="A372" s="342"/>
      <c r="B372" s="4"/>
      <c r="C372" s="16"/>
      <c r="D372" s="457"/>
      <c r="E372" s="363"/>
      <c r="F372" s="273"/>
      <c r="G372" s="226"/>
      <c r="H372" s="273"/>
      <c r="I372" s="400"/>
      <c r="J372" s="241" t="b">
        <f>Age_Sex_PY[[#This Row],[Total Spending After Applying Truncation at the Member Level]]+Age_Sex_PY[[#This Row],[Total Dollars Excluded from Spending After Applying Truncation at the Member Level]]=Age_Sex_PY[[#This Row],[Total Spending before Truncation is Applied]]</f>
        <v>1</v>
      </c>
    </row>
    <row r="373" spans="1:10" x14ac:dyDescent="0.25">
      <c r="A373" s="339"/>
      <c r="B373" s="270"/>
      <c r="C373" s="271"/>
      <c r="D373" s="456"/>
      <c r="E373" s="362"/>
      <c r="F373" s="272"/>
      <c r="G373" s="460"/>
      <c r="H373" s="272"/>
      <c r="I373" s="399"/>
      <c r="J373" s="241" t="b">
        <f>Age_Sex_PY[[#This Row],[Total Spending After Applying Truncation at the Member Level]]+Age_Sex_PY[[#This Row],[Total Dollars Excluded from Spending After Applying Truncation at the Member Level]]=Age_Sex_PY[[#This Row],[Total Spending before Truncation is Applied]]</f>
        <v>1</v>
      </c>
    </row>
    <row r="374" spans="1:10" x14ac:dyDescent="0.25">
      <c r="A374" s="342"/>
      <c r="B374" s="4"/>
      <c r="C374" s="16"/>
      <c r="D374" s="457"/>
      <c r="E374" s="363"/>
      <c r="F374" s="273"/>
      <c r="G374" s="226"/>
      <c r="H374" s="273"/>
      <c r="I374" s="400"/>
      <c r="J374" s="241" t="b">
        <f>Age_Sex_PY[[#This Row],[Total Spending After Applying Truncation at the Member Level]]+Age_Sex_PY[[#This Row],[Total Dollars Excluded from Spending After Applying Truncation at the Member Level]]=Age_Sex_PY[[#This Row],[Total Spending before Truncation is Applied]]</f>
        <v>1</v>
      </c>
    </row>
    <row r="375" spans="1:10" x14ac:dyDescent="0.25">
      <c r="A375" s="339"/>
      <c r="B375" s="270"/>
      <c r="C375" s="271"/>
      <c r="D375" s="456"/>
      <c r="E375" s="362"/>
      <c r="F375" s="272"/>
      <c r="G375" s="460"/>
      <c r="H375" s="272"/>
      <c r="I375" s="399"/>
      <c r="J375" s="241" t="b">
        <f>Age_Sex_PY[[#This Row],[Total Spending After Applying Truncation at the Member Level]]+Age_Sex_PY[[#This Row],[Total Dollars Excluded from Spending After Applying Truncation at the Member Level]]=Age_Sex_PY[[#This Row],[Total Spending before Truncation is Applied]]</f>
        <v>1</v>
      </c>
    </row>
    <row r="376" spans="1:10" x14ac:dyDescent="0.25">
      <c r="A376" s="342"/>
      <c r="B376" s="4"/>
      <c r="C376" s="16"/>
      <c r="D376" s="457"/>
      <c r="E376" s="363"/>
      <c r="F376" s="273"/>
      <c r="G376" s="226"/>
      <c r="H376" s="273"/>
      <c r="I376" s="400"/>
      <c r="J376" s="241" t="b">
        <f>Age_Sex_PY[[#This Row],[Total Spending After Applying Truncation at the Member Level]]+Age_Sex_PY[[#This Row],[Total Dollars Excluded from Spending After Applying Truncation at the Member Level]]=Age_Sex_PY[[#This Row],[Total Spending before Truncation is Applied]]</f>
        <v>1</v>
      </c>
    </row>
    <row r="377" spans="1:10" x14ac:dyDescent="0.25">
      <c r="A377" s="339"/>
      <c r="B377" s="270"/>
      <c r="C377" s="271"/>
      <c r="D377" s="456"/>
      <c r="E377" s="362"/>
      <c r="F377" s="272"/>
      <c r="G377" s="460"/>
      <c r="H377" s="272"/>
      <c r="I377" s="399"/>
      <c r="J377" s="241" t="b">
        <f>Age_Sex_PY[[#This Row],[Total Spending After Applying Truncation at the Member Level]]+Age_Sex_PY[[#This Row],[Total Dollars Excluded from Spending After Applying Truncation at the Member Level]]=Age_Sex_PY[[#This Row],[Total Spending before Truncation is Applied]]</f>
        <v>1</v>
      </c>
    </row>
    <row r="378" spans="1:10" x14ac:dyDescent="0.25">
      <c r="A378" s="342"/>
      <c r="B378" s="4"/>
      <c r="C378" s="16"/>
      <c r="D378" s="457"/>
      <c r="E378" s="363"/>
      <c r="F378" s="273"/>
      <c r="G378" s="226"/>
      <c r="H378" s="273"/>
      <c r="I378" s="400"/>
      <c r="J378" s="241" t="b">
        <f>Age_Sex_PY[[#This Row],[Total Spending After Applying Truncation at the Member Level]]+Age_Sex_PY[[#This Row],[Total Dollars Excluded from Spending After Applying Truncation at the Member Level]]=Age_Sex_PY[[#This Row],[Total Spending before Truncation is Applied]]</f>
        <v>1</v>
      </c>
    </row>
    <row r="379" spans="1:10" x14ac:dyDescent="0.25">
      <c r="A379" s="339"/>
      <c r="B379" s="270"/>
      <c r="C379" s="271"/>
      <c r="D379" s="456"/>
      <c r="E379" s="362"/>
      <c r="F379" s="272"/>
      <c r="G379" s="460"/>
      <c r="H379" s="272"/>
      <c r="I379" s="399"/>
      <c r="J379" s="241" t="b">
        <f>Age_Sex_PY[[#This Row],[Total Spending After Applying Truncation at the Member Level]]+Age_Sex_PY[[#This Row],[Total Dollars Excluded from Spending After Applying Truncation at the Member Level]]=Age_Sex_PY[[#This Row],[Total Spending before Truncation is Applied]]</f>
        <v>1</v>
      </c>
    </row>
    <row r="380" spans="1:10" x14ac:dyDescent="0.25">
      <c r="A380" s="342"/>
      <c r="B380" s="4"/>
      <c r="C380" s="16"/>
      <c r="D380" s="457"/>
      <c r="E380" s="363"/>
      <c r="F380" s="273"/>
      <c r="G380" s="226"/>
      <c r="H380" s="273"/>
      <c r="I380" s="400"/>
      <c r="J380" s="241" t="b">
        <f>Age_Sex_PY[[#This Row],[Total Spending After Applying Truncation at the Member Level]]+Age_Sex_PY[[#This Row],[Total Dollars Excluded from Spending After Applying Truncation at the Member Level]]=Age_Sex_PY[[#This Row],[Total Spending before Truncation is Applied]]</f>
        <v>1</v>
      </c>
    </row>
    <row r="381" spans="1:10" x14ac:dyDescent="0.25">
      <c r="A381" s="339"/>
      <c r="B381" s="270"/>
      <c r="C381" s="271"/>
      <c r="D381" s="456"/>
      <c r="E381" s="362"/>
      <c r="F381" s="272"/>
      <c r="G381" s="460"/>
      <c r="H381" s="272"/>
      <c r="I381" s="399"/>
      <c r="J381" s="241" t="b">
        <f>Age_Sex_PY[[#This Row],[Total Spending After Applying Truncation at the Member Level]]+Age_Sex_PY[[#This Row],[Total Dollars Excluded from Spending After Applying Truncation at the Member Level]]=Age_Sex_PY[[#This Row],[Total Spending before Truncation is Applied]]</f>
        <v>1</v>
      </c>
    </row>
    <row r="382" spans="1:10" x14ac:dyDescent="0.25">
      <c r="A382" s="342"/>
      <c r="B382" s="4"/>
      <c r="C382" s="16"/>
      <c r="D382" s="457"/>
      <c r="E382" s="363"/>
      <c r="F382" s="273"/>
      <c r="G382" s="226"/>
      <c r="H382" s="273"/>
      <c r="I382" s="400"/>
      <c r="J382" s="241" t="b">
        <f>Age_Sex_PY[[#This Row],[Total Spending After Applying Truncation at the Member Level]]+Age_Sex_PY[[#This Row],[Total Dollars Excluded from Spending After Applying Truncation at the Member Level]]=Age_Sex_PY[[#This Row],[Total Spending before Truncation is Applied]]</f>
        <v>1</v>
      </c>
    </row>
    <row r="383" spans="1:10" x14ac:dyDescent="0.25">
      <c r="A383" s="339"/>
      <c r="B383" s="270"/>
      <c r="C383" s="271"/>
      <c r="D383" s="456"/>
      <c r="E383" s="362"/>
      <c r="F383" s="272"/>
      <c r="G383" s="460"/>
      <c r="H383" s="272"/>
      <c r="I383" s="399"/>
      <c r="J383" s="241" t="b">
        <f>Age_Sex_PY[[#This Row],[Total Spending After Applying Truncation at the Member Level]]+Age_Sex_PY[[#This Row],[Total Dollars Excluded from Spending After Applying Truncation at the Member Level]]=Age_Sex_PY[[#This Row],[Total Spending before Truncation is Applied]]</f>
        <v>1</v>
      </c>
    </row>
    <row r="384" spans="1:10" x14ac:dyDescent="0.25">
      <c r="A384" s="342"/>
      <c r="B384" s="4"/>
      <c r="C384" s="16"/>
      <c r="D384" s="457"/>
      <c r="E384" s="363"/>
      <c r="F384" s="273"/>
      <c r="G384" s="226"/>
      <c r="H384" s="273"/>
      <c r="I384" s="400"/>
      <c r="J384" s="241" t="b">
        <f>Age_Sex_PY[[#This Row],[Total Spending After Applying Truncation at the Member Level]]+Age_Sex_PY[[#This Row],[Total Dollars Excluded from Spending After Applying Truncation at the Member Level]]=Age_Sex_PY[[#This Row],[Total Spending before Truncation is Applied]]</f>
        <v>1</v>
      </c>
    </row>
    <row r="385" spans="1:10" x14ac:dyDescent="0.25">
      <c r="A385" s="339"/>
      <c r="B385" s="270"/>
      <c r="C385" s="271"/>
      <c r="D385" s="456"/>
      <c r="E385" s="362"/>
      <c r="F385" s="272"/>
      <c r="G385" s="460"/>
      <c r="H385" s="272"/>
      <c r="I385" s="399"/>
      <c r="J385" s="241" t="b">
        <f>Age_Sex_PY[[#This Row],[Total Spending After Applying Truncation at the Member Level]]+Age_Sex_PY[[#This Row],[Total Dollars Excluded from Spending After Applying Truncation at the Member Level]]=Age_Sex_PY[[#This Row],[Total Spending before Truncation is Applied]]</f>
        <v>1</v>
      </c>
    </row>
    <row r="386" spans="1:10" x14ac:dyDescent="0.25">
      <c r="A386" s="342"/>
      <c r="B386" s="4"/>
      <c r="C386" s="16"/>
      <c r="D386" s="457"/>
      <c r="E386" s="363"/>
      <c r="F386" s="273"/>
      <c r="G386" s="226"/>
      <c r="H386" s="273"/>
      <c r="I386" s="400"/>
      <c r="J386" s="241" t="b">
        <f>Age_Sex_PY[[#This Row],[Total Spending After Applying Truncation at the Member Level]]+Age_Sex_PY[[#This Row],[Total Dollars Excluded from Spending After Applying Truncation at the Member Level]]=Age_Sex_PY[[#This Row],[Total Spending before Truncation is Applied]]</f>
        <v>1</v>
      </c>
    </row>
    <row r="387" spans="1:10" x14ac:dyDescent="0.25">
      <c r="A387" s="339"/>
      <c r="B387" s="270"/>
      <c r="C387" s="271"/>
      <c r="D387" s="456"/>
      <c r="E387" s="362"/>
      <c r="F387" s="272"/>
      <c r="G387" s="460"/>
      <c r="H387" s="272"/>
      <c r="I387" s="399"/>
      <c r="J387" s="241" t="b">
        <f>Age_Sex_PY[[#This Row],[Total Spending After Applying Truncation at the Member Level]]+Age_Sex_PY[[#This Row],[Total Dollars Excluded from Spending After Applying Truncation at the Member Level]]=Age_Sex_PY[[#This Row],[Total Spending before Truncation is Applied]]</f>
        <v>1</v>
      </c>
    </row>
    <row r="388" spans="1:10" x14ac:dyDescent="0.25">
      <c r="A388" s="342"/>
      <c r="B388" s="4"/>
      <c r="C388" s="16"/>
      <c r="D388" s="457"/>
      <c r="E388" s="363"/>
      <c r="F388" s="273"/>
      <c r="G388" s="226"/>
      <c r="H388" s="273"/>
      <c r="I388" s="400"/>
      <c r="J388" s="241" t="b">
        <f>Age_Sex_PY[[#This Row],[Total Spending After Applying Truncation at the Member Level]]+Age_Sex_PY[[#This Row],[Total Dollars Excluded from Spending After Applying Truncation at the Member Level]]=Age_Sex_PY[[#This Row],[Total Spending before Truncation is Applied]]</f>
        <v>1</v>
      </c>
    </row>
    <row r="389" spans="1:10" x14ac:dyDescent="0.25">
      <c r="A389" s="339"/>
      <c r="B389" s="270"/>
      <c r="C389" s="271"/>
      <c r="D389" s="456"/>
      <c r="E389" s="362"/>
      <c r="F389" s="272"/>
      <c r="G389" s="460"/>
      <c r="H389" s="272"/>
      <c r="I389" s="399"/>
      <c r="J389" s="241" t="b">
        <f>Age_Sex_PY[[#This Row],[Total Spending After Applying Truncation at the Member Level]]+Age_Sex_PY[[#This Row],[Total Dollars Excluded from Spending After Applying Truncation at the Member Level]]=Age_Sex_PY[[#This Row],[Total Spending before Truncation is Applied]]</f>
        <v>1</v>
      </c>
    </row>
    <row r="390" spans="1:10" x14ac:dyDescent="0.25">
      <c r="A390" s="342"/>
      <c r="B390" s="4"/>
      <c r="C390" s="16"/>
      <c r="D390" s="457"/>
      <c r="E390" s="363"/>
      <c r="F390" s="273"/>
      <c r="G390" s="226"/>
      <c r="H390" s="273"/>
      <c r="I390" s="400"/>
      <c r="J390" s="241" t="b">
        <f>Age_Sex_PY[[#This Row],[Total Spending After Applying Truncation at the Member Level]]+Age_Sex_PY[[#This Row],[Total Dollars Excluded from Spending After Applying Truncation at the Member Level]]=Age_Sex_PY[[#This Row],[Total Spending before Truncation is Applied]]</f>
        <v>1</v>
      </c>
    </row>
    <row r="391" spans="1:10" x14ac:dyDescent="0.25">
      <c r="A391" s="339"/>
      <c r="B391" s="270"/>
      <c r="C391" s="271"/>
      <c r="D391" s="456"/>
      <c r="E391" s="362"/>
      <c r="F391" s="272"/>
      <c r="G391" s="460"/>
      <c r="H391" s="272"/>
      <c r="I391" s="399"/>
      <c r="J391" s="241" t="b">
        <f>Age_Sex_PY[[#This Row],[Total Spending After Applying Truncation at the Member Level]]+Age_Sex_PY[[#This Row],[Total Dollars Excluded from Spending After Applying Truncation at the Member Level]]=Age_Sex_PY[[#This Row],[Total Spending before Truncation is Applied]]</f>
        <v>1</v>
      </c>
    </row>
    <row r="392" spans="1:10" x14ac:dyDescent="0.25">
      <c r="A392" s="342"/>
      <c r="B392" s="4"/>
      <c r="C392" s="16"/>
      <c r="D392" s="457"/>
      <c r="E392" s="363"/>
      <c r="F392" s="273"/>
      <c r="G392" s="226"/>
      <c r="H392" s="273"/>
      <c r="I392" s="400"/>
      <c r="J392" s="241" t="b">
        <f>Age_Sex_PY[[#This Row],[Total Spending After Applying Truncation at the Member Level]]+Age_Sex_PY[[#This Row],[Total Dollars Excluded from Spending After Applying Truncation at the Member Level]]=Age_Sex_PY[[#This Row],[Total Spending before Truncation is Applied]]</f>
        <v>1</v>
      </c>
    </row>
    <row r="393" spans="1:10" x14ac:dyDescent="0.25">
      <c r="A393" s="339"/>
      <c r="B393" s="270"/>
      <c r="C393" s="271"/>
      <c r="D393" s="456"/>
      <c r="E393" s="362"/>
      <c r="F393" s="272"/>
      <c r="G393" s="460"/>
      <c r="H393" s="272"/>
      <c r="I393" s="399"/>
      <c r="J393" s="241" t="b">
        <f>Age_Sex_PY[[#This Row],[Total Spending After Applying Truncation at the Member Level]]+Age_Sex_PY[[#This Row],[Total Dollars Excluded from Spending After Applying Truncation at the Member Level]]=Age_Sex_PY[[#This Row],[Total Spending before Truncation is Applied]]</f>
        <v>1</v>
      </c>
    </row>
    <row r="394" spans="1:10" x14ac:dyDescent="0.25">
      <c r="A394" s="342"/>
      <c r="B394" s="4"/>
      <c r="C394" s="16"/>
      <c r="D394" s="457"/>
      <c r="E394" s="363"/>
      <c r="F394" s="273"/>
      <c r="G394" s="226"/>
      <c r="H394" s="273"/>
      <c r="I394" s="400"/>
      <c r="J394" s="241" t="b">
        <f>Age_Sex_PY[[#This Row],[Total Spending After Applying Truncation at the Member Level]]+Age_Sex_PY[[#This Row],[Total Dollars Excluded from Spending After Applying Truncation at the Member Level]]=Age_Sex_PY[[#This Row],[Total Spending before Truncation is Applied]]</f>
        <v>1</v>
      </c>
    </row>
    <row r="395" spans="1:10" x14ac:dyDescent="0.25">
      <c r="A395" s="339"/>
      <c r="B395" s="270"/>
      <c r="C395" s="271"/>
      <c r="D395" s="456"/>
      <c r="E395" s="362"/>
      <c r="F395" s="272"/>
      <c r="G395" s="460"/>
      <c r="H395" s="272"/>
      <c r="I395" s="399"/>
      <c r="J395" s="241" t="b">
        <f>Age_Sex_PY[[#This Row],[Total Spending After Applying Truncation at the Member Level]]+Age_Sex_PY[[#This Row],[Total Dollars Excluded from Spending After Applying Truncation at the Member Level]]=Age_Sex_PY[[#This Row],[Total Spending before Truncation is Applied]]</f>
        <v>1</v>
      </c>
    </row>
    <row r="396" spans="1:10" x14ac:dyDescent="0.25">
      <c r="A396" s="342"/>
      <c r="B396" s="4"/>
      <c r="C396" s="16"/>
      <c r="D396" s="457"/>
      <c r="E396" s="363"/>
      <c r="F396" s="273"/>
      <c r="G396" s="226"/>
      <c r="H396" s="273"/>
      <c r="I396" s="400"/>
      <c r="J396" s="241" t="b">
        <f>Age_Sex_PY[[#This Row],[Total Spending After Applying Truncation at the Member Level]]+Age_Sex_PY[[#This Row],[Total Dollars Excluded from Spending After Applying Truncation at the Member Level]]=Age_Sex_PY[[#This Row],[Total Spending before Truncation is Applied]]</f>
        <v>1</v>
      </c>
    </row>
    <row r="397" spans="1:10" x14ac:dyDescent="0.25">
      <c r="A397" s="339"/>
      <c r="B397" s="270"/>
      <c r="C397" s="271"/>
      <c r="D397" s="456"/>
      <c r="E397" s="362"/>
      <c r="F397" s="272"/>
      <c r="G397" s="460"/>
      <c r="H397" s="272"/>
      <c r="I397" s="399"/>
      <c r="J397" s="241" t="b">
        <f>Age_Sex_PY[[#This Row],[Total Spending After Applying Truncation at the Member Level]]+Age_Sex_PY[[#This Row],[Total Dollars Excluded from Spending After Applying Truncation at the Member Level]]=Age_Sex_PY[[#This Row],[Total Spending before Truncation is Applied]]</f>
        <v>1</v>
      </c>
    </row>
    <row r="398" spans="1:10" x14ac:dyDescent="0.25">
      <c r="A398" s="342"/>
      <c r="B398" s="4"/>
      <c r="C398" s="16"/>
      <c r="D398" s="457"/>
      <c r="E398" s="363"/>
      <c r="F398" s="273"/>
      <c r="G398" s="226"/>
      <c r="H398" s="273"/>
      <c r="I398" s="400"/>
      <c r="J398" s="241" t="b">
        <f>Age_Sex_PY[[#This Row],[Total Spending After Applying Truncation at the Member Level]]+Age_Sex_PY[[#This Row],[Total Dollars Excluded from Spending After Applying Truncation at the Member Level]]=Age_Sex_PY[[#This Row],[Total Spending before Truncation is Applied]]</f>
        <v>1</v>
      </c>
    </row>
    <row r="399" spans="1:10" x14ac:dyDescent="0.25">
      <c r="A399" s="339"/>
      <c r="B399" s="270"/>
      <c r="C399" s="271"/>
      <c r="D399" s="456"/>
      <c r="E399" s="362"/>
      <c r="F399" s="272"/>
      <c r="G399" s="460"/>
      <c r="H399" s="272"/>
      <c r="I399" s="399"/>
      <c r="J399" s="241" t="b">
        <f>Age_Sex_PY[[#This Row],[Total Spending After Applying Truncation at the Member Level]]+Age_Sex_PY[[#This Row],[Total Dollars Excluded from Spending After Applying Truncation at the Member Level]]=Age_Sex_PY[[#This Row],[Total Spending before Truncation is Applied]]</f>
        <v>1</v>
      </c>
    </row>
    <row r="400" spans="1:10" x14ac:dyDescent="0.25">
      <c r="A400" s="342"/>
      <c r="B400" s="4"/>
      <c r="C400" s="16"/>
      <c r="D400" s="457"/>
      <c r="E400" s="363"/>
      <c r="F400" s="273"/>
      <c r="G400" s="226"/>
      <c r="H400" s="273"/>
      <c r="I400" s="400"/>
      <c r="J400" s="241" t="b">
        <f>Age_Sex_PY[[#This Row],[Total Spending After Applying Truncation at the Member Level]]+Age_Sex_PY[[#This Row],[Total Dollars Excluded from Spending After Applying Truncation at the Member Level]]=Age_Sex_PY[[#This Row],[Total Spending before Truncation is Applied]]</f>
        <v>1</v>
      </c>
    </row>
    <row r="401" spans="1:10" x14ac:dyDescent="0.25">
      <c r="A401" s="339"/>
      <c r="B401" s="270"/>
      <c r="C401" s="271"/>
      <c r="D401" s="456"/>
      <c r="E401" s="362"/>
      <c r="F401" s="272"/>
      <c r="G401" s="460"/>
      <c r="H401" s="272"/>
      <c r="I401" s="399"/>
      <c r="J401" s="241" t="b">
        <f>Age_Sex_PY[[#This Row],[Total Spending After Applying Truncation at the Member Level]]+Age_Sex_PY[[#This Row],[Total Dollars Excluded from Spending After Applying Truncation at the Member Level]]=Age_Sex_PY[[#This Row],[Total Spending before Truncation is Applied]]</f>
        <v>1</v>
      </c>
    </row>
    <row r="402" spans="1:10" x14ac:dyDescent="0.25">
      <c r="A402" s="342"/>
      <c r="B402" s="4"/>
      <c r="C402" s="16"/>
      <c r="D402" s="457"/>
      <c r="E402" s="363"/>
      <c r="F402" s="273"/>
      <c r="G402" s="226"/>
      <c r="H402" s="273"/>
      <c r="I402" s="400"/>
      <c r="J402" s="241" t="b">
        <f>Age_Sex_PY[[#This Row],[Total Spending After Applying Truncation at the Member Level]]+Age_Sex_PY[[#This Row],[Total Dollars Excluded from Spending After Applying Truncation at the Member Level]]=Age_Sex_PY[[#This Row],[Total Spending before Truncation is Applied]]</f>
        <v>1</v>
      </c>
    </row>
    <row r="403" spans="1:10" x14ac:dyDescent="0.25">
      <c r="A403" s="339"/>
      <c r="B403" s="270"/>
      <c r="C403" s="271"/>
      <c r="D403" s="456"/>
      <c r="E403" s="362"/>
      <c r="F403" s="272"/>
      <c r="G403" s="460"/>
      <c r="H403" s="272"/>
      <c r="I403" s="399"/>
      <c r="J403" s="241" t="b">
        <f>Age_Sex_PY[[#This Row],[Total Spending After Applying Truncation at the Member Level]]+Age_Sex_PY[[#This Row],[Total Dollars Excluded from Spending After Applying Truncation at the Member Level]]=Age_Sex_PY[[#This Row],[Total Spending before Truncation is Applied]]</f>
        <v>1</v>
      </c>
    </row>
    <row r="404" spans="1:10" x14ac:dyDescent="0.25">
      <c r="A404" s="342"/>
      <c r="B404" s="4"/>
      <c r="C404" s="16"/>
      <c r="D404" s="457"/>
      <c r="E404" s="363"/>
      <c r="F404" s="273"/>
      <c r="G404" s="226"/>
      <c r="H404" s="273"/>
      <c r="I404" s="400"/>
      <c r="J404" s="241" t="b">
        <f>Age_Sex_PY[[#This Row],[Total Spending After Applying Truncation at the Member Level]]+Age_Sex_PY[[#This Row],[Total Dollars Excluded from Spending After Applying Truncation at the Member Level]]=Age_Sex_PY[[#This Row],[Total Spending before Truncation is Applied]]</f>
        <v>1</v>
      </c>
    </row>
    <row r="405" spans="1:10" x14ac:dyDescent="0.25">
      <c r="A405" s="339"/>
      <c r="B405" s="270"/>
      <c r="C405" s="271"/>
      <c r="D405" s="456"/>
      <c r="E405" s="362"/>
      <c r="F405" s="272"/>
      <c r="G405" s="460"/>
      <c r="H405" s="272"/>
      <c r="I405" s="399"/>
      <c r="J405" s="241" t="b">
        <f>Age_Sex_PY[[#This Row],[Total Spending After Applying Truncation at the Member Level]]+Age_Sex_PY[[#This Row],[Total Dollars Excluded from Spending After Applying Truncation at the Member Level]]=Age_Sex_PY[[#This Row],[Total Spending before Truncation is Applied]]</f>
        <v>1</v>
      </c>
    </row>
    <row r="406" spans="1:10" x14ac:dyDescent="0.25">
      <c r="A406" s="342"/>
      <c r="B406" s="4"/>
      <c r="C406" s="16"/>
      <c r="D406" s="457"/>
      <c r="E406" s="363"/>
      <c r="F406" s="273"/>
      <c r="G406" s="226"/>
      <c r="H406" s="273"/>
      <c r="I406" s="400"/>
      <c r="J406" s="241" t="b">
        <f>Age_Sex_PY[[#This Row],[Total Spending After Applying Truncation at the Member Level]]+Age_Sex_PY[[#This Row],[Total Dollars Excluded from Spending After Applying Truncation at the Member Level]]=Age_Sex_PY[[#This Row],[Total Spending before Truncation is Applied]]</f>
        <v>1</v>
      </c>
    </row>
    <row r="407" spans="1:10" x14ac:dyDescent="0.25">
      <c r="A407" s="339"/>
      <c r="B407" s="270"/>
      <c r="C407" s="271"/>
      <c r="D407" s="456"/>
      <c r="E407" s="362"/>
      <c r="F407" s="272"/>
      <c r="G407" s="460"/>
      <c r="H407" s="272"/>
      <c r="I407" s="399"/>
      <c r="J407" s="241" t="b">
        <f>Age_Sex_PY[[#This Row],[Total Spending After Applying Truncation at the Member Level]]+Age_Sex_PY[[#This Row],[Total Dollars Excluded from Spending After Applying Truncation at the Member Level]]=Age_Sex_PY[[#This Row],[Total Spending before Truncation is Applied]]</f>
        <v>1</v>
      </c>
    </row>
    <row r="408" spans="1:10" x14ac:dyDescent="0.25">
      <c r="A408" s="342"/>
      <c r="B408" s="4"/>
      <c r="C408" s="16"/>
      <c r="D408" s="457"/>
      <c r="E408" s="363"/>
      <c r="F408" s="273"/>
      <c r="G408" s="226"/>
      <c r="H408" s="273"/>
      <c r="I408" s="400"/>
      <c r="J408" s="241" t="b">
        <f>Age_Sex_PY[[#This Row],[Total Spending After Applying Truncation at the Member Level]]+Age_Sex_PY[[#This Row],[Total Dollars Excluded from Spending After Applying Truncation at the Member Level]]=Age_Sex_PY[[#This Row],[Total Spending before Truncation is Applied]]</f>
        <v>1</v>
      </c>
    </row>
    <row r="409" spans="1:10" x14ac:dyDescent="0.25">
      <c r="A409" s="339"/>
      <c r="B409" s="270"/>
      <c r="C409" s="271"/>
      <c r="D409" s="456"/>
      <c r="E409" s="362"/>
      <c r="F409" s="272"/>
      <c r="G409" s="460"/>
      <c r="H409" s="272"/>
      <c r="I409" s="399"/>
      <c r="J409" s="241" t="b">
        <f>Age_Sex_PY[[#This Row],[Total Spending After Applying Truncation at the Member Level]]+Age_Sex_PY[[#This Row],[Total Dollars Excluded from Spending After Applying Truncation at the Member Level]]=Age_Sex_PY[[#This Row],[Total Spending before Truncation is Applied]]</f>
        <v>1</v>
      </c>
    </row>
    <row r="410" spans="1:10" x14ac:dyDescent="0.25">
      <c r="A410" s="342"/>
      <c r="B410" s="4"/>
      <c r="C410" s="16"/>
      <c r="D410" s="457"/>
      <c r="E410" s="363"/>
      <c r="F410" s="273"/>
      <c r="G410" s="226"/>
      <c r="H410" s="273"/>
      <c r="I410" s="400"/>
      <c r="J410" s="241" t="b">
        <f>Age_Sex_PY[[#This Row],[Total Spending After Applying Truncation at the Member Level]]+Age_Sex_PY[[#This Row],[Total Dollars Excluded from Spending After Applying Truncation at the Member Level]]=Age_Sex_PY[[#This Row],[Total Spending before Truncation is Applied]]</f>
        <v>1</v>
      </c>
    </row>
    <row r="411" spans="1:10" x14ac:dyDescent="0.25">
      <c r="A411" s="339"/>
      <c r="B411" s="270"/>
      <c r="C411" s="271"/>
      <c r="D411" s="456"/>
      <c r="E411" s="362"/>
      <c r="F411" s="272"/>
      <c r="G411" s="460"/>
      <c r="H411" s="272"/>
      <c r="I411" s="399"/>
      <c r="J411" s="241" t="b">
        <f>Age_Sex_PY[[#This Row],[Total Spending After Applying Truncation at the Member Level]]+Age_Sex_PY[[#This Row],[Total Dollars Excluded from Spending After Applying Truncation at the Member Level]]=Age_Sex_PY[[#This Row],[Total Spending before Truncation is Applied]]</f>
        <v>1</v>
      </c>
    </row>
    <row r="412" spans="1:10" x14ac:dyDescent="0.25">
      <c r="A412" s="342"/>
      <c r="B412" s="4"/>
      <c r="C412" s="16"/>
      <c r="D412" s="457"/>
      <c r="E412" s="363"/>
      <c r="F412" s="273"/>
      <c r="G412" s="226"/>
      <c r="H412" s="273"/>
      <c r="I412" s="400"/>
      <c r="J412" s="241" t="b">
        <f>Age_Sex_PY[[#This Row],[Total Spending After Applying Truncation at the Member Level]]+Age_Sex_PY[[#This Row],[Total Dollars Excluded from Spending After Applying Truncation at the Member Level]]=Age_Sex_PY[[#This Row],[Total Spending before Truncation is Applied]]</f>
        <v>1</v>
      </c>
    </row>
    <row r="413" spans="1:10" x14ac:dyDescent="0.25">
      <c r="A413" s="339"/>
      <c r="B413" s="270"/>
      <c r="C413" s="271"/>
      <c r="D413" s="456"/>
      <c r="E413" s="362"/>
      <c r="F413" s="272"/>
      <c r="G413" s="460"/>
      <c r="H413" s="272"/>
      <c r="I413" s="399"/>
      <c r="J413" s="241" t="b">
        <f>Age_Sex_PY[[#This Row],[Total Spending After Applying Truncation at the Member Level]]+Age_Sex_PY[[#This Row],[Total Dollars Excluded from Spending After Applying Truncation at the Member Level]]=Age_Sex_PY[[#This Row],[Total Spending before Truncation is Applied]]</f>
        <v>1</v>
      </c>
    </row>
    <row r="414" spans="1:10" x14ac:dyDescent="0.25">
      <c r="A414" s="342"/>
      <c r="B414" s="4"/>
      <c r="C414" s="16"/>
      <c r="D414" s="457"/>
      <c r="E414" s="363"/>
      <c r="F414" s="273"/>
      <c r="G414" s="226"/>
      <c r="H414" s="273"/>
      <c r="I414" s="400"/>
      <c r="J414" s="241" t="b">
        <f>Age_Sex_PY[[#This Row],[Total Spending After Applying Truncation at the Member Level]]+Age_Sex_PY[[#This Row],[Total Dollars Excluded from Spending After Applying Truncation at the Member Level]]=Age_Sex_PY[[#This Row],[Total Spending before Truncation is Applied]]</f>
        <v>1</v>
      </c>
    </row>
    <row r="415" spans="1:10" x14ac:dyDescent="0.25">
      <c r="A415" s="339"/>
      <c r="B415" s="270"/>
      <c r="C415" s="271"/>
      <c r="D415" s="456"/>
      <c r="E415" s="362"/>
      <c r="F415" s="272"/>
      <c r="G415" s="460"/>
      <c r="H415" s="272"/>
      <c r="I415" s="399"/>
      <c r="J415" s="241" t="b">
        <f>Age_Sex_PY[[#This Row],[Total Spending After Applying Truncation at the Member Level]]+Age_Sex_PY[[#This Row],[Total Dollars Excluded from Spending After Applying Truncation at the Member Level]]=Age_Sex_PY[[#This Row],[Total Spending before Truncation is Applied]]</f>
        <v>1</v>
      </c>
    </row>
    <row r="416" spans="1:10" x14ac:dyDescent="0.25">
      <c r="A416" s="342"/>
      <c r="B416" s="4"/>
      <c r="C416" s="16"/>
      <c r="D416" s="457"/>
      <c r="E416" s="363"/>
      <c r="F416" s="273"/>
      <c r="G416" s="226"/>
      <c r="H416" s="273"/>
      <c r="I416" s="400"/>
      <c r="J416" s="241" t="b">
        <f>Age_Sex_PY[[#This Row],[Total Spending After Applying Truncation at the Member Level]]+Age_Sex_PY[[#This Row],[Total Dollars Excluded from Spending After Applying Truncation at the Member Level]]=Age_Sex_PY[[#This Row],[Total Spending before Truncation is Applied]]</f>
        <v>1</v>
      </c>
    </row>
    <row r="417" spans="1:10" x14ac:dyDescent="0.25">
      <c r="A417" s="339"/>
      <c r="B417" s="270"/>
      <c r="C417" s="271"/>
      <c r="D417" s="456"/>
      <c r="E417" s="362"/>
      <c r="F417" s="272"/>
      <c r="G417" s="460"/>
      <c r="H417" s="272"/>
      <c r="I417" s="399"/>
      <c r="J417" s="241" t="b">
        <f>Age_Sex_PY[[#This Row],[Total Spending After Applying Truncation at the Member Level]]+Age_Sex_PY[[#This Row],[Total Dollars Excluded from Spending After Applying Truncation at the Member Level]]=Age_Sex_PY[[#This Row],[Total Spending before Truncation is Applied]]</f>
        <v>1</v>
      </c>
    </row>
    <row r="418" spans="1:10" x14ac:dyDescent="0.25">
      <c r="A418" s="342"/>
      <c r="B418" s="4"/>
      <c r="C418" s="16"/>
      <c r="D418" s="457"/>
      <c r="E418" s="363"/>
      <c r="F418" s="273"/>
      <c r="G418" s="226"/>
      <c r="H418" s="273"/>
      <c r="I418" s="400"/>
      <c r="J418" s="241" t="b">
        <f>Age_Sex_PY[[#This Row],[Total Spending After Applying Truncation at the Member Level]]+Age_Sex_PY[[#This Row],[Total Dollars Excluded from Spending After Applying Truncation at the Member Level]]=Age_Sex_PY[[#This Row],[Total Spending before Truncation is Applied]]</f>
        <v>1</v>
      </c>
    </row>
    <row r="419" spans="1:10" x14ac:dyDescent="0.25">
      <c r="A419" s="339"/>
      <c r="B419" s="270"/>
      <c r="C419" s="271"/>
      <c r="D419" s="456"/>
      <c r="E419" s="362"/>
      <c r="F419" s="272"/>
      <c r="G419" s="460"/>
      <c r="H419" s="272"/>
      <c r="I419" s="399"/>
      <c r="J419" s="241" t="b">
        <f>Age_Sex_PY[[#This Row],[Total Spending After Applying Truncation at the Member Level]]+Age_Sex_PY[[#This Row],[Total Dollars Excluded from Spending After Applying Truncation at the Member Level]]=Age_Sex_PY[[#This Row],[Total Spending before Truncation is Applied]]</f>
        <v>1</v>
      </c>
    </row>
    <row r="420" spans="1:10" x14ac:dyDescent="0.25">
      <c r="A420" s="342"/>
      <c r="B420" s="4"/>
      <c r="C420" s="16"/>
      <c r="D420" s="457"/>
      <c r="E420" s="363"/>
      <c r="F420" s="273"/>
      <c r="G420" s="226"/>
      <c r="H420" s="273"/>
      <c r="I420" s="400"/>
      <c r="J420" s="241" t="b">
        <f>Age_Sex_PY[[#This Row],[Total Spending After Applying Truncation at the Member Level]]+Age_Sex_PY[[#This Row],[Total Dollars Excluded from Spending After Applying Truncation at the Member Level]]=Age_Sex_PY[[#This Row],[Total Spending before Truncation is Applied]]</f>
        <v>1</v>
      </c>
    </row>
    <row r="421" spans="1:10" x14ac:dyDescent="0.25">
      <c r="A421" s="339"/>
      <c r="B421" s="270"/>
      <c r="C421" s="271"/>
      <c r="D421" s="456"/>
      <c r="E421" s="362"/>
      <c r="F421" s="272"/>
      <c r="G421" s="460"/>
      <c r="H421" s="272"/>
      <c r="I421" s="399"/>
      <c r="J421" s="241" t="b">
        <f>Age_Sex_PY[[#This Row],[Total Spending After Applying Truncation at the Member Level]]+Age_Sex_PY[[#This Row],[Total Dollars Excluded from Spending After Applying Truncation at the Member Level]]=Age_Sex_PY[[#This Row],[Total Spending before Truncation is Applied]]</f>
        <v>1</v>
      </c>
    </row>
    <row r="422" spans="1:10" x14ac:dyDescent="0.25">
      <c r="A422" s="342"/>
      <c r="B422" s="4"/>
      <c r="C422" s="16"/>
      <c r="D422" s="457"/>
      <c r="E422" s="363"/>
      <c r="F422" s="273"/>
      <c r="G422" s="226"/>
      <c r="H422" s="273"/>
      <c r="I422" s="400"/>
      <c r="J422" s="241" t="b">
        <f>Age_Sex_PY[[#This Row],[Total Spending After Applying Truncation at the Member Level]]+Age_Sex_PY[[#This Row],[Total Dollars Excluded from Spending After Applying Truncation at the Member Level]]=Age_Sex_PY[[#This Row],[Total Spending before Truncation is Applied]]</f>
        <v>1</v>
      </c>
    </row>
    <row r="423" spans="1:10" x14ac:dyDescent="0.25">
      <c r="A423" s="339"/>
      <c r="B423" s="270"/>
      <c r="C423" s="271"/>
      <c r="D423" s="456"/>
      <c r="E423" s="362"/>
      <c r="F423" s="272"/>
      <c r="G423" s="460"/>
      <c r="H423" s="272"/>
      <c r="I423" s="399"/>
      <c r="J423" s="241" t="b">
        <f>Age_Sex_PY[[#This Row],[Total Spending After Applying Truncation at the Member Level]]+Age_Sex_PY[[#This Row],[Total Dollars Excluded from Spending After Applying Truncation at the Member Level]]=Age_Sex_PY[[#This Row],[Total Spending before Truncation is Applied]]</f>
        <v>1</v>
      </c>
    </row>
    <row r="424" spans="1:10" x14ac:dyDescent="0.25">
      <c r="A424" s="342"/>
      <c r="B424" s="4"/>
      <c r="C424" s="16"/>
      <c r="D424" s="457"/>
      <c r="E424" s="363"/>
      <c r="F424" s="273"/>
      <c r="G424" s="226"/>
      <c r="H424" s="273"/>
      <c r="I424" s="400"/>
      <c r="J424" s="241" t="b">
        <f>Age_Sex_PY[[#This Row],[Total Spending After Applying Truncation at the Member Level]]+Age_Sex_PY[[#This Row],[Total Dollars Excluded from Spending After Applying Truncation at the Member Level]]=Age_Sex_PY[[#This Row],[Total Spending before Truncation is Applied]]</f>
        <v>1</v>
      </c>
    </row>
    <row r="425" spans="1:10" x14ac:dyDescent="0.25">
      <c r="A425" s="339"/>
      <c r="B425" s="270"/>
      <c r="C425" s="271"/>
      <c r="D425" s="456"/>
      <c r="E425" s="362"/>
      <c r="F425" s="272"/>
      <c r="G425" s="460"/>
      <c r="H425" s="272"/>
      <c r="I425" s="399"/>
      <c r="J425" s="241" t="b">
        <f>Age_Sex_PY[[#This Row],[Total Spending After Applying Truncation at the Member Level]]+Age_Sex_PY[[#This Row],[Total Dollars Excluded from Spending After Applying Truncation at the Member Level]]=Age_Sex_PY[[#This Row],[Total Spending before Truncation is Applied]]</f>
        <v>1</v>
      </c>
    </row>
    <row r="426" spans="1:10" x14ac:dyDescent="0.25">
      <c r="A426" s="342"/>
      <c r="B426" s="4"/>
      <c r="C426" s="16"/>
      <c r="D426" s="457"/>
      <c r="E426" s="363"/>
      <c r="F426" s="273"/>
      <c r="G426" s="226"/>
      <c r="H426" s="273"/>
      <c r="I426" s="400"/>
      <c r="J426" s="241" t="b">
        <f>Age_Sex_PY[[#This Row],[Total Spending After Applying Truncation at the Member Level]]+Age_Sex_PY[[#This Row],[Total Dollars Excluded from Spending After Applying Truncation at the Member Level]]=Age_Sex_PY[[#This Row],[Total Spending before Truncation is Applied]]</f>
        <v>1</v>
      </c>
    </row>
    <row r="427" spans="1:10" x14ac:dyDescent="0.25">
      <c r="A427" s="339"/>
      <c r="B427" s="270"/>
      <c r="C427" s="271"/>
      <c r="D427" s="456"/>
      <c r="E427" s="362"/>
      <c r="F427" s="272"/>
      <c r="G427" s="460"/>
      <c r="H427" s="272"/>
      <c r="I427" s="399"/>
      <c r="J427" s="241" t="b">
        <f>Age_Sex_PY[[#This Row],[Total Spending After Applying Truncation at the Member Level]]+Age_Sex_PY[[#This Row],[Total Dollars Excluded from Spending After Applying Truncation at the Member Level]]=Age_Sex_PY[[#This Row],[Total Spending before Truncation is Applied]]</f>
        <v>1</v>
      </c>
    </row>
    <row r="428" spans="1:10" x14ac:dyDescent="0.25">
      <c r="A428" s="342"/>
      <c r="B428" s="4"/>
      <c r="C428" s="16"/>
      <c r="D428" s="457"/>
      <c r="E428" s="363"/>
      <c r="F428" s="273"/>
      <c r="G428" s="226"/>
      <c r="H428" s="273"/>
      <c r="I428" s="400"/>
      <c r="J428" s="241" t="b">
        <f>Age_Sex_PY[[#This Row],[Total Spending After Applying Truncation at the Member Level]]+Age_Sex_PY[[#This Row],[Total Dollars Excluded from Spending After Applying Truncation at the Member Level]]=Age_Sex_PY[[#This Row],[Total Spending before Truncation is Applied]]</f>
        <v>1</v>
      </c>
    </row>
    <row r="429" spans="1:10" x14ac:dyDescent="0.25">
      <c r="A429" s="339"/>
      <c r="B429" s="270"/>
      <c r="C429" s="271"/>
      <c r="D429" s="456"/>
      <c r="E429" s="362"/>
      <c r="F429" s="272"/>
      <c r="G429" s="460"/>
      <c r="H429" s="272"/>
      <c r="I429" s="399"/>
      <c r="J429" s="241" t="b">
        <f>Age_Sex_PY[[#This Row],[Total Spending After Applying Truncation at the Member Level]]+Age_Sex_PY[[#This Row],[Total Dollars Excluded from Spending After Applying Truncation at the Member Level]]=Age_Sex_PY[[#This Row],[Total Spending before Truncation is Applied]]</f>
        <v>1</v>
      </c>
    </row>
    <row r="430" spans="1:10" x14ac:dyDescent="0.25">
      <c r="A430" s="342"/>
      <c r="B430" s="4"/>
      <c r="C430" s="16"/>
      <c r="D430" s="457"/>
      <c r="E430" s="363"/>
      <c r="F430" s="273"/>
      <c r="G430" s="226"/>
      <c r="H430" s="273"/>
      <c r="I430" s="400"/>
      <c r="J430" s="241" t="b">
        <f>Age_Sex_PY[[#This Row],[Total Spending After Applying Truncation at the Member Level]]+Age_Sex_PY[[#This Row],[Total Dollars Excluded from Spending After Applying Truncation at the Member Level]]=Age_Sex_PY[[#This Row],[Total Spending before Truncation is Applied]]</f>
        <v>1</v>
      </c>
    </row>
    <row r="431" spans="1:10" x14ac:dyDescent="0.25">
      <c r="A431" s="339"/>
      <c r="B431" s="270"/>
      <c r="C431" s="271"/>
      <c r="D431" s="456"/>
      <c r="E431" s="362"/>
      <c r="F431" s="272"/>
      <c r="G431" s="460"/>
      <c r="H431" s="272"/>
      <c r="I431" s="399"/>
      <c r="J431" s="241" t="b">
        <f>Age_Sex_PY[[#This Row],[Total Spending After Applying Truncation at the Member Level]]+Age_Sex_PY[[#This Row],[Total Dollars Excluded from Spending After Applying Truncation at the Member Level]]=Age_Sex_PY[[#This Row],[Total Spending before Truncation is Applied]]</f>
        <v>1</v>
      </c>
    </row>
    <row r="432" spans="1:10" x14ac:dyDescent="0.25">
      <c r="A432" s="342"/>
      <c r="B432" s="4"/>
      <c r="C432" s="16"/>
      <c r="D432" s="457"/>
      <c r="E432" s="363"/>
      <c r="F432" s="273"/>
      <c r="G432" s="226"/>
      <c r="H432" s="273"/>
      <c r="I432" s="400"/>
      <c r="J432" s="241" t="b">
        <f>Age_Sex_PY[[#This Row],[Total Spending After Applying Truncation at the Member Level]]+Age_Sex_PY[[#This Row],[Total Dollars Excluded from Spending After Applying Truncation at the Member Level]]=Age_Sex_PY[[#This Row],[Total Spending before Truncation is Applied]]</f>
        <v>1</v>
      </c>
    </row>
    <row r="433" spans="1:10" x14ac:dyDescent="0.25">
      <c r="A433" s="339"/>
      <c r="B433" s="270"/>
      <c r="C433" s="271"/>
      <c r="D433" s="456"/>
      <c r="E433" s="362"/>
      <c r="F433" s="272"/>
      <c r="G433" s="460"/>
      <c r="H433" s="272"/>
      <c r="I433" s="399"/>
      <c r="J433" s="241" t="b">
        <f>Age_Sex_PY[[#This Row],[Total Spending After Applying Truncation at the Member Level]]+Age_Sex_PY[[#This Row],[Total Dollars Excluded from Spending After Applying Truncation at the Member Level]]=Age_Sex_PY[[#This Row],[Total Spending before Truncation is Applied]]</f>
        <v>1</v>
      </c>
    </row>
    <row r="434" spans="1:10" x14ac:dyDescent="0.25">
      <c r="A434" s="342"/>
      <c r="B434" s="4"/>
      <c r="C434" s="16"/>
      <c r="D434" s="457"/>
      <c r="E434" s="363"/>
      <c r="F434" s="273"/>
      <c r="G434" s="226"/>
      <c r="H434" s="273"/>
      <c r="I434" s="400"/>
      <c r="J434" s="241" t="b">
        <f>Age_Sex_PY[[#This Row],[Total Spending After Applying Truncation at the Member Level]]+Age_Sex_PY[[#This Row],[Total Dollars Excluded from Spending After Applying Truncation at the Member Level]]=Age_Sex_PY[[#This Row],[Total Spending before Truncation is Applied]]</f>
        <v>1</v>
      </c>
    </row>
    <row r="435" spans="1:10" x14ac:dyDescent="0.25">
      <c r="A435" s="339"/>
      <c r="B435" s="270"/>
      <c r="C435" s="271"/>
      <c r="D435" s="456"/>
      <c r="E435" s="362"/>
      <c r="F435" s="272"/>
      <c r="G435" s="460"/>
      <c r="H435" s="272"/>
      <c r="I435" s="399"/>
      <c r="J435" s="241" t="b">
        <f>Age_Sex_PY[[#This Row],[Total Spending After Applying Truncation at the Member Level]]+Age_Sex_PY[[#This Row],[Total Dollars Excluded from Spending After Applying Truncation at the Member Level]]=Age_Sex_PY[[#This Row],[Total Spending before Truncation is Applied]]</f>
        <v>1</v>
      </c>
    </row>
    <row r="436" spans="1:10" x14ac:dyDescent="0.25">
      <c r="A436" s="342"/>
      <c r="B436" s="4"/>
      <c r="C436" s="16"/>
      <c r="D436" s="457"/>
      <c r="E436" s="363"/>
      <c r="F436" s="273"/>
      <c r="G436" s="226"/>
      <c r="H436" s="273"/>
      <c r="I436" s="400"/>
      <c r="J436" s="241" t="b">
        <f>Age_Sex_PY[[#This Row],[Total Spending After Applying Truncation at the Member Level]]+Age_Sex_PY[[#This Row],[Total Dollars Excluded from Spending After Applying Truncation at the Member Level]]=Age_Sex_PY[[#This Row],[Total Spending before Truncation is Applied]]</f>
        <v>1</v>
      </c>
    </row>
    <row r="437" spans="1:10" x14ac:dyDescent="0.25">
      <c r="A437" s="339"/>
      <c r="B437" s="270"/>
      <c r="C437" s="271"/>
      <c r="D437" s="456"/>
      <c r="E437" s="362"/>
      <c r="F437" s="272"/>
      <c r="G437" s="460"/>
      <c r="H437" s="272"/>
      <c r="I437" s="399"/>
      <c r="J437" s="241" t="b">
        <f>Age_Sex_PY[[#This Row],[Total Spending After Applying Truncation at the Member Level]]+Age_Sex_PY[[#This Row],[Total Dollars Excluded from Spending After Applying Truncation at the Member Level]]=Age_Sex_PY[[#This Row],[Total Spending before Truncation is Applied]]</f>
        <v>1</v>
      </c>
    </row>
    <row r="438" spans="1:10" x14ac:dyDescent="0.25">
      <c r="A438" s="342"/>
      <c r="B438" s="4"/>
      <c r="C438" s="16"/>
      <c r="D438" s="457"/>
      <c r="E438" s="363"/>
      <c r="F438" s="273"/>
      <c r="G438" s="226"/>
      <c r="H438" s="273"/>
      <c r="I438" s="400"/>
      <c r="J438" s="241" t="b">
        <f>Age_Sex_PY[[#This Row],[Total Spending After Applying Truncation at the Member Level]]+Age_Sex_PY[[#This Row],[Total Dollars Excluded from Spending After Applying Truncation at the Member Level]]=Age_Sex_PY[[#This Row],[Total Spending before Truncation is Applied]]</f>
        <v>1</v>
      </c>
    </row>
    <row r="439" spans="1:10" x14ac:dyDescent="0.25">
      <c r="A439" s="339"/>
      <c r="B439" s="270"/>
      <c r="C439" s="271"/>
      <c r="D439" s="456"/>
      <c r="E439" s="362"/>
      <c r="F439" s="272"/>
      <c r="G439" s="460"/>
      <c r="H439" s="272"/>
      <c r="I439" s="399"/>
      <c r="J439" s="241" t="b">
        <f>Age_Sex_PY[[#This Row],[Total Spending After Applying Truncation at the Member Level]]+Age_Sex_PY[[#This Row],[Total Dollars Excluded from Spending After Applying Truncation at the Member Level]]=Age_Sex_PY[[#This Row],[Total Spending before Truncation is Applied]]</f>
        <v>1</v>
      </c>
    </row>
    <row r="440" spans="1:10" x14ac:dyDescent="0.25">
      <c r="A440" s="342"/>
      <c r="B440" s="4"/>
      <c r="C440" s="16"/>
      <c r="D440" s="457"/>
      <c r="E440" s="363"/>
      <c r="F440" s="273"/>
      <c r="G440" s="226"/>
      <c r="H440" s="273"/>
      <c r="I440" s="400"/>
      <c r="J440" s="241" t="b">
        <f>Age_Sex_PY[[#This Row],[Total Spending After Applying Truncation at the Member Level]]+Age_Sex_PY[[#This Row],[Total Dollars Excluded from Spending After Applying Truncation at the Member Level]]=Age_Sex_PY[[#This Row],[Total Spending before Truncation is Applied]]</f>
        <v>1</v>
      </c>
    </row>
    <row r="441" spans="1:10" x14ac:dyDescent="0.25">
      <c r="A441" s="339"/>
      <c r="B441" s="270"/>
      <c r="C441" s="271"/>
      <c r="D441" s="456"/>
      <c r="E441" s="362"/>
      <c r="F441" s="272"/>
      <c r="G441" s="460"/>
      <c r="H441" s="272"/>
      <c r="I441" s="399"/>
      <c r="J441" s="241" t="b">
        <f>Age_Sex_PY[[#This Row],[Total Spending After Applying Truncation at the Member Level]]+Age_Sex_PY[[#This Row],[Total Dollars Excluded from Spending After Applying Truncation at the Member Level]]=Age_Sex_PY[[#This Row],[Total Spending before Truncation is Applied]]</f>
        <v>1</v>
      </c>
    </row>
    <row r="442" spans="1:10" x14ac:dyDescent="0.25">
      <c r="A442" s="342"/>
      <c r="B442" s="4"/>
      <c r="C442" s="16"/>
      <c r="D442" s="457"/>
      <c r="E442" s="363"/>
      <c r="F442" s="273"/>
      <c r="G442" s="226"/>
      <c r="H442" s="273"/>
      <c r="I442" s="400"/>
      <c r="J442" s="241" t="b">
        <f>Age_Sex_PY[[#This Row],[Total Spending After Applying Truncation at the Member Level]]+Age_Sex_PY[[#This Row],[Total Dollars Excluded from Spending After Applying Truncation at the Member Level]]=Age_Sex_PY[[#This Row],[Total Spending before Truncation is Applied]]</f>
        <v>1</v>
      </c>
    </row>
    <row r="443" spans="1:10" x14ac:dyDescent="0.25">
      <c r="A443" s="339"/>
      <c r="B443" s="270"/>
      <c r="C443" s="271"/>
      <c r="D443" s="456"/>
      <c r="E443" s="362"/>
      <c r="F443" s="272"/>
      <c r="G443" s="460"/>
      <c r="H443" s="272"/>
      <c r="I443" s="399"/>
      <c r="J443" s="241" t="b">
        <f>Age_Sex_PY[[#This Row],[Total Spending After Applying Truncation at the Member Level]]+Age_Sex_PY[[#This Row],[Total Dollars Excluded from Spending After Applying Truncation at the Member Level]]=Age_Sex_PY[[#This Row],[Total Spending before Truncation is Applied]]</f>
        <v>1</v>
      </c>
    </row>
    <row r="444" spans="1:10" x14ac:dyDescent="0.25">
      <c r="A444" s="342"/>
      <c r="B444" s="4"/>
      <c r="C444" s="16"/>
      <c r="D444" s="457"/>
      <c r="E444" s="363"/>
      <c r="F444" s="273"/>
      <c r="G444" s="226"/>
      <c r="H444" s="273"/>
      <c r="I444" s="400"/>
      <c r="J444" s="241" t="b">
        <f>Age_Sex_PY[[#This Row],[Total Spending After Applying Truncation at the Member Level]]+Age_Sex_PY[[#This Row],[Total Dollars Excluded from Spending After Applying Truncation at the Member Level]]=Age_Sex_PY[[#This Row],[Total Spending before Truncation is Applied]]</f>
        <v>1</v>
      </c>
    </row>
    <row r="445" spans="1:10" x14ac:dyDescent="0.25">
      <c r="A445" s="339"/>
      <c r="B445" s="270"/>
      <c r="C445" s="271"/>
      <c r="D445" s="456"/>
      <c r="E445" s="362"/>
      <c r="F445" s="272"/>
      <c r="G445" s="460"/>
      <c r="H445" s="272"/>
      <c r="I445" s="399"/>
      <c r="J445" s="241" t="b">
        <f>Age_Sex_PY[[#This Row],[Total Spending After Applying Truncation at the Member Level]]+Age_Sex_PY[[#This Row],[Total Dollars Excluded from Spending After Applying Truncation at the Member Level]]=Age_Sex_PY[[#This Row],[Total Spending before Truncation is Applied]]</f>
        <v>1</v>
      </c>
    </row>
    <row r="446" spans="1:10" x14ac:dyDescent="0.25">
      <c r="A446" s="342"/>
      <c r="B446" s="4"/>
      <c r="C446" s="16"/>
      <c r="D446" s="457"/>
      <c r="E446" s="363"/>
      <c r="F446" s="273"/>
      <c r="G446" s="226"/>
      <c r="H446" s="273"/>
      <c r="I446" s="400"/>
      <c r="J446" s="241" t="b">
        <f>Age_Sex_PY[[#This Row],[Total Spending After Applying Truncation at the Member Level]]+Age_Sex_PY[[#This Row],[Total Dollars Excluded from Spending After Applying Truncation at the Member Level]]=Age_Sex_PY[[#This Row],[Total Spending before Truncation is Applied]]</f>
        <v>1</v>
      </c>
    </row>
    <row r="447" spans="1:10" x14ac:dyDescent="0.25">
      <c r="A447" s="339"/>
      <c r="B447" s="270"/>
      <c r="C447" s="271"/>
      <c r="D447" s="456"/>
      <c r="E447" s="362"/>
      <c r="F447" s="272"/>
      <c r="G447" s="460"/>
      <c r="H447" s="272"/>
      <c r="I447" s="399"/>
      <c r="J447" s="241" t="b">
        <f>Age_Sex_PY[[#This Row],[Total Spending After Applying Truncation at the Member Level]]+Age_Sex_PY[[#This Row],[Total Dollars Excluded from Spending After Applying Truncation at the Member Level]]=Age_Sex_PY[[#This Row],[Total Spending before Truncation is Applied]]</f>
        <v>1</v>
      </c>
    </row>
    <row r="448" spans="1:10" x14ac:dyDescent="0.25">
      <c r="A448" s="342"/>
      <c r="B448" s="4"/>
      <c r="C448" s="16"/>
      <c r="D448" s="457"/>
      <c r="E448" s="363"/>
      <c r="F448" s="273"/>
      <c r="G448" s="226"/>
      <c r="H448" s="273"/>
      <c r="I448" s="400"/>
      <c r="J448" s="241" t="b">
        <f>Age_Sex_PY[[#This Row],[Total Spending After Applying Truncation at the Member Level]]+Age_Sex_PY[[#This Row],[Total Dollars Excluded from Spending After Applying Truncation at the Member Level]]=Age_Sex_PY[[#This Row],[Total Spending before Truncation is Applied]]</f>
        <v>1</v>
      </c>
    </row>
    <row r="449" spans="1:10" x14ac:dyDescent="0.25">
      <c r="A449" s="339"/>
      <c r="B449" s="270"/>
      <c r="C449" s="271"/>
      <c r="D449" s="456"/>
      <c r="E449" s="362"/>
      <c r="F449" s="272"/>
      <c r="G449" s="460"/>
      <c r="H449" s="272"/>
      <c r="I449" s="399"/>
      <c r="J449" s="241" t="b">
        <f>Age_Sex_PY[[#This Row],[Total Spending After Applying Truncation at the Member Level]]+Age_Sex_PY[[#This Row],[Total Dollars Excluded from Spending After Applying Truncation at the Member Level]]=Age_Sex_PY[[#This Row],[Total Spending before Truncation is Applied]]</f>
        <v>1</v>
      </c>
    </row>
    <row r="450" spans="1:10" x14ac:dyDescent="0.25">
      <c r="A450" s="342"/>
      <c r="B450" s="4"/>
      <c r="C450" s="16"/>
      <c r="D450" s="457"/>
      <c r="E450" s="363"/>
      <c r="F450" s="273"/>
      <c r="G450" s="226"/>
      <c r="H450" s="273"/>
      <c r="I450" s="400"/>
      <c r="J450" s="241" t="b">
        <f>Age_Sex_PY[[#This Row],[Total Spending After Applying Truncation at the Member Level]]+Age_Sex_PY[[#This Row],[Total Dollars Excluded from Spending After Applying Truncation at the Member Level]]=Age_Sex_PY[[#This Row],[Total Spending before Truncation is Applied]]</f>
        <v>1</v>
      </c>
    </row>
    <row r="451" spans="1:10" x14ac:dyDescent="0.25">
      <c r="A451" s="339"/>
      <c r="B451" s="270"/>
      <c r="C451" s="271"/>
      <c r="D451" s="456"/>
      <c r="E451" s="362"/>
      <c r="F451" s="272"/>
      <c r="G451" s="460"/>
      <c r="H451" s="272"/>
      <c r="I451" s="399"/>
      <c r="J451" s="241" t="b">
        <f>Age_Sex_PY[[#This Row],[Total Spending After Applying Truncation at the Member Level]]+Age_Sex_PY[[#This Row],[Total Dollars Excluded from Spending After Applying Truncation at the Member Level]]=Age_Sex_PY[[#This Row],[Total Spending before Truncation is Applied]]</f>
        <v>1</v>
      </c>
    </row>
    <row r="452" spans="1:10" x14ac:dyDescent="0.25">
      <c r="A452" s="342"/>
      <c r="B452" s="4"/>
      <c r="C452" s="16"/>
      <c r="D452" s="457"/>
      <c r="E452" s="363"/>
      <c r="F452" s="273"/>
      <c r="G452" s="226"/>
      <c r="H452" s="273"/>
      <c r="I452" s="400"/>
      <c r="J452" s="241" t="b">
        <f>Age_Sex_PY[[#This Row],[Total Spending After Applying Truncation at the Member Level]]+Age_Sex_PY[[#This Row],[Total Dollars Excluded from Spending After Applying Truncation at the Member Level]]=Age_Sex_PY[[#This Row],[Total Spending before Truncation is Applied]]</f>
        <v>1</v>
      </c>
    </row>
    <row r="453" spans="1:10" x14ac:dyDescent="0.25">
      <c r="A453" s="339"/>
      <c r="B453" s="270"/>
      <c r="C453" s="271"/>
      <c r="D453" s="456"/>
      <c r="E453" s="362"/>
      <c r="F453" s="272"/>
      <c r="G453" s="460"/>
      <c r="H453" s="272"/>
      <c r="I453" s="399"/>
      <c r="J453" s="241" t="b">
        <f>Age_Sex_PY[[#This Row],[Total Spending After Applying Truncation at the Member Level]]+Age_Sex_PY[[#This Row],[Total Dollars Excluded from Spending After Applying Truncation at the Member Level]]=Age_Sex_PY[[#This Row],[Total Spending before Truncation is Applied]]</f>
        <v>1</v>
      </c>
    </row>
    <row r="454" spans="1:10" x14ac:dyDescent="0.25">
      <c r="A454" s="342"/>
      <c r="B454" s="4"/>
      <c r="C454" s="16"/>
      <c r="D454" s="457"/>
      <c r="E454" s="363"/>
      <c r="F454" s="273"/>
      <c r="G454" s="226"/>
      <c r="H454" s="273"/>
      <c r="I454" s="400"/>
      <c r="J454" s="241" t="b">
        <f>Age_Sex_PY[[#This Row],[Total Spending After Applying Truncation at the Member Level]]+Age_Sex_PY[[#This Row],[Total Dollars Excluded from Spending After Applying Truncation at the Member Level]]=Age_Sex_PY[[#This Row],[Total Spending before Truncation is Applied]]</f>
        <v>1</v>
      </c>
    </row>
    <row r="455" spans="1:10" x14ac:dyDescent="0.25">
      <c r="A455" s="339"/>
      <c r="B455" s="270"/>
      <c r="C455" s="271"/>
      <c r="D455" s="456"/>
      <c r="E455" s="362"/>
      <c r="F455" s="272"/>
      <c r="G455" s="460"/>
      <c r="H455" s="272"/>
      <c r="I455" s="399"/>
      <c r="J455" s="241" t="b">
        <f>Age_Sex_PY[[#This Row],[Total Spending After Applying Truncation at the Member Level]]+Age_Sex_PY[[#This Row],[Total Dollars Excluded from Spending After Applying Truncation at the Member Level]]=Age_Sex_PY[[#This Row],[Total Spending before Truncation is Applied]]</f>
        <v>1</v>
      </c>
    </row>
    <row r="456" spans="1:10" x14ac:dyDescent="0.25">
      <c r="A456" s="342"/>
      <c r="B456" s="4"/>
      <c r="C456" s="16"/>
      <c r="D456" s="457"/>
      <c r="E456" s="363"/>
      <c r="F456" s="273"/>
      <c r="G456" s="226"/>
      <c r="H456" s="273"/>
      <c r="I456" s="400"/>
      <c r="J456" s="241" t="b">
        <f>Age_Sex_PY[[#This Row],[Total Spending After Applying Truncation at the Member Level]]+Age_Sex_PY[[#This Row],[Total Dollars Excluded from Spending After Applying Truncation at the Member Level]]=Age_Sex_PY[[#This Row],[Total Spending before Truncation is Applied]]</f>
        <v>1</v>
      </c>
    </row>
    <row r="457" spans="1:10" x14ac:dyDescent="0.25">
      <c r="A457" s="339"/>
      <c r="B457" s="270"/>
      <c r="C457" s="271"/>
      <c r="D457" s="456"/>
      <c r="E457" s="362"/>
      <c r="F457" s="272"/>
      <c r="G457" s="460"/>
      <c r="H457" s="272"/>
      <c r="I457" s="399"/>
      <c r="J457" s="241" t="b">
        <f>Age_Sex_PY[[#This Row],[Total Spending After Applying Truncation at the Member Level]]+Age_Sex_PY[[#This Row],[Total Dollars Excluded from Spending After Applying Truncation at the Member Level]]=Age_Sex_PY[[#This Row],[Total Spending before Truncation is Applied]]</f>
        <v>1</v>
      </c>
    </row>
    <row r="458" spans="1:10" x14ac:dyDescent="0.25">
      <c r="A458" s="342"/>
      <c r="B458" s="4"/>
      <c r="C458" s="16"/>
      <c r="D458" s="457"/>
      <c r="E458" s="363"/>
      <c r="F458" s="273"/>
      <c r="G458" s="226"/>
      <c r="H458" s="273"/>
      <c r="I458" s="400"/>
      <c r="J458" s="241" t="b">
        <f>Age_Sex_PY[[#This Row],[Total Spending After Applying Truncation at the Member Level]]+Age_Sex_PY[[#This Row],[Total Dollars Excluded from Spending After Applying Truncation at the Member Level]]=Age_Sex_PY[[#This Row],[Total Spending before Truncation is Applied]]</f>
        <v>1</v>
      </c>
    </row>
    <row r="459" spans="1:10" x14ac:dyDescent="0.25">
      <c r="A459" s="339"/>
      <c r="B459" s="270"/>
      <c r="C459" s="271"/>
      <c r="D459" s="456"/>
      <c r="E459" s="362"/>
      <c r="F459" s="272"/>
      <c r="G459" s="460"/>
      <c r="H459" s="272"/>
      <c r="I459" s="399"/>
      <c r="J459" s="241" t="b">
        <f>Age_Sex_PY[[#This Row],[Total Spending After Applying Truncation at the Member Level]]+Age_Sex_PY[[#This Row],[Total Dollars Excluded from Spending After Applying Truncation at the Member Level]]=Age_Sex_PY[[#This Row],[Total Spending before Truncation is Applied]]</f>
        <v>1</v>
      </c>
    </row>
    <row r="460" spans="1:10" x14ac:dyDescent="0.25">
      <c r="A460" s="342"/>
      <c r="B460" s="4"/>
      <c r="C460" s="16"/>
      <c r="D460" s="457"/>
      <c r="E460" s="363"/>
      <c r="F460" s="273"/>
      <c r="G460" s="226"/>
      <c r="H460" s="273"/>
      <c r="I460" s="400"/>
      <c r="J460" s="241" t="b">
        <f>Age_Sex_PY[[#This Row],[Total Spending After Applying Truncation at the Member Level]]+Age_Sex_PY[[#This Row],[Total Dollars Excluded from Spending After Applying Truncation at the Member Level]]=Age_Sex_PY[[#This Row],[Total Spending before Truncation is Applied]]</f>
        <v>1</v>
      </c>
    </row>
    <row r="461" spans="1:10" x14ac:dyDescent="0.25">
      <c r="A461" s="339"/>
      <c r="B461" s="270"/>
      <c r="C461" s="271"/>
      <c r="D461" s="456"/>
      <c r="E461" s="362"/>
      <c r="F461" s="272"/>
      <c r="G461" s="460"/>
      <c r="H461" s="272"/>
      <c r="I461" s="399"/>
      <c r="J461" s="241" t="b">
        <f>Age_Sex_PY[[#This Row],[Total Spending After Applying Truncation at the Member Level]]+Age_Sex_PY[[#This Row],[Total Dollars Excluded from Spending After Applying Truncation at the Member Level]]=Age_Sex_PY[[#This Row],[Total Spending before Truncation is Applied]]</f>
        <v>1</v>
      </c>
    </row>
    <row r="462" spans="1:10" x14ac:dyDescent="0.25">
      <c r="A462" s="342"/>
      <c r="B462" s="4"/>
      <c r="C462" s="16"/>
      <c r="D462" s="457"/>
      <c r="E462" s="363"/>
      <c r="F462" s="273"/>
      <c r="G462" s="226"/>
      <c r="H462" s="273"/>
      <c r="I462" s="400"/>
      <c r="J462" s="241" t="b">
        <f>Age_Sex_PY[[#This Row],[Total Spending After Applying Truncation at the Member Level]]+Age_Sex_PY[[#This Row],[Total Dollars Excluded from Spending After Applying Truncation at the Member Level]]=Age_Sex_PY[[#This Row],[Total Spending before Truncation is Applied]]</f>
        <v>1</v>
      </c>
    </row>
    <row r="463" spans="1:10" x14ac:dyDescent="0.25">
      <c r="A463" s="339"/>
      <c r="B463" s="270"/>
      <c r="C463" s="271"/>
      <c r="D463" s="456"/>
      <c r="E463" s="362"/>
      <c r="F463" s="272"/>
      <c r="G463" s="460"/>
      <c r="H463" s="272"/>
      <c r="I463" s="399"/>
      <c r="J463" s="241" t="b">
        <f>Age_Sex_PY[[#This Row],[Total Spending After Applying Truncation at the Member Level]]+Age_Sex_PY[[#This Row],[Total Dollars Excluded from Spending After Applying Truncation at the Member Level]]=Age_Sex_PY[[#This Row],[Total Spending before Truncation is Applied]]</f>
        <v>1</v>
      </c>
    </row>
    <row r="464" spans="1:10" x14ac:dyDescent="0.25">
      <c r="A464" s="342"/>
      <c r="B464" s="4"/>
      <c r="C464" s="16"/>
      <c r="D464" s="457"/>
      <c r="E464" s="363"/>
      <c r="F464" s="273"/>
      <c r="G464" s="226"/>
      <c r="H464" s="273"/>
      <c r="I464" s="400"/>
      <c r="J464" s="241" t="b">
        <f>Age_Sex_PY[[#This Row],[Total Spending After Applying Truncation at the Member Level]]+Age_Sex_PY[[#This Row],[Total Dollars Excluded from Spending After Applying Truncation at the Member Level]]=Age_Sex_PY[[#This Row],[Total Spending before Truncation is Applied]]</f>
        <v>1</v>
      </c>
    </row>
    <row r="465" spans="1:10" x14ac:dyDescent="0.25">
      <c r="A465" s="339"/>
      <c r="B465" s="270"/>
      <c r="C465" s="271"/>
      <c r="D465" s="456"/>
      <c r="E465" s="362"/>
      <c r="F465" s="272"/>
      <c r="G465" s="460"/>
      <c r="H465" s="272"/>
      <c r="I465" s="399"/>
      <c r="J465" s="241" t="b">
        <f>Age_Sex_PY[[#This Row],[Total Spending After Applying Truncation at the Member Level]]+Age_Sex_PY[[#This Row],[Total Dollars Excluded from Spending After Applying Truncation at the Member Level]]=Age_Sex_PY[[#This Row],[Total Spending before Truncation is Applied]]</f>
        <v>1</v>
      </c>
    </row>
    <row r="466" spans="1:10" x14ac:dyDescent="0.25">
      <c r="A466" s="342"/>
      <c r="B466" s="4"/>
      <c r="C466" s="16"/>
      <c r="D466" s="457"/>
      <c r="E466" s="363"/>
      <c r="F466" s="273"/>
      <c r="G466" s="226"/>
      <c r="H466" s="273"/>
      <c r="I466" s="400"/>
      <c r="J466" s="241" t="b">
        <f>Age_Sex_PY[[#This Row],[Total Spending After Applying Truncation at the Member Level]]+Age_Sex_PY[[#This Row],[Total Dollars Excluded from Spending After Applying Truncation at the Member Level]]=Age_Sex_PY[[#This Row],[Total Spending before Truncation is Applied]]</f>
        <v>1</v>
      </c>
    </row>
    <row r="467" spans="1:10" x14ac:dyDescent="0.25">
      <c r="A467" s="339"/>
      <c r="B467" s="270"/>
      <c r="C467" s="271"/>
      <c r="D467" s="456"/>
      <c r="E467" s="362"/>
      <c r="F467" s="272"/>
      <c r="G467" s="460"/>
      <c r="H467" s="272"/>
      <c r="I467" s="399"/>
      <c r="J467" s="241" t="b">
        <f>Age_Sex_PY[[#This Row],[Total Spending After Applying Truncation at the Member Level]]+Age_Sex_PY[[#This Row],[Total Dollars Excluded from Spending After Applying Truncation at the Member Level]]=Age_Sex_PY[[#This Row],[Total Spending before Truncation is Applied]]</f>
        <v>1</v>
      </c>
    </row>
    <row r="468" spans="1:10" x14ac:dyDescent="0.25">
      <c r="A468" s="342"/>
      <c r="B468" s="4"/>
      <c r="C468" s="16"/>
      <c r="D468" s="457"/>
      <c r="E468" s="363"/>
      <c r="F468" s="273"/>
      <c r="G468" s="226"/>
      <c r="H468" s="273"/>
      <c r="I468" s="400"/>
      <c r="J468" s="241" t="b">
        <f>Age_Sex_PY[[#This Row],[Total Spending After Applying Truncation at the Member Level]]+Age_Sex_PY[[#This Row],[Total Dollars Excluded from Spending After Applying Truncation at the Member Level]]=Age_Sex_PY[[#This Row],[Total Spending before Truncation is Applied]]</f>
        <v>1</v>
      </c>
    </row>
    <row r="469" spans="1:10" x14ac:dyDescent="0.25">
      <c r="A469" s="339"/>
      <c r="B469" s="270"/>
      <c r="C469" s="271"/>
      <c r="D469" s="456"/>
      <c r="E469" s="362"/>
      <c r="F469" s="272"/>
      <c r="G469" s="460"/>
      <c r="H469" s="272"/>
      <c r="I469" s="399"/>
      <c r="J469" s="241" t="b">
        <f>Age_Sex_PY[[#This Row],[Total Spending After Applying Truncation at the Member Level]]+Age_Sex_PY[[#This Row],[Total Dollars Excluded from Spending After Applying Truncation at the Member Level]]=Age_Sex_PY[[#This Row],[Total Spending before Truncation is Applied]]</f>
        <v>1</v>
      </c>
    </row>
    <row r="470" spans="1:10" x14ac:dyDescent="0.25">
      <c r="A470" s="342"/>
      <c r="B470" s="4"/>
      <c r="C470" s="16"/>
      <c r="D470" s="457"/>
      <c r="E470" s="363"/>
      <c r="F470" s="273"/>
      <c r="G470" s="226"/>
      <c r="H470" s="273"/>
      <c r="I470" s="400"/>
      <c r="J470" s="241" t="b">
        <f>Age_Sex_PY[[#This Row],[Total Spending After Applying Truncation at the Member Level]]+Age_Sex_PY[[#This Row],[Total Dollars Excluded from Spending After Applying Truncation at the Member Level]]=Age_Sex_PY[[#This Row],[Total Spending before Truncation is Applied]]</f>
        <v>1</v>
      </c>
    </row>
    <row r="471" spans="1:10" x14ac:dyDescent="0.25">
      <c r="A471" s="339"/>
      <c r="B471" s="270"/>
      <c r="C471" s="271"/>
      <c r="D471" s="456"/>
      <c r="E471" s="362"/>
      <c r="F471" s="272"/>
      <c r="G471" s="460"/>
      <c r="H471" s="272"/>
      <c r="I471" s="399"/>
      <c r="J471" s="241" t="b">
        <f>Age_Sex_PY[[#This Row],[Total Spending After Applying Truncation at the Member Level]]+Age_Sex_PY[[#This Row],[Total Dollars Excluded from Spending After Applying Truncation at the Member Level]]=Age_Sex_PY[[#This Row],[Total Spending before Truncation is Applied]]</f>
        <v>1</v>
      </c>
    </row>
    <row r="472" spans="1:10" x14ac:dyDescent="0.25">
      <c r="A472" s="342"/>
      <c r="B472" s="4"/>
      <c r="C472" s="16"/>
      <c r="D472" s="457"/>
      <c r="E472" s="363"/>
      <c r="F472" s="273"/>
      <c r="G472" s="226"/>
      <c r="H472" s="273"/>
      <c r="I472" s="400"/>
      <c r="J472" s="241" t="b">
        <f>Age_Sex_PY[[#This Row],[Total Spending After Applying Truncation at the Member Level]]+Age_Sex_PY[[#This Row],[Total Dollars Excluded from Spending After Applying Truncation at the Member Level]]=Age_Sex_PY[[#This Row],[Total Spending before Truncation is Applied]]</f>
        <v>1</v>
      </c>
    </row>
    <row r="473" spans="1:10" x14ac:dyDescent="0.25">
      <c r="A473" s="339"/>
      <c r="B473" s="270"/>
      <c r="C473" s="271"/>
      <c r="D473" s="456"/>
      <c r="E473" s="362"/>
      <c r="F473" s="272"/>
      <c r="G473" s="460"/>
      <c r="H473" s="272"/>
      <c r="I473" s="399"/>
      <c r="J473" s="241" t="b">
        <f>Age_Sex_PY[[#This Row],[Total Spending After Applying Truncation at the Member Level]]+Age_Sex_PY[[#This Row],[Total Dollars Excluded from Spending After Applying Truncation at the Member Level]]=Age_Sex_PY[[#This Row],[Total Spending before Truncation is Applied]]</f>
        <v>1</v>
      </c>
    </row>
    <row r="474" spans="1:10" x14ac:dyDescent="0.25">
      <c r="A474" s="342"/>
      <c r="B474" s="4"/>
      <c r="C474" s="16"/>
      <c r="D474" s="457"/>
      <c r="E474" s="363"/>
      <c r="F474" s="273"/>
      <c r="G474" s="226"/>
      <c r="H474" s="273"/>
      <c r="I474" s="400"/>
      <c r="J474" s="241" t="b">
        <f>Age_Sex_PY[[#This Row],[Total Spending After Applying Truncation at the Member Level]]+Age_Sex_PY[[#This Row],[Total Dollars Excluded from Spending After Applying Truncation at the Member Level]]=Age_Sex_PY[[#This Row],[Total Spending before Truncation is Applied]]</f>
        <v>1</v>
      </c>
    </row>
    <row r="475" spans="1:10" x14ac:dyDescent="0.25">
      <c r="A475" s="339"/>
      <c r="B475" s="270"/>
      <c r="C475" s="271"/>
      <c r="D475" s="456"/>
      <c r="E475" s="362"/>
      <c r="F475" s="272"/>
      <c r="G475" s="460"/>
      <c r="H475" s="272"/>
      <c r="I475" s="399"/>
      <c r="J475" s="241" t="b">
        <f>Age_Sex_PY[[#This Row],[Total Spending After Applying Truncation at the Member Level]]+Age_Sex_PY[[#This Row],[Total Dollars Excluded from Spending After Applying Truncation at the Member Level]]=Age_Sex_PY[[#This Row],[Total Spending before Truncation is Applied]]</f>
        <v>1</v>
      </c>
    </row>
    <row r="476" spans="1:10" x14ac:dyDescent="0.25">
      <c r="A476" s="342"/>
      <c r="B476" s="4"/>
      <c r="C476" s="16"/>
      <c r="D476" s="457"/>
      <c r="E476" s="363"/>
      <c r="F476" s="273"/>
      <c r="G476" s="226"/>
      <c r="H476" s="273"/>
      <c r="I476" s="400"/>
      <c r="J476" s="241" t="b">
        <f>Age_Sex_PY[[#This Row],[Total Spending After Applying Truncation at the Member Level]]+Age_Sex_PY[[#This Row],[Total Dollars Excluded from Spending After Applying Truncation at the Member Level]]=Age_Sex_PY[[#This Row],[Total Spending before Truncation is Applied]]</f>
        <v>1</v>
      </c>
    </row>
    <row r="477" spans="1:10" x14ac:dyDescent="0.25">
      <c r="A477" s="339"/>
      <c r="B477" s="270"/>
      <c r="C477" s="271"/>
      <c r="D477" s="456"/>
      <c r="E477" s="362"/>
      <c r="F477" s="272"/>
      <c r="G477" s="460"/>
      <c r="H477" s="272"/>
      <c r="I477" s="399"/>
      <c r="J477" s="241" t="b">
        <f>Age_Sex_PY[[#This Row],[Total Spending After Applying Truncation at the Member Level]]+Age_Sex_PY[[#This Row],[Total Dollars Excluded from Spending After Applying Truncation at the Member Level]]=Age_Sex_PY[[#This Row],[Total Spending before Truncation is Applied]]</f>
        <v>1</v>
      </c>
    </row>
    <row r="478" spans="1:10" x14ac:dyDescent="0.25">
      <c r="A478" s="342"/>
      <c r="B478" s="4"/>
      <c r="C478" s="16"/>
      <c r="D478" s="457"/>
      <c r="E478" s="363"/>
      <c r="F478" s="273"/>
      <c r="G478" s="226"/>
      <c r="H478" s="273"/>
      <c r="I478" s="400"/>
      <c r="J478" s="241" t="b">
        <f>Age_Sex_PY[[#This Row],[Total Spending After Applying Truncation at the Member Level]]+Age_Sex_PY[[#This Row],[Total Dollars Excluded from Spending After Applying Truncation at the Member Level]]=Age_Sex_PY[[#This Row],[Total Spending before Truncation is Applied]]</f>
        <v>1</v>
      </c>
    </row>
    <row r="479" spans="1:10" x14ac:dyDescent="0.25">
      <c r="A479" s="339"/>
      <c r="B479" s="270"/>
      <c r="C479" s="271"/>
      <c r="D479" s="456"/>
      <c r="E479" s="362"/>
      <c r="F479" s="272"/>
      <c r="G479" s="460"/>
      <c r="H479" s="272"/>
      <c r="I479" s="399"/>
      <c r="J479" s="241" t="b">
        <f>Age_Sex_PY[[#This Row],[Total Spending After Applying Truncation at the Member Level]]+Age_Sex_PY[[#This Row],[Total Dollars Excluded from Spending After Applying Truncation at the Member Level]]=Age_Sex_PY[[#This Row],[Total Spending before Truncation is Applied]]</f>
        <v>1</v>
      </c>
    </row>
    <row r="480" spans="1:10" x14ac:dyDescent="0.25">
      <c r="A480" s="342"/>
      <c r="B480" s="4"/>
      <c r="C480" s="16"/>
      <c r="D480" s="457"/>
      <c r="E480" s="363"/>
      <c r="F480" s="273"/>
      <c r="G480" s="226"/>
      <c r="H480" s="273"/>
      <c r="I480" s="400"/>
      <c r="J480" s="241" t="b">
        <f>Age_Sex_PY[[#This Row],[Total Spending After Applying Truncation at the Member Level]]+Age_Sex_PY[[#This Row],[Total Dollars Excluded from Spending After Applying Truncation at the Member Level]]=Age_Sex_PY[[#This Row],[Total Spending before Truncation is Applied]]</f>
        <v>1</v>
      </c>
    </row>
    <row r="481" spans="1:10" x14ac:dyDescent="0.25">
      <c r="A481" s="339"/>
      <c r="B481" s="270"/>
      <c r="C481" s="271"/>
      <c r="D481" s="456"/>
      <c r="E481" s="362"/>
      <c r="F481" s="272"/>
      <c r="G481" s="460"/>
      <c r="H481" s="272"/>
      <c r="I481" s="399"/>
      <c r="J481" s="241" t="b">
        <f>Age_Sex_PY[[#This Row],[Total Spending After Applying Truncation at the Member Level]]+Age_Sex_PY[[#This Row],[Total Dollars Excluded from Spending After Applying Truncation at the Member Level]]=Age_Sex_PY[[#This Row],[Total Spending before Truncation is Applied]]</f>
        <v>1</v>
      </c>
    </row>
    <row r="482" spans="1:10" x14ac:dyDescent="0.25">
      <c r="A482" s="342"/>
      <c r="B482" s="4"/>
      <c r="C482" s="16"/>
      <c r="D482" s="457"/>
      <c r="E482" s="363"/>
      <c r="F482" s="273"/>
      <c r="G482" s="226"/>
      <c r="H482" s="273"/>
      <c r="I482" s="400"/>
      <c r="J482" s="241" t="b">
        <f>Age_Sex_PY[[#This Row],[Total Spending After Applying Truncation at the Member Level]]+Age_Sex_PY[[#This Row],[Total Dollars Excluded from Spending After Applying Truncation at the Member Level]]=Age_Sex_PY[[#This Row],[Total Spending before Truncation is Applied]]</f>
        <v>1</v>
      </c>
    </row>
    <row r="483" spans="1:10" x14ac:dyDescent="0.25">
      <c r="A483" s="339"/>
      <c r="B483" s="270"/>
      <c r="C483" s="271"/>
      <c r="D483" s="456"/>
      <c r="E483" s="362"/>
      <c r="F483" s="272"/>
      <c r="G483" s="460"/>
      <c r="H483" s="272"/>
      <c r="I483" s="399"/>
      <c r="J483" s="241" t="b">
        <f>Age_Sex_PY[[#This Row],[Total Spending After Applying Truncation at the Member Level]]+Age_Sex_PY[[#This Row],[Total Dollars Excluded from Spending After Applying Truncation at the Member Level]]=Age_Sex_PY[[#This Row],[Total Spending before Truncation is Applied]]</f>
        <v>1</v>
      </c>
    </row>
    <row r="484" spans="1:10" x14ac:dyDescent="0.25">
      <c r="A484" s="342"/>
      <c r="B484" s="4"/>
      <c r="C484" s="16"/>
      <c r="D484" s="457"/>
      <c r="E484" s="363"/>
      <c r="F484" s="273"/>
      <c r="G484" s="226"/>
      <c r="H484" s="273"/>
      <c r="I484" s="400"/>
      <c r="J484" s="241" t="b">
        <f>Age_Sex_PY[[#This Row],[Total Spending After Applying Truncation at the Member Level]]+Age_Sex_PY[[#This Row],[Total Dollars Excluded from Spending After Applying Truncation at the Member Level]]=Age_Sex_PY[[#This Row],[Total Spending before Truncation is Applied]]</f>
        <v>1</v>
      </c>
    </row>
    <row r="485" spans="1:10" x14ac:dyDescent="0.25">
      <c r="A485" s="339"/>
      <c r="B485" s="270"/>
      <c r="C485" s="271"/>
      <c r="D485" s="456"/>
      <c r="E485" s="362"/>
      <c r="F485" s="272"/>
      <c r="G485" s="460"/>
      <c r="H485" s="272"/>
      <c r="I485" s="399"/>
      <c r="J485" s="241" t="b">
        <f>Age_Sex_PY[[#This Row],[Total Spending After Applying Truncation at the Member Level]]+Age_Sex_PY[[#This Row],[Total Dollars Excluded from Spending After Applying Truncation at the Member Level]]=Age_Sex_PY[[#This Row],[Total Spending before Truncation is Applied]]</f>
        <v>1</v>
      </c>
    </row>
    <row r="486" spans="1:10" x14ac:dyDescent="0.25">
      <c r="A486" s="342"/>
      <c r="B486" s="4"/>
      <c r="C486" s="16"/>
      <c r="D486" s="457"/>
      <c r="E486" s="363"/>
      <c r="F486" s="273"/>
      <c r="G486" s="226"/>
      <c r="H486" s="273"/>
      <c r="I486" s="400"/>
      <c r="J486" s="241" t="b">
        <f>Age_Sex_PY[[#This Row],[Total Spending After Applying Truncation at the Member Level]]+Age_Sex_PY[[#This Row],[Total Dollars Excluded from Spending After Applying Truncation at the Member Level]]=Age_Sex_PY[[#This Row],[Total Spending before Truncation is Applied]]</f>
        <v>1</v>
      </c>
    </row>
    <row r="487" spans="1:10" x14ac:dyDescent="0.25">
      <c r="A487" s="339"/>
      <c r="B487" s="270"/>
      <c r="C487" s="271"/>
      <c r="D487" s="456"/>
      <c r="E487" s="362"/>
      <c r="F487" s="272"/>
      <c r="G487" s="460"/>
      <c r="H487" s="272"/>
      <c r="I487" s="399"/>
      <c r="J487" s="241" t="b">
        <f>Age_Sex_PY[[#This Row],[Total Spending After Applying Truncation at the Member Level]]+Age_Sex_PY[[#This Row],[Total Dollars Excluded from Spending After Applying Truncation at the Member Level]]=Age_Sex_PY[[#This Row],[Total Spending before Truncation is Applied]]</f>
        <v>1</v>
      </c>
    </row>
    <row r="488" spans="1:10" x14ac:dyDescent="0.25">
      <c r="A488" s="342"/>
      <c r="B488" s="4"/>
      <c r="C488" s="16"/>
      <c r="D488" s="457"/>
      <c r="E488" s="363"/>
      <c r="F488" s="273"/>
      <c r="G488" s="226"/>
      <c r="H488" s="273"/>
      <c r="I488" s="400"/>
      <c r="J488" s="241" t="b">
        <f>Age_Sex_PY[[#This Row],[Total Spending After Applying Truncation at the Member Level]]+Age_Sex_PY[[#This Row],[Total Dollars Excluded from Spending After Applying Truncation at the Member Level]]=Age_Sex_PY[[#This Row],[Total Spending before Truncation is Applied]]</f>
        <v>1</v>
      </c>
    </row>
    <row r="489" spans="1:10" x14ac:dyDescent="0.25">
      <c r="A489" s="339"/>
      <c r="B489" s="270"/>
      <c r="C489" s="271"/>
      <c r="D489" s="456"/>
      <c r="E489" s="362"/>
      <c r="F489" s="272"/>
      <c r="G489" s="460"/>
      <c r="H489" s="272"/>
      <c r="I489" s="399"/>
      <c r="J489" s="241" t="b">
        <f>Age_Sex_PY[[#This Row],[Total Spending After Applying Truncation at the Member Level]]+Age_Sex_PY[[#This Row],[Total Dollars Excluded from Spending After Applying Truncation at the Member Level]]=Age_Sex_PY[[#This Row],[Total Spending before Truncation is Applied]]</f>
        <v>1</v>
      </c>
    </row>
    <row r="490" spans="1:10" x14ac:dyDescent="0.25">
      <c r="A490" s="342"/>
      <c r="B490" s="4"/>
      <c r="C490" s="16"/>
      <c r="D490" s="457"/>
      <c r="E490" s="363"/>
      <c r="F490" s="273"/>
      <c r="G490" s="226"/>
      <c r="H490" s="273"/>
      <c r="I490" s="400"/>
      <c r="J490" s="241" t="b">
        <f>Age_Sex_PY[[#This Row],[Total Spending After Applying Truncation at the Member Level]]+Age_Sex_PY[[#This Row],[Total Dollars Excluded from Spending After Applying Truncation at the Member Level]]=Age_Sex_PY[[#This Row],[Total Spending before Truncation is Applied]]</f>
        <v>1</v>
      </c>
    </row>
    <row r="491" spans="1:10" x14ac:dyDescent="0.25">
      <c r="A491" s="339"/>
      <c r="B491" s="270"/>
      <c r="C491" s="271"/>
      <c r="D491" s="456"/>
      <c r="E491" s="362"/>
      <c r="F491" s="272"/>
      <c r="G491" s="460"/>
      <c r="H491" s="272"/>
      <c r="I491" s="399"/>
      <c r="J491" s="241" t="b">
        <f>Age_Sex_PY[[#This Row],[Total Spending After Applying Truncation at the Member Level]]+Age_Sex_PY[[#This Row],[Total Dollars Excluded from Spending After Applying Truncation at the Member Level]]=Age_Sex_PY[[#This Row],[Total Spending before Truncation is Applied]]</f>
        <v>1</v>
      </c>
    </row>
    <row r="492" spans="1:10" x14ac:dyDescent="0.25">
      <c r="A492" s="342"/>
      <c r="B492" s="4"/>
      <c r="C492" s="16"/>
      <c r="D492" s="457"/>
      <c r="E492" s="363"/>
      <c r="F492" s="273"/>
      <c r="G492" s="226"/>
      <c r="H492" s="273"/>
      <c r="I492" s="400"/>
      <c r="J492" s="241" t="b">
        <f>Age_Sex_PY[[#This Row],[Total Spending After Applying Truncation at the Member Level]]+Age_Sex_PY[[#This Row],[Total Dollars Excluded from Spending After Applying Truncation at the Member Level]]=Age_Sex_PY[[#This Row],[Total Spending before Truncation is Applied]]</f>
        <v>1</v>
      </c>
    </row>
    <row r="493" spans="1:10" x14ac:dyDescent="0.25">
      <c r="A493" s="339"/>
      <c r="B493" s="270"/>
      <c r="C493" s="271"/>
      <c r="D493" s="456"/>
      <c r="E493" s="362"/>
      <c r="F493" s="272"/>
      <c r="G493" s="460"/>
      <c r="H493" s="272"/>
      <c r="I493" s="399"/>
      <c r="J493" s="241" t="b">
        <f>Age_Sex_PY[[#This Row],[Total Spending After Applying Truncation at the Member Level]]+Age_Sex_PY[[#This Row],[Total Dollars Excluded from Spending After Applying Truncation at the Member Level]]=Age_Sex_PY[[#This Row],[Total Spending before Truncation is Applied]]</f>
        <v>1</v>
      </c>
    </row>
    <row r="494" spans="1:10" x14ac:dyDescent="0.25">
      <c r="A494" s="342"/>
      <c r="B494" s="4"/>
      <c r="C494" s="16"/>
      <c r="D494" s="457"/>
      <c r="E494" s="363"/>
      <c r="F494" s="273"/>
      <c r="G494" s="226"/>
      <c r="H494" s="273"/>
      <c r="I494" s="400"/>
      <c r="J494" s="241" t="b">
        <f>Age_Sex_PY[[#This Row],[Total Spending After Applying Truncation at the Member Level]]+Age_Sex_PY[[#This Row],[Total Dollars Excluded from Spending After Applying Truncation at the Member Level]]=Age_Sex_PY[[#This Row],[Total Spending before Truncation is Applied]]</f>
        <v>1</v>
      </c>
    </row>
    <row r="495" spans="1:10" x14ac:dyDescent="0.25">
      <c r="A495" s="339"/>
      <c r="B495" s="270"/>
      <c r="C495" s="271"/>
      <c r="D495" s="456"/>
      <c r="E495" s="362"/>
      <c r="F495" s="272"/>
      <c r="G495" s="460"/>
      <c r="H495" s="272"/>
      <c r="I495" s="399"/>
      <c r="J495" s="241" t="b">
        <f>Age_Sex_PY[[#This Row],[Total Spending After Applying Truncation at the Member Level]]+Age_Sex_PY[[#This Row],[Total Dollars Excluded from Spending After Applying Truncation at the Member Level]]=Age_Sex_PY[[#This Row],[Total Spending before Truncation is Applied]]</f>
        <v>1</v>
      </c>
    </row>
    <row r="496" spans="1:10" x14ac:dyDescent="0.25">
      <c r="A496" s="342"/>
      <c r="B496" s="4"/>
      <c r="C496" s="16"/>
      <c r="D496" s="457"/>
      <c r="E496" s="363"/>
      <c r="F496" s="273"/>
      <c r="G496" s="226"/>
      <c r="H496" s="273"/>
      <c r="I496" s="400"/>
      <c r="J496" s="241" t="b">
        <f>Age_Sex_PY[[#This Row],[Total Spending After Applying Truncation at the Member Level]]+Age_Sex_PY[[#This Row],[Total Dollars Excluded from Spending After Applying Truncation at the Member Level]]=Age_Sex_PY[[#This Row],[Total Spending before Truncation is Applied]]</f>
        <v>1</v>
      </c>
    </row>
    <row r="497" spans="1:10" x14ac:dyDescent="0.25">
      <c r="A497" s="339"/>
      <c r="B497" s="270"/>
      <c r="C497" s="271"/>
      <c r="D497" s="456"/>
      <c r="E497" s="362"/>
      <c r="F497" s="272"/>
      <c r="G497" s="460"/>
      <c r="H497" s="272"/>
      <c r="I497" s="399"/>
      <c r="J497" s="241" t="b">
        <f>Age_Sex_PY[[#This Row],[Total Spending After Applying Truncation at the Member Level]]+Age_Sex_PY[[#This Row],[Total Dollars Excluded from Spending After Applying Truncation at the Member Level]]=Age_Sex_PY[[#This Row],[Total Spending before Truncation is Applied]]</f>
        <v>1</v>
      </c>
    </row>
    <row r="498" spans="1:10" x14ac:dyDescent="0.25">
      <c r="A498" s="342"/>
      <c r="B498" s="4"/>
      <c r="C498" s="16"/>
      <c r="D498" s="457"/>
      <c r="E498" s="363"/>
      <c r="F498" s="273"/>
      <c r="G498" s="226"/>
      <c r="H498" s="273"/>
      <c r="I498" s="400"/>
      <c r="J498" s="241" t="b">
        <f>Age_Sex_PY[[#This Row],[Total Spending After Applying Truncation at the Member Level]]+Age_Sex_PY[[#This Row],[Total Dollars Excluded from Spending After Applying Truncation at the Member Level]]=Age_Sex_PY[[#This Row],[Total Spending before Truncation is Applied]]</f>
        <v>1</v>
      </c>
    </row>
    <row r="499" spans="1:10" x14ac:dyDescent="0.25">
      <c r="A499" s="339"/>
      <c r="B499" s="270"/>
      <c r="C499" s="271"/>
      <c r="D499" s="456"/>
      <c r="E499" s="362"/>
      <c r="F499" s="272"/>
      <c r="G499" s="460"/>
      <c r="H499" s="272"/>
      <c r="I499" s="399"/>
      <c r="J499" s="241" t="b">
        <f>Age_Sex_PY[[#This Row],[Total Spending After Applying Truncation at the Member Level]]+Age_Sex_PY[[#This Row],[Total Dollars Excluded from Spending After Applying Truncation at the Member Level]]=Age_Sex_PY[[#This Row],[Total Spending before Truncation is Applied]]</f>
        <v>1</v>
      </c>
    </row>
    <row r="500" spans="1:10" x14ac:dyDescent="0.25">
      <c r="A500" s="342"/>
      <c r="B500" s="4"/>
      <c r="C500" s="16"/>
      <c r="D500" s="457"/>
      <c r="E500" s="363"/>
      <c r="F500" s="273"/>
      <c r="G500" s="226"/>
      <c r="H500" s="273"/>
      <c r="I500" s="400"/>
      <c r="J500" s="241" t="b">
        <f>Age_Sex_PY[[#This Row],[Total Spending After Applying Truncation at the Member Level]]+Age_Sex_PY[[#This Row],[Total Dollars Excluded from Spending After Applying Truncation at the Member Level]]=Age_Sex_PY[[#This Row],[Total Spending before Truncation is Applied]]</f>
        <v>1</v>
      </c>
    </row>
    <row r="501" spans="1:10" x14ac:dyDescent="0.25">
      <c r="A501" s="339"/>
      <c r="B501" s="270"/>
      <c r="C501" s="271"/>
      <c r="D501" s="456"/>
      <c r="E501" s="362"/>
      <c r="F501" s="272"/>
      <c r="G501" s="460"/>
      <c r="H501" s="272"/>
      <c r="I501" s="399"/>
      <c r="J501" s="241" t="b">
        <f>Age_Sex_PY[[#This Row],[Total Spending After Applying Truncation at the Member Level]]+Age_Sex_PY[[#This Row],[Total Dollars Excluded from Spending After Applying Truncation at the Member Level]]=Age_Sex_PY[[#This Row],[Total Spending before Truncation is Applied]]</f>
        <v>1</v>
      </c>
    </row>
    <row r="502" spans="1:10" x14ac:dyDescent="0.25">
      <c r="A502" s="342"/>
      <c r="B502" s="4"/>
      <c r="C502" s="16"/>
      <c r="D502" s="457"/>
      <c r="E502" s="363"/>
      <c r="F502" s="273"/>
      <c r="G502" s="226"/>
      <c r="H502" s="273"/>
      <c r="I502" s="400"/>
      <c r="J502" s="241" t="b">
        <f>Age_Sex_PY[[#This Row],[Total Spending After Applying Truncation at the Member Level]]+Age_Sex_PY[[#This Row],[Total Dollars Excluded from Spending After Applying Truncation at the Member Level]]=Age_Sex_PY[[#This Row],[Total Spending before Truncation is Applied]]</f>
        <v>1</v>
      </c>
    </row>
    <row r="503" spans="1:10" x14ac:dyDescent="0.25">
      <c r="A503" s="339"/>
      <c r="B503" s="270"/>
      <c r="C503" s="271"/>
      <c r="D503" s="456"/>
      <c r="E503" s="362"/>
      <c r="F503" s="272"/>
      <c r="G503" s="460"/>
      <c r="H503" s="272"/>
      <c r="I503" s="399"/>
      <c r="J503" s="241" t="b">
        <f>Age_Sex_PY[[#This Row],[Total Spending After Applying Truncation at the Member Level]]+Age_Sex_PY[[#This Row],[Total Dollars Excluded from Spending After Applying Truncation at the Member Level]]=Age_Sex_PY[[#This Row],[Total Spending before Truncation is Applied]]</f>
        <v>1</v>
      </c>
    </row>
    <row r="504" spans="1:10" x14ac:dyDescent="0.25">
      <c r="A504" s="342"/>
      <c r="B504" s="4"/>
      <c r="C504" s="16"/>
      <c r="D504" s="457"/>
      <c r="E504" s="363"/>
      <c r="F504" s="273"/>
      <c r="G504" s="226"/>
      <c r="H504" s="273"/>
      <c r="I504" s="400"/>
      <c r="J504" s="241" t="b">
        <f>Age_Sex_PY[[#This Row],[Total Spending After Applying Truncation at the Member Level]]+Age_Sex_PY[[#This Row],[Total Dollars Excluded from Spending After Applying Truncation at the Member Level]]=Age_Sex_PY[[#This Row],[Total Spending before Truncation is Applied]]</f>
        <v>1</v>
      </c>
    </row>
    <row r="505" spans="1:10" x14ac:dyDescent="0.25">
      <c r="A505" s="339"/>
      <c r="B505" s="270"/>
      <c r="C505" s="271"/>
      <c r="D505" s="456"/>
      <c r="E505" s="362"/>
      <c r="F505" s="272"/>
      <c r="G505" s="460"/>
      <c r="H505" s="272"/>
      <c r="I505" s="399"/>
      <c r="J505" s="241" t="b">
        <f>Age_Sex_PY[[#This Row],[Total Spending After Applying Truncation at the Member Level]]+Age_Sex_PY[[#This Row],[Total Dollars Excluded from Spending After Applying Truncation at the Member Level]]=Age_Sex_PY[[#This Row],[Total Spending before Truncation is Applied]]</f>
        <v>1</v>
      </c>
    </row>
    <row r="506" spans="1:10" x14ac:dyDescent="0.25">
      <c r="A506" s="342"/>
      <c r="B506" s="4"/>
      <c r="C506" s="16"/>
      <c r="D506" s="457"/>
      <c r="E506" s="363"/>
      <c r="F506" s="273"/>
      <c r="G506" s="226"/>
      <c r="H506" s="273"/>
      <c r="I506" s="400"/>
      <c r="J506" s="241" t="b">
        <f>Age_Sex_PY[[#This Row],[Total Spending After Applying Truncation at the Member Level]]+Age_Sex_PY[[#This Row],[Total Dollars Excluded from Spending After Applying Truncation at the Member Level]]=Age_Sex_PY[[#This Row],[Total Spending before Truncation is Applied]]</f>
        <v>1</v>
      </c>
    </row>
    <row r="507" spans="1:10" x14ac:dyDescent="0.25">
      <c r="A507" s="339"/>
      <c r="B507" s="270"/>
      <c r="C507" s="271"/>
      <c r="D507" s="456"/>
      <c r="E507" s="362"/>
      <c r="F507" s="272"/>
      <c r="G507" s="460"/>
      <c r="H507" s="272"/>
      <c r="I507" s="399"/>
      <c r="J507" s="241" t="b">
        <f>Age_Sex_PY[[#This Row],[Total Spending After Applying Truncation at the Member Level]]+Age_Sex_PY[[#This Row],[Total Dollars Excluded from Spending After Applying Truncation at the Member Level]]=Age_Sex_PY[[#This Row],[Total Spending before Truncation is Applied]]</f>
        <v>1</v>
      </c>
    </row>
    <row r="508" spans="1:10" x14ac:dyDescent="0.25">
      <c r="A508" s="342"/>
      <c r="B508" s="4"/>
      <c r="C508" s="16"/>
      <c r="D508" s="457"/>
      <c r="E508" s="363"/>
      <c r="F508" s="273"/>
      <c r="G508" s="226"/>
      <c r="H508" s="273"/>
      <c r="I508" s="400"/>
      <c r="J508" s="241" t="b">
        <f>Age_Sex_PY[[#This Row],[Total Spending After Applying Truncation at the Member Level]]+Age_Sex_PY[[#This Row],[Total Dollars Excluded from Spending After Applying Truncation at the Member Level]]=Age_Sex_PY[[#This Row],[Total Spending before Truncation is Applied]]</f>
        <v>1</v>
      </c>
    </row>
    <row r="509" spans="1:10" x14ac:dyDescent="0.25">
      <c r="A509" s="339"/>
      <c r="B509" s="270"/>
      <c r="C509" s="271"/>
      <c r="D509" s="456"/>
      <c r="E509" s="362"/>
      <c r="F509" s="272"/>
      <c r="G509" s="460"/>
      <c r="H509" s="272"/>
      <c r="I509" s="399"/>
      <c r="J509" s="241" t="b">
        <f>Age_Sex_PY[[#This Row],[Total Spending After Applying Truncation at the Member Level]]+Age_Sex_PY[[#This Row],[Total Dollars Excluded from Spending After Applying Truncation at the Member Level]]=Age_Sex_PY[[#This Row],[Total Spending before Truncation is Applied]]</f>
        <v>1</v>
      </c>
    </row>
    <row r="510" spans="1:10" x14ac:dyDescent="0.25">
      <c r="A510" s="342"/>
      <c r="B510" s="4"/>
      <c r="C510" s="16"/>
      <c r="D510" s="457"/>
      <c r="E510" s="363"/>
      <c r="F510" s="273"/>
      <c r="G510" s="226"/>
      <c r="H510" s="273"/>
      <c r="I510" s="400"/>
      <c r="J510" s="241" t="b">
        <f>Age_Sex_PY[[#This Row],[Total Spending After Applying Truncation at the Member Level]]+Age_Sex_PY[[#This Row],[Total Dollars Excluded from Spending After Applying Truncation at the Member Level]]=Age_Sex_PY[[#This Row],[Total Spending before Truncation is Applied]]</f>
        <v>1</v>
      </c>
    </row>
    <row r="511" spans="1:10" x14ac:dyDescent="0.25">
      <c r="A511" s="339"/>
      <c r="B511" s="270"/>
      <c r="C511" s="271"/>
      <c r="D511" s="456"/>
      <c r="E511" s="362"/>
      <c r="F511" s="272"/>
      <c r="G511" s="460"/>
      <c r="H511" s="272"/>
      <c r="I511" s="399"/>
      <c r="J511" s="241" t="b">
        <f>Age_Sex_PY[[#This Row],[Total Spending After Applying Truncation at the Member Level]]+Age_Sex_PY[[#This Row],[Total Dollars Excluded from Spending After Applying Truncation at the Member Level]]=Age_Sex_PY[[#This Row],[Total Spending before Truncation is Applied]]</f>
        <v>1</v>
      </c>
    </row>
    <row r="512" spans="1:10" x14ac:dyDescent="0.25">
      <c r="A512" s="342"/>
      <c r="B512" s="4"/>
      <c r="C512" s="16"/>
      <c r="D512" s="457"/>
      <c r="E512" s="363"/>
      <c r="F512" s="273"/>
      <c r="G512" s="226"/>
      <c r="H512" s="273"/>
      <c r="I512" s="400"/>
      <c r="J512" s="241" t="b">
        <f>Age_Sex_PY[[#This Row],[Total Spending After Applying Truncation at the Member Level]]+Age_Sex_PY[[#This Row],[Total Dollars Excluded from Spending After Applying Truncation at the Member Level]]=Age_Sex_PY[[#This Row],[Total Spending before Truncation is Applied]]</f>
        <v>1</v>
      </c>
    </row>
    <row r="513" spans="1:10" x14ac:dyDescent="0.25">
      <c r="A513" s="339"/>
      <c r="B513" s="270"/>
      <c r="C513" s="271"/>
      <c r="D513" s="456"/>
      <c r="E513" s="362"/>
      <c r="F513" s="272"/>
      <c r="G513" s="460"/>
      <c r="H513" s="272"/>
      <c r="I513" s="399"/>
      <c r="J513" s="241" t="b">
        <f>Age_Sex_PY[[#This Row],[Total Spending After Applying Truncation at the Member Level]]+Age_Sex_PY[[#This Row],[Total Dollars Excluded from Spending After Applying Truncation at the Member Level]]=Age_Sex_PY[[#This Row],[Total Spending before Truncation is Applied]]</f>
        <v>1</v>
      </c>
    </row>
    <row r="514" spans="1:10" x14ac:dyDescent="0.25">
      <c r="A514" s="342"/>
      <c r="B514" s="4"/>
      <c r="C514" s="16"/>
      <c r="D514" s="457"/>
      <c r="E514" s="363"/>
      <c r="F514" s="273"/>
      <c r="G514" s="226"/>
      <c r="H514" s="273"/>
      <c r="I514" s="400"/>
      <c r="J514" s="241" t="b">
        <f>Age_Sex_PY[[#This Row],[Total Spending After Applying Truncation at the Member Level]]+Age_Sex_PY[[#This Row],[Total Dollars Excluded from Spending After Applying Truncation at the Member Level]]=Age_Sex_PY[[#This Row],[Total Spending before Truncation is Applied]]</f>
        <v>1</v>
      </c>
    </row>
    <row r="515" spans="1:10" x14ac:dyDescent="0.25">
      <c r="A515" s="339"/>
      <c r="B515" s="270"/>
      <c r="C515" s="271"/>
      <c r="D515" s="456"/>
      <c r="E515" s="362"/>
      <c r="F515" s="272"/>
      <c r="G515" s="460"/>
      <c r="H515" s="272"/>
      <c r="I515" s="399"/>
      <c r="J515" s="241" t="b">
        <f>Age_Sex_PY[[#This Row],[Total Spending After Applying Truncation at the Member Level]]+Age_Sex_PY[[#This Row],[Total Dollars Excluded from Spending After Applying Truncation at the Member Level]]=Age_Sex_PY[[#This Row],[Total Spending before Truncation is Applied]]</f>
        <v>1</v>
      </c>
    </row>
    <row r="516" spans="1:10" x14ac:dyDescent="0.25">
      <c r="A516" s="342"/>
      <c r="B516" s="4"/>
      <c r="C516" s="16"/>
      <c r="D516" s="457"/>
      <c r="E516" s="363"/>
      <c r="F516" s="273"/>
      <c r="G516" s="226"/>
      <c r="H516" s="273"/>
      <c r="I516" s="400"/>
      <c r="J516" s="241" t="b">
        <f>Age_Sex_PY[[#This Row],[Total Spending After Applying Truncation at the Member Level]]+Age_Sex_PY[[#This Row],[Total Dollars Excluded from Spending After Applying Truncation at the Member Level]]=Age_Sex_PY[[#This Row],[Total Spending before Truncation is Applied]]</f>
        <v>1</v>
      </c>
    </row>
    <row r="517" spans="1:10" x14ac:dyDescent="0.25">
      <c r="A517" s="339"/>
      <c r="B517" s="270"/>
      <c r="C517" s="271"/>
      <c r="D517" s="456"/>
      <c r="E517" s="362"/>
      <c r="F517" s="272"/>
      <c r="G517" s="460"/>
      <c r="H517" s="272"/>
      <c r="I517" s="399"/>
      <c r="J517" s="241" t="b">
        <f>Age_Sex_PY[[#This Row],[Total Spending After Applying Truncation at the Member Level]]+Age_Sex_PY[[#This Row],[Total Dollars Excluded from Spending After Applying Truncation at the Member Level]]=Age_Sex_PY[[#This Row],[Total Spending before Truncation is Applied]]</f>
        <v>1</v>
      </c>
    </row>
    <row r="518" spans="1:10" x14ac:dyDescent="0.25">
      <c r="A518" s="342"/>
      <c r="B518" s="4"/>
      <c r="C518" s="16"/>
      <c r="D518" s="457"/>
      <c r="E518" s="363"/>
      <c r="F518" s="273"/>
      <c r="G518" s="226"/>
      <c r="H518" s="273"/>
      <c r="I518" s="400"/>
      <c r="J518" s="241" t="b">
        <f>Age_Sex_PY[[#This Row],[Total Spending After Applying Truncation at the Member Level]]+Age_Sex_PY[[#This Row],[Total Dollars Excluded from Spending After Applying Truncation at the Member Level]]=Age_Sex_PY[[#This Row],[Total Spending before Truncation is Applied]]</f>
        <v>1</v>
      </c>
    </row>
    <row r="519" spans="1:10" x14ac:dyDescent="0.25">
      <c r="A519" s="339"/>
      <c r="B519" s="270"/>
      <c r="C519" s="271"/>
      <c r="D519" s="456"/>
      <c r="E519" s="362"/>
      <c r="F519" s="272"/>
      <c r="G519" s="460"/>
      <c r="H519" s="272"/>
      <c r="I519" s="399"/>
      <c r="J519" s="241" t="b">
        <f>Age_Sex_PY[[#This Row],[Total Spending After Applying Truncation at the Member Level]]+Age_Sex_PY[[#This Row],[Total Dollars Excluded from Spending After Applying Truncation at the Member Level]]=Age_Sex_PY[[#This Row],[Total Spending before Truncation is Applied]]</f>
        <v>1</v>
      </c>
    </row>
    <row r="520" spans="1:10" x14ac:dyDescent="0.25">
      <c r="A520" s="342"/>
      <c r="B520" s="4"/>
      <c r="C520" s="16"/>
      <c r="D520" s="457"/>
      <c r="E520" s="363"/>
      <c r="F520" s="273"/>
      <c r="G520" s="226"/>
      <c r="H520" s="273"/>
      <c r="I520" s="400"/>
      <c r="J520" s="241" t="b">
        <f>Age_Sex_PY[[#This Row],[Total Spending After Applying Truncation at the Member Level]]+Age_Sex_PY[[#This Row],[Total Dollars Excluded from Spending After Applying Truncation at the Member Level]]=Age_Sex_PY[[#This Row],[Total Spending before Truncation is Applied]]</f>
        <v>1</v>
      </c>
    </row>
    <row r="521" spans="1:10" x14ac:dyDescent="0.25">
      <c r="A521" s="339"/>
      <c r="B521" s="270"/>
      <c r="C521" s="271"/>
      <c r="D521" s="456"/>
      <c r="E521" s="362"/>
      <c r="F521" s="272"/>
      <c r="G521" s="460"/>
      <c r="H521" s="272"/>
      <c r="I521" s="399"/>
      <c r="J521" s="241" t="b">
        <f>Age_Sex_PY[[#This Row],[Total Spending After Applying Truncation at the Member Level]]+Age_Sex_PY[[#This Row],[Total Dollars Excluded from Spending After Applying Truncation at the Member Level]]=Age_Sex_PY[[#This Row],[Total Spending before Truncation is Applied]]</f>
        <v>1</v>
      </c>
    </row>
    <row r="522" spans="1:10" x14ac:dyDescent="0.25">
      <c r="A522" s="342"/>
      <c r="B522" s="4"/>
      <c r="C522" s="16"/>
      <c r="D522" s="457"/>
      <c r="E522" s="363"/>
      <c r="F522" s="273"/>
      <c r="G522" s="226"/>
      <c r="H522" s="273"/>
      <c r="I522" s="400"/>
      <c r="J522" s="241" t="b">
        <f>Age_Sex_PY[[#This Row],[Total Spending After Applying Truncation at the Member Level]]+Age_Sex_PY[[#This Row],[Total Dollars Excluded from Spending After Applying Truncation at the Member Level]]=Age_Sex_PY[[#This Row],[Total Spending before Truncation is Applied]]</f>
        <v>1</v>
      </c>
    </row>
    <row r="523" spans="1:10" x14ac:dyDescent="0.25">
      <c r="A523" s="339"/>
      <c r="B523" s="270"/>
      <c r="C523" s="271"/>
      <c r="D523" s="456"/>
      <c r="E523" s="362"/>
      <c r="F523" s="272"/>
      <c r="G523" s="460"/>
      <c r="H523" s="272"/>
      <c r="I523" s="399"/>
      <c r="J523" s="241" t="b">
        <f>Age_Sex_PY[[#This Row],[Total Spending After Applying Truncation at the Member Level]]+Age_Sex_PY[[#This Row],[Total Dollars Excluded from Spending After Applying Truncation at the Member Level]]=Age_Sex_PY[[#This Row],[Total Spending before Truncation is Applied]]</f>
        <v>1</v>
      </c>
    </row>
    <row r="524" spans="1:10" x14ac:dyDescent="0.25">
      <c r="A524" s="342"/>
      <c r="B524" s="4"/>
      <c r="C524" s="16"/>
      <c r="D524" s="457"/>
      <c r="E524" s="363"/>
      <c r="F524" s="273"/>
      <c r="G524" s="226"/>
      <c r="H524" s="273"/>
      <c r="I524" s="400"/>
      <c r="J524" s="241" t="b">
        <f>Age_Sex_PY[[#This Row],[Total Spending After Applying Truncation at the Member Level]]+Age_Sex_PY[[#This Row],[Total Dollars Excluded from Spending After Applying Truncation at the Member Level]]=Age_Sex_PY[[#This Row],[Total Spending before Truncation is Applied]]</f>
        <v>1</v>
      </c>
    </row>
    <row r="525" spans="1:10" x14ac:dyDescent="0.25">
      <c r="A525" s="339"/>
      <c r="B525" s="270"/>
      <c r="C525" s="271"/>
      <c r="D525" s="456"/>
      <c r="E525" s="362"/>
      <c r="F525" s="272"/>
      <c r="G525" s="460"/>
      <c r="H525" s="272"/>
      <c r="I525" s="399"/>
      <c r="J525" s="241" t="b">
        <f>Age_Sex_PY[[#This Row],[Total Spending After Applying Truncation at the Member Level]]+Age_Sex_PY[[#This Row],[Total Dollars Excluded from Spending After Applying Truncation at the Member Level]]=Age_Sex_PY[[#This Row],[Total Spending before Truncation is Applied]]</f>
        <v>1</v>
      </c>
    </row>
    <row r="526" spans="1:10" x14ac:dyDescent="0.25">
      <c r="A526" s="342"/>
      <c r="B526" s="4"/>
      <c r="C526" s="16"/>
      <c r="D526" s="457"/>
      <c r="E526" s="363"/>
      <c r="F526" s="273"/>
      <c r="G526" s="226"/>
      <c r="H526" s="273"/>
      <c r="I526" s="400"/>
      <c r="J526" s="241" t="b">
        <f>Age_Sex_PY[[#This Row],[Total Spending After Applying Truncation at the Member Level]]+Age_Sex_PY[[#This Row],[Total Dollars Excluded from Spending After Applying Truncation at the Member Level]]=Age_Sex_PY[[#This Row],[Total Spending before Truncation is Applied]]</f>
        <v>1</v>
      </c>
    </row>
    <row r="527" spans="1:10" x14ac:dyDescent="0.25">
      <c r="A527" s="339"/>
      <c r="B527" s="270"/>
      <c r="C527" s="271"/>
      <c r="D527" s="456"/>
      <c r="E527" s="362"/>
      <c r="F527" s="272"/>
      <c r="G527" s="460"/>
      <c r="H527" s="272"/>
      <c r="I527" s="399"/>
      <c r="J527" s="241" t="b">
        <f>Age_Sex_PY[[#This Row],[Total Spending After Applying Truncation at the Member Level]]+Age_Sex_PY[[#This Row],[Total Dollars Excluded from Spending After Applying Truncation at the Member Level]]=Age_Sex_PY[[#This Row],[Total Spending before Truncation is Applied]]</f>
        <v>1</v>
      </c>
    </row>
    <row r="528" spans="1:10" x14ac:dyDescent="0.25">
      <c r="A528" s="342"/>
      <c r="B528" s="4"/>
      <c r="C528" s="16"/>
      <c r="D528" s="457"/>
      <c r="E528" s="363"/>
      <c r="F528" s="273"/>
      <c r="G528" s="226"/>
      <c r="H528" s="273"/>
      <c r="I528" s="400"/>
      <c r="J528" s="241" t="b">
        <f>Age_Sex_PY[[#This Row],[Total Spending After Applying Truncation at the Member Level]]+Age_Sex_PY[[#This Row],[Total Dollars Excluded from Spending After Applying Truncation at the Member Level]]=Age_Sex_PY[[#This Row],[Total Spending before Truncation is Applied]]</f>
        <v>1</v>
      </c>
    </row>
    <row r="529" spans="1:10" x14ac:dyDescent="0.25">
      <c r="A529" s="339"/>
      <c r="B529" s="270"/>
      <c r="C529" s="271"/>
      <c r="D529" s="456"/>
      <c r="E529" s="362"/>
      <c r="F529" s="272"/>
      <c r="G529" s="460"/>
      <c r="H529" s="272"/>
      <c r="I529" s="399"/>
      <c r="J529" s="241" t="b">
        <f>Age_Sex_PY[[#This Row],[Total Spending After Applying Truncation at the Member Level]]+Age_Sex_PY[[#This Row],[Total Dollars Excluded from Spending After Applying Truncation at the Member Level]]=Age_Sex_PY[[#This Row],[Total Spending before Truncation is Applied]]</f>
        <v>1</v>
      </c>
    </row>
    <row r="530" spans="1:10" x14ac:dyDescent="0.25">
      <c r="A530" s="342"/>
      <c r="B530" s="4"/>
      <c r="C530" s="16"/>
      <c r="D530" s="457"/>
      <c r="E530" s="363"/>
      <c r="F530" s="273"/>
      <c r="G530" s="226"/>
      <c r="H530" s="273"/>
      <c r="I530" s="400"/>
      <c r="J530" s="241" t="b">
        <f>Age_Sex_PY[[#This Row],[Total Spending After Applying Truncation at the Member Level]]+Age_Sex_PY[[#This Row],[Total Dollars Excluded from Spending After Applying Truncation at the Member Level]]=Age_Sex_PY[[#This Row],[Total Spending before Truncation is Applied]]</f>
        <v>1</v>
      </c>
    </row>
    <row r="531" spans="1:10" x14ac:dyDescent="0.25">
      <c r="A531" s="339"/>
      <c r="B531" s="270"/>
      <c r="C531" s="271"/>
      <c r="D531" s="456"/>
      <c r="E531" s="362"/>
      <c r="F531" s="272"/>
      <c r="G531" s="460"/>
      <c r="H531" s="272"/>
      <c r="I531" s="399"/>
      <c r="J531" s="241" t="b">
        <f>Age_Sex_PY[[#This Row],[Total Spending After Applying Truncation at the Member Level]]+Age_Sex_PY[[#This Row],[Total Dollars Excluded from Spending After Applying Truncation at the Member Level]]=Age_Sex_PY[[#This Row],[Total Spending before Truncation is Applied]]</f>
        <v>1</v>
      </c>
    </row>
    <row r="532" spans="1:10" x14ac:dyDescent="0.25">
      <c r="A532" s="342"/>
      <c r="B532" s="4"/>
      <c r="C532" s="16"/>
      <c r="D532" s="457"/>
      <c r="E532" s="363"/>
      <c r="F532" s="273"/>
      <c r="G532" s="226"/>
      <c r="H532" s="273"/>
      <c r="I532" s="400"/>
      <c r="J532" s="241" t="b">
        <f>Age_Sex_PY[[#This Row],[Total Spending After Applying Truncation at the Member Level]]+Age_Sex_PY[[#This Row],[Total Dollars Excluded from Spending After Applying Truncation at the Member Level]]=Age_Sex_PY[[#This Row],[Total Spending before Truncation is Applied]]</f>
        <v>1</v>
      </c>
    </row>
    <row r="533" spans="1:10" x14ac:dyDescent="0.25">
      <c r="A533" s="339"/>
      <c r="B533" s="270"/>
      <c r="C533" s="271"/>
      <c r="D533" s="456"/>
      <c r="E533" s="362"/>
      <c r="F533" s="272"/>
      <c r="G533" s="460"/>
      <c r="H533" s="272"/>
      <c r="I533" s="399"/>
      <c r="J533" s="241" t="b">
        <f>Age_Sex_PY[[#This Row],[Total Spending After Applying Truncation at the Member Level]]+Age_Sex_PY[[#This Row],[Total Dollars Excluded from Spending After Applying Truncation at the Member Level]]=Age_Sex_PY[[#This Row],[Total Spending before Truncation is Applied]]</f>
        <v>1</v>
      </c>
    </row>
    <row r="534" spans="1:10" x14ac:dyDescent="0.25">
      <c r="A534" s="342"/>
      <c r="B534" s="4"/>
      <c r="C534" s="16"/>
      <c r="D534" s="457"/>
      <c r="E534" s="363"/>
      <c r="F534" s="273"/>
      <c r="G534" s="226"/>
      <c r="H534" s="273"/>
      <c r="I534" s="400"/>
      <c r="J534" s="241" t="b">
        <f>Age_Sex_PY[[#This Row],[Total Spending After Applying Truncation at the Member Level]]+Age_Sex_PY[[#This Row],[Total Dollars Excluded from Spending After Applying Truncation at the Member Level]]=Age_Sex_PY[[#This Row],[Total Spending before Truncation is Applied]]</f>
        <v>1</v>
      </c>
    </row>
    <row r="535" spans="1:10" x14ac:dyDescent="0.25">
      <c r="A535" s="339"/>
      <c r="B535" s="270"/>
      <c r="C535" s="271"/>
      <c r="D535" s="456"/>
      <c r="E535" s="362"/>
      <c r="F535" s="272"/>
      <c r="G535" s="460"/>
      <c r="H535" s="272"/>
      <c r="I535" s="399"/>
      <c r="J535" s="241" t="b">
        <f>Age_Sex_PY[[#This Row],[Total Spending After Applying Truncation at the Member Level]]+Age_Sex_PY[[#This Row],[Total Dollars Excluded from Spending After Applying Truncation at the Member Level]]=Age_Sex_PY[[#This Row],[Total Spending before Truncation is Applied]]</f>
        <v>1</v>
      </c>
    </row>
    <row r="536" spans="1:10" x14ac:dyDescent="0.25">
      <c r="A536" s="342"/>
      <c r="B536" s="4"/>
      <c r="C536" s="16"/>
      <c r="D536" s="457"/>
      <c r="E536" s="363"/>
      <c r="F536" s="273"/>
      <c r="G536" s="226"/>
      <c r="H536" s="273"/>
      <c r="I536" s="400"/>
      <c r="J536" s="241" t="b">
        <f>Age_Sex_PY[[#This Row],[Total Spending After Applying Truncation at the Member Level]]+Age_Sex_PY[[#This Row],[Total Dollars Excluded from Spending After Applying Truncation at the Member Level]]=Age_Sex_PY[[#This Row],[Total Spending before Truncation is Applied]]</f>
        <v>1</v>
      </c>
    </row>
    <row r="537" spans="1:10" x14ac:dyDescent="0.25">
      <c r="A537" s="339"/>
      <c r="B537" s="270"/>
      <c r="C537" s="271"/>
      <c r="D537" s="456"/>
      <c r="E537" s="362"/>
      <c r="F537" s="272"/>
      <c r="G537" s="460"/>
      <c r="H537" s="272"/>
      <c r="I537" s="399"/>
      <c r="J537" s="241" t="b">
        <f>Age_Sex_PY[[#This Row],[Total Spending After Applying Truncation at the Member Level]]+Age_Sex_PY[[#This Row],[Total Dollars Excluded from Spending After Applying Truncation at the Member Level]]=Age_Sex_PY[[#This Row],[Total Spending before Truncation is Applied]]</f>
        <v>1</v>
      </c>
    </row>
    <row r="538" spans="1:10" x14ac:dyDescent="0.25">
      <c r="A538" s="342"/>
      <c r="B538" s="4"/>
      <c r="C538" s="16"/>
      <c r="D538" s="457"/>
      <c r="E538" s="363"/>
      <c r="F538" s="273"/>
      <c r="G538" s="226"/>
      <c r="H538" s="273"/>
      <c r="I538" s="400"/>
      <c r="J538" s="241" t="b">
        <f>Age_Sex_PY[[#This Row],[Total Spending After Applying Truncation at the Member Level]]+Age_Sex_PY[[#This Row],[Total Dollars Excluded from Spending After Applying Truncation at the Member Level]]=Age_Sex_PY[[#This Row],[Total Spending before Truncation is Applied]]</f>
        <v>1</v>
      </c>
    </row>
    <row r="539" spans="1:10" x14ac:dyDescent="0.25">
      <c r="A539" s="339"/>
      <c r="B539" s="270"/>
      <c r="C539" s="271"/>
      <c r="D539" s="456"/>
      <c r="E539" s="362"/>
      <c r="F539" s="272"/>
      <c r="G539" s="460"/>
      <c r="H539" s="272"/>
      <c r="I539" s="399"/>
      <c r="J539" s="241" t="b">
        <f>Age_Sex_PY[[#This Row],[Total Spending After Applying Truncation at the Member Level]]+Age_Sex_PY[[#This Row],[Total Dollars Excluded from Spending After Applying Truncation at the Member Level]]=Age_Sex_PY[[#This Row],[Total Spending before Truncation is Applied]]</f>
        <v>1</v>
      </c>
    </row>
    <row r="540" spans="1:10" x14ac:dyDescent="0.25">
      <c r="A540" s="342"/>
      <c r="B540" s="4"/>
      <c r="C540" s="16"/>
      <c r="D540" s="457"/>
      <c r="E540" s="363"/>
      <c r="F540" s="273"/>
      <c r="G540" s="226"/>
      <c r="H540" s="273"/>
      <c r="I540" s="400"/>
      <c r="J540" s="241" t="b">
        <f>Age_Sex_PY[[#This Row],[Total Spending After Applying Truncation at the Member Level]]+Age_Sex_PY[[#This Row],[Total Dollars Excluded from Spending After Applying Truncation at the Member Level]]=Age_Sex_PY[[#This Row],[Total Spending before Truncation is Applied]]</f>
        <v>1</v>
      </c>
    </row>
    <row r="541" spans="1:10" x14ac:dyDescent="0.25">
      <c r="A541" s="339"/>
      <c r="B541" s="270"/>
      <c r="C541" s="271"/>
      <c r="D541" s="456"/>
      <c r="E541" s="362"/>
      <c r="F541" s="272"/>
      <c r="G541" s="460"/>
      <c r="H541" s="272"/>
      <c r="I541" s="399"/>
      <c r="J541" s="241" t="b">
        <f>Age_Sex_PY[[#This Row],[Total Spending After Applying Truncation at the Member Level]]+Age_Sex_PY[[#This Row],[Total Dollars Excluded from Spending After Applying Truncation at the Member Level]]=Age_Sex_PY[[#This Row],[Total Spending before Truncation is Applied]]</f>
        <v>1</v>
      </c>
    </row>
    <row r="542" spans="1:10" x14ac:dyDescent="0.25">
      <c r="A542" s="342"/>
      <c r="B542" s="4"/>
      <c r="C542" s="16"/>
      <c r="D542" s="457"/>
      <c r="E542" s="363"/>
      <c r="F542" s="273"/>
      <c r="G542" s="226"/>
      <c r="H542" s="273"/>
      <c r="I542" s="400"/>
      <c r="J542" s="241" t="b">
        <f>Age_Sex_PY[[#This Row],[Total Spending After Applying Truncation at the Member Level]]+Age_Sex_PY[[#This Row],[Total Dollars Excluded from Spending After Applying Truncation at the Member Level]]=Age_Sex_PY[[#This Row],[Total Spending before Truncation is Applied]]</f>
        <v>1</v>
      </c>
    </row>
    <row r="543" spans="1:10" x14ac:dyDescent="0.25">
      <c r="A543" s="339"/>
      <c r="B543" s="270"/>
      <c r="C543" s="271"/>
      <c r="D543" s="456"/>
      <c r="E543" s="362"/>
      <c r="F543" s="272"/>
      <c r="G543" s="460"/>
      <c r="H543" s="272"/>
      <c r="I543" s="399"/>
      <c r="J543" s="241" t="b">
        <f>Age_Sex_PY[[#This Row],[Total Spending After Applying Truncation at the Member Level]]+Age_Sex_PY[[#This Row],[Total Dollars Excluded from Spending After Applying Truncation at the Member Level]]=Age_Sex_PY[[#This Row],[Total Spending before Truncation is Applied]]</f>
        <v>1</v>
      </c>
    </row>
    <row r="544" spans="1:10" x14ac:dyDescent="0.25">
      <c r="A544" s="342"/>
      <c r="B544" s="4"/>
      <c r="C544" s="16"/>
      <c r="D544" s="457"/>
      <c r="E544" s="363"/>
      <c r="F544" s="273"/>
      <c r="G544" s="226"/>
      <c r="H544" s="273"/>
      <c r="I544" s="400"/>
      <c r="J544" s="241" t="b">
        <f>Age_Sex_PY[[#This Row],[Total Spending After Applying Truncation at the Member Level]]+Age_Sex_PY[[#This Row],[Total Dollars Excluded from Spending After Applying Truncation at the Member Level]]=Age_Sex_PY[[#This Row],[Total Spending before Truncation is Applied]]</f>
        <v>1</v>
      </c>
    </row>
    <row r="545" spans="1:10" x14ac:dyDescent="0.25">
      <c r="A545" s="339"/>
      <c r="B545" s="270"/>
      <c r="C545" s="271"/>
      <c r="D545" s="456"/>
      <c r="E545" s="362"/>
      <c r="F545" s="272"/>
      <c r="G545" s="460"/>
      <c r="H545" s="272"/>
      <c r="I545" s="399"/>
      <c r="J545" s="241" t="b">
        <f>Age_Sex_PY[[#This Row],[Total Spending After Applying Truncation at the Member Level]]+Age_Sex_PY[[#This Row],[Total Dollars Excluded from Spending After Applying Truncation at the Member Level]]=Age_Sex_PY[[#This Row],[Total Spending before Truncation is Applied]]</f>
        <v>1</v>
      </c>
    </row>
    <row r="546" spans="1:10" x14ac:dyDescent="0.25">
      <c r="A546" s="342"/>
      <c r="B546" s="4"/>
      <c r="C546" s="16"/>
      <c r="D546" s="457"/>
      <c r="E546" s="363"/>
      <c r="F546" s="273"/>
      <c r="G546" s="226"/>
      <c r="H546" s="273"/>
      <c r="I546" s="400"/>
      <c r="J546" s="241" t="b">
        <f>Age_Sex_PY[[#This Row],[Total Spending After Applying Truncation at the Member Level]]+Age_Sex_PY[[#This Row],[Total Dollars Excluded from Spending After Applying Truncation at the Member Level]]=Age_Sex_PY[[#This Row],[Total Spending before Truncation is Applied]]</f>
        <v>1</v>
      </c>
    </row>
    <row r="547" spans="1:10" x14ac:dyDescent="0.25">
      <c r="A547" s="339"/>
      <c r="B547" s="270"/>
      <c r="C547" s="271"/>
      <c r="D547" s="456"/>
      <c r="E547" s="362"/>
      <c r="F547" s="272"/>
      <c r="G547" s="460"/>
      <c r="H547" s="272"/>
      <c r="I547" s="399"/>
      <c r="J547" s="241" t="b">
        <f>Age_Sex_PY[[#This Row],[Total Spending After Applying Truncation at the Member Level]]+Age_Sex_PY[[#This Row],[Total Dollars Excluded from Spending After Applying Truncation at the Member Level]]=Age_Sex_PY[[#This Row],[Total Spending before Truncation is Applied]]</f>
        <v>1</v>
      </c>
    </row>
    <row r="548" spans="1:10" x14ac:dyDescent="0.25">
      <c r="A548" s="342"/>
      <c r="B548" s="4"/>
      <c r="C548" s="16"/>
      <c r="D548" s="457"/>
      <c r="E548" s="363"/>
      <c r="F548" s="273"/>
      <c r="G548" s="226"/>
      <c r="H548" s="273"/>
      <c r="I548" s="400"/>
      <c r="J548" s="241" t="b">
        <f>Age_Sex_PY[[#This Row],[Total Spending After Applying Truncation at the Member Level]]+Age_Sex_PY[[#This Row],[Total Dollars Excluded from Spending After Applying Truncation at the Member Level]]=Age_Sex_PY[[#This Row],[Total Spending before Truncation is Applied]]</f>
        <v>1</v>
      </c>
    </row>
    <row r="549" spans="1:10" x14ac:dyDescent="0.25">
      <c r="A549" s="339"/>
      <c r="B549" s="270"/>
      <c r="C549" s="271"/>
      <c r="D549" s="456"/>
      <c r="E549" s="362"/>
      <c r="F549" s="272"/>
      <c r="G549" s="460"/>
      <c r="H549" s="272"/>
      <c r="I549" s="399"/>
      <c r="J549" s="241" t="b">
        <f>Age_Sex_PY[[#This Row],[Total Spending After Applying Truncation at the Member Level]]+Age_Sex_PY[[#This Row],[Total Dollars Excluded from Spending After Applying Truncation at the Member Level]]=Age_Sex_PY[[#This Row],[Total Spending before Truncation is Applied]]</f>
        <v>1</v>
      </c>
    </row>
    <row r="550" spans="1:10" x14ac:dyDescent="0.25">
      <c r="A550" s="342"/>
      <c r="B550" s="4"/>
      <c r="C550" s="16"/>
      <c r="D550" s="457"/>
      <c r="E550" s="363"/>
      <c r="F550" s="273"/>
      <c r="G550" s="226"/>
      <c r="H550" s="273"/>
      <c r="I550" s="400"/>
      <c r="J550" s="241" t="b">
        <f>Age_Sex_PY[[#This Row],[Total Spending After Applying Truncation at the Member Level]]+Age_Sex_PY[[#This Row],[Total Dollars Excluded from Spending After Applying Truncation at the Member Level]]=Age_Sex_PY[[#This Row],[Total Spending before Truncation is Applied]]</f>
        <v>1</v>
      </c>
    </row>
    <row r="551" spans="1:10" x14ac:dyDescent="0.25">
      <c r="A551" s="339"/>
      <c r="B551" s="270"/>
      <c r="C551" s="271"/>
      <c r="D551" s="456"/>
      <c r="E551" s="362"/>
      <c r="F551" s="272"/>
      <c r="G551" s="460"/>
      <c r="H551" s="272"/>
      <c r="I551" s="399"/>
      <c r="J551" s="241" t="b">
        <f>Age_Sex_PY[[#This Row],[Total Spending After Applying Truncation at the Member Level]]+Age_Sex_PY[[#This Row],[Total Dollars Excluded from Spending After Applying Truncation at the Member Level]]=Age_Sex_PY[[#This Row],[Total Spending before Truncation is Applied]]</f>
        <v>1</v>
      </c>
    </row>
    <row r="552" spans="1:10" x14ac:dyDescent="0.25">
      <c r="A552" s="342"/>
      <c r="B552" s="4"/>
      <c r="C552" s="16"/>
      <c r="D552" s="457"/>
      <c r="E552" s="363"/>
      <c r="F552" s="273"/>
      <c r="G552" s="226"/>
      <c r="H552" s="273"/>
      <c r="I552" s="400"/>
      <c r="J552" s="241" t="b">
        <f>Age_Sex_PY[[#This Row],[Total Spending After Applying Truncation at the Member Level]]+Age_Sex_PY[[#This Row],[Total Dollars Excluded from Spending After Applying Truncation at the Member Level]]=Age_Sex_PY[[#This Row],[Total Spending before Truncation is Applied]]</f>
        <v>1</v>
      </c>
    </row>
    <row r="553" spans="1:10" x14ac:dyDescent="0.25">
      <c r="A553" s="339"/>
      <c r="B553" s="270"/>
      <c r="C553" s="271"/>
      <c r="D553" s="456"/>
      <c r="E553" s="362"/>
      <c r="F553" s="272"/>
      <c r="G553" s="460"/>
      <c r="H553" s="272"/>
      <c r="I553" s="399"/>
      <c r="J553" s="241" t="b">
        <f>Age_Sex_PY[[#This Row],[Total Spending After Applying Truncation at the Member Level]]+Age_Sex_PY[[#This Row],[Total Dollars Excluded from Spending After Applying Truncation at the Member Level]]=Age_Sex_PY[[#This Row],[Total Spending before Truncation is Applied]]</f>
        <v>1</v>
      </c>
    </row>
    <row r="554" spans="1:10" x14ac:dyDescent="0.25">
      <c r="A554" s="342"/>
      <c r="B554" s="4"/>
      <c r="C554" s="16"/>
      <c r="D554" s="457"/>
      <c r="E554" s="363"/>
      <c r="F554" s="273"/>
      <c r="G554" s="226"/>
      <c r="H554" s="273"/>
      <c r="I554" s="400"/>
      <c r="J554" s="241" t="b">
        <f>Age_Sex_PY[[#This Row],[Total Spending After Applying Truncation at the Member Level]]+Age_Sex_PY[[#This Row],[Total Dollars Excluded from Spending After Applying Truncation at the Member Level]]=Age_Sex_PY[[#This Row],[Total Spending before Truncation is Applied]]</f>
        <v>1</v>
      </c>
    </row>
    <row r="555" spans="1:10" x14ac:dyDescent="0.25">
      <c r="A555" s="339"/>
      <c r="B555" s="270"/>
      <c r="C555" s="271"/>
      <c r="D555" s="456"/>
      <c r="E555" s="362"/>
      <c r="F555" s="272"/>
      <c r="G555" s="460"/>
      <c r="H555" s="272"/>
      <c r="I555" s="399"/>
      <c r="J555" s="241" t="b">
        <f>Age_Sex_PY[[#This Row],[Total Spending After Applying Truncation at the Member Level]]+Age_Sex_PY[[#This Row],[Total Dollars Excluded from Spending After Applying Truncation at the Member Level]]=Age_Sex_PY[[#This Row],[Total Spending before Truncation is Applied]]</f>
        <v>1</v>
      </c>
    </row>
    <row r="556" spans="1:10" x14ac:dyDescent="0.25">
      <c r="A556" s="342"/>
      <c r="B556" s="4"/>
      <c r="C556" s="16"/>
      <c r="D556" s="457"/>
      <c r="E556" s="363"/>
      <c r="F556" s="273"/>
      <c r="G556" s="226"/>
      <c r="H556" s="273"/>
      <c r="I556" s="400"/>
      <c r="J556" s="241" t="b">
        <f>Age_Sex_PY[[#This Row],[Total Spending After Applying Truncation at the Member Level]]+Age_Sex_PY[[#This Row],[Total Dollars Excluded from Spending After Applying Truncation at the Member Level]]=Age_Sex_PY[[#This Row],[Total Spending before Truncation is Applied]]</f>
        <v>1</v>
      </c>
    </row>
    <row r="557" spans="1:10" x14ac:dyDescent="0.25">
      <c r="A557" s="339"/>
      <c r="B557" s="270"/>
      <c r="C557" s="271"/>
      <c r="D557" s="456"/>
      <c r="E557" s="362"/>
      <c r="F557" s="272"/>
      <c r="G557" s="460"/>
      <c r="H557" s="272"/>
      <c r="I557" s="399"/>
      <c r="J557" s="241" t="b">
        <f>Age_Sex_PY[[#This Row],[Total Spending After Applying Truncation at the Member Level]]+Age_Sex_PY[[#This Row],[Total Dollars Excluded from Spending After Applying Truncation at the Member Level]]=Age_Sex_PY[[#This Row],[Total Spending before Truncation is Applied]]</f>
        <v>1</v>
      </c>
    </row>
    <row r="558" spans="1:10" x14ac:dyDescent="0.25">
      <c r="A558" s="342"/>
      <c r="B558" s="4"/>
      <c r="C558" s="16"/>
      <c r="D558" s="457"/>
      <c r="E558" s="363"/>
      <c r="F558" s="273"/>
      <c r="G558" s="226"/>
      <c r="H558" s="273"/>
      <c r="I558" s="400"/>
      <c r="J558" s="241" t="b">
        <f>Age_Sex_PY[[#This Row],[Total Spending After Applying Truncation at the Member Level]]+Age_Sex_PY[[#This Row],[Total Dollars Excluded from Spending After Applying Truncation at the Member Level]]=Age_Sex_PY[[#This Row],[Total Spending before Truncation is Applied]]</f>
        <v>1</v>
      </c>
    </row>
    <row r="559" spans="1:10" x14ac:dyDescent="0.25">
      <c r="A559" s="339"/>
      <c r="B559" s="270"/>
      <c r="C559" s="271"/>
      <c r="D559" s="456"/>
      <c r="E559" s="362"/>
      <c r="F559" s="272"/>
      <c r="G559" s="460"/>
      <c r="H559" s="272"/>
      <c r="I559" s="399"/>
      <c r="J559" s="241" t="b">
        <f>Age_Sex_PY[[#This Row],[Total Spending After Applying Truncation at the Member Level]]+Age_Sex_PY[[#This Row],[Total Dollars Excluded from Spending After Applying Truncation at the Member Level]]=Age_Sex_PY[[#This Row],[Total Spending before Truncation is Applied]]</f>
        <v>1</v>
      </c>
    </row>
    <row r="560" spans="1:10" x14ac:dyDescent="0.25">
      <c r="A560" s="342"/>
      <c r="B560" s="4"/>
      <c r="C560" s="16"/>
      <c r="D560" s="457"/>
      <c r="E560" s="363"/>
      <c r="F560" s="273"/>
      <c r="G560" s="226"/>
      <c r="H560" s="273"/>
      <c r="I560" s="400"/>
      <c r="J560" s="241" t="b">
        <f>Age_Sex_PY[[#This Row],[Total Spending After Applying Truncation at the Member Level]]+Age_Sex_PY[[#This Row],[Total Dollars Excluded from Spending After Applying Truncation at the Member Level]]=Age_Sex_PY[[#This Row],[Total Spending before Truncation is Applied]]</f>
        <v>1</v>
      </c>
    </row>
    <row r="561" spans="1:10" x14ac:dyDescent="0.25">
      <c r="A561" s="339"/>
      <c r="B561" s="270"/>
      <c r="C561" s="271"/>
      <c r="D561" s="456"/>
      <c r="E561" s="362"/>
      <c r="F561" s="272"/>
      <c r="G561" s="460"/>
      <c r="H561" s="272"/>
      <c r="I561" s="399"/>
      <c r="J561" s="241" t="b">
        <f>Age_Sex_PY[[#This Row],[Total Spending After Applying Truncation at the Member Level]]+Age_Sex_PY[[#This Row],[Total Dollars Excluded from Spending After Applying Truncation at the Member Level]]=Age_Sex_PY[[#This Row],[Total Spending before Truncation is Applied]]</f>
        <v>1</v>
      </c>
    </row>
    <row r="562" spans="1:10" x14ac:dyDescent="0.25">
      <c r="A562" s="342"/>
      <c r="B562" s="4"/>
      <c r="C562" s="16"/>
      <c r="D562" s="457"/>
      <c r="E562" s="363"/>
      <c r="F562" s="273"/>
      <c r="G562" s="226"/>
      <c r="H562" s="273"/>
      <c r="I562" s="400"/>
      <c r="J562" s="241" t="b">
        <f>Age_Sex_PY[[#This Row],[Total Spending After Applying Truncation at the Member Level]]+Age_Sex_PY[[#This Row],[Total Dollars Excluded from Spending After Applying Truncation at the Member Level]]=Age_Sex_PY[[#This Row],[Total Spending before Truncation is Applied]]</f>
        <v>1</v>
      </c>
    </row>
    <row r="563" spans="1:10" x14ac:dyDescent="0.25">
      <c r="A563" s="339"/>
      <c r="B563" s="270"/>
      <c r="C563" s="271"/>
      <c r="D563" s="456"/>
      <c r="E563" s="362"/>
      <c r="F563" s="272"/>
      <c r="G563" s="460"/>
      <c r="H563" s="272"/>
      <c r="I563" s="399"/>
      <c r="J563" s="241" t="b">
        <f>Age_Sex_PY[[#This Row],[Total Spending After Applying Truncation at the Member Level]]+Age_Sex_PY[[#This Row],[Total Dollars Excluded from Spending After Applying Truncation at the Member Level]]=Age_Sex_PY[[#This Row],[Total Spending before Truncation is Applied]]</f>
        <v>1</v>
      </c>
    </row>
    <row r="564" spans="1:10" x14ac:dyDescent="0.25">
      <c r="A564" s="342"/>
      <c r="B564" s="4"/>
      <c r="C564" s="16"/>
      <c r="D564" s="457"/>
      <c r="E564" s="363"/>
      <c r="F564" s="273"/>
      <c r="G564" s="226"/>
      <c r="H564" s="273"/>
      <c r="I564" s="400"/>
      <c r="J564" s="241" t="b">
        <f>Age_Sex_PY[[#This Row],[Total Spending After Applying Truncation at the Member Level]]+Age_Sex_PY[[#This Row],[Total Dollars Excluded from Spending After Applying Truncation at the Member Level]]=Age_Sex_PY[[#This Row],[Total Spending before Truncation is Applied]]</f>
        <v>1</v>
      </c>
    </row>
    <row r="565" spans="1:10" x14ac:dyDescent="0.25">
      <c r="A565" s="339"/>
      <c r="B565" s="270"/>
      <c r="C565" s="271"/>
      <c r="D565" s="456"/>
      <c r="E565" s="362"/>
      <c r="F565" s="272"/>
      <c r="G565" s="460"/>
      <c r="H565" s="272"/>
      <c r="I565" s="399"/>
      <c r="J565" s="241" t="b">
        <f>Age_Sex_PY[[#This Row],[Total Spending After Applying Truncation at the Member Level]]+Age_Sex_PY[[#This Row],[Total Dollars Excluded from Spending After Applying Truncation at the Member Level]]=Age_Sex_PY[[#This Row],[Total Spending before Truncation is Applied]]</f>
        <v>1</v>
      </c>
    </row>
    <row r="566" spans="1:10" x14ac:dyDescent="0.25">
      <c r="A566" s="342"/>
      <c r="B566" s="4"/>
      <c r="C566" s="16"/>
      <c r="D566" s="457"/>
      <c r="E566" s="363"/>
      <c r="F566" s="273"/>
      <c r="G566" s="226"/>
      <c r="H566" s="273"/>
      <c r="I566" s="400"/>
      <c r="J566" s="241" t="b">
        <f>Age_Sex_PY[[#This Row],[Total Spending After Applying Truncation at the Member Level]]+Age_Sex_PY[[#This Row],[Total Dollars Excluded from Spending After Applying Truncation at the Member Level]]=Age_Sex_PY[[#This Row],[Total Spending before Truncation is Applied]]</f>
        <v>1</v>
      </c>
    </row>
    <row r="567" spans="1:10" x14ac:dyDescent="0.25">
      <c r="A567" s="339"/>
      <c r="B567" s="270"/>
      <c r="C567" s="271"/>
      <c r="D567" s="456"/>
      <c r="E567" s="362"/>
      <c r="F567" s="272"/>
      <c r="G567" s="460"/>
      <c r="H567" s="272"/>
      <c r="I567" s="399"/>
      <c r="J567" s="241" t="b">
        <f>Age_Sex_PY[[#This Row],[Total Spending After Applying Truncation at the Member Level]]+Age_Sex_PY[[#This Row],[Total Dollars Excluded from Spending After Applying Truncation at the Member Level]]=Age_Sex_PY[[#This Row],[Total Spending before Truncation is Applied]]</f>
        <v>1</v>
      </c>
    </row>
    <row r="568" spans="1:10" x14ac:dyDescent="0.25">
      <c r="A568" s="342"/>
      <c r="B568" s="4"/>
      <c r="C568" s="16"/>
      <c r="D568" s="457"/>
      <c r="E568" s="363"/>
      <c r="F568" s="273"/>
      <c r="G568" s="226"/>
      <c r="H568" s="273"/>
      <c r="I568" s="400"/>
      <c r="J568" s="241" t="b">
        <f>Age_Sex_PY[[#This Row],[Total Spending After Applying Truncation at the Member Level]]+Age_Sex_PY[[#This Row],[Total Dollars Excluded from Spending After Applying Truncation at the Member Level]]=Age_Sex_PY[[#This Row],[Total Spending before Truncation is Applied]]</f>
        <v>1</v>
      </c>
    </row>
    <row r="569" spans="1:10" x14ac:dyDescent="0.25">
      <c r="A569" s="339"/>
      <c r="B569" s="270"/>
      <c r="C569" s="271"/>
      <c r="D569" s="456"/>
      <c r="E569" s="362"/>
      <c r="F569" s="272"/>
      <c r="G569" s="460"/>
      <c r="H569" s="272"/>
      <c r="I569" s="399"/>
      <c r="J569" s="241" t="b">
        <f>Age_Sex_PY[[#This Row],[Total Spending After Applying Truncation at the Member Level]]+Age_Sex_PY[[#This Row],[Total Dollars Excluded from Spending After Applying Truncation at the Member Level]]=Age_Sex_PY[[#This Row],[Total Spending before Truncation is Applied]]</f>
        <v>1</v>
      </c>
    </row>
    <row r="570" spans="1:10" x14ac:dyDescent="0.25">
      <c r="A570" s="342"/>
      <c r="B570" s="4"/>
      <c r="C570" s="16"/>
      <c r="D570" s="457"/>
      <c r="E570" s="363"/>
      <c r="F570" s="273"/>
      <c r="G570" s="226"/>
      <c r="H570" s="273"/>
      <c r="I570" s="400"/>
      <c r="J570" s="241" t="b">
        <f>Age_Sex_PY[[#This Row],[Total Spending After Applying Truncation at the Member Level]]+Age_Sex_PY[[#This Row],[Total Dollars Excluded from Spending After Applying Truncation at the Member Level]]=Age_Sex_PY[[#This Row],[Total Spending before Truncation is Applied]]</f>
        <v>1</v>
      </c>
    </row>
    <row r="571" spans="1:10" x14ac:dyDescent="0.25">
      <c r="A571" s="339"/>
      <c r="B571" s="270"/>
      <c r="C571" s="271"/>
      <c r="D571" s="456"/>
      <c r="E571" s="362"/>
      <c r="F571" s="272"/>
      <c r="G571" s="460"/>
      <c r="H571" s="272"/>
      <c r="I571" s="399"/>
      <c r="J571" s="241" t="b">
        <f>Age_Sex_PY[[#This Row],[Total Spending After Applying Truncation at the Member Level]]+Age_Sex_PY[[#This Row],[Total Dollars Excluded from Spending After Applying Truncation at the Member Level]]=Age_Sex_PY[[#This Row],[Total Spending before Truncation is Applied]]</f>
        <v>1</v>
      </c>
    </row>
    <row r="572" spans="1:10" x14ac:dyDescent="0.25">
      <c r="A572" s="342"/>
      <c r="B572" s="4"/>
      <c r="C572" s="16"/>
      <c r="D572" s="457"/>
      <c r="E572" s="363"/>
      <c r="F572" s="273"/>
      <c r="G572" s="226"/>
      <c r="H572" s="273"/>
      <c r="I572" s="400"/>
      <c r="J572" s="241" t="b">
        <f>Age_Sex_PY[[#This Row],[Total Spending After Applying Truncation at the Member Level]]+Age_Sex_PY[[#This Row],[Total Dollars Excluded from Spending After Applying Truncation at the Member Level]]=Age_Sex_PY[[#This Row],[Total Spending before Truncation is Applied]]</f>
        <v>1</v>
      </c>
    </row>
    <row r="573" spans="1:10" x14ac:dyDescent="0.25">
      <c r="A573" s="339"/>
      <c r="B573" s="270"/>
      <c r="C573" s="271"/>
      <c r="D573" s="456"/>
      <c r="E573" s="362"/>
      <c r="F573" s="272"/>
      <c r="G573" s="460"/>
      <c r="H573" s="272"/>
      <c r="I573" s="399"/>
      <c r="J573" s="241" t="b">
        <f>Age_Sex_PY[[#This Row],[Total Spending After Applying Truncation at the Member Level]]+Age_Sex_PY[[#This Row],[Total Dollars Excluded from Spending After Applying Truncation at the Member Level]]=Age_Sex_PY[[#This Row],[Total Spending before Truncation is Applied]]</f>
        <v>1</v>
      </c>
    </row>
    <row r="574" spans="1:10" x14ac:dyDescent="0.25">
      <c r="A574" s="342"/>
      <c r="B574" s="4"/>
      <c r="C574" s="16"/>
      <c r="D574" s="457"/>
      <c r="E574" s="363"/>
      <c r="F574" s="273"/>
      <c r="G574" s="226"/>
      <c r="H574" s="273"/>
      <c r="I574" s="400"/>
      <c r="J574" s="241" t="b">
        <f>Age_Sex_PY[[#This Row],[Total Spending After Applying Truncation at the Member Level]]+Age_Sex_PY[[#This Row],[Total Dollars Excluded from Spending After Applying Truncation at the Member Level]]=Age_Sex_PY[[#This Row],[Total Spending before Truncation is Applied]]</f>
        <v>1</v>
      </c>
    </row>
    <row r="575" spans="1:10" x14ac:dyDescent="0.25">
      <c r="A575" s="339"/>
      <c r="B575" s="270"/>
      <c r="C575" s="271"/>
      <c r="D575" s="456"/>
      <c r="E575" s="362"/>
      <c r="F575" s="272"/>
      <c r="G575" s="460"/>
      <c r="H575" s="272"/>
      <c r="I575" s="399"/>
      <c r="J575" s="241" t="b">
        <f>Age_Sex_PY[[#This Row],[Total Spending After Applying Truncation at the Member Level]]+Age_Sex_PY[[#This Row],[Total Dollars Excluded from Spending After Applying Truncation at the Member Level]]=Age_Sex_PY[[#This Row],[Total Spending before Truncation is Applied]]</f>
        <v>1</v>
      </c>
    </row>
    <row r="576" spans="1:10" x14ac:dyDescent="0.25">
      <c r="A576" s="342"/>
      <c r="B576" s="4"/>
      <c r="C576" s="16"/>
      <c r="D576" s="457"/>
      <c r="E576" s="363"/>
      <c r="F576" s="273"/>
      <c r="G576" s="226"/>
      <c r="H576" s="273"/>
      <c r="I576" s="400"/>
      <c r="J576" s="241" t="b">
        <f>Age_Sex_PY[[#This Row],[Total Spending After Applying Truncation at the Member Level]]+Age_Sex_PY[[#This Row],[Total Dollars Excluded from Spending After Applying Truncation at the Member Level]]=Age_Sex_PY[[#This Row],[Total Spending before Truncation is Applied]]</f>
        <v>1</v>
      </c>
    </row>
    <row r="577" spans="1:10" x14ac:dyDescent="0.25">
      <c r="A577" s="339"/>
      <c r="B577" s="270"/>
      <c r="C577" s="271"/>
      <c r="D577" s="456"/>
      <c r="E577" s="362"/>
      <c r="F577" s="272"/>
      <c r="G577" s="460"/>
      <c r="H577" s="272"/>
      <c r="I577" s="399"/>
      <c r="J577" s="241" t="b">
        <f>Age_Sex_PY[[#This Row],[Total Spending After Applying Truncation at the Member Level]]+Age_Sex_PY[[#This Row],[Total Dollars Excluded from Spending After Applying Truncation at the Member Level]]=Age_Sex_PY[[#This Row],[Total Spending before Truncation is Applied]]</f>
        <v>1</v>
      </c>
    </row>
    <row r="578" spans="1:10" x14ac:dyDescent="0.25">
      <c r="A578" s="342"/>
      <c r="B578" s="4"/>
      <c r="C578" s="16"/>
      <c r="D578" s="457"/>
      <c r="E578" s="363"/>
      <c r="F578" s="273"/>
      <c r="G578" s="226"/>
      <c r="H578" s="273"/>
      <c r="I578" s="400"/>
      <c r="J578" s="241" t="b">
        <f>Age_Sex_PY[[#This Row],[Total Spending After Applying Truncation at the Member Level]]+Age_Sex_PY[[#This Row],[Total Dollars Excluded from Spending After Applying Truncation at the Member Level]]=Age_Sex_PY[[#This Row],[Total Spending before Truncation is Applied]]</f>
        <v>1</v>
      </c>
    </row>
    <row r="579" spans="1:10" x14ac:dyDescent="0.25">
      <c r="A579" s="339"/>
      <c r="B579" s="270"/>
      <c r="C579" s="271"/>
      <c r="D579" s="456"/>
      <c r="E579" s="362"/>
      <c r="F579" s="272"/>
      <c r="G579" s="460"/>
      <c r="H579" s="272"/>
      <c r="I579" s="399"/>
      <c r="J579" s="241" t="b">
        <f>Age_Sex_PY[[#This Row],[Total Spending After Applying Truncation at the Member Level]]+Age_Sex_PY[[#This Row],[Total Dollars Excluded from Spending After Applying Truncation at the Member Level]]=Age_Sex_PY[[#This Row],[Total Spending before Truncation is Applied]]</f>
        <v>1</v>
      </c>
    </row>
    <row r="580" spans="1:10" x14ac:dyDescent="0.25">
      <c r="A580" s="342"/>
      <c r="B580" s="4"/>
      <c r="C580" s="16"/>
      <c r="D580" s="457"/>
      <c r="E580" s="363"/>
      <c r="F580" s="273"/>
      <c r="G580" s="226"/>
      <c r="H580" s="273"/>
      <c r="I580" s="400"/>
      <c r="J580" s="241" t="b">
        <f>Age_Sex_PY[[#This Row],[Total Spending After Applying Truncation at the Member Level]]+Age_Sex_PY[[#This Row],[Total Dollars Excluded from Spending After Applying Truncation at the Member Level]]=Age_Sex_PY[[#This Row],[Total Spending before Truncation is Applied]]</f>
        <v>1</v>
      </c>
    </row>
    <row r="581" spans="1:10" x14ac:dyDescent="0.25">
      <c r="A581" s="339"/>
      <c r="B581" s="270"/>
      <c r="C581" s="271"/>
      <c r="D581" s="456"/>
      <c r="E581" s="362"/>
      <c r="F581" s="272"/>
      <c r="G581" s="460"/>
      <c r="H581" s="272"/>
      <c r="I581" s="399"/>
      <c r="J581" s="241" t="b">
        <f>Age_Sex_PY[[#This Row],[Total Spending After Applying Truncation at the Member Level]]+Age_Sex_PY[[#This Row],[Total Dollars Excluded from Spending After Applying Truncation at the Member Level]]=Age_Sex_PY[[#This Row],[Total Spending before Truncation is Applied]]</f>
        <v>1</v>
      </c>
    </row>
    <row r="582" spans="1:10" x14ac:dyDescent="0.25">
      <c r="A582" s="342"/>
      <c r="B582" s="4"/>
      <c r="C582" s="16"/>
      <c r="D582" s="457"/>
      <c r="E582" s="363"/>
      <c r="F582" s="273"/>
      <c r="G582" s="226"/>
      <c r="H582" s="273"/>
      <c r="I582" s="400"/>
      <c r="J582" s="241" t="b">
        <f>Age_Sex_PY[[#This Row],[Total Spending After Applying Truncation at the Member Level]]+Age_Sex_PY[[#This Row],[Total Dollars Excluded from Spending After Applying Truncation at the Member Level]]=Age_Sex_PY[[#This Row],[Total Spending before Truncation is Applied]]</f>
        <v>1</v>
      </c>
    </row>
    <row r="583" spans="1:10" x14ac:dyDescent="0.25">
      <c r="A583" s="339"/>
      <c r="B583" s="270"/>
      <c r="C583" s="271"/>
      <c r="D583" s="456"/>
      <c r="E583" s="362"/>
      <c r="F583" s="272"/>
      <c r="G583" s="460"/>
      <c r="H583" s="272"/>
      <c r="I583" s="399"/>
      <c r="J583" s="241" t="b">
        <f>Age_Sex_PY[[#This Row],[Total Spending After Applying Truncation at the Member Level]]+Age_Sex_PY[[#This Row],[Total Dollars Excluded from Spending After Applying Truncation at the Member Level]]=Age_Sex_PY[[#This Row],[Total Spending before Truncation is Applied]]</f>
        <v>1</v>
      </c>
    </row>
    <row r="584" spans="1:10" x14ac:dyDescent="0.25">
      <c r="A584" s="342"/>
      <c r="B584" s="4"/>
      <c r="C584" s="16"/>
      <c r="D584" s="457"/>
      <c r="E584" s="363"/>
      <c r="F584" s="273"/>
      <c r="G584" s="226"/>
      <c r="H584" s="273"/>
      <c r="I584" s="400"/>
      <c r="J584" s="241" t="b">
        <f>Age_Sex_PY[[#This Row],[Total Spending After Applying Truncation at the Member Level]]+Age_Sex_PY[[#This Row],[Total Dollars Excluded from Spending After Applying Truncation at the Member Level]]=Age_Sex_PY[[#This Row],[Total Spending before Truncation is Applied]]</f>
        <v>1</v>
      </c>
    </row>
    <row r="585" spans="1:10" x14ac:dyDescent="0.25">
      <c r="A585" s="339"/>
      <c r="B585" s="270"/>
      <c r="C585" s="271"/>
      <c r="D585" s="456"/>
      <c r="E585" s="362"/>
      <c r="F585" s="272"/>
      <c r="G585" s="460"/>
      <c r="H585" s="272"/>
      <c r="I585" s="399"/>
      <c r="J585" s="241" t="b">
        <f>Age_Sex_PY[[#This Row],[Total Spending After Applying Truncation at the Member Level]]+Age_Sex_PY[[#This Row],[Total Dollars Excluded from Spending After Applying Truncation at the Member Level]]=Age_Sex_PY[[#This Row],[Total Spending before Truncation is Applied]]</f>
        <v>1</v>
      </c>
    </row>
    <row r="586" spans="1:10" x14ac:dyDescent="0.25">
      <c r="A586" s="342"/>
      <c r="B586" s="4"/>
      <c r="C586" s="16"/>
      <c r="D586" s="457"/>
      <c r="E586" s="363"/>
      <c r="F586" s="273"/>
      <c r="G586" s="226"/>
      <c r="H586" s="273"/>
      <c r="I586" s="400"/>
      <c r="J586" s="241" t="b">
        <f>Age_Sex_PY[[#This Row],[Total Spending After Applying Truncation at the Member Level]]+Age_Sex_PY[[#This Row],[Total Dollars Excluded from Spending After Applying Truncation at the Member Level]]=Age_Sex_PY[[#This Row],[Total Spending before Truncation is Applied]]</f>
        <v>1</v>
      </c>
    </row>
    <row r="587" spans="1:10" x14ac:dyDescent="0.25">
      <c r="A587" s="339"/>
      <c r="B587" s="270"/>
      <c r="C587" s="271"/>
      <c r="D587" s="456"/>
      <c r="E587" s="362"/>
      <c r="F587" s="272"/>
      <c r="G587" s="460"/>
      <c r="H587" s="272"/>
      <c r="I587" s="399"/>
      <c r="J587" s="241" t="b">
        <f>Age_Sex_PY[[#This Row],[Total Spending After Applying Truncation at the Member Level]]+Age_Sex_PY[[#This Row],[Total Dollars Excluded from Spending After Applying Truncation at the Member Level]]=Age_Sex_PY[[#This Row],[Total Spending before Truncation is Applied]]</f>
        <v>1</v>
      </c>
    </row>
    <row r="588" spans="1:10" x14ac:dyDescent="0.25">
      <c r="A588" s="342"/>
      <c r="B588" s="4"/>
      <c r="C588" s="16"/>
      <c r="D588" s="457"/>
      <c r="E588" s="363"/>
      <c r="F588" s="273"/>
      <c r="G588" s="226"/>
      <c r="H588" s="273"/>
      <c r="I588" s="400"/>
      <c r="J588" s="241" t="b">
        <f>Age_Sex_PY[[#This Row],[Total Spending After Applying Truncation at the Member Level]]+Age_Sex_PY[[#This Row],[Total Dollars Excluded from Spending After Applying Truncation at the Member Level]]=Age_Sex_PY[[#This Row],[Total Spending before Truncation is Applied]]</f>
        <v>1</v>
      </c>
    </row>
    <row r="589" spans="1:10" x14ac:dyDescent="0.25">
      <c r="A589" s="339"/>
      <c r="B589" s="270"/>
      <c r="C589" s="271"/>
      <c r="D589" s="456"/>
      <c r="E589" s="362"/>
      <c r="F589" s="272"/>
      <c r="G589" s="460"/>
      <c r="H589" s="272"/>
      <c r="I589" s="399"/>
      <c r="J589" s="241" t="b">
        <f>Age_Sex_PY[[#This Row],[Total Spending After Applying Truncation at the Member Level]]+Age_Sex_PY[[#This Row],[Total Dollars Excluded from Spending After Applying Truncation at the Member Level]]=Age_Sex_PY[[#This Row],[Total Spending before Truncation is Applied]]</f>
        <v>1</v>
      </c>
    </row>
    <row r="590" spans="1:10" x14ac:dyDescent="0.25">
      <c r="A590" s="342"/>
      <c r="B590" s="4"/>
      <c r="C590" s="16"/>
      <c r="D590" s="457"/>
      <c r="E590" s="363"/>
      <c r="F590" s="273"/>
      <c r="G590" s="226"/>
      <c r="H590" s="273"/>
      <c r="I590" s="400"/>
      <c r="J590" s="241" t="b">
        <f>Age_Sex_PY[[#This Row],[Total Spending After Applying Truncation at the Member Level]]+Age_Sex_PY[[#This Row],[Total Dollars Excluded from Spending After Applying Truncation at the Member Level]]=Age_Sex_PY[[#This Row],[Total Spending before Truncation is Applied]]</f>
        <v>1</v>
      </c>
    </row>
    <row r="591" spans="1:10" x14ac:dyDescent="0.25">
      <c r="A591" s="339"/>
      <c r="B591" s="270"/>
      <c r="C591" s="271"/>
      <c r="D591" s="456"/>
      <c r="E591" s="362"/>
      <c r="F591" s="272"/>
      <c r="G591" s="460"/>
      <c r="H591" s="272"/>
      <c r="I591" s="399"/>
      <c r="J591" s="241" t="b">
        <f>Age_Sex_PY[[#This Row],[Total Spending After Applying Truncation at the Member Level]]+Age_Sex_PY[[#This Row],[Total Dollars Excluded from Spending After Applying Truncation at the Member Level]]=Age_Sex_PY[[#This Row],[Total Spending before Truncation is Applied]]</f>
        <v>1</v>
      </c>
    </row>
    <row r="592" spans="1:10" x14ac:dyDescent="0.25">
      <c r="A592" s="342"/>
      <c r="B592" s="4"/>
      <c r="C592" s="16"/>
      <c r="D592" s="457"/>
      <c r="E592" s="363"/>
      <c r="F592" s="273"/>
      <c r="G592" s="226"/>
      <c r="H592" s="273"/>
      <c r="I592" s="400"/>
      <c r="J592" s="241" t="b">
        <f>Age_Sex_PY[[#This Row],[Total Spending After Applying Truncation at the Member Level]]+Age_Sex_PY[[#This Row],[Total Dollars Excluded from Spending After Applying Truncation at the Member Level]]=Age_Sex_PY[[#This Row],[Total Spending before Truncation is Applied]]</f>
        <v>1</v>
      </c>
    </row>
    <row r="593" spans="1:10" x14ac:dyDescent="0.25">
      <c r="A593" s="339"/>
      <c r="B593" s="270"/>
      <c r="C593" s="271"/>
      <c r="D593" s="456"/>
      <c r="E593" s="362"/>
      <c r="F593" s="272"/>
      <c r="G593" s="460"/>
      <c r="H593" s="272"/>
      <c r="I593" s="399"/>
      <c r="J593" s="241" t="b">
        <f>Age_Sex_PY[[#This Row],[Total Spending After Applying Truncation at the Member Level]]+Age_Sex_PY[[#This Row],[Total Dollars Excluded from Spending After Applying Truncation at the Member Level]]=Age_Sex_PY[[#This Row],[Total Spending before Truncation is Applied]]</f>
        <v>1</v>
      </c>
    </row>
    <row r="594" spans="1:10" x14ac:dyDescent="0.25">
      <c r="A594" s="342"/>
      <c r="B594" s="4"/>
      <c r="C594" s="16"/>
      <c r="D594" s="457"/>
      <c r="E594" s="363"/>
      <c r="F594" s="273"/>
      <c r="G594" s="226"/>
      <c r="H594" s="273"/>
      <c r="I594" s="400"/>
      <c r="J594" s="241" t="b">
        <f>Age_Sex_PY[[#This Row],[Total Spending After Applying Truncation at the Member Level]]+Age_Sex_PY[[#This Row],[Total Dollars Excluded from Spending After Applying Truncation at the Member Level]]=Age_Sex_PY[[#This Row],[Total Spending before Truncation is Applied]]</f>
        <v>1</v>
      </c>
    </row>
    <row r="595" spans="1:10" x14ac:dyDescent="0.25">
      <c r="A595" s="339"/>
      <c r="B595" s="270"/>
      <c r="C595" s="271"/>
      <c r="D595" s="456"/>
      <c r="E595" s="362"/>
      <c r="F595" s="272"/>
      <c r="G595" s="460"/>
      <c r="H595" s="272"/>
      <c r="I595" s="399"/>
      <c r="J595" s="241" t="b">
        <f>Age_Sex_PY[[#This Row],[Total Spending After Applying Truncation at the Member Level]]+Age_Sex_PY[[#This Row],[Total Dollars Excluded from Spending After Applying Truncation at the Member Level]]=Age_Sex_PY[[#This Row],[Total Spending before Truncation is Applied]]</f>
        <v>1</v>
      </c>
    </row>
    <row r="596" spans="1:10" x14ac:dyDescent="0.25">
      <c r="A596" s="342"/>
      <c r="B596" s="4"/>
      <c r="C596" s="16"/>
      <c r="D596" s="457"/>
      <c r="E596" s="363"/>
      <c r="F596" s="273"/>
      <c r="G596" s="226"/>
      <c r="H596" s="273"/>
      <c r="I596" s="400"/>
      <c r="J596" s="241" t="b">
        <f>Age_Sex_PY[[#This Row],[Total Spending After Applying Truncation at the Member Level]]+Age_Sex_PY[[#This Row],[Total Dollars Excluded from Spending After Applying Truncation at the Member Level]]=Age_Sex_PY[[#This Row],[Total Spending before Truncation is Applied]]</f>
        <v>1</v>
      </c>
    </row>
    <row r="597" spans="1:10" x14ac:dyDescent="0.25">
      <c r="A597" s="339"/>
      <c r="B597" s="270"/>
      <c r="C597" s="271"/>
      <c r="D597" s="456"/>
      <c r="E597" s="362"/>
      <c r="F597" s="272"/>
      <c r="G597" s="460"/>
      <c r="H597" s="272"/>
      <c r="I597" s="399"/>
      <c r="J597" s="241" t="b">
        <f>Age_Sex_PY[[#This Row],[Total Spending After Applying Truncation at the Member Level]]+Age_Sex_PY[[#This Row],[Total Dollars Excluded from Spending After Applying Truncation at the Member Level]]=Age_Sex_PY[[#This Row],[Total Spending before Truncation is Applied]]</f>
        <v>1</v>
      </c>
    </row>
    <row r="598" spans="1:10" x14ac:dyDescent="0.25">
      <c r="A598" s="342"/>
      <c r="B598" s="4"/>
      <c r="C598" s="16"/>
      <c r="D598" s="457"/>
      <c r="E598" s="363"/>
      <c r="F598" s="273"/>
      <c r="G598" s="226"/>
      <c r="H598" s="273"/>
      <c r="I598" s="400"/>
      <c r="J598" s="241" t="b">
        <f>Age_Sex_PY[[#This Row],[Total Spending After Applying Truncation at the Member Level]]+Age_Sex_PY[[#This Row],[Total Dollars Excluded from Spending After Applying Truncation at the Member Level]]=Age_Sex_PY[[#This Row],[Total Spending before Truncation is Applied]]</f>
        <v>1</v>
      </c>
    </row>
    <row r="599" spans="1:10" x14ac:dyDescent="0.25">
      <c r="A599" s="339"/>
      <c r="B599" s="270"/>
      <c r="C599" s="271"/>
      <c r="D599" s="456"/>
      <c r="E599" s="362"/>
      <c r="F599" s="272"/>
      <c r="G599" s="460"/>
      <c r="H599" s="272"/>
      <c r="I599" s="399"/>
      <c r="J599" s="241" t="b">
        <f>Age_Sex_PY[[#This Row],[Total Spending After Applying Truncation at the Member Level]]+Age_Sex_PY[[#This Row],[Total Dollars Excluded from Spending After Applying Truncation at the Member Level]]=Age_Sex_PY[[#This Row],[Total Spending before Truncation is Applied]]</f>
        <v>1</v>
      </c>
    </row>
    <row r="600" spans="1:10" x14ac:dyDescent="0.25">
      <c r="A600" s="342"/>
      <c r="B600" s="4"/>
      <c r="C600" s="16"/>
      <c r="D600" s="457"/>
      <c r="E600" s="363"/>
      <c r="F600" s="273"/>
      <c r="G600" s="226"/>
      <c r="H600" s="273"/>
      <c r="I600" s="400"/>
      <c r="J600" s="241" t="b">
        <f>Age_Sex_PY[[#This Row],[Total Spending After Applying Truncation at the Member Level]]+Age_Sex_PY[[#This Row],[Total Dollars Excluded from Spending After Applying Truncation at the Member Level]]=Age_Sex_PY[[#This Row],[Total Spending before Truncation is Applied]]</f>
        <v>1</v>
      </c>
    </row>
    <row r="601" spans="1:10" x14ac:dyDescent="0.25">
      <c r="A601" s="339"/>
      <c r="B601" s="270"/>
      <c r="C601" s="271"/>
      <c r="D601" s="456"/>
      <c r="E601" s="362"/>
      <c r="F601" s="272"/>
      <c r="G601" s="460"/>
      <c r="H601" s="272"/>
      <c r="I601" s="399"/>
      <c r="J601" s="241" t="b">
        <f>Age_Sex_PY[[#This Row],[Total Spending After Applying Truncation at the Member Level]]+Age_Sex_PY[[#This Row],[Total Dollars Excluded from Spending After Applying Truncation at the Member Level]]=Age_Sex_PY[[#This Row],[Total Spending before Truncation is Applied]]</f>
        <v>1</v>
      </c>
    </row>
    <row r="602" spans="1:10" x14ac:dyDescent="0.25">
      <c r="A602" s="342"/>
      <c r="B602" s="4"/>
      <c r="C602" s="16"/>
      <c r="D602" s="457"/>
      <c r="E602" s="363"/>
      <c r="F602" s="273"/>
      <c r="G602" s="226"/>
      <c r="H602" s="273"/>
      <c r="I602" s="400"/>
      <c r="J602" s="241" t="b">
        <f>Age_Sex_PY[[#This Row],[Total Spending After Applying Truncation at the Member Level]]+Age_Sex_PY[[#This Row],[Total Dollars Excluded from Spending After Applying Truncation at the Member Level]]=Age_Sex_PY[[#This Row],[Total Spending before Truncation is Applied]]</f>
        <v>1</v>
      </c>
    </row>
    <row r="603" spans="1:10" x14ac:dyDescent="0.25">
      <c r="A603" s="339"/>
      <c r="B603" s="270"/>
      <c r="C603" s="271"/>
      <c r="D603" s="456"/>
      <c r="E603" s="362"/>
      <c r="F603" s="272"/>
      <c r="G603" s="460"/>
      <c r="H603" s="272"/>
      <c r="I603" s="399"/>
      <c r="J603" s="241" t="b">
        <f>Age_Sex_PY[[#This Row],[Total Spending After Applying Truncation at the Member Level]]+Age_Sex_PY[[#This Row],[Total Dollars Excluded from Spending After Applying Truncation at the Member Level]]=Age_Sex_PY[[#This Row],[Total Spending before Truncation is Applied]]</f>
        <v>1</v>
      </c>
    </row>
    <row r="604" spans="1:10" x14ac:dyDescent="0.25">
      <c r="A604" s="342"/>
      <c r="B604" s="4"/>
      <c r="C604" s="16"/>
      <c r="D604" s="457"/>
      <c r="E604" s="363"/>
      <c r="F604" s="273"/>
      <c r="G604" s="226"/>
      <c r="H604" s="273"/>
      <c r="I604" s="400"/>
      <c r="J604" s="241" t="b">
        <f>Age_Sex_PY[[#This Row],[Total Spending After Applying Truncation at the Member Level]]+Age_Sex_PY[[#This Row],[Total Dollars Excluded from Spending After Applying Truncation at the Member Level]]=Age_Sex_PY[[#This Row],[Total Spending before Truncation is Applied]]</f>
        <v>1</v>
      </c>
    </row>
    <row r="605" spans="1:10" x14ac:dyDescent="0.25">
      <c r="A605" s="339"/>
      <c r="B605" s="270"/>
      <c r="C605" s="271"/>
      <c r="D605" s="456"/>
      <c r="E605" s="362"/>
      <c r="F605" s="272"/>
      <c r="G605" s="460"/>
      <c r="H605" s="272"/>
      <c r="I605" s="399"/>
      <c r="J605" s="241" t="b">
        <f>Age_Sex_PY[[#This Row],[Total Spending After Applying Truncation at the Member Level]]+Age_Sex_PY[[#This Row],[Total Dollars Excluded from Spending After Applying Truncation at the Member Level]]=Age_Sex_PY[[#This Row],[Total Spending before Truncation is Applied]]</f>
        <v>1</v>
      </c>
    </row>
    <row r="606" spans="1:10" x14ac:dyDescent="0.25">
      <c r="A606" s="342"/>
      <c r="B606" s="4"/>
      <c r="C606" s="16"/>
      <c r="D606" s="457"/>
      <c r="E606" s="363"/>
      <c r="F606" s="273"/>
      <c r="G606" s="226"/>
      <c r="H606" s="273"/>
      <c r="I606" s="400"/>
      <c r="J606" s="241" t="b">
        <f>Age_Sex_PY[[#This Row],[Total Spending After Applying Truncation at the Member Level]]+Age_Sex_PY[[#This Row],[Total Dollars Excluded from Spending After Applying Truncation at the Member Level]]=Age_Sex_PY[[#This Row],[Total Spending before Truncation is Applied]]</f>
        <v>1</v>
      </c>
    </row>
    <row r="607" spans="1:10" x14ac:dyDescent="0.25">
      <c r="A607" s="339"/>
      <c r="B607" s="270"/>
      <c r="C607" s="271"/>
      <c r="D607" s="456"/>
      <c r="E607" s="362"/>
      <c r="F607" s="272"/>
      <c r="G607" s="460"/>
      <c r="H607" s="272"/>
      <c r="I607" s="399"/>
      <c r="J607" s="241" t="b">
        <f>Age_Sex_PY[[#This Row],[Total Spending After Applying Truncation at the Member Level]]+Age_Sex_PY[[#This Row],[Total Dollars Excluded from Spending After Applying Truncation at the Member Level]]=Age_Sex_PY[[#This Row],[Total Spending before Truncation is Applied]]</f>
        <v>1</v>
      </c>
    </row>
    <row r="608" spans="1:10" x14ac:dyDescent="0.25">
      <c r="A608" s="342"/>
      <c r="B608" s="4"/>
      <c r="C608" s="16"/>
      <c r="D608" s="457"/>
      <c r="E608" s="363"/>
      <c r="F608" s="273"/>
      <c r="G608" s="226"/>
      <c r="H608" s="273"/>
      <c r="I608" s="400"/>
      <c r="J608" s="241" t="b">
        <f>Age_Sex_PY[[#This Row],[Total Spending After Applying Truncation at the Member Level]]+Age_Sex_PY[[#This Row],[Total Dollars Excluded from Spending After Applying Truncation at the Member Level]]=Age_Sex_PY[[#This Row],[Total Spending before Truncation is Applied]]</f>
        <v>1</v>
      </c>
    </row>
    <row r="609" spans="1:10" x14ac:dyDescent="0.25">
      <c r="A609" s="339"/>
      <c r="B609" s="270"/>
      <c r="C609" s="271"/>
      <c r="D609" s="456"/>
      <c r="E609" s="362"/>
      <c r="F609" s="272"/>
      <c r="G609" s="460"/>
      <c r="H609" s="272"/>
      <c r="I609" s="399"/>
      <c r="J609" s="241" t="b">
        <f>Age_Sex_PY[[#This Row],[Total Spending After Applying Truncation at the Member Level]]+Age_Sex_PY[[#This Row],[Total Dollars Excluded from Spending After Applying Truncation at the Member Level]]=Age_Sex_PY[[#This Row],[Total Spending before Truncation is Applied]]</f>
        <v>1</v>
      </c>
    </row>
    <row r="610" spans="1:10" x14ac:dyDescent="0.25">
      <c r="A610" s="342"/>
      <c r="B610" s="4"/>
      <c r="C610" s="16"/>
      <c r="D610" s="457"/>
      <c r="E610" s="363"/>
      <c r="F610" s="273"/>
      <c r="G610" s="226"/>
      <c r="H610" s="273"/>
      <c r="I610" s="400"/>
      <c r="J610" s="241" t="b">
        <f>Age_Sex_PY[[#This Row],[Total Spending After Applying Truncation at the Member Level]]+Age_Sex_PY[[#This Row],[Total Dollars Excluded from Spending After Applying Truncation at the Member Level]]=Age_Sex_PY[[#This Row],[Total Spending before Truncation is Applied]]</f>
        <v>1</v>
      </c>
    </row>
    <row r="611" spans="1:10" x14ac:dyDescent="0.25">
      <c r="A611" s="339"/>
      <c r="B611" s="270"/>
      <c r="C611" s="271"/>
      <c r="D611" s="456"/>
      <c r="E611" s="362"/>
      <c r="F611" s="272"/>
      <c r="G611" s="460"/>
      <c r="H611" s="272"/>
      <c r="I611" s="399"/>
      <c r="J611" s="241" t="b">
        <f>Age_Sex_PY[[#This Row],[Total Spending After Applying Truncation at the Member Level]]+Age_Sex_PY[[#This Row],[Total Dollars Excluded from Spending After Applying Truncation at the Member Level]]=Age_Sex_PY[[#This Row],[Total Spending before Truncation is Applied]]</f>
        <v>1</v>
      </c>
    </row>
    <row r="612" spans="1:10" x14ac:dyDescent="0.25">
      <c r="A612" s="342"/>
      <c r="B612" s="4"/>
      <c r="C612" s="16"/>
      <c r="D612" s="457"/>
      <c r="E612" s="363"/>
      <c r="F612" s="273"/>
      <c r="G612" s="226"/>
      <c r="H612" s="273"/>
      <c r="I612" s="400"/>
      <c r="J612" s="241" t="b">
        <f>Age_Sex_PY[[#This Row],[Total Spending After Applying Truncation at the Member Level]]+Age_Sex_PY[[#This Row],[Total Dollars Excluded from Spending After Applying Truncation at the Member Level]]=Age_Sex_PY[[#This Row],[Total Spending before Truncation is Applied]]</f>
        <v>1</v>
      </c>
    </row>
    <row r="613" spans="1:10" x14ac:dyDescent="0.25">
      <c r="A613" s="339"/>
      <c r="B613" s="270"/>
      <c r="C613" s="271"/>
      <c r="D613" s="456"/>
      <c r="E613" s="362"/>
      <c r="F613" s="272"/>
      <c r="G613" s="460"/>
      <c r="H613" s="272"/>
      <c r="I613" s="399"/>
      <c r="J613" s="241" t="b">
        <f>Age_Sex_PY[[#This Row],[Total Spending After Applying Truncation at the Member Level]]+Age_Sex_PY[[#This Row],[Total Dollars Excluded from Spending After Applying Truncation at the Member Level]]=Age_Sex_PY[[#This Row],[Total Spending before Truncation is Applied]]</f>
        <v>1</v>
      </c>
    </row>
    <row r="614" spans="1:10" x14ac:dyDescent="0.25">
      <c r="A614" s="342"/>
      <c r="B614" s="4"/>
      <c r="C614" s="16"/>
      <c r="D614" s="457"/>
      <c r="E614" s="363"/>
      <c r="F614" s="273"/>
      <c r="G614" s="226"/>
      <c r="H614" s="273"/>
      <c r="I614" s="400"/>
      <c r="J614" s="241" t="b">
        <f>Age_Sex_PY[[#This Row],[Total Spending After Applying Truncation at the Member Level]]+Age_Sex_PY[[#This Row],[Total Dollars Excluded from Spending After Applying Truncation at the Member Level]]=Age_Sex_PY[[#This Row],[Total Spending before Truncation is Applied]]</f>
        <v>1</v>
      </c>
    </row>
    <row r="615" spans="1:10" x14ac:dyDescent="0.25">
      <c r="A615" s="339"/>
      <c r="B615" s="270"/>
      <c r="C615" s="271"/>
      <c r="D615" s="456"/>
      <c r="E615" s="362"/>
      <c r="F615" s="272"/>
      <c r="G615" s="460"/>
      <c r="H615" s="272"/>
      <c r="I615" s="399"/>
      <c r="J615" s="241" t="b">
        <f>Age_Sex_PY[[#This Row],[Total Spending After Applying Truncation at the Member Level]]+Age_Sex_PY[[#This Row],[Total Dollars Excluded from Spending After Applying Truncation at the Member Level]]=Age_Sex_PY[[#This Row],[Total Spending before Truncation is Applied]]</f>
        <v>1</v>
      </c>
    </row>
    <row r="616" spans="1:10" x14ac:dyDescent="0.25">
      <c r="A616" s="342"/>
      <c r="B616" s="4"/>
      <c r="C616" s="16"/>
      <c r="D616" s="457"/>
      <c r="E616" s="363"/>
      <c r="F616" s="273"/>
      <c r="G616" s="226"/>
      <c r="H616" s="273"/>
      <c r="I616" s="400"/>
      <c r="J616" s="241" t="b">
        <f>Age_Sex_PY[[#This Row],[Total Spending After Applying Truncation at the Member Level]]+Age_Sex_PY[[#This Row],[Total Dollars Excluded from Spending After Applying Truncation at the Member Level]]=Age_Sex_PY[[#This Row],[Total Spending before Truncation is Applied]]</f>
        <v>1</v>
      </c>
    </row>
    <row r="617" spans="1:10" x14ac:dyDescent="0.25">
      <c r="A617" s="339"/>
      <c r="B617" s="270"/>
      <c r="C617" s="271"/>
      <c r="D617" s="456"/>
      <c r="E617" s="362"/>
      <c r="F617" s="272"/>
      <c r="G617" s="460"/>
      <c r="H617" s="272"/>
      <c r="I617" s="399"/>
      <c r="J617" s="241" t="b">
        <f>Age_Sex_PY[[#This Row],[Total Spending After Applying Truncation at the Member Level]]+Age_Sex_PY[[#This Row],[Total Dollars Excluded from Spending After Applying Truncation at the Member Level]]=Age_Sex_PY[[#This Row],[Total Spending before Truncation is Applied]]</f>
        <v>1</v>
      </c>
    </row>
    <row r="618" spans="1:10" x14ac:dyDescent="0.25">
      <c r="A618" s="342"/>
      <c r="B618" s="4"/>
      <c r="C618" s="16"/>
      <c r="D618" s="457"/>
      <c r="E618" s="363"/>
      <c r="F618" s="273"/>
      <c r="G618" s="226"/>
      <c r="H618" s="273"/>
      <c r="I618" s="400"/>
      <c r="J618" s="241" t="b">
        <f>Age_Sex_PY[[#This Row],[Total Spending After Applying Truncation at the Member Level]]+Age_Sex_PY[[#This Row],[Total Dollars Excluded from Spending After Applying Truncation at the Member Level]]=Age_Sex_PY[[#This Row],[Total Spending before Truncation is Applied]]</f>
        <v>1</v>
      </c>
    </row>
    <row r="619" spans="1:10" x14ac:dyDescent="0.25">
      <c r="A619" s="339"/>
      <c r="B619" s="270"/>
      <c r="C619" s="271"/>
      <c r="D619" s="456"/>
      <c r="E619" s="362"/>
      <c r="F619" s="272"/>
      <c r="G619" s="460"/>
      <c r="H619" s="272"/>
      <c r="I619" s="399"/>
      <c r="J619" s="241" t="b">
        <f>Age_Sex_PY[[#This Row],[Total Spending After Applying Truncation at the Member Level]]+Age_Sex_PY[[#This Row],[Total Dollars Excluded from Spending After Applying Truncation at the Member Level]]=Age_Sex_PY[[#This Row],[Total Spending before Truncation is Applied]]</f>
        <v>1</v>
      </c>
    </row>
    <row r="620" spans="1:10" x14ac:dyDescent="0.25">
      <c r="A620" s="342"/>
      <c r="B620" s="4"/>
      <c r="C620" s="16"/>
      <c r="D620" s="457"/>
      <c r="E620" s="363"/>
      <c r="F620" s="273"/>
      <c r="G620" s="226"/>
      <c r="H620" s="273"/>
      <c r="I620" s="400"/>
      <c r="J620" s="241" t="b">
        <f>Age_Sex_PY[[#This Row],[Total Spending After Applying Truncation at the Member Level]]+Age_Sex_PY[[#This Row],[Total Dollars Excluded from Spending After Applying Truncation at the Member Level]]=Age_Sex_PY[[#This Row],[Total Spending before Truncation is Applied]]</f>
        <v>1</v>
      </c>
    </row>
    <row r="621" spans="1:10" x14ac:dyDescent="0.25">
      <c r="A621" s="339"/>
      <c r="B621" s="270"/>
      <c r="C621" s="271"/>
      <c r="D621" s="456"/>
      <c r="E621" s="362"/>
      <c r="F621" s="272"/>
      <c r="G621" s="460"/>
      <c r="H621" s="272"/>
      <c r="I621" s="399"/>
      <c r="J621" s="241" t="b">
        <f>Age_Sex_PY[[#This Row],[Total Spending After Applying Truncation at the Member Level]]+Age_Sex_PY[[#This Row],[Total Dollars Excluded from Spending After Applying Truncation at the Member Level]]=Age_Sex_PY[[#This Row],[Total Spending before Truncation is Applied]]</f>
        <v>1</v>
      </c>
    </row>
    <row r="622" spans="1:10" x14ac:dyDescent="0.25">
      <c r="A622" s="342"/>
      <c r="B622" s="4"/>
      <c r="C622" s="16"/>
      <c r="D622" s="457"/>
      <c r="E622" s="363"/>
      <c r="F622" s="273"/>
      <c r="G622" s="226"/>
      <c r="H622" s="273"/>
      <c r="I622" s="400"/>
      <c r="J622" s="241" t="b">
        <f>Age_Sex_PY[[#This Row],[Total Spending After Applying Truncation at the Member Level]]+Age_Sex_PY[[#This Row],[Total Dollars Excluded from Spending After Applying Truncation at the Member Level]]=Age_Sex_PY[[#This Row],[Total Spending before Truncation is Applied]]</f>
        <v>1</v>
      </c>
    </row>
    <row r="623" spans="1:10" x14ac:dyDescent="0.25">
      <c r="A623" s="339"/>
      <c r="B623" s="270"/>
      <c r="C623" s="271"/>
      <c r="D623" s="456"/>
      <c r="E623" s="362"/>
      <c r="F623" s="272"/>
      <c r="G623" s="460"/>
      <c r="H623" s="272"/>
      <c r="I623" s="399"/>
      <c r="J623" s="241" t="b">
        <f>Age_Sex_PY[[#This Row],[Total Spending After Applying Truncation at the Member Level]]+Age_Sex_PY[[#This Row],[Total Dollars Excluded from Spending After Applying Truncation at the Member Level]]=Age_Sex_PY[[#This Row],[Total Spending before Truncation is Applied]]</f>
        <v>1</v>
      </c>
    </row>
    <row r="624" spans="1:10" x14ac:dyDescent="0.25">
      <c r="A624" s="342"/>
      <c r="B624" s="4"/>
      <c r="C624" s="16"/>
      <c r="D624" s="457"/>
      <c r="E624" s="363"/>
      <c r="F624" s="273"/>
      <c r="G624" s="226"/>
      <c r="H624" s="273"/>
      <c r="I624" s="400"/>
      <c r="J624" s="241" t="b">
        <f>Age_Sex_PY[[#This Row],[Total Spending After Applying Truncation at the Member Level]]+Age_Sex_PY[[#This Row],[Total Dollars Excluded from Spending After Applying Truncation at the Member Level]]=Age_Sex_PY[[#This Row],[Total Spending before Truncation is Applied]]</f>
        <v>1</v>
      </c>
    </row>
    <row r="625" spans="1:10" x14ac:dyDescent="0.25">
      <c r="A625" s="339"/>
      <c r="B625" s="270"/>
      <c r="C625" s="271"/>
      <c r="D625" s="456"/>
      <c r="E625" s="362"/>
      <c r="F625" s="272"/>
      <c r="G625" s="460"/>
      <c r="H625" s="272"/>
      <c r="I625" s="399"/>
      <c r="J625" s="241" t="b">
        <f>Age_Sex_PY[[#This Row],[Total Spending After Applying Truncation at the Member Level]]+Age_Sex_PY[[#This Row],[Total Dollars Excluded from Spending After Applying Truncation at the Member Level]]=Age_Sex_PY[[#This Row],[Total Spending before Truncation is Applied]]</f>
        <v>1</v>
      </c>
    </row>
    <row r="626" spans="1:10" x14ac:dyDescent="0.25">
      <c r="A626" s="342"/>
      <c r="B626" s="4"/>
      <c r="C626" s="16"/>
      <c r="D626" s="457"/>
      <c r="E626" s="363"/>
      <c r="F626" s="273"/>
      <c r="G626" s="226"/>
      <c r="H626" s="273"/>
      <c r="I626" s="400"/>
      <c r="J626" s="241" t="b">
        <f>Age_Sex_PY[[#This Row],[Total Spending After Applying Truncation at the Member Level]]+Age_Sex_PY[[#This Row],[Total Dollars Excluded from Spending After Applying Truncation at the Member Level]]=Age_Sex_PY[[#This Row],[Total Spending before Truncation is Applied]]</f>
        <v>1</v>
      </c>
    </row>
    <row r="627" spans="1:10" x14ac:dyDescent="0.25">
      <c r="A627" s="339"/>
      <c r="B627" s="270"/>
      <c r="C627" s="271"/>
      <c r="D627" s="456"/>
      <c r="E627" s="362"/>
      <c r="F627" s="272"/>
      <c r="G627" s="460"/>
      <c r="H627" s="272"/>
      <c r="I627" s="399"/>
      <c r="J627" s="241" t="b">
        <f>Age_Sex_PY[[#This Row],[Total Spending After Applying Truncation at the Member Level]]+Age_Sex_PY[[#This Row],[Total Dollars Excluded from Spending After Applying Truncation at the Member Level]]=Age_Sex_PY[[#This Row],[Total Spending before Truncation is Applied]]</f>
        <v>1</v>
      </c>
    </row>
    <row r="628" spans="1:10" x14ac:dyDescent="0.25">
      <c r="A628" s="342"/>
      <c r="B628" s="4"/>
      <c r="C628" s="16"/>
      <c r="D628" s="457"/>
      <c r="E628" s="363"/>
      <c r="F628" s="273"/>
      <c r="G628" s="226"/>
      <c r="H628" s="273"/>
      <c r="I628" s="400"/>
      <c r="J628" s="241" t="b">
        <f>Age_Sex_PY[[#This Row],[Total Spending After Applying Truncation at the Member Level]]+Age_Sex_PY[[#This Row],[Total Dollars Excluded from Spending After Applying Truncation at the Member Level]]=Age_Sex_PY[[#This Row],[Total Spending before Truncation is Applied]]</f>
        <v>1</v>
      </c>
    </row>
    <row r="629" spans="1:10" x14ac:dyDescent="0.25">
      <c r="A629" s="339"/>
      <c r="B629" s="270"/>
      <c r="C629" s="271"/>
      <c r="D629" s="456"/>
      <c r="E629" s="362"/>
      <c r="F629" s="272"/>
      <c r="G629" s="460"/>
      <c r="H629" s="272"/>
      <c r="I629" s="399"/>
      <c r="J629" s="241" t="b">
        <f>Age_Sex_PY[[#This Row],[Total Spending After Applying Truncation at the Member Level]]+Age_Sex_PY[[#This Row],[Total Dollars Excluded from Spending After Applying Truncation at the Member Level]]=Age_Sex_PY[[#This Row],[Total Spending before Truncation is Applied]]</f>
        <v>1</v>
      </c>
    </row>
    <row r="630" spans="1:10" x14ac:dyDescent="0.25">
      <c r="A630" s="342"/>
      <c r="B630" s="4"/>
      <c r="C630" s="16"/>
      <c r="D630" s="457"/>
      <c r="E630" s="363"/>
      <c r="F630" s="273"/>
      <c r="G630" s="226"/>
      <c r="H630" s="273"/>
      <c r="I630" s="400"/>
      <c r="J630" s="241" t="b">
        <f>Age_Sex_PY[[#This Row],[Total Spending After Applying Truncation at the Member Level]]+Age_Sex_PY[[#This Row],[Total Dollars Excluded from Spending After Applying Truncation at the Member Level]]=Age_Sex_PY[[#This Row],[Total Spending before Truncation is Applied]]</f>
        <v>1</v>
      </c>
    </row>
    <row r="631" spans="1:10" x14ac:dyDescent="0.25">
      <c r="A631" s="339"/>
      <c r="B631" s="270"/>
      <c r="C631" s="271"/>
      <c r="D631" s="456"/>
      <c r="E631" s="362"/>
      <c r="F631" s="272"/>
      <c r="G631" s="460"/>
      <c r="H631" s="272"/>
      <c r="I631" s="399"/>
      <c r="J631" s="241" t="b">
        <f>Age_Sex_PY[[#This Row],[Total Spending After Applying Truncation at the Member Level]]+Age_Sex_PY[[#This Row],[Total Dollars Excluded from Spending After Applying Truncation at the Member Level]]=Age_Sex_PY[[#This Row],[Total Spending before Truncation is Applied]]</f>
        <v>1</v>
      </c>
    </row>
    <row r="632" spans="1:10" x14ac:dyDescent="0.25">
      <c r="A632" s="342"/>
      <c r="B632" s="4"/>
      <c r="C632" s="16"/>
      <c r="D632" s="457"/>
      <c r="E632" s="363"/>
      <c r="F632" s="273"/>
      <c r="G632" s="226"/>
      <c r="H632" s="273"/>
      <c r="I632" s="400"/>
      <c r="J632" s="241" t="b">
        <f>Age_Sex_PY[[#This Row],[Total Spending After Applying Truncation at the Member Level]]+Age_Sex_PY[[#This Row],[Total Dollars Excluded from Spending After Applying Truncation at the Member Level]]=Age_Sex_PY[[#This Row],[Total Spending before Truncation is Applied]]</f>
        <v>1</v>
      </c>
    </row>
    <row r="633" spans="1:10" x14ac:dyDescent="0.25">
      <c r="A633" s="339"/>
      <c r="B633" s="270"/>
      <c r="C633" s="271"/>
      <c r="D633" s="456"/>
      <c r="E633" s="362"/>
      <c r="F633" s="272"/>
      <c r="G633" s="460"/>
      <c r="H633" s="272"/>
      <c r="I633" s="399"/>
      <c r="J633" s="241" t="b">
        <f>Age_Sex_PY[[#This Row],[Total Spending After Applying Truncation at the Member Level]]+Age_Sex_PY[[#This Row],[Total Dollars Excluded from Spending After Applying Truncation at the Member Level]]=Age_Sex_PY[[#This Row],[Total Spending before Truncation is Applied]]</f>
        <v>1</v>
      </c>
    </row>
    <row r="634" spans="1:10" x14ac:dyDescent="0.25">
      <c r="A634" s="342"/>
      <c r="B634" s="4"/>
      <c r="C634" s="16"/>
      <c r="D634" s="457"/>
      <c r="E634" s="363"/>
      <c r="F634" s="273"/>
      <c r="G634" s="226"/>
      <c r="H634" s="273"/>
      <c r="I634" s="400"/>
      <c r="J634" s="241" t="b">
        <f>Age_Sex_PY[[#This Row],[Total Spending After Applying Truncation at the Member Level]]+Age_Sex_PY[[#This Row],[Total Dollars Excluded from Spending After Applying Truncation at the Member Level]]=Age_Sex_PY[[#This Row],[Total Spending before Truncation is Applied]]</f>
        <v>1</v>
      </c>
    </row>
    <row r="635" spans="1:10" x14ac:dyDescent="0.25">
      <c r="A635" s="339"/>
      <c r="B635" s="270"/>
      <c r="C635" s="271"/>
      <c r="D635" s="456"/>
      <c r="E635" s="362"/>
      <c r="F635" s="272"/>
      <c r="G635" s="460"/>
      <c r="H635" s="272"/>
      <c r="I635" s="399"/>
      <c r="J635" s="241" t="b">
        <f>Age_Sex_PY[[#This Row],[Total Spending After Applying Truncation at the Member Level]]+Age_Sex_PY[[#This Row],[Total Dollars Excluded from Spending After Applying Truncation at the Member Level]]=Age_Sex_PY[[#This Row],[Total Spending before Truncation is Applied]]</f>
        <v>1</v>
      </c>
    </row>
    <row r="636" spans="1:10" x14ac:dyDescent="0.25">
      <c r="A636" s="342"/>
      <c r="B636" s="4"/>
      <c r="C636" s="16"/>
      <c r="D636" s="457"/>
      <c r="E636" s="363"/>
      <c r="F636" s="273"/>
      <c r="G636" s="226"/>
      <c r="H636" s="273"/>
      <c r="I636" s="400"/>
      <c r="J636" s="241" t="b">
        <f>Age_Sex_PY[[#This Row],[Total Spending After Applying Truncation at the Member Level]]+Age_Sex_PY[[#This Row],[Total Dollars Excluded from Spending After Applying Truncation at the Member Level]]=Age_Sex_PY[[#This Row],[Total Spending before Truncation is Applied]]</f>
        <v>1</v>
      </c>
    </row>
    <row r="637" spans="1:10" x14ac:dyDescent="0.25">
      <c r="A637" s="339"/>
      <c r="B637" s="270"/>
      <c r="C637" s="271"/>
      <c r="D637" s="456"/>
      <c r="E637" s="362"/>
      <c r="F637" s="272"/>
      <c r="G637" s="460"/>
      <c r="H637" s="272"/>
      <c r="I637" s="399"/>
      <c r="J637" s="241" t="b">
        <f>Age_Sex_PY[[#This Row],[Total Spending After Applying Truncation at the Member Level]]+Age_Sex_PY[[#This Row],[Total Dollars Excluded from Spending After Applying Truncation at the Member Level]]=Age_Sex_PY[[#This Row],[Total Spending before Truncation is Applied]]</f>
        <v>1</v>
      </c>
    </row>
    <row r="638" spans="1:10" x14ac:dyDescent="0.25">
      <c r="A638" s="342"/>
      <c r="B638" s="4"/>
      <c r="C638" s="16"/>
      <c r="D638" s="457"/>
      <c r="E638" s="363"/>
      <c r="F638" s="273"/>
      <c r="G638" s="226"/>
      <c r="H638" s="273"/>
      <c r="I638" s="400"/>
      <c r="J638" s="241" t="b">
        <f>Age_Sex_PY[[#This Row],[Total Spending After Applying Truncation at the Member Level]]+Age_Sex_PY[[#This Row],[Total Dollars Excluded from Spending After Applying Truncation at the Member Level]]=Age_Sex_PY[[#This Row],[Total Spending before Truncation is Applied]]</f>
        <v>1</v>
      </c>
    </row>
    <row r="639" spans="1:10" x14ac:dyDescent="0.25">
      <c r="A639" s="339"/>
      <c r="B639" s="270"/>
      <c r="C639" s="271"/>
      <c r="D639" s="456"/>
      <c r="E639" s="362"/>
      <c r="F639" s="272"/>
      <c r="G639" s="460"/>
      <c r="H639" s="272"/>
      <c r="I639" s="399"/>
      <c r="J639" s="241" t="b">
        <f>Age_Sex_PY[[#This Row],[Total Spending After Applying Truncation at the Member Level]]+Age_Sex_PY[[#This Row],[Total Dollars Excluded from Spending After Applying Truncation at the Member Level]]=Age_Sex_PY[[#This Row],[Total Spending before Truncation is Applied]]</f>
        <v>1</v>
      </c>
    </row>
    <row r="640" spans="1:10" x14ac:dyDescent="0.25">
      <c r="A640" s="342"/>
      <c r="B640" s="4"/>
      <c r="C640" s="16"/>
      <c r="D640" s="457"/>
      <c r="E640" s="363"/>
      <c r="F640" s="273"/>
      <c r="G640" s="226"/>
      <c r="H640" s="273"/>
      <c r="I640" s="400"/>
      <c r="J640" s="241" t="b">
        <f>Age_Sex_PY[[#This Row],[Total Spending After Applying Truncation at the Member Level]]+Age_Sex_PY[[#This Row],[Total Dollars Excluded from Spending After Applying Truncation at the Member Level]]=Age_Sex_PY[[#This Row],[Total Spending before Truncation is Applied]]</f>
        <v>1</v>
      </c>
    </row>
    <row r="641" spans="1:10" x14ac:dyDescent="0.25">
      <c r="A641" s="339"/>
      <c r="B641" s="270"/>
      <c r="C641" s="271"/>
      <c r="D641" s="456"/>
      <c r="E641" s="362"/>
      <c r="F641" s="272"/>
      <c r="G641" s="460"/>
      <c r="H641" s="272"/>
      <c r="I641" s="399"/>
      <c r="J641" s="241" t="b">
        <f>Age_Sex_PY[[#This Row],[Total Spending After Applying Truncation at the Member Level]]+Age_Sex_PY[[#This Row],[Total Dollars Excluded from Spending After Applying Truncation at the Member Level]]=Age_Sex_PY[[#This Row],[Total Spending before Truncation is Applied]]</f>
        <v>1</v>
      </c>
    </row>
    <row r="642" spans="1:10" x14ac:dyDescent="0.25">
      <c r="A642" s="342"/>
      <c r="B642" s="4"/>
      <c r="C642" s="16"/>
      <c r="D642" s="457"/>
      <c r="E642" s="363"/>
      <c r="F642" s="273"/>
      <c r="G642" s="226"/>
      <c r="H642" s="273"/>
      <c r="I642" s="400"/>
      <c r="J642" s="241" t="b">
        <f>Age_Sex_PY[[#This Row],[Total Spending After Applying Truncation at the Member Level]]+Age_Sex_PY[[#This Row],[Total Dollars Excluded from Spending After Applying Truncation at the Member Level]]=Age_Sex_PY[[#This Row],[Total Spending before Truncation is Applied]]</f>
        <v>1</v>
      </c>
    </row>
    <row r="643" spans="1:10" x14ac:dyDescent="0.25">
      <c r="A643" s="339"/>
      <c r="B643" s="270"/>
      <c r="C643" s="271"/>
      <c r="D643" s="456"/>
      <c r="E643" s="362"/>
      <c r="F643" s="272"/>
      <c r="G643" s="460"/>
      <c r="H643" s="272"/>
      <c r="I643" s="399"/>
      <c r="J643" s="241" t="b">
        <f>Age_Sex_PY[[#This Row],[Total Spending After Applying Truncation at the Member Level]]+Age_Sex_PY[[#This Row],[Total Dollars Excluded from Spending After Applying Truncation at the Member Level]]=Age_Sex_PY[[#This Row],[Total Spending before Truncation is Applied]]</f>
        <v>1</v>
      </c>
    </row>
    <row r="644" spans="1:10" x14ac:dyDescent="0.25">
      <c r="A644" s="342"/>
      <c r="B644" s="4"/>
      <c r="C644" s="16"/>
      <c r="D644" s="457"/>
      <c r="E644" s="363"/>
      <c r="F644" s="273"/>
      <c r="G644" s="226"/>
      <c r="H644" s="273"/>
      <c r="I644" s="400"/>
      <c r="J644" s="241" t="b">
        <f>Age_Sex_PY[[#This Row],[Total Spending After Applying Truncation at the Member Level]]+Age_Sex_PY[[#This Row],[Total Dollars Excluded from Spending After Applying Truncation at the Member Level]]=Age_Sex_PY[[#This Row],[Total Spending before Truncation is Applied]]</f>
        <v>1</v>
      </c>
    </row>
    <row r="645" spans="1:10" x14ac:dyDescent="0.25">
      <c r="A645" s="339"/>
      <c r="B645" s="270"/>
      <c r="C645" s="271"/>
      <c r="D645" s="456"/>
      <c r="E645" s="362"/>
      <c r="F645" s="272"/>
      <c r="G645" s="460"/>
      <c r="H645" s="272"/>
      <c r="I645" s="399"/>
      <c r="J645" s="241" t="b">
        <f>Age_Sex_PY[[#This Row],[Total Spending After Applying Truncation at the Member Level]]+Age_Sex_PY[[#This Row],[Total Dollars Excluded from Spending After Applying Truncation at the Member Level]]=Age_Sex_PY[[#This Row],[Total Spending before Truncation is Applied]]</f>
        <v>1</v>
      </c>
    </row>
    <row r="646" spans="1:10" x14ac:dyDescent="0.25">
      <c r="A646" s="342"/>
      <c r="B646" s="4"/>
      <c r="C646" s="16"/>
      <c r="D646" s="457"/>
      <c r="E646" s="363"/>
      <c r="F646" s="273"/>
      <c r="G646" s="226"/>
      <c r="H646" s="273"/>
      <c r="I646" s="400"/>
      <c r="J646" s="241" t="b">
        <f>Age_Sex_PY[[#This Row],[Total Spending After Applying Truncation at the Member Level]]+Age_Sex_PY[[#This Row],[Total Dollars Excluded from Spending After Applying Truncation at the Member Level]]=Age_Sex_PY[[#This Row],[Total Spending before Truncation is Applied]]</f>
        <v>1</v>
      </c>
    </row>
    <row r="647" spans="1:10" x14ac:dyDescent="0.25">
      <c r="A647" s="339"/>
      <c r="B647" s="270"/>
      <c r="C647" s="271"/>
      <c r="D647" s="456"/>
      <c r="E647" s="362"/>
      <c r="F647" s="272"/>
      <c r="G647" s="460"/>
      <c r="H647" s="272"/>
      <c r="I647" s="399"/>
      <c r="J647" s="241" t="b">
        <f>Age_Sex_PY[[#This Row],[Total Spending After Applying Truncation at the Member Level]]+Age_Sex_PY[[#This Row],[Total Dollars Excluded from Spending After Applying Truncation at the Member Level]]=Age_Sex_PY[[#This Row],[Total Spending before Truncation is Applied]]</f>
        <v>1</v>
      </c>
    </row>
    <row r="648" spans="1:10" x14ac:dyDescent="0.25">
      <c r="A648" s="342"/>
      <c r="B648" s="4"/>
      <c r="C648" s="16"/>
      <c r="D648" s="457"/>
      <c r="E648" s="363"/>
      <c r="F648" s="273"/>
      <c r="G648" s="226"/>
      <c r="H648" s="273"/>
      <c r="I648" s="400"/>
      <c r="J648" s="241" t="b">
        <f>Age_Sex_PY[[#This Row],[Total Spending After Applying Truncation at the Member Level]]+Age_Sex_PY[[#This Row],[Total Dollars Excluded from Spending After Applying Truncation at the Member Level]]=Age_Sex_PY[[#This Row],[Total Spending before Truncation is Applied]]</f>
        <v>1</v>
      </c>
    </row>
    <row r="649" spans="1:10" x14ac:dyDescent="0.25">
      <c r="A649" s="339"/>
      <c r="B649" s="270"/>
      <c r="C649" s="271"/>
      <c r="D649" s="456"/>
      <c r="E649" s="362"/>
      <c r="F649" s="272"/>
      <c r="G649" s="460"/>
      <c r="H649" s="272"/>
      <c r="I649" s="399"/>
      <c r="J649" s="241" t="b">
        <f>Age_Sex_PY[[#This Row],[Total Spending After Applying Truncation at the Member Level]]+Age_Sex_PY[[#This Row],[Total Dollars Excluded from Spending After Applying Truncation at the Member Level]]=Age_Sex_PY[[#This Row],[Total Spending before Truncation is Applied]]</f>
        <v>1</v>
      </c>
    </row>
    <row r="650" spans="1:10" x14ac:dyDescent="0.25">
      <c r="A650" s="342"/>
      <c r="B650" s="4"/>
      <c r="C650" s="16"/>
      <c r="D650" s="457"/>
      <c r="E650" s="363"/>
      <c r="F650" s="273"/>
      <c r="G650" s="226"/>
      <c r="H650" s="273"/>
      <c r="I650" s="400"/>
      <c r="J650" s="241" t="b">
        <f>Age_Sex_PY[[#This Row],[Total Spending After Applying Truncation at the Member Level]]+Age_Sex_PY[[#This Row],[Total Dollars Excluded from Spending After Applying Truncation at the Member Level]]=Age_Sex_PY[[#This Row],[Total Spending before Truncation is Applied]]</f>
        <v>1</v>
      </c>
    </row>
    <row r="651" spans="1:10" x14ac:dyDescent="0.25">
      <c r="A651" s="339"/>
      <c r="B651" s="270"/>
      <c r="C651" s="271"/>
      <c r="D651" s="456"/>
      <c r="E651" s="362"/>
      <c r="F651" s="272"/>
      <c r="G651" s="460"/>
      <c r="H651" s="272"/>
      <c r="I651" s="399"/>
      <c r="J651" s="241" t="b">
        <f>Age_Sex_PY[[#This Row],[Total Spending After Applying Truncation at the Member Level]]+Age_Sex_PY[[#This Row],[Total Dollars Excluded from Spending After Applying Truncation at the Member Level]]=Age_Sex_PY[[#This Row],[Total Spending before Truncation is Applied]]</f>
        <v>1</v>
      </c>
    </row>
    <row r="652" spans="1:10" x14ac:dyDescent="0.25">
      <c r="A652" s="342"/>
      <c r="B652" s="4"/>
      <c r="C652" s="16"/>
      <c r="D652" s="457"/>
      <c r="E652" s="363"/>
      <c r="F652" s="273"/>
      <c r="G652" s="226"/>
      <c r="H652" s="273"/>
      <c r="I652" s="400"/>
      <c r="J652" s="241" t="b">
        <f>Age_Sex_PY[[#This Row],[Total Spending After Applying Truncation at the Member Level]]+Age_Sex_PY[[#This Row],[Total Dollars Excluded from Spending After Applying Truncation at the Member Level]]=Age_Sex_PY[[#This Row],[Total Spending before Truncation is Applied]]</f>
        <v>1</v>
      </c>
    </row>
    <row r="653" spans="1:10" x14ac:dyDescent="0.25">
      <c r="A653" s="339"/>
      <c r="B653" s="270"/>
      <c r="C653" s="271"/>
      <c r="D653" s="456"/>
      <c r="E653" s="362"/>
      <c r="F653" s="272"/>
      <c r="G653" s="460"/>
      <c r="H653" s="272"/>
      <c r="I653" s="399"/>
      <c r="J653" s="241" t="b">
        <f>Age_Sex_PY[[#This Row],[Total Spending After Applying Truncation at the Member Level]]+Age_Sex_PY[[#This Row],[Total Dollars Excluded from Spending After Applying Truncation at the Member Level]]=Age_Sex_PY[[#This Row],[Total Spending before Truncation is Applied]]</f>
        <v>1</v>
      </c>
    </row>
    <row r="654" spans="1:10" x14ac:dyDescent="0.25">
      <c r="A654" s="342"/>
      <c r="B654" s="4"/>
      <c r="C654" s="16"/>
      <c r="D654" s="457"/>
      <c r="E654" s="363"/>
      <c r="F654" s="273"/>
      <c r="G654" s="226"/>
      <c r="H654" s="273"/>
      <c r="I654" s="400"/>
      <c r="J654" s="241" t="b">
        <f>Age_Sex_PY[[#This Row],[Total Spending After Applying Truncation at the Member Level]]+Age_Sex_PY[[#This Row],[Total Dollars Excluded from Spending After Applying Truncation at the Member Level]]=Age_Sex_PY[[#This Row],[Total Spending before Truncation is Applied]]</f>
        <v>1</v>
      </c>
    </row>
    <row r="655" spans="1:10" x14ac:dyDescent="0.25">
      <c r="A655" s="339"/>
      <c r="B655" s="270"/>
      <c r="C655" s="271"/>
      <c r="D655" s="456"/>
      <c r="E655" s="362"/>
      <c r="F655" s="272"/>
      <c r="G655" s="460"/>
      <c r="H655" s="272"/>
      <c r="I655" s="399"/>
      <c r="J655" s="241" t="b">
        <f>Age_Sex_PY[[#This Row],[Total Spending After Applying Truncation at the Member Level]]+Age_Sex_PY[[#This Row],[Total Dollars Excluded from Spending After Applying Truncation at the Member Level]]=Age_Sex_PY[[#This Row],[Total Spending before Truncation is Applied]]</f>
        <v>1</v>
      </c>
    </row>
    <row r="656" spans="1:10" x14ac:dyDescent="0.25">
      <c r="A656" s="342"/>
      <c r="B656" s="4"/>
      <c r="C656" s="16"/>
      <c r="D656" s="457"/>
      <c r="E656" s="363"/>
      <c r="F656" s="273"/>
      <c r="G656" s="226"/>
      <c r="H656" s="273"/>
      <c r="I656" s="400"/>
      <c r="J656" s="241" t="b">
        <f>Age_Sex_PY[[#This Row],[Total Spending After Applying Truncation at the Member Level]]+Age_Sex_PY[[#This Row],[Total Dollars Excluded from Spending After Applying Truncation at the Member Level]]=Age_Sex_PY[[#This Row],[Total Spending before Truncation is Applied]]</f>
        <v>1</v>
      </c>
    </row>
    <row r="657" spans="1:10" x14ac:dyDescent="0.25">
      <c r="A657" s="339"/>
      <c r="B657" s="270"/>
      <c r="C657" s="271"/>
      <c r="D657" s="456"/>
      <c r="E657" s="362"/>
      <c r="F657" s="272"/>
      <c r="G657" s="460"/>
      <c r="H657" s="272"/>
      <c r="I657" s="399"/>
      <c r="J657" s="241" t="b">
        <f>Age_Sex_PY[[#This Row],[Total Spending After Applying Truncation at the Member Level]]+Age_Sex_PY[[#This Row],[Total Dollars Excluded from Spending After Applying Truncation at the Member Level]]=Age_Sex_PY[[#This Row],[Total Spending before Truncation is Applied]]</f>
        <v>1</v>
      </c>
    </row>
    <row r="658" spans="1:10" x14ac:dyDescent="0.25">
      <c r="A658" s="342"/>
      <c r="B658" s="4"/>
      <c r="C658" s="16"/>
      <c r="D658" s="457"/>
      <c r="E658" s="363"/>
      <c r="F658" s="273"/>
      <c r="G658" s="226"/>
      <c r="H658" s="273"/>
      <c r="I658" s="400"/>
      <c r="J658" s="241" t="b">
        <f>Age_Sex_PY[[#This Row],[Total Spending After Applying Truncation at the Member Level]]+Age_Sex_PY[[#This Row],[Total Dollars Excluded from Spending After Applying Truncation at the Member Level]]=Age_Sex_PY[[#This Row],[Total Spending before Truncation is Applied]]</f>
        <v>1</v>
      </c>
    </row>
    <row r="659" spans="1:10" x14ac:dyDescent="0.25">
      <c r="A659" s="339"/>
      <c r="B659" s="270"/>
      <c r="C659" s="271"/>
      <c r="D659" s="456"/>
      <c r="E659" s="362"/>
      <c r="F659" s="272"/>
      <c r="G659" s="460"/>
      <c r="H659" s="272"/>
      <c r="I659" s="399"/>
      <c r="J659" s="241" t="b">
        <f>Age_Sex_PY[[#This Row],[Total Spending After Applying Truncation at the Member Level]]+Age_Sex_PY[[#This Row],[Total Dollars Excluded from Spending After Applying Truncation at the Member Level]]=Age_Sex_PY[[#This Row],[Total Spending before Truncation is Applied]]</f>
        <v>1</v>
      </c>
    </row>
    <row r="660" spans="1:10" x14ac:dyDescent="0.25">
      <c r="A660" s="342"/>
      <c r="B660" s="4"/>
      <c r="C660" s="16"/>
      <c r="D660" s="457"/>
      <c r="E660" s="363"/>
      <c r="F660" s="273"/>
      <c r="G660" s="226"/>
      <c r="H660" s="273"/>
      <c r="I660" s="400"/>
      <c r="J660" s="241" t="b">
        <f>Age_Sex_PY[[#This Row],[Total Spending After Applying Truncation at the Member Level]]+Age_Sex_PY[[#This Row],[Total Dollars Excluded from Spending After Applying Truncation at the Member Level]]=Age_Sex_PY[[#This Row],[Total Spending before Truncation is Applied]]</f>
        <v>1</v>
      </c>
    </row>
    <row r="661" spans="1:10" x14ac:dyDescent="0.25">
      <c r="A661" s="339"/>
      <c r="B661" s="270"/>
      <c r="C661" s="271"/>
      <c r="D661" s="456"/>
      <c r="E661" s="362"/>
      <c r="F661" s="272"/>
      <c r="G661" s="460"/>
      <c r="H661" s="272"/>
      <c r="I661" s="399"/>
      <c r="J661" s="241" t="b">
        <f>Age_Sex_PY[[#This Row],[Total Spending After Applying Truncation at the Member Level]]+Age_Sex_PY[[#This Row],[Total Dollars Excluded from Spending After Applying Truncation at the Member Level]]=Age_Sex_PY[[#This Row],[Total Spending before Truncation is Applied]]</f>
        <v>1</v>
      </c>
    </row>
    <row r="662" spans="1:10" x14ac:dyDescent="0.25">
      <c r="A662" s="342"/>
      <c r="B662" s="4"/>
      <c r="C662" s="16"/>
      <c r="D662" s="457"/>
      <c r="E662" s="363"/>
      <c r="F662" s="273"/>
      <c r="G662" s="226"/>
      <c r="H662" s="273"/>
      <c r="I662" s="400"/>
      <c r="J662" s="241" t="b">
        <f>Age_Sex_PY[[#This Row],[Total Spending After Applying Truncation at the Member Level]]+Age_Sex_PY[[#This Row],[Total Dollars Excluded from Spending After Applying Truncation at the Member Level]]=Age_Sex_PY[[#This Row],[Total Spending before Truncation is Applied]]</f>
        <v>1</v>
      </c>
    </row>
    <row r="663" spans="1:10" x14ac:dyDescent="0.25">
      <c r="A663" s="339"/>
      <c r="B663" s="270"/>
      <c r="C663" s="271"/>
      <c r="D663" s="456"/>
      <c r="E663" s="362"/>
      <c r="F663" s="272"/>
      <c r="G663" s="460"/>
      <c r="H663" s="272"/>
      <c r="I663" s="399"/>
      <c r="J663" s="241" t="b">
        <f>Age_Sex_PY[[#This Row],[Total Spending After Applying Truncation at the Member Level]]+Age_Sex_PY[[#This Row],[Total Dollars Excluded from Spending After Applying Truncation at the Member Level]]=Age_Sex_PY[[#This Row],[Total Spending before Truncation is Applied]]</f>
        <v>1</v>
      </c>
    </row>
    <row r="664" spans="1:10" x14ac:dyDescent="0.25">
      <c r="A664" s="342"/>
      <c r="B664" s="4"/>
      <c r="C664" s="16"/>
      <c r="D664" s="457"/>
      <c r="E664" s="363"/>
      <c r="F664" s="273"/>
      <c r="G664" s="226"/>
      <c r="H664" s="273"/>
      <c r="I664" s="400"/>
      <c r="J664" s="241" t="b">
        <f>Age_Sex_PY[[#This Row],[Total Spending After Applying Truncation at the Member Level]]+Age_Sex_PY[[#This Row],[Total Dollars Excluded from Spending After Applying Truncation at the Member Level]]=Age_Sex_PY[[#This Row],[Total Spending before Truncation is Applied]]</f>
        <v>1</v>
      </c>
    </row>
    <row r="665" spans="1:10" x14ac:dyDescent="0.25">
      <c r="A665" s="339"/>
      <c r="B665" s="270"/>
      <c r="C665" s="271"/>
      <c r="D665" s="456"/>
      <c r="E665" s="362"/>
      <c r="F665" s="272"/>
      <c r="G665" s="460"/>
      <c r="H665" s="272"/>
      <c r="I665" s="399"/>
      <c r="J665" s="241" t="b">
        <f>Age_Sex_PY[[#This Row],[Total Spending After Applying Truncation at the Member Level]]+Age_Sex_PY[[#This Row],[Total Dollars Excluded from Spending After Applying Truncation at the Member Level]]=Age_Sex_PY[[#This Row],[Total Spending before Truncation is Applied]]</f>
        <v>1</v>
      </c>
    </row>
    <row r="666" spans="1:10" x14ac:dyDescent="0.25">
      <c r="A666" s="342"/>
      <c r="B666" s="4"/>
      <c r="C666" s="16"/>
      <c r="D666" s="457"/>
      <c r="E666" s="363"/>
      <c r="F666" s="273"/>
      <c r="G666" s="226"/>
      <c r="H666" s="273"/>
      <c r="I666" s="400"/>
      <c r="J666" s="241" t="b">
        <f>Age_Sex_PY[[#This Row],[Total Spending After Applying Truncation at the Member Level]]+Age_Sex_PY[[#This Row],[Total Dollars Excluded from Spending After Applying Truncation at the Member Level]]=Age_Sex_PY[[#This Row],[Total Spending before Truncation is Applied]]</f>
        <v>1</v>
      </c>
    </row>
    <row r="667" spans="1:10" x14ac:dyDescent="0.25">
      <c r="A667" s="339"/>
      <c r="B667" s="270"/>
      <c r="C667" s="271"/>
      <c r="D667" s="456"/>
      <c r="E667" s="362"/>
      <c r="F667" s="272"/>
      <c r="G667" s="460"/>
      <c r="H667" s="272"/>
      <c r="I667" s="399"/>
      <c r="J667" s="241" t="b">
        <f>Age_Sex_PY[[#This Row],[Total Spending After Applying Truncation at the Member Level]]+Age_Sex_PY[[#This Row],[Total Dollars Excluded from Spending After Applying Truncation at the Member Level]]=Age_Sex_PY[[#This Row],[Total Spending before Truncation is Applied]]</f>
        <v>1</v>
      </c>
    </row>
    <row r="668" spans="1:10" x14ac:dyDescent="0.25">
      <c r="A668" s="342"/>
      <c r="B668" s="4"/>
      <c r="C668" s="16"/>
      <c r="D668" s="457"/>
      <c r="E668" s="363"/>
      <c r="F668" s="273"/>
      <c r="G668" s="226"/>
      <c r="H668" s="273"/>
      <c r="I668" s="400"/>
      <c r="J668" s="241" t="b">
        <f>Age_Sex_PY[[#This Row],[Total Spending After Applying Truncation at the Member Level]]+Age_Sex_PY[[#This Row],[Total Dollars Excluded from Spending After Applying Truncation at the Member Level]]=Age_Sex_PY[[#This Row],[Total Spending before Truncation is Applied]]</f>
        <v>1</v>
      </c>
    </row>
    <row r="669" spans="1:10" x14ac:dyDescent="0.25">
      <c r="A669" s="339"/>
      <c r="B669" s="270"/>
      <c r="C669" s="271"/>
      <c r="D669" s="456"/>
      <c r="E669" s="362"/>
      <c r="F669" s="272"/>
      <c r="G669" s="460"/>
      <c r="H669" s="272"/>
      <c r="I669" s="399"/>
      <c r="J669" s="241" t="b">
        <f>Age_Sex_PY[[#This Row],[Total Spending After Applying Truncation at the Member Level]]+Age_Sex_PY[[#This Row],[Total Dollars Excluded from Spending After Applying Truncation at the Member Level]]=Age_Sex_PY[[#This Row],[Total Spending before Truncation is Applied]]</f>
        <v>1</v>
      </c>
    </row>
    <row r="670" spans="1:10" x14ac:dyDescent="0.25">
      <c r="A670" s="342"/>
      <c r="B670" s="4"/>
      <c r="C670" s="16"/>
      <c r="D670" s="457"/>
      <c r="E670" s="363"/>
      <c r="F670" s="273"/>
      <c r="G670" s="226"/>
      <c r="H670" s="273"/>
      <c r="I670" s="400"/>
      <c r="J670" s="241" t="b">
        <f>Age_Sex_PY[[#This Row],[Total Spending After Applying Truncation at the Member Level]]+Age_Sex_PY[[#This Row],[Total Dollars Excluded from Spending After Applying Truncation at the Member Level]]=Age_Sex_PY[[#This Row],[Total Spending before Truncation is Applied]]</f>
        <v>1</v>
      </c>
    </row>
    <row r="671" spans="1:10" x14ac:dyDescent="0.25">
      <c r="A671" s="339"/>
      <c r="B671" s="270"/>
      <c r="C671" s="271"/>
      <c r="D671" s="456"/>
      <c r="E671" s="362"/>
      <c r="F671" s="272"/>
      <c r="G671" s="460"/>
      <c r="H671" s="272"/>
      <c r="I671" s="399"/>
      <c r="J671" s="241" t="b">
        <f>Age_Sex_PY[[#This Row],[Total Spending After Applying Truncation at the Member Level]]+Age_Sex_PY[[#This Row],[Total Dollars Excluded from Spending After Applying Truncation at the Member Level]]=Age_Sex_PY[[#This Row],[Total Spending before Truncation is Applied]]</f>
        <v>1</v>
      </c>
    </row>
    <row r="672" spans="1:10" x14ac:dyDescent="0.25">
      <c r="A672" s="342"/>
      <c r="B672" s="4"/>
      <c r="C672" s="16"/>
      <c r="D672" s="457"/>
      <c r="E672" s="363"/>
      <c r="F672" s="273"/>
      <c r="G672" s="226"/>
      <c r="H672" s="273"/>
      <c r="I672" s="400"/>
      <c r="J672" s="241" t="b">
        <f>Age_Sex_PY[[#This Row],[Total Spending After Applying Truncation at the Member Level]]+Age_Sex_PY[[#This Row],[Total Dollars Excluded from Spending After Applying Truncation at the Member Level]]=Age_Sex_PY[[#This Row],[Total Spending before Truncation is Applied]]</f>
        <v>1</v>
      </c>
    </row>
    <row r="673" spans="1:10" x14ac:dyDescent="0.25">
      <c r="A673" s="339"/>
      <c r="B673" s="270"/>
      <c r="C673" s="271"/>
      <c r="D673" s="456"/>
      <c r="E673" s="362"/>
      <c r="F673" s="272"/>
      <c r="G673" s="460"/>
      <c r="H673" s="272"/>
      <c r="I673" s="399"/>
      <c r="J673" s="241" t="b">
        <f>Age_Sex_PY[[#This Row],[Total Spending After Applying Truncation at the Member Level]]+Age_Sex_PY[[#This Row],[Total Dollars Excluded from Spending After Applying Truncation at the Member Level]]=Age_Sex_PY[[#This Row],[Total Spending before Truncation is Applied]]</f>
        <v>1</v>
      </c>
    </row>
    <row r="674" spans="1:10" x14ac:dyDescent="0.25">
      <c r="A674" s="342"/>
      <c r="B674" s="4"/>
      <c r="C674" s="16"/>
      <c r="D674" s="457"/>
      <c r="E674" s="363"/>
      <c r="F674" s="273"/>
      <c r="G674" s="226"/>
      <c r="H674" s="273"/>
      <c r="I674" s="400"/>
      <c r="J674" s="241" t="b">
        <f>Age_Sex_PY[[#This Row],[Total Spending After Applying Truncation at the Member Level]]+Age_Sex_PY[[#This Row],[Total Dollars Excluded from Spending After Applying Truncation at the Member Level]]=Age_Sex_PY[[#This Row],[Total Spending before Truncation is Applied]]</f>
        <v>1</v>
      </c>
    </row>
    <row r="675" spans="1:10" x14ac:dyDescent="0.25">
      <c r="A675" s="339"/>
      <c r="B675" s="270"/>
      <c r="C675" s="271"/>
      <c r="D675" s="456"/>
      <c r="E675" s="362"/>
      <c r="F675" s="272"/>
      <c r="G675" s="460"/>
      <c r="H675" s="272"/>
      <c r="I675" s="399"/>
      <c r="J675" s="241" t="b">
        <f>Age_Sex_PY[[#This Row],[Total Spending After Applying Truncation at the Member Level]]+Age_Sex_PY[[#This Row],[Total Dollars Excluded from Spending After Applying Truncation at the Member Level]]=Age_Sex_PY[[#This Row],[Total Spending before Truncation is Applied]]</f>
        <v>1</v>
      </c>
    </row>
    <row r="676" spans="1:10" x14ac:dyDescent="0.25">
      <c r="A676" s="342"/>
      <c r="B676" s="4"/>
      <c r="C676" s="16"/>
      <c r="D676" s="457"/>
      <c r="E676" s="363"/>
      <c r="F676" s="273"/>
      <c r="G676" s="226"/>
      <c r="H676" s="273"/>
      <c r="I676" s="400"/>
      <c r="J676" s="241" t="b">
        <f>Age_Sex_PY[[#This Row],[Total Spending After Applying Truncation at the Member Level]]+Age_Sex_PY[[#This Row],[Total Dollars Excluded from Spending After Applying Truncation at the Member Level]]=Age_Sex_PY[[#This Row],[Total Spending before Truncation is Applied]]</f>
        <v>1</v>
      </c>
    </row>
    <row r="677" spans="1:10" x14ac:dyDescent="0.25">
      <c r="A677" s="339"/>
      <c r="B677" s="270"/>
      <c r="C677" s="271"/>
      <c r="D677" s="456"/>
      <c r="E677" s="362"/>
      <c r="F677" s="272"/>
      <c r="G677" s="460"/>
      <c r="H677" s="272"/>
      <c r="I677" s="399"/>
      <c r="J677" s="241" t="b">
        <f>Age_Sex_PY[[#This Row],[Total Spending After Applying Truncation at the Member Level]]+Age_Sex_PY[[#This Row],[Total Dollars Excluded from Spending After Applying Truncation at the Member Level]]=Age_Sex_PY[[#This Row],[Total Spending before Truncation is Applied]]</f>
        <v>1</v>
      </c>
    </row>
    <row r="678" spans="1:10" x14ac:dyDescent="0.25">
      <c r="A678" s="342"/>
      <c r="B678" s="4"/>
      <c r="C678" s="16"/>
      <c r="D678" s="457"/>
      <c r="E678" s="363"/>
      <c r="F678" s="273"/>
      <c r="G678" s="226"/>
      <c r="H678" s="273"/>
      <c r="I678" s="400"/>
      <c r="J678" s="241" t="b">
        <f>Age_Sex_PY[[#This Row],[Total Spending After Applying Truncation at the Member Level]]+Age_Sex_PY[[#This Row],[Total Dollars Excluded from Spending After Applying Truncation at the Member Level]]=Age_Sex_PY[[#This Row],[Total Spending before Truncation is Applied]]</f>
        <v>1</v>
      </c>
    </row>
    <row r="679" spans="1:10" x14ac:dyDescent="0.25">
      <c r="A679" s="339"/>
      <c r="B679" s="270"/>
      <c r="C679" s="271"/>
      <c r="D679" s="456"/>
      <c r="E679" s="362"/>
      <c r="F679" s="272"/>
      <c r="G679" s="460"/>
      <c r="H679" s="272"/>
      <c r="I679" s="399"/>
      <c r="J679" s="241" t="b">
        <f>Age_Sex_PY[[#This Row],[Total Spending After Applying Truncation at the Member Level]]+Age_Sex_PY[[#This Row],[Total Dollars Excluded from Spending After Applying Truncation at the Member Level]]=Age_Sex_PY[[#This Row],[Total Spending before Truncation is Applied]]</f>
        <v>1</v>
      </c>
    </row>
    <row r="680" spans="1:10" x14ac:dyDescent="0.25">
      <c r="A680" s="342"/>
      <c r="B680" s="4"/>
      <c r="C680" s="16"/>
      <c r="D680" s="457"/>
      <c r="E680" s="363"/>
      <c r="F680" s="273"/>
      <c r="G680" s="226"/>
      <c r="H680" s="273"/>
      <c r="I680" s="400"/>
      <c r="J680" s="241" t="b">
        <f>Age_Sex_PY[[#This Row],[Total Spending After Applying Truncation at the Member Level]]+Age_Sex_PY[[#This Row],[Total Dollars Excluded from Spending After Applying Truncation at the Member Level]]=Age_Sex_PY[[#This Row],[Total Spending before Truncation is Applied]]</f>
        <v>1</v>
      </c>
    </row>
    <row r="681" spans="1:10" x14ac:dyDescent="0.25">
      <c r="A681" s="339"/>
      <c r="B681" s="270"/>
      <c r="C681" s="271"/>
      <c r="D681" s="456"/>
      <c r="E681" s="362"/>
      <c r="F681" s="272"/>
      <c r="G681" s="460"/>
      <c r="H681" s="272"/>
      <c r="I681" s="399"/>
      <c r="J681" s="241" t="b">
        <f>Age_Sex_PY[[#This Row],[Total Spending After Applying Truncation at the Member Level]]+Age_Sex_PY[[#This Row],[Total Dollars Excluded from Spending After Applying Truncation at the Member Level]]=Age_Sex_PY[[#This Row],[Total Spending before Truncation is Applied]]</f>
        <v>1</v>
      </c>
    </row>
    <row r="682" spans="1:10" x14ac:dyDescent="0.25">
      <c r="A682" s="342"/>
      <c r="B682" s="4"/>
      <c r="C682" s="16"/>
      <c r="D682" s="457"/>
      <c r="E682" s="363"/>
      <c r="F682" s="273"/>
      <c r="G682" s="226"/>
      <c r="H682" s="273"/>
      <c r="I682" s="400"/>
      <c r="J682" s="241" t="b">
        <f>Age_Sex_PY[[#This Row],[Total Spending After Applying Truncation at the Member Level]]+Age_Sex_PY[[#This Row],[Total Dollars Excluded from Spending After Applying Truncation at the Member Level]]=Age_Sex_PY[[#This Row],[Total Spending before Truncation is Applied]]</f>
        <v>1</v>
      </c>
    </row>
    <row r="683" spans="1:10" x14ac:dyDescent="0.25">
      <c r="A683" s="339"/>
      <c r="B683" s="270"/>
      <c r="C683" s="271"/>
      <c r="D683" s="456"/>
      <c r="E683" s="362"/>
      <c r="F683" s="272"/>
      <c r="G683" s="460"/>
      <c r="H683" s="272"/>
      <c r="I683" s="399"/>
      <c r="J683" s="241" t="b">
        <f>Age_Sex_PY[[#This Row],[Total Spending After Applying Truncation at the Member Level]]+Age_Sex_PY[[#This Row],[Total Dollars Excluded from Spending After Applying Truncation at the Member Level]]=Age_Sex_PY[[#This Row],[Total Spending before Truncation is Applied]]</f>
        <v>1</v>
      </c>
    </row>
    <row r="684" spans="1:10" x14ac:dyDescent="0.25">
      <c r="A684" s="342"/>
      <c r="B684" s="4"/>
      <c r="C684" s="16"/>
      <c r="D684" s="457"/>
      <c r="E684" s="363"/>
      <c r="F684" s="273"/>
      <c r="G684" s="226"/>
      <c r="H684" s="273"/>
      <c r="I684" s="400"/>
      <c r="J684" s="241" t="b">
        <f>Age_Sex_PY[[#This Row],[Total Spending After Applying Truncation at the Member Level]]+Age_Sex_PY[[#This Row],[Total Dollars Excluded from Spending After Applying Truncation at the Member Level]]=Age_Sex_PY[[#This Row],[Total Spending before Truncation is Applied]]</f>
        <v>1</v>
      </c>
    </row>
    <row r="685" spans="1:10" x14ac:dyDescent="0.25">
      <c r="A685" s="339"/>
      <c r="B685" s="270"/>
      <c r="C685" s="271"/>
      <c r="D685" s="456"/>
      <c r="E685" s="362"/>
      <c r="F685" s="272"/>
      <c r="G685" s="460"/>
      <c r="H685" s="272"/>
      <c r="I685" s="399"/>
      <c r="J685" s="241" t="b">
        <f>Age_Sex_PY[[#This Row],[Total Spending After Applying Truncation at the Member Level]]+Age_Sex_PY[[#This Row],[Total Dollars Excluded from Spending After Applying Truncation at the Member Level]]=Age_Sex_PY[[#This Row],[Total Spending before Truncation is Applied]]</f>
        <v>1</v>
      </c>
    </row>
    <row r="686" spans="1:10" x14ac:dyDescent="0.25">
      <c r="A686" s="342"/>
      <c r="B686" s="4"/>
      <c r="C686" s="16"/>
      <c r="D686" s="457"/>
      <c r="E686" s="363"/>
      <c r="F686" s="273"/>
      <c r="G686" s="226"/>
      <c r="H686" s="273"/>
      <c r="I686" s="400"/>
      <c r="J686" s="241" t="b">
        <f>Age_Sex_PY[[#This Row],[Total Spending After Applying Truncation at the Member Level]]+Age_Sex_PY[[#This Row],[Total Dollars Excluded from Spending After Applying Truncation at the Member Level]]=Age_Sex_PY[[#This Row],[Total Spending before Truncation is Applied]]</f>
        <v>1</v>
      </c>
    </row>
    <row r="687" spans="1:10" x14ac:dyDescent="0.25">
      <c r="A687" s="339"/>
      <c r="B687" s="270"/>
      <c r="C687" s="271"/>
      <c r="D687" s="456"/>
      <c r="E687" s="362"/>
      <c r="F687" s="272"/>
      <c r="G687" s="460"/>
      <c r="H687" s="272"/>
      <c r="I687" s="399"/>
      <c r="J687" s="241" t="b">
        <f>Age_Sex_PY[[#This Row],[Total Spending After Applying Truncation at the Member Level]]+Age_Sex_PY[[#This Row],[Total Dollars Excluded from Spending After Applying Truncation at the Member Level]]=Age_Sex_PY[[#This Row],[Total Spending before Truncation is Applied]]</f>
        <v>1</v>
      </c>
    </row>
    <row r="688" spans="1:10" x14ac:dyDescent="0.25">
      <c r="A688" s="342"/>
      <c r="B688" s="4"/>
      <c r="C688" s="16"/>
      <c r="D688" s="457"/>
      <c r="E688" s="363"/>
      <c r="F688" s="273"/>
      <c r="G688" s="226"/>
      <c r="H688" s="273"/>
      <c r="I688" s="400"/>
      <c r="J688" s="241" t="b">
        <f>Age_Sex_PY[[#This Row],[Total Spending After Applying Truncation at the Member Level]]+Age_Sex_PY[[#This Row],[Total Dollars Excluded from Spending After Applying Truncation at the Member Level]]=Age_Sex_PY[[#This Row],[Total Spending before Truncation is Applied]]</f>
        <v>1</v>
      </c>
    </row>
    <row r="689" spans="1:10" x14ac:dyDescent="0.25">
      <c r="A689" s="339"/>
      <c r="B689" s="270"/>
      <c r="C689" s="271"/>
      <c r="D689" s="456"/>
      <c r="E689" s="362"/>
      <c r="F689" s="272"/>
      <c r="G689" s="460"/>
      <c r="H689" s="272"/>
      <c r="I689" s="399"/>
      <c r="J689" s="241" t="b">
        <f>Age_Sex_PY[[#This Row],[Total Spending After Applying Truncation at the Member Level]]+Age_Sex_PY[[#This Row],[Total Dollars Excluded from Spending After Applying Truncation at the Member Level]]=Age_Sex_PY[[#This Row],[Total Spending before Truncation is Applied]]</f>
        <v>1</v>
      </c>
    </row>
    <row r="690" spans="1:10" x14ac:dyDescent="0.25">
      <c r="A690" s="342"/>
      <c r="B690" s="4"/>
      <c r="C690" s="16"/>
      <c r="D690" s="457"/>
      <c r="E690" s="363"/>
      <c r="F690" s="273"/>
      <c r="G690" s="226"/>
      <c r="H690" s="273"/>
      <c r="I690" s="400"/>
      <c r="J690" s="241" t="b">
        <f>Age_Sex_PY[[#This Row],[Total Spending After Applying Truncation at the Member Level]]+Age_Sex_PY[[#This Row],[Total Dollars Excluded from Spending After Applying Truncation at the Member Level]]=Age_Sex_PY[[#This Row],[Total Spending before Truncation is Applied]]</f>
        <v>1</v>
      </c>
    </row>
    <row r="691" spans="1:10" x14ac:dyDescent="0.25">
      <c r="A691" s="339"/>
      <c r="B691" s="270"/>
      <c r="C691" s="271"/>
      <c r="D691" s="456"/>
      <c r="E691" s="362"/>
      <c r="F691" s="272"/>
      <c r="G691" s="460"/>
      <c r="H691" s="272"/>
      <c r="I691" s="399"/>
      <c r="J691" s="241" t="b">
        <f>Age_Sex_PY[[#This Row],[Total Spending After Applying Truncation at the Member Level]]+Age_Sex_PY[[#This Row],[Total Dollars Excluded from Spending After Applying Truncation at the Member Level]]=Age_Sex_PY[[#This Row],[Total Spending before Truncation is Applied]]</f>
        <v>1</v>
      </c>
    </row>
    <row r="692" spans="1:10" x14ac:dyDescent="0.25">
      <c r="A692" s="342"/>
      <c r="B692" s="4"/>
      <c r="C692" s="16"/>
      <c r="D692" s="457"/>
      <c r="E692" s="363"/>
      <c r="F692" s="273"/>
      <c r="G692" s="226"/>
      <c r="H692" s="273"/>
      <c r="I692" s="400"/>
      <c r="J692" s="241" t="b">
        <f>Age_Sex_PY[[#This Row],[Total Spending After Applying Truncation at the Member Level]]+Age_Sex_PY[[#This Row],[Total Dollars Excluded from Spending After Applying Truncation at the Member Level]]=Age_Sex_PY[[#This Row],[Total Spending before Truncation is Applied]]</f>
        <v>1</v>
      </c>
    </row>
    <row r="693" spans="1:10" x14ac:dyDescent="0.25">
      <c r="A693" s="339"/>
      <c r="B693" s="270"/>
      <c r="C693" s="271"/>
      <c r="D693" s="456"/>
      <c r="E693" s="362"/>
      <c r="F693" s="272"/>
      <c r="G693" s="460"/>
      <c r="H693" s="272"/>
      <c r="I693" s="399"/>
      <c r="J693" s="241" t="b">
        <f>Age_Sex_PY[[#This Row],[Total Spending After Applying Truncation at the Member Level]]+Age_Sex_PY[[#This Row],[Total Dollars Excluded from Spending After Applying Truncation at the Member Level]]=Age_Sex_PY[[#This Row],[Total Spending before Truncation is Applied]]</f>
        <v>1</v>
      </c>
    </row>
    <row r="694" spans="1:10" x14ac:dyDescent="0.25">
      <c r="A694" s="342"/>
      <c r="B694" s="4"/>
      <c r="C694" s="16"/>
      <c r="D694" s="457"/>
      <c r="E694" s="363"/>
      <c r="F694" s="273"/>
      <c r="G694" s="226"/>
      <c r="H694" s="273"/>
      <c r="I694" s="400"/>
      <c r="J694" s="241" t="b">
        <f>Age_Sex_PY[[#This Row],[Total Spending After Applying Truncation at the Member Level]]+Age_Sex_PY[[#This Row],[Total Dollars Excluded from Spending After Applying Truncation at the Member Level]]=Age_Sex_PY[[#This Row],[Total Spending before Truncation is Applied]]</f>
        <v>1</v>
      </c>
    </row>
    <row r="695" spans="1:10" x14ac:dyDescent="0.25">
      <c r="A695" s="339"/>
      <c r="B695" s="270"/>
      <c r="C695" s="271"/>
      <c r="D695" s="456"/>
      <c r="E695" s="362"/>
      <c r="F695" s="272"/>
      <c r="G695" s="460"/>
      <c r="H695" s="272"/>
      <c r="I695" s="399"/>
      <c r="J695" s="241" t="b">
        <f>Age_Sex_PY[[#This Row],[Total Spending After Applying Truncation at the Member Level]]+Age_Sex_PY[[#This Row],[Total Dollars Excluded from Spending After Applying Truncation at the Member Level]]=Age_Sex_PY[[#This Row],[Total Spending before Truncation is Applied]]</f>
        <v>1</v>
      </c>
    </row>
    <row r="696" spans="1:10" x14ac:dyDescent="0.25">
      <c r="A696" s="342"/>
      <c r="B696" s="4"/>
      <c r="C696" s="16"/>
      <c r="D696" s="457"/>
      <c r="E696" s="363"/>
      <c r="F696" s="273"/>
      <c r="G696" s="226"/>
      <c r="H696" s="273"/>
      <c r="I696" s="400"/>
      <c r="J696" s="241" t="b">
        <f>Age_Sex_PY[[#This Row],[Total Spending After Applying Truncation at the Member Level]]+Age_Sex_PY[[#This Row],[Total Dollars Excluded from Spending After Applying Truncation at the Member Level]]=Age_Sex_PY[[#This Row],[Total Spending before Truncation is Applied]]</f>
        <v>1</v>
      </c>
    </row>
    <row r="697" spans="1:10" x14ac:dyDescent="0.25">
      <c r="A697" s="339"/>
      <c r="B697" s="270"/>
      <c r="C697" s="271"/>
      <c r="D697" s="456"/>
      <c r="E697" s="362"/>
      <c r="F697" s="272"/>
      <c r="G697" s="460"/>
      <c r="H697" s="272"/>
      <c r="I697" s="399"/>
      <c r="J697" s="241" t="b">
        <f>Age_Sex_PY[[#This Row],[Total Spending After Applying Truncation at the Member Level]]+Age_Sex_PY[[#This Row],[Total Dollars Excluded from Spending After Applying Truncation at the Member Level]]=Age_Sex_PY[[#This Row],[Total Spending before Truncation is Applied]]</f>
        <v>1</v>
      </c>
    </row>
    <row r="698" spans="1:10" x14ac:dyDescent="0.25">
      <c r="A698" s="342"/>
      <c r="B698" s="4"/>
      <c r="C698" s="16"/>
      <c r="D698" s="457"/>
      <c r="E698" s="363"/>
      <c r="F698" s="273"/>
      <c r="G698" s="226"/>
      <c r="H698" s="273"/>
      <c r="I698" s="400"/>
      <c r="J698" s="241" t="b">
        <f>Age_Sex_PY[[#This Row],[Total Spending After Applying Truncation at the Member Level]]+Age_Sex_PY[[#This Row],[Total Dollars Excluded from Spending After Applying Truncation at the Member Level]]=Age_Sex_PY[[#This Row],[Total Spending before Truncation is Applied]]</f>
        <v>1</v>
      </c>
    </row>
    <row r="699" spans="1:10" x14ac:dyDescent="0.25">
      <c r="A699" s="339"/>
      <c r="B699" s="270"/>
      <c r="C699" s="271"/>
      <c r="D699" s="456"/>
      <c r="E699" s="362"/>
      <c r="F699" s="272"/>
      <c r="G699" s="460"/>
      <c r="H699" s="272"/>
      <c r="I699" s="399"/>
      <c r="J699" s="241" t="b">
        <f>Age_Sex_PY[[#This Row],[Total Spending After Applying Truncation at the Member Level]]+Age_Sex_PY[[#This Row],[Total Dollars Excluded from Spending After Applying Truncation at the Member Level]]=Age_Sex_PY[[#This Row],[Total Spending before Truncation is Applied]]</f>
        <v>1</v>
      </c>
    </row>
    <row r="700" spans="1:10" x14ac:dyDescent="0.25">
      <c r="A700" s="342"/>
      <c r="B700" s="4"/>
      <c r="C700" s="16"/>
      <c r="D700" s="457"/>
      <c r="E700" s="363"/>
      <c r="F700" s="273"/>
      <c r="G700" s="226"/>
      <c r="H700" s="273"/>
      <c r="I700" s="400"/>
      <c r="J700" s="241" t="b">
        <f>Age_Sex_PY[[#This Row],[Total Spending After Applying Truncation at the Member Level]]+Age_Sex_PY[[#This Row],[Total Dollars Excluded from Spending After Applying Truncation at the Member Level]]=Age_Sex_PY[[#This Row],[Total Spending before Truncation is Applied]]</f>
        <v>1</v>
      </c>
    </row>
    <row r="701" spans="1:10" x14ac:dyDescent="0.25">
      <c r="A701" s="339"/>
      <c r="B701" s="270"/>
      <c r="C701" s="271"/>
      <c r="D701" s="456"/>
      <c r="E701" s="362"/>
      <c r="F701" s="272"/>
      <c r="G701" s="460"/>
      <c r="H701" s="272"/>
      <c r="I701" s="399"/>
      <c r="J701" s="241" t="b">
        <f>Age_Sex_PY[[#This Row],[Total Spending After Applying Truncation at the Member Level]]+Age_Sex_PY[[#This Row],[Total Dollars Excluded from Spending After Applying Truncation at the Member Level]]=Age_Sex_PY[[#This Row],[Total Spending before Truncation is Applied]]</f>
        <v>1</v>
      </c>
    </row>
    <row r="702" spans="1:10" x14ac:dyDescent="0.25">
      <c r="A702" s="342"/>
      <c r="B702" s="4"/>
      <c r="C702" s="16"/>
      <c r="D702" s="457"/>
      <c r="E702" s="363"/>
      <c r="F702" s="273"/>
      <c r="G702" s="226"/>
      <c r="H702" s="273"/>
      <c r="I702" s="400"/>
      <c r="J702" s="241" t="b">
        <f>Age_Sex_PY[[#This Row],[Total Spending After Applying Truncation at the Member Level]]+Age_Sex_PY[[#This Row],[Total Dollars Excluded from Spending After Applying Truncation at the Member Level]]=Age_Sex_PY[[#This Row],[Total Spending before Truncation is Applied]]</f>
        <v>1</v>
      </c>
    </row>
    <row r="703" spans="1:10" x14ac:dyDescent="0.25">
      <c r="A703" s="339"/>
      <c r="B703" s="270"/>
      <c r="C703" s="271"/>
      <c r="D703" s="456"/>
      <c r="E703" s="362"/>
      <c r="F703" s="272"/>
      <c r="G703" s="460"/>
      <c r="H703" s="272"/>
      <c r="I703" s="399"/>
      <c r="J703" s="241" t="b">
        <f>Age_Sex_PY[[#This Row],[Total Spending After Applying Truncation at the Member Level]]+Age_Sex_PY[[#This Row],[Total Dollars Excluded from Spending After Applying Truncation at the Member Level]]=Age_Sex_PY[[#This Row],[Total Spending before Truncation is Applied]]</f>
        <v>1</v>
      </c>
    </row>
    <row r="704" spans="1:10" x14ac:dyDescent="0.25">
      <c r="A704" s="342"/>
      <c r="B704" s="4"/>
      <c r="C704" s="16"/>
      <c r="D704" s="457"/>
      <c r="E704" s="363"/>
      <c r="F704" s="273"/>
      <c r="G704" s="226"/>
      <c r="H704" s="273"/>
      <c r="I704" s="400"/>
      <c r="J704" s="241" t="b">
        <f>Age_Sex_PY[[#This Row],[Total Spending After Applying Truncation at the Member Level]]+Age_Sex_PY[[#This Row],[Total Dollars Excluded from Spending After Applying Truncation at the Member Level]]=Age_Sex_PY[[#This Row],[Total Spending before Truncation is Applied]]</f>
        <v>1</v>
      </c>
    </row>
    <row r="705" spans="1:10" x14ac:dyDescent="0.25">
      <c r="A705" s="339"/>
      <c r="B705" s="270"/>
      <c r="C705" s="271"/>
      <c r="D705" s="456"/>
      <c r="E705" s="362"/>
      <c r="F705" s="272"/>
      <c r="G705" s="460"/>
      <c r="H705" s="272"/>
      <c r="I705" s="399"/>
      <c r="J705" s="241" t="b">
        <f>Age_Sex_PY[[#This Row],[Total Spending After Applying Truncation at the Member Level]]+Age_Sex_PY[[#This Row],[Total Dollars Excluded from Spending After Applying Truncation at the Member Level]]=Age_Sex_PY[[#This Row],[Total Spending before Truncation is Applied]]</f>
        <v>1</v>
      </c>
    </row>
    <row r="706" spans="1:10" x14ac:dyDescent="0.25">
      <c r="A706" s="342"/>
      <c r="B706" s="4"/>
      <c r="C706" s="16"/>
      <c r="D706" s="457"/>
      <c r="E706" s="363"/>
      <c r="F706" s="273"/>
      <c r="G706" s="226"/>
      <c r="H706" s="273"/>
      <c r="I706" s="400"/>
      <c r="J706" s="241" t="b">
        <f>Age_Sex_PY[[#This Row],[Total Spending After Applying Truncation at the Member Level]]+Age_Sex_PY[[#This Row],[Total Dollars Excluded from Spending After Applying Truncation at the Member Level]]=Age_Sex_PY[[#This Row],[Total Spending before Truncation is Applied]]</f>
        <v>1</v>
      </c>
    </row>
    <row r="707" spans="1:10" x14ac:dyDescent="0.25">
      <c r="A707" s="339"/>
      <c r="B707" s="270"/>
      <c r="C707" s="271"/>
      <c r="D707" s="456"/>
      <c r="E707" s="362"/>
      <c r="F707" s="272"/>
      <c r="G707" s="460"/>
      <c r="H707" s="272"/>
      <c r="I707" s="399"/>
      <c r="J707" s="241" t="b">
        <f>Age_Sex_PY[[#This Row],[Total Spending After Applying Truncation at the Member Level]]+Age_Sex_PY[[#This Row],[Total Dollars Excluded from Spending After Applying Truncation at the Member Level]]=Age_Sex_PY[[#This Row],[Total Spending before Truncation is Applied]]</f>
        <v>1</v>
      </c>
    </row>
    <row r="708" spans="1:10" x14ac:dyDescent="0.25">
      <c r="A708" s="342"/>
      <c r="B708" s="4"/>
      <c r="C708" s="16"/>
      <c r="D708" s="457"/>
      <c r="E708" s="363"/>
      <c r="F708" s="273"/>
      <c r="G708" s="226"/>
      <c r="H708" s="273"/>
      <c r="I708" s="400"/>
      <c r="J708" s="241" t="b">
        <f>Age_Sex_PY[[#This Row],[Total Spending After Applying Truncation at the Member Level]]+Age_Sex_PY[[#This Row],[Total Dollars Excluded from Spending After Applying Truncation at the Member Level]]=Age_Sex_PY[[#This Row],[Total Spending before Truncation is Applied]]</f>
        <v>1</v>
      </c>
    </row>
    <row r="709" spans="1:10" x14ac:dyDescent="0.25">
      <c r="A709" s="339"/>
      <c r="B709" s="270"/>
      <c r="C709" s="271"/>
      <c r="D709" s="456"/>
      <c r="E709" s="362"/>
      <c r="F709" s="272"/>
      <c r="G709" s="460"/>
      <c r="H709" s="272"/>
      <c r="I709" s="399"/>
      <c r="J709" s="241" t="b">
        <f>Age_Sex_PY[[#This Row],[Total Spending After Applying Truncation at the Member Level]]+Age_Sex_PY[[#This Row],[Total Dollars Excluded from Spending After Applying Truncation at the Member Level]]=Age_Sex_PY[[#This Row],[Total Spending before Truncation is Applied]]</f>
        <v>1</v>
      </c>
    </row>
    <row r="710" spans="1:10" x14ac:dyDescent="0.25">
      <c r="A710" s="342"/>
      <c r="B710" s="4"/>
      <c r="C710" s="16"/>
      <c r="D710" s="457"/>
      <c r="E710" s="363"/>
      <c r="F710" s="273"/>
      <c r="G710" s="226"/>
      <c r="H710" s="273"/>
      <c r="I710" s="400"/>
      <c r="J710" s="241" t="b">
        <f>Age_Sex_PY[[#This Row],[Total Spending After Applying Truncation at the Member Level]]+Age_Sex_PY[[#This Row],[Total Dollars Excluded from Spending After Applying Truncation at the Member Level]]=Age_Sex_PY[[#This Row],[Total Spending before Truncation is Applied]]</f>
        <v>1</v>
      </c>
    </row>
    <row r="711" spans="1:10" x14ac:dyDescent="0.25">
      <c r="A711" s="339"/>
      <c r="B711" s="270"/>
      <c r="C711" s="271"/>
      <c r="D711" s="456"/>
      <c r="E711" s="362"/>
      <c r="F711" s="272"/>
      <c r="G711" s="460"/>
      <c r="H711" s="272"/>
      <c r="I711" s="399"/>
      <c r="J711" s="241" t="b">
        <f>Age_Sex_PY[[#This Row],[Total Spending After Applying Truncation at the Member Level]]+Age_Sex_PY[[#This Row],[Total Dollars Excluded from Spending After Applying Truncation at the Member Level]]=Age_Sex_PY[[#This Row],[Total Spending before Truncation is Applied]]</f>
        <v>1</v>
      </c>
    </row>
    <row r="712" spans="1:10" x14ac:dyDescent="0.25">
      <c r="A712" s="342"/>
      <c r="B712" s="4"/>
      <c r="C712" s="16"/>
      <c r="D712" s="457"/>
      <c r="E712" s="363"/>
      <c r="F712" s="273"/>
      <c r="G712" s="226"/>
      <c r="H712" s="273"/>
      <c r="I712" s="400"/>
      <c r="J712" s="241" t="b">
        <f>Age_Sex_PY[[#This Row],[Total Spending After Applying Truncation at the Member Level]]+Age_Sex_PY[[#This Row],[Total Dollars Excluded from Spending After Applying Truncation at the Member Level]]=Age_Sex_PY[[#This Row],[Total Spending before Truncation is Applied]]</f>
        <v>1</v>
      </c>
    </row>
    <row r="713" spans="1:10" x14ac:dyDescent="0.25">
      <c r="A713" s="339"/>
      <c r="B713" s="270"/>
      <c r="C713" s="271"/>
      <c r="D713" s="456"/>
      <c r="E713" s="362"/>
      <c r="F713" s="272"/>
      <c r="G713" s="460"/>
      <c r="H713" s="272"/>
      <c r="I713" s="399"/>
      <c r="J713" s="241" t="b">
        <f>Age_Sex_PY[[#This Row],[Total Spending After Applying Truncation at the Member Level]]+Age_Sex_PY[[#This Row],[Total Dollars Excluded from Spending After Applying Truncation at the Member Level]]=Age_Sex_PY[[#This Row],[Total Spending before Truncation is Applied]]</f>
        <v>1</v>
      </c>
    </row>
    <row r="714" spans="1:10" x14ac:dyDescent="0.25">
      <c r="A714" s="342"/>
      <c r="B714" s="4"/>
      <c r="C714" s="16"/>
      <c r="D714" s="457"/>
      <c r="E714" s="363"/>
      <c r="F714" s="273"/>
      <c r="G714" s="226"/>
      <c r="H714" s="273"/>
      <c r="I714" s="400"/>
      <c r="J714" s="241" t="b">
        <f>Age_Sex_PY[[#This Row],[Total Spending After Applying Truncation at the Member Level]]+Age_Sex_PY[[#This Row],[Total Dollars Excluded from Spending After Applying Truncation at the Member Level]]=Age_Sex_PY[[#This Row],[Total Spending before Truncation is Applied]]</f>
        <v>1</v>
      </c>
    </row>
    <row r="715" spans="1:10" x14ac:dyDescent="0.25">
      <c r="A715" s="339"/>
      <c r="B715" s="270"/>
      <c r="C715" s="271"/>
      <c r="D715" s="456"/>
      <c r="E715" s="362"/>
      <c r="F715" s="272"/>
      <c r="G715" s="460"/>
      <c r="H715" s="272"/>
      <c r="I715" s="399"/>
      <c r="J715" s="241" t="b">
        <f>Age_Sex_PY[[#This Row],[Total Spending After Applying Truncation at the Member Level]]+Age_Sex_PY[[#This Row],[Total Dollars Excluded from Spending After Applying Truncation at the Member Level]]=Age_Sex_PY[[#This Row],[Total Spending before Truncation is Applied]]</f>
        <v>1</v>
      </c>
    </row>
    <row r="716" spans="1:10" x14ac:dyDescent="0.25">
      <c r="A716" s="342"/>
      <c r="B716" s="4"/>
      <c r="C716" s="16"/>
      <c r="D716" s="457"/>
      <c r="E716" s="363"/>
      <c r="F716" s="273"/>
      <c r="G716" s="226"/>
      <c r="H716" s="273"/>
      <c r="I716" s="400"/>
      <c r="J716" s="241" t="b">
        <f>Age_Sex_PY[[#This Row],[Total Spending After Applying Truncation at the Member Level]]+Age_Sex_PY[[#This Row],[Total Dollars Excluded from Spending After Applying Truncation at the Member Level]]=Age_Sex_PY[[#This Row],[Total Spending before Truncation is Applied]]</f>
        <v>1</v>
      </c>
    </row>
    <row r="717" spans="1:10" x14ac:dyDescent="0.25">
      <c r="A717" s="339"/>
      <c r="B717" s="270"/>
      <c r="C717" s="271"/>
      <c r="D717" s="456"/>
      <c r="E717" s="362"/>
      <c r="F717" s="272"/>
      <c r="G717" s="460"/>
      <c r="H717" s="272"/>
      <c r="I717" s="399"/>
      <c r="J717" s="241" t="b">
        <f>Age_Sex_PY[[#This Row],[Total Spending After Applying Truncation at the Member Level]]+Age_Sex_PY[[#This Row],[Total Dollars Excluded from Spending After Applying Truncation at the Member Level]]=Age_Sex_PY[[#This Row],[Total Spending before Truncation is Applied]]</f>
        <v>1</v>
      </c>
    </row>
    <row r="718" spans="1:10" x14ac:dyDescent="0.25">
      <c r="A718" s="342"/>
      <c r="B718" s="4"/>
      <c r="C718" s="16"/>
      <c r="D718" s="457"/>
      <c r="E718" s="363"/>
      <c r="F718" s="273"/>
      <c r="G718" s="226"/>
      <c r="H718" s="273"/>
      <c r="I718" s="400"/>
      <c r="J718" s="241" t="b">
        <f>Age_Sex_PY[[#This Row],[Total Spending After Applying Truncation at the Member Level]]+Age_Sex_PY[[#This Row],[Total Dollars Excluded from Spending After Applying Truncation at the Member Level]]=Age_Sex_PY[[#This Row],[Total Spending before Truncation is Applied]]</f>
        <v>1</v>
      </c>
    </row>
    <row r="719" spans="1:10" x14ac:dyDescent="0.25">
      <c r="A719" s="339"/>
      <c r="B719" s="270"/>
      <c r="C719" s="271"/>
      <c r="D719" s="456"/>
      <c r="E719" s="362"/>
      <c r="F719" s="272"/>
      <c r="G719" s="460"/>
      <c r="H719" s="272"/>
      <c r="I719" s="399"/>
      <c r="J719" s="241" t="b">
        <f>Age_Sex_PY[[#This Row],[Total Spending After Applying Truncation at the Member Level]]+Age_Sex_PY[[#This Row],[Total Dollars Excluded from Spending After Applying Truncation at the Member Level]]=Age_Sex_PY[[#This Row],[Total Spending before Truncation is Applied]]</f>
        <v>1</v>
      </c>
    </row>
    <row r="720" spans="1:10" x14ac:dyDescent="0.25">
      <c r="A720" s="342"/>
      <c r="B720" s="4"/>
      <c r="C720" s="16"/>
      <c r="D720" s="457"/>
      <c r="E720" s="363"/>
      <c r="F720" s="273"/>
      <c r="G720" s="226"/>
      <c r="H720" s="273"/>
      <c r="I720" s="400"/>
      <c r="J720" s="241" t="b">
        <f>Age_Sex_PY[[#This Row],[Total Spending After Applying Truncation at the Member Level]]+Age_Sex_PY[[#This Row],[Total Dollars Excluded from Spending After Applying Truncation at the Member Level]]=Age_Sex_PY[[#This Row],[Total Spending before Truncation is Applied]]</f>
        <v>1</v>
      </c>
    </row>
    <row r="721" spans="1:10" x14ac:dyDescent="0.25">
      <c r="A721" s="339"/>
      <c r="B721" s="270"/>
      <c r="C721" s="271"/>
      <c r="D721" s="456"/>
      <c r="E721" s="362"/>
      <c r="F721" s="272"/>
      <c r="G721" s="460"/>
      <c r="H721" s="272"/>
      <c r="I721" s="399"/>
      <c r="J721" s="241" t="b">
        <f>Age_Sex_PY[[#This Row],[Total Spending After Applying Truncation at the Member Level]]+Age_Sex_PY[[#This Row],[Total Dollars Excluded from Spending After Applying Truncation at the Member Level]]=Age_Sex_PY[[#This Row],[Total Spending before Truncation is Applied]]</f>
        <v>1</v>
      </c>
    </row>
    <row r="722" spans="1:10" x14ac:dyDescent="0.25">
      <c r="A722" s="342"/>
      <c r="B722" s="4"/>
      <c r="C722" s="16"/>
      <c r="D722" s="457"/>
      <c r="E722" s="363"/>
      <c r="F722" s="273"/>
      <c r="G722" s="226"/>
      <c r="H722" s="273"/>
      <c r="I722" s="400"/>
      <c r="J722" s="241" t="b">
        <f>Age_Sex_PY[[#This Row],[Total Spending After Applying Truncation at the Member Level]]+Age_Sex_PY[[#This Row],[Total Dollars Excluded from Spending After Applying Truncation at the Member Level]]=Age_Sex_PY[[#This Row],[Total Spending before Truncation is Applied]]</f>
        <v>1</v>
      </c>
    </row>
    <row r="723" spans="1:10" x14ac:dyDescent="0.25">
      <c r="A723" s="339"/>
      <c r="B723" s="270"/>
      <c r="C723" s="271"/>
      <c r="D723" s="456"/>
      <c r="E723" s="362"/>
      <c r="F723" s="272"/>
      <c r="G723" s="460"/>
      <c r="H723" s="272"/>
      <c r="I723" s="399"/>
      <c r="J723" s="241" t="b">
        <f>Age_Sex_PY[[#This Row],[Total Spending After Applying Truncation at the Member Level]]+Age_Sex_PY[[#This Row],[Total Dollars Excluded from Spending After Applying Truncation at the Member Level]]=Age_Sex_PY[[#This Row],[Total Spending before Truncation is Applied]]</f>
        <v>1</v>
      </c>
    </row>
    <row r="724" spans="1:10" x14ac:dyDescent="0.25">
      <c r="A724" s="342"/>
      <c r="B724" s="4"/>
      <c r="C724" s="16"/>
      <c r="D724" s="457"/>
      <c r="E724" s="363"/>
      <c r="F724" s="273"/>
      <c r="G724" s="226"/>
      <c r="H724" s="273"/>
      <c r="I724" s="400"/>
      <c r="J724" s="241" t="b">
        <f>Age_Sex_PY[[#This Row],[Total Spending After Applying Truncation at the Member Level]]+Age_Sex_PY[[#This Row],[Total Dollars Excluded from Spending After Applying Truncation at the Member Level]]=Age_Sex_PY[[#This Row],[Total Spending before Truncation is Applied]]</f>
        <v>1</v>
      </c>
    </row>
    <row r="725" spans="1:10" x14ac:dyDescent="0.25">
      <c r="A725" s="339"/>
      <c r="B725" s="270"/>
      <c r="C725" s="271"/>
      <c r="D725" s="456"/>
      <c r="E725" s="362"/>
      <c r="F725" s="272"/>
      <c r="G725" s="460"/>
      <c r="H725" s="272"/>
      <c r="I725" s="399"/>
      <c r="J725" s="241" t="b">
        <f>Age_Sex_PY[[#This Row],[Total Spending After Applying Truncation at the Member Level]]+Age_Sex_PY[[#This Row],[Total Dollars Excluded from Spending After Applying Truncation at the Member Level]]=Age_Sex_PY[[#This Row],[Total Spending before Truncation is Applied]]</f>
        <v>1</v>
      </c>
    </row>
    <row r="726" spans="1:10" x14ac:dyDescent="0.25">
      <c r="A726" s="342"/>
      <c r="B726" s="4"/>
      <c r="C726" s="16"/>
      <c r="D726" s="457"/>
      <c r="E726" s="363"/>
      <c r="F726" s="273"/>
      <c r="G726" s="226"/>
      <c r="H726" s="273"/>
      <c r="I726" s="400"/>
      <c r="J726" s="241" t="b">
        <f>Age_Sex_PY[[#This Row],[Total Spending After Applying Truncation at the Member Level]]+Age_Sex_PY[[#This Row],[Total Dollars Excluded from Spending After Applying Truncation at the Member Level]]=Age_Sex_PY[[#This Row],[Total Spending before Truncation is Applied]]</f>
        <v>1</v>
      </c>
    </row>
    <row r="727" spans="1:10" x14ac:dyDescent="0.25">
      <c r="A727" s="339"/>
      <c r="B727" s="270"/>
      <c r="C727" s="271"/>
      <c r="D727" s="456"/>
      <c r="E727" s="362"/>
      <c r="F727" s="272"/>
      <c r="G727" s="460"/>
      <c r="H727" s="272"/>
      <c r="I727" s="399"/>
      <c r="J727" s="241" t="b">
        <f>Age_Sex_PY[[#This Row],[Total Spending After Applying Truncation at the Member Level]]+Age_Sex_PY[[#This Row],[Total Dollars Excluded from Spending After Applying Truncation at the Member Level]]=Age_Sex_PY[[#This Row],[Total Spending before Truncation is Applied]]</f>
        <v>1</v>
      </c>
    </row>
    <row r="728" spans="1:10" x14ac:dyDescent="0.25">
      <c r="A728" s="342"/>
      <c r="B728" s="4"/>
      <c r="C728" s="16"/>
      <c r="D728" s="457"/>
      <c r="E728" s="363"/>
      <c r="F728" s="273"/>
      <c r="G728" s="226"/>
      <c r="H728" s="273"/>
      <c r="I728" s="400"/>
      <c r="J728" s="241" t="b">
        <f>Age_Sex_PY[[#This Row],[Total Spending After Applying Truncation at the Member Level]]+Age_Sex_PY[[#This Row],[Total Dollars Excluded from Spending After Applying Truncation at the Member Level]]=Age_Sex_PY[[#This Row],[Total Spending before Truncation is Applied]]</f>
        <v>1</v>
      </c>
    </row>
    <row r="729" spans="1:10" x14ac:dyDescent="0.25">
      <c r="A729" s="339"/>
      <c r="B729" s="270"/>
      <c r="C729" s="271"/>
      <c r="D729" s="456"/>
      <c r="E729" s="362"/>
      <c r="F729" s="272"/>
      <c r="G729" s="460"/>
      <c r="H729" s="272"/>
      <c r="I729" s="399"/>
      <c r="J729" s="241" t="b">
        <f>Age_Sex_PY[[#This Row],[Total Spending After Applying Truncation at the Member Level]]+Age_Sex_PY[[#This Row],[Total Dollars Excluded from Spending After Applying Truncation at the Member Level]]=Age_Sex_PY[[#This Row],[Total Spending before Truncation is Applied]]</f>
        <v>1</v>
      </c>
    </row>
    <row r="730" spans="1:10" x14ac:dyDescent="0.25">
      <c r="A730" s="342"/>
      <c r="B730" s="4"/>
      <c r="C730" s="16"/>
      <c r="D730" s="457"/>
      <c r="E730" s="363"/>
      <c r="F730" s="273"/>
      <c r="G730" s="226"/>
      <c r="H730" s="273"/>
      <c r="I730" s="400"/>
      <c r="J730" s="241" t="b">
        <f>Age_Sex_PY[[#This Row],[Total Spending After Applying Truncation at the Member Level]]+Age_Sex_PY[[#This Row],[Total Dollars Excluded from Spending After Applying Truncation at the Member Level]]=Age_Sex_PY[[#This Row],[Total Spending before Truncation is Applied]]</f>
        <v>1</v>
      </c>
    </row>
    <row r="731" spans="1:10" x14ac:dyDescent="0.25">
      <c r="A731" s="339"/>
      <c r="B731" s="270"/>
      <c r="C731" s="271"/>
      <c r="D731" s="456"/>
      <c r="E731" s="362"/>
      <c r="F731" s="272"/>
      <c r="G731" s="460"/>
      <c r="H731" s="272"/>
      <c r="I731" s="399"/>
      <c r="J731" s="241" t="b">
        <f>Age_Sex_PY[[#This Row],[Total Spending After Applying Truncation at the Member Level]]+Age_Sex_PY[[#This Row],[Total Dollars Excluded from Spending After Applying Truncation at the Member Level]]=Age_Sex_PY[[#This Row],[Total Spending before Truncation is Applied]]</f>
        <v>1</v>
      </c>
    </row>
    <row r="732" spans="1:10" x14ac:dyDescent="0.25">
      <c r="A732" s="342"/>
      <c r="B732" s="4"/>
      <c r="C732" s="16"/>
      <c r="D732" s="457"/>
      <c r="E732" s="363"/>
      <c r="F732" s="273"/>
      <c r="G732" s="226"/>
      <c r="H732" s="273"/>
      <c r="I732" s="400"/>
      <c r="J732" s="241" t="b">
        <f>Age_Sex_PY[[#This Row],[Total Spending After Applying Truncation at the Member Level]]+Age_Sex_PY[[#This Row],[Total Dollars Excluded from Spending After Applying Truncation at the Member Level]]=Age_Sex_PY[[#This Row],[Total Spending before Truncation is Applied]]</f>
        <v>1</v>
      </c>
    </row>
    <row r="733" spans="1:10" x14ac:dyDescent="0.25">
      <c r="A733" s="339"/>
      <c r="B733" s="270"/>
      <c r="C733" s="271"/>
      <c r="D733" s="456"/>
      <c r="E733" s="362"/>
      <c r="F733" s="272"/>
      <c r="G733" s="460"/>
      <c r="H733" s="272"/>
      <c r="I733" s="399"/>
      <c r="J733" s="241" t="b">
        <f>Age_Sex_PY[[#This Row],[Total Spending After Applying Truncation at the Member Level]]+Age_Sex_PY[[#This Row],[Total Dollars Excluded from Spending After Applying Truncation at the Member Level]]=Age_Sex_PY[[#This Row],[Total Spending before Truncation is Applied]]</f>
        <v>1</v>
      </c>
    </row>
    <row r="734" spans="1:10" x14ac:dyDescent="0.25">
      <c r="A734" s="342"/>
      <c r="B734" s="4"/>
      <c r="C734" s="16"/>
      <c r="D734" s="457"/>
      <c r="E734" s="363"/>
      <c r="F734" s="273"/>
      <c r="G734" s="226"/>
      <c r="H734" s="273"/>
      <c r="I734" s="400"/>
      <c r="J734" s="241" t="b">
        <f>Age_Sex_PY[[#This Row],[Total Spending After Applying Truncation at the Member Level]]+Age_Sex_PY[[#This Row],[Total Dollars Excluded from Spending After Applying Truncation at the Member Level]]=Age_Sex_PY[[#This Row],[Total Spending before Truncation is Applied]]</f>
        <v>1</v>
      </c>
    </row>
    <row r="735" spans="1:10" x14ac:dyDescent="0.25">
      <c r="A735" s="339"/>
      <c r="B735" s="270"/>
      <c r="C735" s="271"/>
      <c r="D735" s="456"/>
      <c r="E735" s="362"/>
      <c r="F735" s="272"/>
      <c r="G735" s="460"/>
      <c r="H735" s="272"/>
      <c r="I735" s="399"/>
      <c r="J735" s="241" t="b">
        <f>Age_Sex_PY[[#This Row],[Total Spending After Applying Truncation at the Member Level]]+Age_Sex_PY[[#This Row],[Total Dollars Excluded from Spending After Applying Truncation at the Member Level]]=Age_Sex_PY[[#This Row],[Total Spending before Truncation is Applied]]</f>
        <v>1</v>
      </c>
    </row>
    <row r="736" spans="1:10" x14ac:dyDescent="0.25">
      <c r="A736" s="342"/>
      <c r="B736" s="4"/>
      <c r="C736" s="16"/>
      <c r="D736" s="457"/>
      <c r="E736" s="363"/>
      <c r="F736" s="273"/>
      <c r="G736" s="226"/>
      <c r="H736" s="273"/>
      <c r="I736" s="400"/>
      <c r="J736" s="241" t="b">
        <f>Age_Sex_PY[[#This Row],[Total Spending After Applying Truncation at the Member Level]]+Age_Sex_PY[[#This Row],[Total Dollars Excluded from Spending After Applying Truncation at the Member Level]]=Age_Sex_PY[[#This Row],[Total Spending before Truncation is Applied]]</f>
        <v>1</v>
      </c>
    </row>
    <row r="737" spans="1:10" x14ac:dyDescent="0.25">
      <c r="A737" s="339"/>
      <c r="B737" s="270"/>
      <c r="C737" s="271"/>
      <c r="D737" s="456"/>
      <c r="E737" s="362"/>
      <c r="F737" s="272"/>
      <c r="G737" s="460"/>
      <c r="H737" s="272"/>
      <c r="I737" s="399"/>
      <c r="J737" s="241" t="b">
        <f>Age_Sex_PY[[#This Row],[Total Spending After Applying Truncation at the Member Level]]+Age_Sex_PY[[#This Row],[Total Dollars Excluded from Spending After Applying Truncation at the Member Level]]=Age_Sex_PY[[#This Row],[Total Spending before Truncation is Applied]]</f>
        <v>1</v>
      </c>
    </row>
    <row r="738" spans="1:10" x14ac:dyDescent="0.25">
      <c r="A738" s="342"/>
      <c r="B738" s="4"/>
      <c r="C738" s="16"/>
      <c r="D738" s="457"/>
      <c r="E738" s="363"/>
      <c r="F738" s="273"/>
      <c r="G738" s="226"/>
      <c r="H738" s="273"/>
      <c r="I738" s="400"/>
      <c r="J738" s="241" t="b">
        <f>Age_Sex_PY[[#This Row],[Total Spending After Applying Truncation at the Member Level]]+Age_Sex_PY[[#This Row],[Total Dollars Excluded from Spending After Applying Truncation at the Member Level]]=Age_Sex_PY[[#This Row],[Total Spending before Truncation is Applied]]</f>
        <v>1</v>
      </c>
    </row>
    <row r="739" spans="1:10" x14ac:dyDescent="0.25">
      <c r="A739" s="339"/>
      <c r="B739" s="270"/>
      <c r="C739" s="271"/>
      <c r="D739" s="456"/>
      <c r="E739" s="362"/>
      <c r="F739" s="272"/>
      <c r="G739" s="460"/>
      <c r="H739" s="272"/>
      <c r="I739" s="399"/>
      <c r="J739" s="241" t="b">
        <f>Age_Sex_PY[[#This Row],[Total Spending After Applying Truncation at the Member Level]]+Age_Sex_PY[[#This Row],[Total Dollars Excluded from Spending After Applying Truncation at the Member Level]]=Age_Sex_PY[[#This Row],[Total Spending before Truncation is Applied]]</f>
        <v>1</v>
      </c>
    </row>
    <row r="740" spans="1:10" x14ac:dyDescent="0.25">
      <c r="A740" s="342"/>
      <c r="B740" s="4"/>
      <c r="C740" s="16"/>
      <c r="D740" s="457"/>
      <c r="E740" s="363"/>
      <c r="F740" s="273"/>
      <c r="G740" s="226"/>
      <c r="H740" s="273"/>
      <c r="I740" s="400"/>
      <c r="J740" s="241" t="b">
        <f>Age_Sex_PY[[#This Row],[Total Spending After Applying Truncation at the Member Level]]+Age_Sex_PY[[#This Row],[Total Dollars Excluded from Spending After Applying Truncation at the Member Level]]=Age_Sex_PY[[#This Row],[Total Spending before Truncation is Applied]]</f>
        <v>1</v>
      </c>
    </row>
    <row r="741" spans="1:10" x14ac:dyDescent="0.25">
      <c r="A741" s="339"/>
      <c r="B741" s="270"/>
      <c r="C741" s="271"/>
      <c r="D741" s="456"/>
      <c r="E741" s="362"/>
      <c r="F741" s="272"/>
      <c r="G741" s="460"/>
      <c r="H741" s="272"/>
      <c r="I741" s="399"/>
      <c r="J741" s="241" t="b">
        <f>Age_Sex_PY[[#This Row],[Total Spending After Applying Truncation at the Member Level]]+Age_Sex_PY[[#This Row],[Total Dollars Excluded from Spending After Applying Truncation at the Member Level]]=Age_Sex_PY[[#This Row],[Total Spending before Truncation is Applied]]</f>
        <v>1</v>
      </c>
    </row>
    <row r="742" spans="1:10" x14ac:dyDescent="0.25">
      <c r="A742" s="342"/>
      <c r="B742" s="4"/>
      <c r="C742" s="16"/>
      <c r="D742" s="457"/>
      <c r="E742" s="363"/>
      <c r="F742" s="273"/>
      <c r="G742" s="226"/>
      <c r="H742" s="273"/>
      <c r="I742" s="400"/>
      <c r="J742" s="241" t="b">
        <f>Age_Sex_PY[[#This Row],[Total Spending After Applying Truncation at the Member Level]]+Age_Sex_PY[[#This Row],[Total Dollars Excluded from Spending After Applying Truncation at the Member Level]]=Age_Sex_PY[[#This Row],[Total Spending before Truncation is Applied]]</f>
        <v>1</v>
      </c>
    </row>
    <row r="743" spans="1:10" x14ac:dyDescent="0.25">
      <c r="A743" s="339"/>
      <c r="B743" s="270"/>
      <c r="C743" s="271"/>
      <c r="D743" s="456"/>
      <c r="E743" s="362"/>
      <c r="F743" s="272"/>
      <c r="G743" s="460"/>
      <c r="H743" s="272"/>
      <c r="I743" s="399"/>
      <c r="J743" s="241" t="b">
        <f>Age_Sex_PY[[#This Row],[Total Spending After Applying Truncation at the Member Level]]+Age_Sex_PY[[#This Row],[Total Dollars Excluded from Spending After Applying Truncation at the Member Level]]=Age_Sex_PY[[#This Row],[Total Spending before Truncation is Applied]]</f>
        <v>1</v>
      </c>
    </row>
    <row r="744" spans="1:10" x14ac:dyDescent="0.25">
      <c r="A744" s="342"/>
      <c r="B744" s="4"/>
      <c r="C744" s="16"/>
      <c r="D744" s="457"/>
      <c r="E744" s="363"/>
      <c r="F744" s="273"/>
      <c r="G744" s="226"/>
      <c r="H744" s="273"/>
      <c r="I744" s="400"/>
      <c r="J744" s="241" t="b">
        <f>Age_Sex_PY[[#This Row],[Total Spending After Applying Truncation at the Member Level]]+Age_Sex_PY[[#This Row],[Total Dollars Excluded from Spending After Applying Truncation at the Member Level]]=Age_Sex_PY[[#This Row],[Total Spending before Truncation is Applied]]</f>
        <v>1</v>
      </c>
    </row>
    <row r="745" spans="1:10" x14ac:dyDescent="0.25">
      <c r="A745" s="339"/>
      <c r="B745" s="270"/>
      <c r="C745" s="271"/>
      <c r="D745" s="456"/>
      <c r="E745" s="362"/>
      <c r="F745" s="272"/>
      <c r="G745" s="460"/>
      <c r="H745" s="272"/>
      <c r="I745" s="399"/>
      <c r="J745" s="241" t="b">
        <f>Age_Sex_PY[[#This Row],[Total Spending After Applying Truncation at the Member Level]]+Age_Sex_PY[[#This Row],[Total Dollars Excluded from Spending After Applying Truncation at the Member Level]]=Age_Sex_PY[[#This Row],[Total Spending before Truncation is Applied]]</f>
        <v>1</v>
      </c>
    </row>
    <row r="746" spans="1:10" x14ac:dyDescent="0.25">
      <c r="A746" s="342"/>
      <c r="B746" s="4"/>
      <c r="C746" s="16"/>
      <c r="D746" s="457"/>
      <c r="E746" s="363"/>
      <c r="F746" s="273"/>
      <c r="G746" s="226"/>
      <c r="H746" s="273"/>
      <c r="I746" s="400"/>
      <c r="J746" s="241" t="b">
        <f>Age_Sex_PY[[#This Row],[Total Spending After Applying Truncation at the Member Level]]+Age_Sex_PY[[#This Row],[Total Dollars Excluded from Spending After Applying Truncation at the Member Level]]=Age_Sex_PY[[#This Row],[Total Spending before Truncation is Applied]]</f>
        <v>1</v>
      </c>
    </row>
    <row r="747" spans="1:10" x14ac:dyDescent="0.25">
      <c r="A747" s="339"/>
      <c r="B747" s="270"/>
      <c r="C747" s="271"/>
      <c r="D747" s="456"/>
      <c r="E747" s="362"/>
      <c r="F747" s="272"/>
      <c r="G747" s="460"/>
      <c r="H747" s="272"/>
      <c r="I747" s="399"/>
      <c r="J747" s="241" t="b">
        <f>Age_Sex_PY[[#This Row],[Total Spending After Applying Truncation at the Member Level]]+Age_Sex_PY[[#This Row],[Total Dollars Excluded from Spending After Applying Truncation at the Member Level]]=Age_Sex_PY[[#This Row],[Total Spending before Truncation is Applied]]</f>
        <v>1</v>
      </c>
    </row>
    <row r="748" spans="1:10" x14ac:dyDescent="0.25">
      <c r="A748" s="342"/>
      <c r="B748" s="4"/>
      <c r="C748" s="16"/>
      <c r="D748" s="457"/>
      <c r="E748" s="363"/>
      <c r="F748" s="273"/>
      <c r="G748" s="226"/>
      <c r="H748" s="273"/>
      <c r="I748" s="400"/>
      <c r="J748" s="241" t="b">
        <f>Age_Sex_PY[[#This Row],[Total Spending After Applying Truncation at the Member Level]]+Age_Sex_PY[[#This Row],[Total Dollars Excluded from Spending After Applying Truncation at the Member Level]]=Age_Sex_PY[[#This Row],[Total Spending before Truncation is Applied]]</f>
        <v>1</v>
      </c>
    </row>
    <row r="749" spans="1:10" x14ac:dyDescent="0.25">
      <c r="A749" s="339"/>
      <c r="B749" s="270"/>
      <c r="C749" s="271"/>
      <c r="D749" s="456"/>
      <c r="E749" s="362"/>
      <c r="F749" s="272"/>
      <c r="G749" s="460"/>
      <c r="H749" s="272"/>
      <c r="I749" s="399"/>
      <c r="J749" s="241" t="b">
        <f>Age_Sex_PY[[#This Row],[Total Spending After Applying Truncation at the Member Level]]+Age_Sex_PY[[#This Row],[Total Dollars Excluded from Spending After Applying Truncation at the Member Level]]=Age_Sex_PY[[#This Row],[Total Spending before Truncation is Applied]]</f>
        <v>1</v>
      </c>
    </row>
    <row r="750" spans="1:10" x14ac:dyDescent="0.25">
      <c r="A750" s="342"/>
      <c r="B750" s="4"/>
      <c r="C750" s="16"/>
      <c r="D750" s="457"/>
      <c r="E750" s="363"/>
      <c r="F750" s="273"/>
      <c r="G750" s="226"/>
      <c r="H750" s="273"/>
      <c r="I750" s="400"/>
      <c r="J750" s="241" t="b">
        <f>Age_Sex_PY[[#This Row],[Total Spending After Applying Truncation at the Member Level]]+Age_Sex_PY[[#This Row],[Total Dollars Excluded from Spending After Applying Truncation at the Member Level]]=Age_Sex_PY[[#This Row],[Total Spending before Truncation is Applied]]</f>
        <v>1</v>
      </c>
    </row>
    <row r="751" spans="1:10" x14ac:dyDescent="0.25">
      <c r="A751" s="339"/>
      <c r="B751" s="270"/>
      <c r="C751" s="271"/>
      <c r="D751" s="456"/>
      <c r="E751" s="362"/>
      <c r="F751" s="272"/>
      <c r="G751" s="460"/>
      <c r="H751" s="272"/>
      <c r="I751" s="399"/>
      <c r="J751" s="241" t="b">
        <f>Age_Sex_PY[[#This Row],[Total Spending After Applying Truncation at the Member Level]]+Age_Sex_PY[[#This Row],[Total Dollars Excluded from Spending After Applying Truncation at the Member Level]]=Age_Sex_PY[[#This Row],[Total Spending before Truncation is Applied]]</f>
        <v>1</v>
      </c>
    </row>
    <row r="752" spans="1:10" x14ac:dyDescent="0.25">
      <c r="A752" s="342"/>
      <c r="B752" s="4"/>
      <c r="C752" s="16"/>
      <c r="D752" s="457"/>
      <c r="E752" s="363"/>
      <c r="F752" s="273"/>
      <c r="G752" s="226"/>
      <c r="H752" s="273"/>
      <c r="I752" s="400"/>
      <c r="J752" s="241" t="b">
        <f>Age_Sex_PY[[#This Row],[Total Spending After Applying Truncation at the Member Level]]+Age_Sex_PY[[#This Row],[Total Dollars Excluded from Spending After Applying Truncation at the Member Level]]=Age_Sex_PY[[#This Row],[Total Spending before Truncation is Applied]]</f>
        <v>1</v>
      </c>
    </row>
    <row r="753" spans="1:10" x14ac:dyDescent="0.25">
      <c r="A753" s="339"/>
      <c r="B753" s="270"/>
      <c r="C753" s="271"/>
      <c r="D753" s="456"/>
      <c r="E753" s="362"/>
      <c r="F753" s="272"/>
      <c r="G753" s="460"/>
      <c r="H753" s="272"/>
      <c r="I753" s="399"/>
      <c r="J753" s="241" t="b">
        <f>Age_Sex_PY[[#This Row],[Total Spending After Applying Truncation at the Member Level]]+Age_Sex_PY[[#This Row],[Total Dollars Excluded from Spending After Applying Truncation at the Member Level]]=Age_Sex_PY[[#This Row],[Total Spending before Truncation is Applied]]</f>
        <v>1</v>
      </c>
    </row>
    <row r="754" spans="1:10" x14ac:dyDescent="0.25">
      <c r="A754" s="342"/>
      <c r="B754" s="4"/>
      <c r="C754" s="16"/>
      <c r="D754" s="457"/>
      <c r="E754" s="363"/>
      <c r="F754" s="273"/>
      <c r="G754" s="226"/>
      <c r="H754" s="273"/>
      <c r="I754" s="400"/>
      <c r="J754" s="241" t="b">
        <f>Age_Sex_PY[[#This Row],[Total Spending After Applying Truncation at the Member Level]]+Age_Sex_PY[[#This Row],[Total Dollars Excluded from Spending After Applying Truncation at the Member Level]]=Age_Sex_PY[[#This Row],[Total Spending before Truncation is Applied]]</f>
        <v>1</v>
      </c>
    </row>
    <row r="755" spans="1:10" x14ac:dyDescent="0.25">
      <c r="A755" s="339"/>
      <c r="B755" s="270"/>
      <c r="C755" s="271"/>
      <c r="D755" s="456"/>
      <c r="E755" s="362"/>
      <c r="F755" s="272"/>
      <c r="G755" s="460"/>
      <c r="H755" s="272"/>
      <c r="I755" s="399"/>
      <c r="J755" s="241" t="b">
        <f>Age_Sex_PY[[#This Row],[Total Spending After Applying Truncation at the Member Level]]+Age_Sex_PY[[#This Row],[Total Dollars Excluded from Spending After Applying Truncation at the Member Level]]=Age_Sex_PY[[#This Row],[Total Spending before Truncation is Applied]]</f>
        <v>1</v>
      </c>
    </row>
    <row r="756" spans="1:10" x14ac:dyDescent="0.25">
      <c r="A756" s="342"/>
      <c r="B756" s="4"/>
      <c r="C756" s="16"/>
      <c r="D756" s="457"/>
      <c r="E756" s="363"/>
      <c r="F756" s="273"/>
      <c r="G756" s="226"/>
      <c r="H756" s="273"/>
      <c r="I756" s="400"/>
      <c r="J756" s="241" t="b">
        <f>Age_Sex_PY[[#This Row],[Total Spending After Applying Truncation at the Member Level]]+Age_Sex_PY[[#This Row],[Total Dollars Excluded from Spending After Applying Truncation at the Member Level]]=Age_Sex_PY[[#This Row],[Total Spending before Truncation is Applied]]</f>
        <v>1</v>
      </c>
    </row>
    <row r="757" spans="1:10" x14ac:dyDescent="0.25">
      <c r="A757" s="339"/>
      <c r="B757" s="270"/>
      <c r="C757" s="271"/>
      <c r="D757" s="456"/>
      <c r="E757" s="362"/>
      <c r="F757" s="272"/>
      <c r="G757" s="460"/>
      <c r="H757" s="272"/>
      <c r="I757" s="399"/>
      <c r="J757" s="241" t="b">
        <f>Age_Sex_PY[[#This Row],[Total Spending After Applying Truncation at the Member Level]]+Age_Sex_PY[[#This Row],[Total Dollars Excluded from Spending After Applying Truncation at the Member Level]]=Age_Sex_PY[[#This Row],[Total Spending before Truncation is Applied]]</f>
        <v>1</v>
      </c>
    </row>
    <row r="758" spans="1:10" x14ac:dyDescent="0.25">
      <c r="A758" s="342"/>
      <c r="B758" s="4"/>
      <c r="C758" s="16"/>
      <c r="D758" s="457"/>
      <c r="E758" s="363"/>
      <c r="F758" s="273"/>
      <c r="G758" s="226"/>
      <c r="H758" s="273"/>
      <c r="I758" s="400"/>
      <c r="J758" s="241" t="b">
        <f>Age_Sex_PY[[#This Row],[Total Spending After Applying Truncation at the Member Level]]+Age_Sex_PY[[#This Row],[Total Dollars Excluded from Spending After Applying Truncation at the Member Level]]=Age_Sex_PY[[#This Row],[Total Spending before Truncation is Applied]]</f>
        <v>1</v>
      </c>
    </row>
    <row r="759" spans="1:10" x14ac:dyDescent="0.25">
      <c r="A759" s="339"/>
      <c r="B759" s="270"/>
      <c r="C759" s="271"/>
      <c r="D759" s="456"/>
      <c r="E759" s="362"/>
      <c r="F759" s="272"/>
      <c r="G759" s="460"/>
      <c r="H759" s="272"/>
      <c r="I759" s="399"/>
      <c r="J759" s="241" t="b">
        <f>Age_Sex_PY[[#This Row],[Total Spending After Applying Truncation at the Member Level]]+Age_Sex_PY[[#This Row],[Total Dollars Excluded from Spending After Applying Truncation at the Member Level]]=Age_Sex_PY[[#This Row],[Total Spending before Truncation is Applied]]</f>
        <v>1</v>
      </c>
    </row>
    <row r="760" spans="1:10" x14ac:dyDescent="0.25">
      <c r="A760" s="342"/>
      <c r="B760" s="4"/>
      <c r="C760" s="16"/>
      <c r="D760" s="457"/>
      <c r="E760" s="363"/>
      <c r="F760" s="273"/>
      <c r="G760" s="226"/>
      <c r="H760" s="273"/>
      <c r="I760" s="400"/>
      <c r="J760" s="241" t="b">
        <f>Age_Sex_PY[[#This Row],[Total Spending After Applying Truncation at the Member Level]]+Age_Sex_PY[[#This Row],[Total Dollars Excluded from Spending After Applying Truncation at the Member Level]]=Age_Sex_PY[[#This Row],[Total Spending before Truncation is Applied]]</f>
        <v>1</v>
      </c>
    </row>
    <row r="761" spans="1:10" x14ac:dyDescent="0.25">
      <c r="A761" s="339"/>
      <c r="B761" s="270"/>
      <c r="C761" s="271"/>
      <c r="D761" s="456"/>
      <c r="E761" s="362"/>
      <c r="F761" s="272"/>
      <c r="G761" s="460"/>
      <c r="H761" s="272"/>
      <c r="I761" s="399"/>
      <c r="J761" s="241" t="b">
        <f>Age_Sex_PY[[#This Row],[Total Spending After Applying Truncation at the Member Level]]+Age_Sex_PY[[#This Row],[Total Dollars Excluded from Spending After Applying Truncation at the Member Level]]=Age_Sex_PY[[#This Row],[Total Spending before Truncation is Applied]]</f>
        <v>1</v>
      </c>
    </row>
    <row r="762" spans="1:10" x14ac:dyDescent="0.25">
      <c r="A762" s="342"/>
      <c r="B762" s="4"/>
      <c r="C762" s="16"/>
      <c r="D762" s="457"/>
      <c r="E762" s="363"/>
      <c r="F762" s="273"/>
      <c r="G762" s="226"/>
      <c r="H762" s="273"/>
      <c r="I762" s="400"/>
      <c r="J762" s="241" t="b">
        <f>Age_Sex_PY[[#This Row],[Total Spending After Applying Truncation at the Member Level]]+Age_Sex_PY[[#This Row],[Total Dollars Excluded from Spending After Applying Truncation at the Member Level]]=Age_Sex_PY[[#This Row],[Total Spending before Truncation is Applied]]</f>
        <v>1</v>
      </c>
    </row>
    <row r="763" spans="1:10" x14ac:dyDescent="0.25">
      <c r="A763" s="339"/>
      <c r="B763" s="270"/>
      <c r="C763" s="271"/>
      <c r="D763" s="456"/>
      <c r="E763" s="362"/>
      <c r="F763" s="272"/>
      <c r="G763" s="460"/>
      <c r="H763" s="272"/>
      <c r="I763" s="399"/>
      <c r="J763" s="241" t="b">
        <f>Age_Sex_PY[[#This Row],[Total Spending After Applying Truncation at the Member Level]]+Age_Sex_PY[[#This Row],[Total Dollars Excluded from Spending After Applying Truncation at the Member Level]]=Age_Sex_PY[[#This Row],[Total Spending before Truncation is Applied]]</f>
        <v>1</v>
      </c>
    </row>
    <row r="764" spans="1:10" x14ac:dyDescent="0.25">
      <c r="A764" s="342"/>
      <c r="B764" s="4"/>
      <c r="C764" s="16"/>
      <c r="D764" s="457"/>
      <c r="E764" s="363"/>
      <c r="F764" s="273"/>
      <c r="G764" s="226"/>
      <c r="H764" s="273"/>
      <c r="I764" s="400"/>
      <c r="J764" s="241" t="b">
        <f>Age_Sex_PY[[#This Row],[Total Spending After Applying Truncation at the Member Level]]+Age_Sex_PY[[#This Row],[Total Dollars Excluded from Spending After Applying Truncation at the Member Level]]=Age_Sex_PY[[#This Row],[Total Spending before Truncation is Applied]]</f>
        <v>1</v>
      </c>
    </row>
    <row r="765" spans="1:10" x14ac:dyDescent="0.25">
      <c r="A765" s="339"/>
      <c r="B765" s="270"/>
      <c r="C765" s="271"/>
      <c r="D765" s="456"/>
      <c r="E765" s="362"/>
      <c r="F765" s="272"/>
      <c r="G765" s="460"/>
      <c r="H765" s="272"/>
      <c r="I765" s="399"/>
      <c r="J765" s="241" t="b">
        <f>Age_Sex_PY[[#This Row],[Total Spending After Applying Truncation at the Member Level]]+Age_Sex_PY[[#This Row],[Total Dollars Excluded from Spending After Applying Truncation at the Member Level]]=Age_Sex_PY[[#This Row],[Total Spending before Truncation is Applied]]</f>
        <v>1</v>
      </c>
    </row>
    <row r="766" spans="1:10" x14ac:dyDescent="0.25">
      <c r="A766" s="342"/>
      <c r="B766" s="4"/>
      <c r="C766" s="16"/>
      <c r="D766" s="457"/>
      <c r="E766" s="363"/>
      <c r="F766" s="273"/>
      <c r="G766" s="226"/>
      <c r="H766" s="273"/>
      <c r="I766" s="400"/>
      <c r="J766" s="241" t="b">
        <f>Age_Sex_PY[[#This Row],[Total Spending After Applying Truncation at the Member Level]]+Age_Sex_PY[[#This Row],[Total Dollars Excluded from Spending After Applying Truncation at the Member Level]]=Age_Sex_PY[[#This Row],[Total Spending before Truncation is Applied]]</f>
        <v>1</v>
      </c>
    </row>
    <row r="767" spans="1:10" x14ac:dyDescent="0.25">
      <c r="A767" s="339"/>
      <c r="B767" s="270"/>
      <c r="C767" s="271"/>
      <c r="D767" s="456"/>
      <c r="E767" s="362"/>
      <c r="F767" s="272"/>
      <c r="G767" s="460"/>
      <c r="H767" s="272"/>
      <c r="I767" s="399"/>
      <c r="J767" s="241" t="b">
        <f>Age_Sex_PY[[#This Row],[Total Spending After Applying Truncation at the Member Level]]+Age_Sex_PY[[#This Row],[Total Dollars Excluded from Spending After Applying Truncation at the Member Level]]=Age_Sex_PY[[#This Row],[Total Spending before Truncation is Applied]]</f>
        <v>1</v>
      </c>
    </row>
    <row r="768" spans="1:10" x14ac:dyDescent="0.25">
      <c r="A768" s="342"/>
      <c r="B768" s="4"/>
      <c r="C768" s="16"/>
      <c r="D768" s="457"/>
      <c r="E768" s="363"/>
      <c r="F768" s="273"/>
      <c r="G768" s="226"/>
      <c r="H768" s="273"/>
      <c r="I768" s="400"/>
      <c r="J768" s="241" t="b">
        <f>Age_Sex_PY[[#This Row],[Total Spending After Applying Truncation at the Member Level]]+Age_Sex_PY[[#This Row],[Total Dollars Excluded from Spending After Applying Truncation at the Member Level]]=Age_Sex_PY[[#This Row],[Total Spending before Truncation is Applied]]</f>
        <v>1</v>
      </c>
    </row>
    <row r="769" spans="1:10" x14ac:dyDescent="0.25">
      <c r="A769" s="339"/>
      <c r="B769" s="270"/>
      <c r="C769" s="271"/>
      <c r="D769" s="456"/>
      <c r="E769" s="362"/>
      <c r="F769" s="272"/>
      <c r="G769" s="460"/>
      <c r="H769" s="272"/>
      <c r="I769" s="399"/>
      <c r="J769" s="241" t="b">
        <f>Age_Sex_PY[[#This Row],[Total Spending After Applying Truncation at the Member Level]]+Age_Sex_PY[[#This Row],[Total Dollars Excluded from Spending After Applying Truncation at the Member Level]]=Age_Sex_PY[[#This Row],[Total Spending before Truncation is Applied]]</f>
        <v>1</v>
      </c>
    </row>
    <row r="770" spans="1:10" x14ac:dyDescent="0.25">
      <c r="A770" s="342"/>
      <c r="B770" s="4"/>
      <c r="C770" s="16"/>
      <c r="D770" s="457"/>
      <c r="E770" s="363"/>
      <c r="F770" s="273"/>
      <c r="G770" s="226"/>
      <c r="H770" s="273"/>
      <c r="I770" s="400"/>
      <c r="J770" s="241" t="b">
        <f>Age_Sex_PY[[#This Row],[Total Spending After Applying Truncation at the Member Level]]+Age_Sex_PY[[#This Row],[Total Dollars Excluded from Spending After Applying Truncation at the Member Level]]=Age_Sex_PY[[#This Row],[Total Spending before Truncation is Applied]]</f>
        <v>1</v>
      </c>
    </row>
    <row r="771" spans="1:10" x14ac:dyDescent="0.25">
      <c r="A771" s="339"/>
      <c r="B771" s="270"/>
      <c r="C771" s="271"/>
      <c r="D771" s="456"/>
      <c r="E771" s="362"/>
      <c r="F771" s="272"/>
      <c r="G771" s="460"/>
      <c r="H771" s="272"/>
      <c r="I771" s="399"/>
      <c r="J771" s="241" t="b">
        <f>Age_Sex_PY[[#This Row],[Total Spending After Applying Truncation at the Member Level]]+Age_Sex_PY[[#This Row],[Total Dollars Excluded from Spending After Applying Truncation at the Member Level]]=Age_Sex_PY[[#This Row],[Total Spending before Truncation is Applied]]</f>
        <v>1</v>
      </c>
    </row>
    <row r="772" spans="1:10" x14ac:dyDescent="0.25">
      <c r="A772" s="342"/>
      <c r="B772" s="4"/>
      <c r="C772" s="16"/>
      <c r="D772" s="457"/>
      <c r="E772" s="363"/>
      <c r="F772" s="273"/>
      <c r="G772" s="226"/>
      <c r="H772" s="273"/>
      <c r="I772" s="400"/>
      <c r="J772" s="241" t="b">
        <f>Age_Sex_PY[[#This Row],[Total Spending After Applying Truncation at the Member Level]]+Age_Sex_PY[[#This Row],[Total Dollars Excluded from Spending After Applying Truncation at the Member Level]]=Age_Sex_PY[[#This Row],[Total Spending before Truncation is Applied]]</f>
        <v>1</v>
      </c>
    </row>
    <row r="773" spans="1:10" x14ac:dyDescent="0.25">
      <c r="A773" s="339"/>
      <c r="B773" s="270"/>
      <c r="C773" s="271"/>
      <c r="D773" s="456"/>
      <c r="E773" s="362"/>
      <c r="F773" s="272"/>
      <c r="G773" s="460"/>
      <c r="H773" s="272"/>
      <c r="I773" s="399"/>
      <c r="J773" s="241" t="b">
        <f>Age_Sex_PY[[#This Row],[Total Spending After Applying Truncation at the Member Level]]+Age_Sex_PY[[#This Row],[Total Dollars Excluded from Spending After Applying Truncation at the Member Level]]=Age_Sex_PY[[#This Row],[Total Spending before Truncation is Applied]]</f>
        <v>1</v>
      </c>
    </row>
    <row r="774" spans="1:10" x14ac:dyDescent="0.25">
      <c r="A774" s="342"/>
      <c r="B774" s="4"/>
      <c r="C774" s="16"/>
      <c r="D774" s="457"/>
      <c r="E774" s="363"/>
      <c r="F774" s="273"/>
      <c r="G774" s="226"/>
      <c r="H774" s="273"/>
      <c r="I774" s="400"/>
      <c r="J774" s="241" t="b">
        <f>Age_Sex_PY[[#This Row],[Total Spending After Applying Truncation at the Member Level]]+Age_Sex_PY[[#This Row],[Total Dollars Excluded from Spending After Applying Truncation at the Member Level]]=Age_Sex_PY[[#This Row],[Total Spending before Truncation is Applied]]</f>
        <v>1</v>
      </c>
    </row>
    <row r="775" spans="1:10" x14ac:dyDescent="0.25">
      <c r="A775" s="339"/>
      <c r="B775" s="270"/>
      <c r="C775" s="271"/>
      <c r="D775" s="456"/>
      <c r="E775" s="362"/>
      <c r="F775" s="272"/>
      <c r="G775" s="460"/>
      <c r="H775" s="272"/>
      <c r="I775" s="399"/>
      <c r="J775" s="241" t="b">
        <f>Age_Sex_PY[[#This Row],[Total Spending After Applying Truncation at the Member Level]]+Age_Sex_PY[[#This Row],[Total Dollars Excluded from Spending After Applying Truncation at the Member Level]]=Age_Sex_PY[[#This Row],[Total Spending before Truncation is Applied]]</f>
        <v>1</v>
      </c>
    </row>
    <row r="776" spans="1:10" x14ac:dyDescent="0.25">
      <c r="A776" s="342"/>
      <c r="B776" s="4"/>
      <c r="C776" s="16"/>
      <c r="D776" s="457"/>
      <c r="E776" s="363"/>
      <c r="F776" s="273"/>
      <c r="G776" s="226"/>
      <c r="H776" s="273"/>
      <c r="I776" s="400"/>
      <c r="J776" s="241" t="b">
        <f>Age_Sex_PY[[#This Row],[Total Spending After Applying Truncation at the Member Level]]+Age_Sex_PY[[#This Row],[Total Dollars Excluded from Spending After Applying Truncation at the Member Level]]=Age_Sex_PY[[#This Row],[Total Spending before Truncation is Applied]]</f>
        <v>1</v>
      </c>
    </row>
    <row r="777" spans="1:10" x14ac:dyDescent="0.25">
      <c r="A777" s="339"/>
      <c r="B777" s="270"/>
      <c r="C777" s="271"/>
      <c r="D777" s="456"/>
      <c r="E777" s="362"/>
      <c r="F777" s="272"/>
      <c r="G777" s="460"/>
      <c r="H777" s="272"/>
      <c r="I777" s="399"/>
      <c r="J777" s="241" t="b">
        <f>Age_Sex_PY[[#This Row],[Total Spending After Applying Truncation at the Member Level]]+Age_Sex_PY[[#This Row],[Total Dollars Excluded from Spending After Applying Truncation at the Member Level]]=Age_Sex_PY[[#This Row],[Total Spending before Truncation is Applied]]</f>
        <v>1</v>
      </c>
    </row>
    <row r="778" spans="1:10" x14ac:dyDescent="0.25">
      <c r="A778" s="342"/>
      <c r="B778" s="4"/>
      <c r="C778" s="16"/>
      <c r="D778" s="457"/>
      <c r="E778" s="363"/>
      <c r="F778" s="273"/>
      <c r="G778" s="226"/>
      <c r="H778" s="273"/>
      <c r="I778" s="400"/>
      <c r="J778" s="241" t="b">
        <f>Age_Sex_PY[[#This Row],[Total Spending After Applying Truncation at the Member Level]]+Age_Sex_PY[[#This Row],[Total Dollars Excluded from Spending After Applying Truncation at the Member Level]]=Age_Sex_PY[[#This Row],[Total Spending before Truncation is Applied]]</f>
        <v>1</v>
      </c>
    </row>
    <row r="779" spans="1:10" x14ac:dyDescent="0.25">
      <c r="A779" s="339"/>
      <c r="B779" s="270"/>
      <c r="C779" s="271"/>
      <c r="D779" s="456"/>
      <c r="E779" s="362"/>
      <c r="F779" s="272"/>
      <c r="G779" s="460"/>
      <c r="H779" s="272"/>
      <c r="I779" s="399"/>
      <c r="J779" s="241" t="b">
        <f>Age_Sex_PY[[#This Row],[Total Spending After Applying Truncation at the Member Level]]+Age_Sex_PY[[#This Row],[Total Dollars Excluded from Spending After Applying Truncation at the Member Level]]=Age_Sex_PY[[#This Row],[Total Spending before Truncation is Applied]]</f>
        <v>1</v>
      </c>
    </row>
    <row r="780" spans="1:10" x14ac:dyDescent="0.25">
      <c r="A780" s="342"/>
      <c r="B780" s="4"/>
      <c r="C780" s="16"/>
      <c r="D780" s="457"/>
      <c r="E780" s="363"/>
      <c r="F780" s="273"/>
      <c r="G780" s="226"/>
      <c r="H780" s="273"/>
      <c r="I780" s="400"/>
      <c r="J780" s="241" t="b">
        <f>Age_Sex_PY[[#This Row],[Total Spending After Applying Truncation at the Member Level]]+Age_Sex_PY[[#This Row],[Total Dollars Excluded from Spending After Applying Truncation at the Member Level]]=Age_Sex_PY[[#This Row],[Total Spending before Truncation is Applied]]</f>
        <v>1</v>
      </c>
    </row>
    <row r="781" spans="1:10" x14ac:dyDescent="0.25">
      <c r="A781" s="339"/>
      <c r="B781" s="270"/>
      <c r="C781" s="271"/>
      <c r="D781" s="456"/>
      <c r="E781" s="362"/>
      <c r="F781" s="272"/>
      <c r="G781" s="460"/>
      <c r="H781" s="272"/>
      <c r="I781" s="399"/>
      <c r="J781" s="241" t="b">
        <f>Age_Sex_PY[[#This Row],[Total Spending After Applying Truncation at the Member Level]]+Age_Sex_PY[[#This Row],[Total Dollars Excluded from Spending After Applying Truncation at the Member Level]]=Age_Sex_PY[[#This Row],[Total Spending before Truncation is Applied]]</f>
        <v>1</v>
      </c>
    </row>
    <row r="782" spans="1:10" x14ac:dyDescent="0.25">
      <c r="A782" s="342"/>
      <c r="B782" s="4"/>
      <c r="C782" s="16"/>
      <c r="D782" s="457"/>
      <c r="E782" s="363"/>
      <c r="F782" s="273"/>
      <c r="G782" s="226"/>
      <c r="H782" s="273"/>
      <c r="I782" s="400"/>
      <c r="J782" s="241" t="b">
        <f>Age_Sex_PY[[#This Row],[Total Spending After Applying Truncation at the Member Level]]+Age_Sex_PY[[#This Row],[Total Dollars Excluded from Spending After Applying Truncation at the Member Level]]=Age_Sex_PY[[#This Row],[Total Spending before Truncation is Applied]]</f>
        <v>1</v>
      </c>
    </row>
    <row r="783" spans="1:10" x14ac:dyDescent="0.25">
      <c r="A783" s="339"/>
      <c r="B783" s="270"/>
      <c r="C783" s="271"/>
      <c r="D783" s="456"/>
      <c r="E783" s="362"/>
      <c r="F783" s="272"/>
      <c r="G783" s="460"/>
      <c r="H783" s="272"/>
      <c r="I783" s="399"/>
      <c r="J783" s="241" t="b">
        <f>Age_Sex_PY[[#This Row],[Total Spending After Applying Truncation at the Member Level]]+Age_Sex_PY[[#This Row],[Total Dollars Excluded from Spending After Applying Truncation at the Member Level]]=Age_Sex_PY[[#This Row],[Total Spending before Truncation is Applied]]</f>
        <v>1</v>
      </c>
    </row>
    <row r="784" spans="1:10" x14ac:dyDescent="0.25">
      <c r="A784" s="342"/>
      <c r="B784" s="4"/>
      <c r="C784" s="16"/>
      <c r="D784" s="457"/>
      <c r="E784" s="363"/>
      <c r="F784" s="273"/>
      <c r="G784" s="226"/>
      <c r="H784" s="273"/>
      <c r="I784" s="400"/>
      <c r="J784" s="241" t="b">
        <f>Age_Sex_PY[[#This Row],[Total Spending After Applying Truncation at the Member Level]]+Age_Sex_PY[[#This Row],[Total Dollars Excluded from Spending After Applying Truncation at the Member Level]]=Age_Sex_PY[[#This Row],[Total Spending before Truncation is Applied]]</f>
        <v>1</v>
      </c>
    </row>
    <row r="785" spans="1:10" x14ac:dyDescent="0.25">
      <c r="A785" s="339"/>
      <c r="B785" s="270"/>
      <c r="C785" s="271"/>
      <c r="D785" s="456"/>
      <c r="E785" s="362"/>
      <c r="F785" s="272"/>
      <c r="G785" s="460"/>
      <c r="H785" s="272"/>
      <c r="I785" s="399"/>
      <c r="J785" s="241" t="b">
        <f>Age_Sex_PY[[#This Row],[Total Spending After Applying Truncation at the Member Level]]+Age_Sex_PY[[#This Row],[Total Dollars Excluded from Spending After Applying Truncation at the Member Level]]=Age_Sex_PY[[#This Row],[Total Spending before Truncation is Applied]]</f>
        <v>1</v>
      </c>
    </row>
    <row r="786" spans="1:10" x14ac:dyDescent="0.25">
      <c r="A786" s="342"/>
      <c r="B786" s="4"/>
      <c r="C786" s="16"/>
      <c r="D786" s="457"/>
      <c r="E786" s="363"/>
      <c r="F786" s="273"/>
      <c r="G786" s="226"/>
      <c r="H786" s="273"/>
      <c r="I786" s="400"/>
      <c r="J786" s="241" t="b">
        <f>Age_Sex_PY[[#This Row],[Total Spending After Applying Truncation at the Member Level]]+Age_Sex_PY[[#This Row],[Total Dollars Excluded from Spending After Applying Truncation at the Member Level]]=Age_Sex_PY[[#This Row],[Total Spending before Truncation is Applied]]</f>
        <v>1</v>
      </c>
    </row>
    <row r="787" spans="1:10" x14ac:dyDescent="0.25">
      <c r="A787" s="339"/>
      <c r="B787" s="270"/>
      <c r="C787" s="271"/>
      <c r="D787" s="456"/>
      <c r="E787" s="362"/>
      <c r="F787" s="272"/>
      <c r="G787" s="460"/>
      <c r="H787" s="272"/>
      <c r="I787" s="399"/>
      <c r="J787" s="241" t="b">
        <f>Age_Sex_PY[[#This Row],[Total Spending After Applying Truncation at the Member Level]]+Age_Sex_PY[[#This Row],[Total Dollars Excluded from Spending After Applying Truncation at the Member Level]]=Age_Sex_PY[[#This Row],[Total Spending before Truncation is Applied]]</f>
        <v>1</v>
      </c>
    </row>
    <row r="788" spans="1:10" x14ac:dyDescent="0.25">
      <c r="A788" s="342"/>
      <c r="B788" s="4"/>
      <c r="C788" s="16"/>
      <c r="D788" s="457"/>
      <c r="E788" s="363"/>
      <c r="F788" s="273"/>
      <c r="G788" s="226"/>
      <c r="H788" s="273"/>
      <c r="I788" s="400"/>
      <c r="J788" s="241" t="b">
        <f>Age_Sex_PY[[#This Row],[Total Spending After Applying Truncation at the Member Level]]+Age_Sex_PY[[#This Row],[Total Dollars Excluded from Spending After Applying Truncation at the Member Level]]=Age_Sex_PY[[#This Row],[Total Spending before Truncation is Applied]]</f>
        <v>1</v>
      </c>
    </row>
    <row r="789" spans="1:10" x14ac:dyDescent="0.25">
      <c r="A789" s="339"/>
      <c r="B789" s="270"/>
      <c r="C789" s="271"/>
      <c r="D789" s="456"/>
      <c r="E789" s="362"/>
      <c r="F789" s="272"/>
      <c r="G789" s="460"/>
      <c r="H789" s="272"/>
      <c r="I789" s="399"/>
      <c r="J789" s="241" t="b">
        <f>Age_Sex_PY[[#This Row],[Total Spending After Applying Truncation at the Member Level]]+Age_Sex_PY[[#This Row],[Total Dollars Excluded from Spending After Applying Truncation at the Member Level]]=Age_Sex_PY[[#This Row],[Total Spending before Truncation is Applied]]</f>
        <v>1</v>
      </c>
    </row>
    <row r="790" spans="1:10" x14ac:dyDescent="0.25">
      <c r="A790" s="342"/>
      <c r="B790" s="4"/>
      <c r="C790" s="16"/>
      <c r="D790" s="457"/>
      <c r="E790" s="363"/>
      <c r="F790" s="273"/>
      <c r="G790" s="226"/>
      <c r="H790" s="273"/>
      <c r="I790" s="400"/>
      <c r="J790" s="241" t="b">
        <f>Age_Sex_PY[[#This Row],[Total Spending After Applying Truncation at the Member Level]]+Age_Sex_PY[[#This Row],[Total Dollars Excluded from Spending After Applying Truncation at the Member Level]]=Age_Sex_PY[[#This Row],[Total Spending before Truncation is Applied]]</f>
        <v>1</v>
      </c>
    </row>
    <row r="791" spans="1:10" x14ac:dyDescent="0.25">
      <c r="A791" s="339"/>
      <c r="B791" s="270"/>
      <c r="C791" s="271"/>
      <c r="D791" s="456"/>
      <c r="E791" s="362"/>
      <c r="F791" s="272"/>
      <c r="G791" s="460"/>
      <c r="H791" s="272"/>
      <c r="I791" s="399"/>
      <c r="J791" s="241" t="b">
        <f>Age_Sex_PY[[#This Row],[Total Spending After Applying Truncation at the Member Level]]+Age_Sex_PY[[#This Row],[Total Dollars Excluded from Spending After Applying Truncation at the Member Level]]=Age_Sex_PY[[#This Row],[Total Spending before Truncation is Applied]]</f>
        <v>1</v>
      </c>
    </row>
    <row r="792" spans="1:10" x14ac:dyDescent="0.25">
      <c r="A792" s="342"/>
      <c r="B792" s="4"/>
      <c r="C792" s="16"/>
      <c r="D792" s="457"/>
      <c r="E792" s="363"/>
      <c r="F792" s="273"/>
      <c r="G792" s="226"/>
      <c r="H792" s="273"/>
      <c r="I792" s="400"/>
      <c r="J792" s="241" t="b">
        <f>Age_Sex_PY[[#This Row],[Total Spending After Applying Truncation at the Member Level]]+Age_Sex_PY[[#This Row],[Total Dollars Excluded from Spending After Applying Truncation at the Member Level]]=Age_Sex_PY[[#This Row],[Total Spending before Truncation is Applied]]</f>
        <v>1</v>
      </c>
    </row>
    <row r="793" spans="1:10" x14ac:dyDescent="0.25">
      <c r="A793" s="339"/>
      <c r="B793" s="270"/>
      <c r="C793" s="271"/>
      <c r="D793" s="456"/>
      <c r="E793" s="362"/>
      <c r="F793" s="272"/>
      <c r="G793" s="460"/>
      <c r="H793" s="272"/>
      <c r="I793" s="399"/>
      <c r="J793" s="241" t="b">
        <f>Age_Sex_PY[[#This Row],[Total Spending After Applying Truncation at the Member Level]]+Age_Sex_PY[[#This Row],[Total Dollars Excluded from Spending After Applying Truncation at the Member Level]]=Age_Sex_PY[[#This Row],[Total Spending before Truncation is Applied]]</f>
        <v>1</v>
      </c>
    </row>
    <row r="794" spans="1:10" x14ac:dyDescent="0.25">
      <c r="A794" s="342"/>
      <c r="B794" s="4"/>
      <c r="C794" s="16"/>
      <c r="D794" s="457"/>
      <c r="E794" s="363"/>
      <c r="F794" s="273"/>
      <c r="G794" s="226"/>
      <c r="H794" s="273"/>
      <c r="I794" s="400"/>
      <c r="J794" s="241" t="b">
        <f>Age_Sex_PY[[#This Row],[Total Spending After Applying Truncation at the Member Level]]+Age_Sex_PY[[#This Row],[Total Dollars Excluded from Spending After Applying Truncation at the Member Level]]=Age_Sex_PY[[#This Row],[Total Spending before Truncation is Applied]]</f>
        <v>1</v>
      </c>
    </row>
    <row r="795" spans="1:10" x14ac:dyDescent="0.25">
      <c r="A795" s="339"/>
      <c r="B795" s="270"/>
      <c r="C795" s="271"/>
      <c r="D795" s="456"/>
      <c r="E795" s="362"/>
      <c r="F795" s="272"/>
      <c r="G795" s="460"/>
      <c r="H795" s="272"/>
      <c r="I795" s="399"/>
      <c r="J795" s="241" t="b">
        <f>Age_Sex_PY[[#This Row],[Total Spending After Applying Truncation at the Member Level]]+Age_Sex_PY[[#This Row],[Total Dollars Excluded from Spending After Applying Truncation at the Member Level]]=Age_Sex_PY[[#This Row],[Total Spending before Truncation is Applied]]</f>
        <v>1</v>
      </c>
    </row>
    <row r="796" spans="1:10" x14ac:dyDescent="0.25">
      <c r="A796" s="342"/>
      <c r="B796" s="4"/>
      <c r="C796" s="16"/>
      <c r="D796" s="457"/>
      <c r="E796" s="363"/>
      <c r="F796" s="273"/>
      <c r="G796" s="226"/>
      <c r="H796" s="273"/>
      <c r="I796" s="400"/>
      <c r="J796" s="241" t="b">
        <f>Age_Sex_PY[[#This Row],[Total Spending After Applying Truncation at the Member Level]]+Age_Sex_PY[[#This Row],[Total Dollars Excluded from Spending After Applying Truncation at the Member Level]]=Age_Sex_PY[[#This Row],[Total Spending before Truncation is Applied]]</f>
        <v>1</v>
      </c>
    </row>
    <row r="797" spans="1:10" x14ac:dyDescent="0.25">
      <c r="A797" s="339"/>
      <c r="B797" s="270"/>
      <c r="C797" s="271"/>
      <c r="D797" s="456"/>
      <c r="E797" s="362"/>
      <c r="F797" s="272"/>
      <c r="G797" s="460"/>
      <c r="H797" s="272"/>
      <c r="I797" s="399"/>
      <c r="J797" s="241" t="b">
        <f>Age_Sex_PY[[#This Row],[Total Spending After Applying Truncation at the Member Level]]+Age_Sex_PY[[#This Row],[Total Dollars Excluded from Spending After Applying Truncation at the Member Level]]=Age_Sex_PY[[#This Row],[Total Spending before Truncation is Applied]]</f>
        <v>1</v>
      </c>
    </row>
    <row r="798" spans="1:10" x14ac:dyDescent="0.25">
      <c r="A798" s="342"/>
      <c r="B798" s="4"/>
      <c r="C798" s="16"/>
      <c r="D798" s="457"/>
      <c r="E798" s="363"/>
      <c r="F798" s="273"/>
      <c r="G798" s="226"/>
      <c r="H798" s="273"/>
      <c r="I798" s="400"/>
      <c r="J798" s="241" t="b">
        <f>Age_Sex_PY[[#This Row],[Total Spending After Applying Truncation at the Member Level]]+Age_Sex_PY[[#This Row],[Total Dollars Excluded from Spending After Applying Truncation at the Member Level]]=Age_Sex_PY[[#This Row],[Total Spending before Truncation is Applied]]</f>
        <v>1</v>
      </c>
    </row>
    <row r="799" spans="1:10" x14ac:dyDescent="0.25">
      <c r="A799" s="339"/>
      <c r="B799" s="270"/>
      <c r="C799" s="271"/>
      <c r="D799" s="456"/>
      <c r="E799" s="362"/>
      <c r="F799" s="272"/>
      <c r="G799" s="460"/>
      <c r="H799" s="272"/>
      <c r="I799" s="399"/>
      <c r="J799" s="241" t="b">
        <f>Age_Sex_PY[[#This Row],[Total Spending After Applying Truncation at the Member Level]]+Age_Sex_PY[[#This Row],[Total Dollars Excluded from Spending After Applying Truncation at the Member Level]]=Age_Sex_PY[[#This Row],[Total Spending before Truncation is Applied]]</f>
        <v>1</v>
      </c>
    </row>
    <row r="800" spans="1:10" x14ac:dyDescent="0.25">
      <c r="A800" s="342"/>
      <c r="B800" s="4"/>
      <c r="C800" s="16"/>
      <c r="D800" s="457"/>
      <c r="E800" s="363"/>
      <c r="F800" s="273"/>
      <c r="G800" s="226"/>
      <c r="H800" s="273"/>
      <c r="I800" s="400"/>
      <c r="J800" s="241" t="b">
        <f>Age_Sex_PY[[#This Row],[Total Spending After Applying Truncation at the Member Level]]+Age_Sex_PY[[#This Row],[Total Dollars Excluded from Spending After Applying Truncation at the Member Level]]=Age_Sex_PY[[#This Row],[Total Spending before Truncation is Applied]]</f>
        <v>1</v>
      </c>
    </row>
    <row r="801" spans="1:10" x14ac:dyDescent="0.25">
      <c r="A801" s="339"/>
      <c r="B801" s="270"/>
      <c r="C801" s="271"/>
      <c r="D801" s="456"/>
      <c r="E801" s="362"/>
      <c r="F801" s="272"/>
      <c r="G801" s="460"/>
      <c r="H801" s="272"/>
      <c r="I801" s="399"/>
      <c r="J801" s="241" t="b">
        <f>Age_Sex_PY[[#This Row],[Total Spending After Applying Truncation at the Member Level]]+Age_Sex_PY[[#This Row],[Total Dollars Excluded from Spending After Applying Truncation at the Member Level]]=Age_Sex_PY[[#This Row],[Total Spending before Truncation is Applied]]</f>
        <v>1</v>
      </c>
    </row>
    <row r="802" spans="1:10" x14ac:dyDescent="0.25">
      <c r="A802" s="342"/>
      <c r="B802" s="4"/>
      <c r="C802" s="16"/>
      <c r="D802" s="457"/>
      <c r="E802" s="363"/>
      <c r="F802" s="273"/>
      <c r="G802" s="226"/>
      <c r="H802" s="273"/>
      <c r="I802" s="400"/>
      <c r="J802" s="241" t="b">
        <f>Age_Sex_PY[[#This Row],[Total Spending After Applying Truncation at the Member Level]]+Age_Sex_PY[[#This Row],[Total Dollars Excluded from Spending After Applying Truncation at the Member Level]]=Age_Sex_PY[[#This Row],[Total Spending before Truncation is Applied]]</f>
        <v>1</v>
      </c>
    </row>
    <row r="803" spans="1:10" x14ac:dyDescent="0.25">
      <c r="A803" s="339"/>
      <c r="B803" s="270"/>
      <c r="C803" s="271"/>
      <c r="D803" s="456"/>
      <c r="E803" s="362"/>
      <c r="F803" s="272"/>
      <c r="G803" s="460"/>
      <c r="H803" s="272"/>
      <c r="I803" s="399"/>
      <c r="J803" s="241" t="b">
        <f>Age_Sex_PY[[#This Row],[Total Spending After Applying Truncation at the Member Level]]+Age_Sex_PY[[#This Row],[Total Dollars Excluded from Spending After Applying Truncation at the Member Level]]=Age_Sex_PY[[#This Row],[Total Spending before Truncation is Applied]]</f>
        <v>1</v>
      </c>
    </row>
    <row r="804" spans="1:10" x14ac:dyDescent="0.25">
      <c r="A804" s="342"/>
      <c r="B804" s="4"/>
      <c r="C804" s="16"/>
      <c r="D804" s="457"/>
      <c r="E804" s="363"/>
      <c r="F804" s="273"/>
      <c r="G804" s="226"/>
      <c r="H804" s="273"/>
      <c r="I804" s="400"/>
      <c r="J804" s="241" t="b">
        <f>Age_Sex_PY[[#This Row],[Total Spending After Applying Truncation at the Member Level]]+Age_Sex_PY[[#This Row],[Total Dollars Excluded from Spending After Applying Truncation at the Member Level]]=Age_Sex_PY[[#This Row],[Total Spending before Truncation is Applied]]</f>
        <v>1</v>
      </c>
    </row>
    <row r="805" spans="1:10" x14ac:dyDescent="0.25">
      <c r="A805" s="339"/>
      <c r="B805" s="270"/>
      <c r="C805" s="271"/>
      <c r="D805" s="456"/>
      <c r="E805" s="362"/>
      <c r="F805" s="272"/>
      <c r="G805" s="460"/>
      <c r="H805" s="272"/>
      <c r="I805" s="399"/>
      <c r="J805" s="241" t="b">
        <f>Age_Sex_PY[[#This Row],[Total Spending After Applying Truncation at the Member Level]]+Age_Sex_PY[[#This Row],[Total Dollars Excluded from Spending After Applying Truncation at the Member Level]]=Age_Sex_PY[[#This Row],[Total Spending before Truncation is Applied]]</f>
        <v>1</v>
      </c>
    </row>
    <row r="806" spans="1:10" x14ac:dyDescent="0.25">
      <c r="A806" s="342"/>
      <c r="B806" s="4"/>
      <c r="C806" s="16"/>
      <c r="D806" s="457"/>
      <c r="E806" s="363"/>
      <c r="F806" s="273"/>
      <c r="G806" s="226"/>
      <c r="H806" s="273"/>
      <c r="I806" s="400"/>
      <c r="J806" s="241" t="b">
        <f>Age_Sex_PY[[#This Row],[Total Spending After Applying Truncation at the Member Level]]+Age_Sex_PY[[#This Row],[Total Dollars Excluded from Spending After Applying Truncation at the Member Level]]=Age_Sex_PY[[#This Row],[Total Spending before Truncation is Applied]]</f>
        <v>1</v>
      </c>
    </row>
    <row r="807" spans="1:10" x14ac:dyDescent="0.25">
      <c r="A807" s="339"/>
      <c r="B807" s="270"/>
      <c r="C807" s="271"/>
      <c r="D807" s="456"/>
      <c r="E807" s="362"/>
      <c r="F807" s="272"/>
      <c r="G807" s="460"/>
      <c r="H807" s="272"/>
      <c r="I807" s="399"/>
      <c r="J807" s="241" t="b">
        <f>Age_Sex_PY[[#This Row],[Total Spending After Applying Truncation at the Member Level]]+Age_Sex_PY[[#This Row],[Total Dollars Excluded from Spending After Applying Truncation at the Member Level]]=Age_Sex_PY[[#This Row],[Total Spending before Truncation is Applied]]</f>
        <v>1</v>
      </c>
    </row>
    <row r="808" spans="1:10" x14ac:dyDescent="0.25">
      <c r="A808" s="342"/>
      <c r="B808" s="4"/>
      <c r="C808" s="16"/>
      <c r="D808" s="457"/>
      <c r="E808" s="363"/>
      <c r="F808" s="273"/>
      <c r="G808" s="226"/>
      <c r="H808" s="273"/>
      <c r="I808" s="400"/>
      <c r="J808" s="241" t="b">
        <f>Age_Sex_PY[[#This Row],[Total Spending After Applying Truncation at the Member Level]]+Age_Sex_PY[[#This Row],[Total Dollars Excluded from Spending After Applying Truncation at the Member Level]]=Age_Sex_PY[[#This Row],[Total Spending before Truncation is Applied]]</f>
        <v>1</v>
      </c>
    </row>
    <row r="809" spans="1:10" x14ac:dyDescent="0.25">
      <c r="A809" s="339"/>
      <c r="B809" s="270"/>
      <c r="C809" s="271"/>
      <c r="D809" s="456"/>
      <c r="E809" s="362"/>
      <c r="F809" s="272"/>
      <c r="G809" s="460"/>
      <c r="H809" s="272"/>
      <c r="I809" s="399"/>
      <c r="J809" s="241" t="b">
        <f>Age_Sex_PY[[#This Row],[Total Spending After Applying Truncation at the Member Level]]+Age_Sex_PY[[#This Row],[Total Dollars Excluded from Spending After Applying Truncation at the Member Level]]=Age_Sex_PY[[#This Row],[Total Spending before Truncation is Applied]]</f>
        <v>1</v>
      </c>
    </row>
    <row r="810" spans="1:10" x14ac:dyDescent="0.25">
      <c r="A810" s="342"/>
      <c r="B810" s="4"/>
      <c r="C810" s="16"/>
      <c r="D810" s="457"/>
      <c r="E810" s="363"/>
      <c r="F810" s="273"/>
      <c r="G810" s="226"/>
      <c r="H810" s="273"/>
      <c r="I810" s="400"/>
      <c r="J810" s="241" t="b">
        <f>Age_Sex_PY[[#This Row],[Total Spending After Applying Truncation at the Member Level]]+Age_Sex_PY[[#This Row],[Total Dollars Excluded from Spending After Applying Truncation at the Member Level]]=Age_Sex_PY[[#This Row],[Total Spending before Truncation is Applied]]</f>
        <v>1</v>
      </c>
    </row>
    <row r="811" spans="1:10" x14ac:dyDescent="0.25">
      <c r="A811" s="339"/>
      <c r="B811" s="270"/>
      <c r="C811" s="271"/>
      <c r="D811" s="456"/>
      <c r="E811" s="362"/>
      <c r="F811" s="272"/>
      <c r="G811" s="460"/>
      <c r="H811" s="272"/>
      <c r="I811" s="399"/>
      <c r="J811" s="241" t="b">
        <f>Age_Sex_PY[[#This Row],[Total Spending After Applying Truncation at the Member Level]]+Age_Sex_PY[[#This Row],[Total Dollars Excluded from Spending After Applying Truncation at the Member Level]]=Age_Sex_PY[[#This Row],[Total Spending before Truncation is Applied]]</f>
        <v>1</v>
      </c>
    </row>
    <row r="812" spans="1:10" x14ac:dyDescent="0.25">
      <c r="A812" s="342"/>
      <c r="B812" s="4"/>
      <c r="C812" s="16"/>
      <c r="D812" s="457"/>
      <c r="E812" s="363"/>
      <c r="F812" s="273"/>
      <c r="G812" s="226"/>
      <c r="H812" s="273"/>
      <c r="I812" s="400"/>
      <c r="J812" s="241" t="b">
        <f>Age_Sex_PY[[#This Row],[Total Spending After Applying Truncation at the Member Level]]+Age_Sex_PY[[#This Row],[Total Dollars Excluded from Spending After Applying Truncation at the Member Level]]=Age_Sex_PY[[#This Row],[Total Spending before Truncation is Applied]]</f>
        <v>1</v>
      </c>
    </row>
    <row r="813" spans="1:10" x14ac:dyDescent="0.25">
      <c r="A813" s="339"/>
      <c r="B813" s="270"/>
      <c r="C813" s="271"/>
      <c r="D813" s="456"/>
      <c r="E813" s="362"/>
      <c r="F813" s="272"/>
      <c r="G813" s="460"/>
      <c r="H813" s="272"/>
      <c r="I813" s="399"/>
      <c r="J813" s="241" t="b">
        <f>Age_Sex_PY[[#This Row],[Total Spending After Applying Truncation at the Member Level]]+Age_Sex_PY[[#This Row],[Total Dollars Excluded from Spending After Applying Truncation at the Member Level]]=Age_Sex_PY[[#This Row],[Total Spending before Truncation is Applied]]</f>
        <v>1</v>
      </c>
    </row>
    <row r="814" spans="1:10" x14ac:dyDescent="0.25">
      <c r="A814" s="342"/>
      <c r="B814" s="4"/>
      <c r="C814" s="16"/>
      <c r="D814" s="457"/>
      <c r="E814" s="363"/>
      <c r="F814" s="273"/>
      <c r="G814" s="226"/>
      <c r="H814" s="273"/>
      <c r="I814" s="400"/>
      <c r="J814" s="241" t="b">
        <f>Age_Sex_PY[[#This Row],[Total Spending After Applying Truncation at the Member Level]]+Age_Sex_PY[[#This Row],[Total Dollars Excluded from Spending After Applying Truncation at the Member Level]]=Age_Sex_PY[[#This Row],[Total Spending before Truncation is Applied]]</f>
        <v>1</v>
      </c>
    </row>
    <row r="815" spans="1:10" x14ac:dyDescent="0.25">
      <c r="A815" s="339"/>
      <c r="B815" s="270"/>
      <c r="C815" s="271"/>
      <c r="D815" s="456"/>
      <c r="E815" s="362"/>
      <c r="F815" s="272"/>
      <c r="G815" s="460"/>
      <c r="H815" s="272"/>
      <c r="I815" s="399"/>
      <c r="J815" s="241" t="b">
        <f>Age_Sex_PY[[#This Row],[Total Spending After Applying Truncation at the Member Level]]+Age_Sex_PY[[#This Row],[Total Dollars Excluded from Spending After Applying Truncation at the Member Level]]=Age_Sex_PY[[#This Row],[Total Spending before Truncation is Applied]]</f>
        <v>1</v>
      </c>
    </row>
    <row r="816" spans="1:10" x14ac:dyDescent="0.25">
      <c r="A816" s="342"/>
      <c r="B816" s="4"/>
      <c r="C816" s="16"/>
      <c r="D816" s="457"/>
      <c r="E816" s="363"/>
      <c r="F816" s="273"/>
      <c r="G816" s="226"/>
      <c r="H816" s="273"/>
      <c r="I816" s="400"/>
      <c r="J816" s="241" t="b">
        <f>Age_Sex_PY[[#This Row],[Total Spending After Applying Truncation at the Member Level]]+Age_Sex_PY[[#This Row],[Total Dollars Excluded from Spending After Applying Truncation at the Member Level]]=Age_Sex_PY[[#This Row],[Total Spending before Truncation is Applied]]</f>
        <v>1</v>
      </c>
    </row>
    <row r="817" spans="1:10" x14ac:dyDescent="0.25">
      <c r="A817" s="339"/>
      <c r="B817" s="270"/>
      <c r="C817" s="271"/>
      <c r="D817" s="456"/>
      <c r="E817" s="362"/>
      <c r="F817" s="272"/>
      <c r="G817" s="460"/>
      <c r="H817" s="272"/>
      <c r="I817" s="399"/>
      <c r="J817" s="241" t="b">
        <f>Age_Sex_PY[[#This Row],[Total Spending After Applying Truncation at the Member Level]]+Age_Sex_PY[[#This Row],[Total Dollars Excluded from Spending After Applying Truncation at the Member Level]]=Age_Sex_PY[[#This Row],[Total Spending before Truncation is Applied]]</f>
        <v>1</v>
      </c>
    </row>
    <row r="818" spans="1:10" x14ac:dyDescent="0.25">
      <c r="A818" s="342"/>
      <c r="B818" s="4"/>
      <c r="C818" s="16"/>
      <c r="D818" s="457"/>
      <c r="E818" s="363"/>
      <c r="F818" s="273"/>
      <c r="G818" s="226"/>
      <c r="H818" s="273"/>
      <c r="I818" s="400"/>
      <c r="J818" s="241" t="b">
        <f>Age_Sex_PY[[#This Row],[Total Spending After Applying Truncation at the Member Level]]+Age_Sex_PY[[#This Row],[Total Dollars Excluded from Spending After Applying Truncation at the Member Level]]=Age_Sex_PY[[#This Row],[Total Spending before Truncation is Applied]]</f>
        <v>1</v>
      </c>
    </row>
    <row r="819" spans="1:10" x14ac:dyDescent="0.25">
      <c r="A819" s="339"/>
      <c r="B819" s="270"/>
      <c r="C819" s="271"/>
      <c r="D819" s="456"/>
      <c r="E819" s="362"/>
      <c r="F819" s="272"/>
      <c r="G819" s="460"/>
      <c r="H819" s="272"/>
      <c r="I819" s="399"/>
      <c r="J819" s="241" t="b">
        <f>Age_Sex_PY[[#This Row],[Total Spending After Applying Truncation at the Member Level]]+Age_Sex_PY[[#This Row],[Total Dollars Excluded from Spending After Applying Truncation at the Member Level]]=Age_Sex_PY[[#This Row],[Total Spending before Truncation is Applied]]</f>
        <v>1</v>
      </c>
    </row>
    <row r="820" spans="1:10" x14ac:dyDescent="0.25">
      <c r="A820" s="342"/>
      <c r="B820" s="4"/>
      <c r="C820" s="16"/>
      <c r="D820" s="457"/>
      <c r="E820" s="363"/>
      <c r="F820" s="273"/>
      <c r="G820" s="226"/>
      <c r="H820" s="273"/>
      <c r="I820" s="400"/>
      <c r="J820" s="241" t="b">
        <f>Age_Sex_PY[[#This Row],[Total Spending After Applying Truncation at the Member Level]]+Age_Sex_PY[[#This Row],[Total Dollars Excluded from Spending After Applying Truncation at the Member Level]]=Age_Sex_PY[[#This Row],[Total Spending before Truncation is Applied]]</f>
        <v>1</v>
      </c>
    </row>
    <row r="821" spans="1:10" x14ac:dyDescent="0.25">
      <c r="A821" s="339"/>
      <c r="B821" s="270"/>
      <c r="C821" s="271"/>
      <c r="D821" s="456"/>
      <c r="E821" s="362"/>
      <c r="F821" s="272"/>
      <c r="G821" s="460"/>
      <c r="H821" s="272"/>
      <c r="I821" s="399"/>
      <c r="J821" s="241" t="b">
        <f>Age_Sex_PY[[#This Row],[Total Spending After Applying Truncation at the Member Level]]+Age_Sex_PY[[#This Row],[Total Dollars Excluded from Spending After Applying Truncation at the Member Level]]=Age_Sex_PY[[#This Row],[Total Spending before Truncation is Applied]]</f>
        <v>1</v>
      </c>
    </row>
    <row r="822" spans="1:10" x14ac:dyDescent="0.25">
      <c r="A822" s="342"/>
      <c r="B822" s="4"/>
      <c r="C822" s="16"/>
      <c r="D822" s="457"/>
      <c r="E822" s="363"/>
      <c r="F822" s="273"/>
      <c r="G822" s="226"/>
      <c r="H822" s="273"/>
      <c r="I822" s="400"/>
      <c r="J822" s="241" t="b">
        <f>Age_Sex_PY[[#This Row],[Total Spending After Applying Truncation at the Member Level]]+Age_Sex_PY[[#This Row],[Total Dollars Excluded from Spending After Applying Truncation at the Member Level]]=Age_Sex_PY[[#This Row],[Total Spending before Truncation is Applied]]</f>
        <v>1</v>
      </c>
    </row>
    <row r="823" spans="1:10" x14ac:dyDescent="0.25">
      <c r="A823" s="339"/>
      <c r="B823" s="270"/>
      <c r="C823" s="271"/>
      <c r="D823" s="456"/>
      <c r="E823" s="362"/>
      <c r="F823" s="272"/>
      <c r="G823" s="460"/>
      <c r="H823" s="272"/>
      <c r="I823" s="399"/>
      <c r="J823" s="241" t="b">
        <f>Age_Sex_PY[[#This Row],[Total Spending After Applying Truncation at the Member Level]]+Age_Sex_PY[[#This Row],[Total Dollars Excluded from Spending After Applying Truncation at the Member Level]]=Age_Sex_PY[[#This Row],[Total Spending before Truncation is Applied]]</f>
        <v>1</v>
      </c>
    </row>
    <row r="824" spans="1:10" x14ac:dyDescent="0.25">
      <c r="A824" s="342"/>
      <c r="B824" s="4"/>
      <c r="C824" s="16"/>
      <c r="D824" s="457"/>
      <c r="E824" s="363"/>
      <c r="F824" s="273"/>
      <c r="G824" s="226"/>
      <c r="H824" s="273"/>
      <c r="I824" s="400"/>
      <c r="J824" s="241" t="b">
        <f>Age_Sex_PY[[#This Row],[Total Spending After Applying Truncation at the Member Level]]+Age_Sex_PY[[#This Row],[Total Dollars Excluded from Spending After Applying Truncation at the Member Level]]=Age_Sex_PY[[#This Row],[Total Spending before Truncation is Applied]]</f>
        <v>1</v>
      </c>
    </row>
    <row r="825" spans="1:10" x14ac:dyDescent="0.25">
      <c r="A825" s="339"/>
      <c r="B825" s="270"/>
      <c r="C825" s="271"/>
      <c r="D825" s="456"/>
      <c r="E825" s="362"/>
      <c r="F825" s="272"/>
      <c r="G825" s="460"/>
      <c r="H825" s="272"/>
      <c r="I825" s="399"/>
      <c r="J825" s="241" t="b">
        <f>Age_Sex_PY[[#This Row],[Total Spending After Applying Truncation at the Member Level]]+Age_Sex_PY[[#This Row],[Total Dollars Excluded from Spending After Applying Truncation at the Member Level]]=Age_Sex_PY[[#This Row],[Total Spending before Truncation is Applied]]</f>
        <v>1</v>
      </c>
    </row>
    <row r="826" spans="1:10" x14ac:dyDescent="0.25">
      <c r="A826" s="342"/>
      <c r="B826" s="4"/>
      <c r="C826" s="16"/>
      <c r="D826" s="457"/>
      <c r="E826" s="363"/>
      <c r="F826" s="273"/>
      <c r="G826" s="226"/>
      <c r="H826" s="273"/>
      <c r="I826" s="400"/>
      <c r="J826" s="241" t="b">
        <f>Age_Sex_PY[[#This Row],[Total Spending After Applying Truncation at the Member Level]]+Age_Sex_PY[[#This Row],[Total Dollars Excluded from Spending After Applying Truncation at the Member Level]]=Age_Sex_PY[[#This Row],[Total Spending before Truncation is Applied]]</f>
        <v>1</v>
      </c>
    </row>
    <row r="827" spans="1:10" x14ac:dyDescent="0.25">
      <c r="A827" s="339"/>
      <c r="B827" s="270"/>
      <c r="C827" s="271"/>
      <c r="D827" s="456"/>
      <c r="E827" s="362"/>
      <c r="F827" s="272"/>
      <c r="G827" s="460"/>
      <c r="H827" s="272"/>
      <c r="I827" s="399"/>
      <c r="J827" s="241" t="b">
        <f>Age_Sex_PY[[#This Row],[Total Spending After Applying Truncation at the Member Level]]+Age_Sex_PY[[#This Row],[Total Dollars Excluded from Spending After Applying Truncation at the Member Level]]=Age_Sex_PY[[#This Row],[Total Spending before Truncation is Applied]]</f>
        <v>1</v>
      </c>
    </row>
    <row r="828" spans="1:10" x14ac:dyDescent="0.25">
      <c r="A828" s="342"/>
      <c r="B828" s="4"/>
      <c r="C828" s="16"/>
      <c r="D828" s="457"/>
      <c r="E828" s="363"/>
      <c r="F828" s="273"/>
      <c r="G828" s="226"/>
      <c r="H828" s="273"/>
      <c r="I828" s="400"/>
      <c r="J828" s="241" t="b">
        <f>Age_Sex_PY[[#This Row],[Total Spending After Applying Truncation at the Member Level]]+Age_Sex_PY[[#This Row],[Total Dollars Excluded from Spending After Applying Truncation at the Member Level]]=Age_Sex_PY[[#This Row],[Total Spending before Truncation is Applied]]</f>
        <v>1</v>
      </c>
    </row>
    <row r="829" spans="1:10" x14ac:dyDescent="0.25">
      <c r="A829" s="339"/>
      <c r="B829" s="270"/>
      <c r="C829" s="271"/>
      <c r="D829" s="456"/>
      <c r="E829" s="362"/>
      <c r="F829" s="272"/>
      <c r="G829" s="460"/>
      <c r="H829" s="272"/>
      <c r="I829" s="399"/>
      <c r="J829" s="241" t="b">
        <f>Age_Sex_PY[[#This Row],[Total Spending After Applying Truncation at the Member Level]]+Age_Sex_PY[[#This Row],[Total Dollars Excluded from Spending After Applying Truncation at the Member Level]]=Age_Sex_PY[[#This Row],[Total Spending before Truncation is Applied]]</f>
        <v>1</v>
      </c>
    </row>
    <row r="830" spans="1:10" x14ac:dyDescent="0.25">
      <c r="A830" s="342"/>
      <c r="B830" s="4"/>
      <c r="C830" s="16"/>
      <c r="D830" s="457"/>
      <c r="E830" s="363"/>
      <c r="F830" s="273"/>
      <c r="G830" s="226"/>
      <c r="H830" s="273"/>
      <c r="I830" s="400"/>
      <c r="J830" s="241" t="b">
        <f>Age_Sex_PY[[#This Row],[Total Spending After Applying Truncation at the Member Level]]+Age_Sex_PY[[#This Row],[Total Dollars Excluded from Spending After Applying Truncation at the Member Level]]=Age_Sex_PY[[#This Row],[Total Spending before Truncation is Applied]]</f>
        <v>1</v>
      </c>
    </row>
    <row r="831" spans="1:10" x14ac:dyDescent="0.25">
      <c r="A831" s="339"/>
      <c r="B831" s="270"/>
      <c r="C831" s="271"/>
      <c r="D831" s="456"/>
      <c r="E831" s="362"/>
      <c r="F831" s="272"/>
      <c r="G831" s="460"/>
      <c r="H831" s="272"/>
      <c r="I831" s="399"/>
      <c r="J831" s="241" t="b">
        <f>Age_Sex_PY[[#This Row],[Total Spending After Applying Truncation at the Member Level]]+Age_Sex_PY[[#This Row],[Total Dollars Excluded from Spending After Applying Truncation at the Member Level]]=Age_Sex_PY[[#This Row],[Total Spending before Truncation is Applied]]</f>
        <v>1</v>
      </c>
    </row>
    <row r="832" spans="1:10" x14ac:dyDescent="0.25">
      <c r="A832" s="342"/>
      <c r="B832" s="4"/>
      <c r="C832" s="16"/>
      <c r="D832" s="457"/>
      <c r="E832" s="363"/>
      <c r="F832" s="273"/>
      <c r="G832" s="226"/>
      <c r="H832" s="273"/>
      <c r="I832" s="400"/>
      <c r="J832" s="241" t="b">
        <f>Age_Sex_PY[[#This Row],[Total Spending After Applying Truncation at the Member Level]]+Age_Sex_PY[[#This Row],[Total Dollars Excluded from Spending After Applying Truncation at the Member Level]]=Age_Sex_PY[[#This Row],[Total Spending before Truncation is Applied]]</f>
        <v>1</v>
      </c>
    </row>
    <row r="833" spans="1:10" x14ac:dyDescent="0.25">
      <c r="A833" s="339"/>
      <c r="B833" s="270"/>
      <c r="C833" s="271"/>
      <c r="D833" s="456"/>
      <c r="E833" s="362"/>
      <c r="F833" s="272"/>
      <c r="G833" s="460"/>
      <c r="H833" s="272"/>
      <c r="I833" s="399"/>
      <c r="J833" s="241" t="b">
        <f>Age_Sex_PY[[#This Row],[Total Spending After Applying Truncation at the Member Level]]+Age_Sex_PY[[#This Row],[Total Dollars Excluded from Spending After Applying Truncation at the Member Level]]=Age_Sex_PY[[#This Row],[Total Spending before Truncation is Applied]]</f>
        <v>1</v>
      </c>
    </row>
    <row r="834" spans="1:10" x14ac:dyDescent="0.25">
      <c r="A834" s="342"/>
      <c r="B834" s="4"/>
      <c r="C834" s="16"/>
      <c r="D834" s="457"/>
      <c r="E834" s="363"/>
      <c r="F834" s="273"/>
      <c r="G834" s="226"/>
      <c r="H834" s="273"/>
      <c r="I834" s="400"/>
      <c r="J834" s="241" t="b">
        <f>Age_Sex_PY[[#This Row],[Total Spending After Applying Truncation at the Member Level]]+Age_Sex_PY[[#This Row],[Total Dollars Excluded from Spending After Applying Truncation at the Member Level]]=Age_Sex_PY[[#This Row],[Total Spending before Truncation is Applied]]</f>
        <v>1</v>
      </c>
    </row>
    <row r="835" spans="1:10" x14ac:dyDescent="0.25">
      <c r="A835" s="339"/>
      <c r="B835" s="270"/>
      <c r="C835" s="271"/>
      <c r="D835" s="456"/>
      <c r="E835" s="362"/>
      <c r="F835" s="272"/>
      <c r="G835" s="460"/>
      <c r="H835" s="272"/>
      <c r="I835" s="399"/>
      <c r="J835" s="241" t="b">
        <f>Age_Sex_PY[[#This Row],[Total Spending After Applying Truncation at the Member Level]]+Age_Sex_PY[[#This Row],[Total Dollars Excluded from Spending After Applying Truncation at the Member Level]]=Age_Sex_PY[[#This Row],[Total Spending before Truncation is Applied]]</f>
        <v>1</v>
      </c>
    </row>
    <row r="836" spans="1:10" x14ac:dyDescent="0.25">
      <c r="A836" s="342"/>
      <c r="B836" s="4"/>
      <c r="C836" s="16"/>
      <c r="D836" s="457"/>
      <c r="E836" s="363"/>
      <c r="F836" s="273"/>
      <c r="G836" s="226"/>
      <c r="H836" s="273"/>
      <c r="I836" s="400"/>
      <c r="J836" s="241" t="b">
        <f>Age_Sex_PY[[#This Row],[Total Spending After Applying Truncation at the Member Level]]+Age_Sex_PY[[#This Row],[Total Dollars Excluded from Spending After Applying Truncation at the Member Level]]=Age_Sex_PY[[#This Row],[Total Spending before Truncation is Applied]]</f>
        <v>1</v>
      </c>
    </row>
    <row r="837" spans="1:10" x14ac:dyDescent="0.25">
      <c r="A837" s="339"/>
      <c r="B837" s="270"/>
      <c r="C837" s="271"/>
      <c r="D837" s="456"/>
      <c r="E837" s="362"/>
      <c r="F837" s="272"/>
      <c r="G837" s="460"/>
      <c r="H837" s="272"/>
      <c r="I837" s="399"/>
      <c r="J837" s="241" t="b">
        <f>Age_Sex_PY[[#This Row],[Total Spending After Applying Truncation at the Member Level]]+Age_Sex_PY[[#This Row],[Total Dollars Excluded from Spending After Applying Truncation at the Member Level]]=Age_Sex_PY[[#This Row],[Total Spending before Truncation is Applied]]</f>
        <v>1</v>
      </c>
    </row>
    <row r="838" spans="1:10" x14ac:dyDescent="0.25">
      <c r="A838" s="342"/>
      <c r="B838" s="4"/>
      <c r="C838" s="16"/>
      <c r="D838" s="457"/>
      <c r="E838" s="363"/>
      <c r="F838" s="273"/>
      <c r="G838" s="226"/>
      <c r="H838" s="273"/>
      <c r="I838" s="400"/>
      <c r="J838" s="241" t="b">
        <f>Age_Sex_PY[[#This Row],[Total Spending After Applying Truncation at the Member Level]]+Age_Sex_PY[[#This Row],[Total Dollars Excluded from Spending After Applying Truncation at the Member Level]]=Age_Sex_PY[[#This Row],[Total Spending before Truncation is Applied]]</f>
        <v>1</v>
      </c>
    </row>
    <row r="839" spans="1:10" x14ac:dyDescent="0.25">
      <c r="A839" s="339"/>
      <c r="B839" s="270"/>
      <c r="C839" s="271"/>
      <c r="D839" s="456"/>
      <c r="E839" s="362"/>
      <c r="F839" s="272"/>
      <c r="G839" s="460"/>
      <c r="H839" s="272"/>
      <c r="I839" s="399"/>
      <c r="J839" s="241" t="b">
        <f>Age_Sex_PY[[#This Row],[Total Spending After Applying Truncation at the Member Level]]+Age_Sex_PY[[#This Row],[Total Dollars Excluded from Spending After Applying Truncation at the Member Level]]=Age_Sex_PY[[#This Row],[Total Spending before Truncation is Applied]]</f>
        <v>1</v>
      </c>
    </row>
    <row r="840" spans="1:10" x14ac:dyDescent="0.25">
      <c r="A840" s="342"/>
      <c r="B840" s="4"/>
      <c r="C840" s="16"/>
      <c r="D840" s="457"/>
      <c r="E840" s="363"/>
      <c r="F840" s="273"/>
      <c r="G840" s="226"/>
      <c r="H840" s="273"/>
      <c r="I840" s="400"/>
      <c r="J840" s="241" t="b">
        <f>Age_Sex_PY[[#This Row],[Total Spending After Applying Truncation at the Member Level]]+Age_Sex_PY[[#This Row],[Total Dollars Excluded from Spending After Applying Truncation at the Member Level]]=Age_Sex_PY[[#This Row],[Total Spending before Truncation is Applied]]</f>
        <v>1</v>
      </c>
    </row>
    <row r="841" spans="1:10" x14ac:dyDescent="0.25">
      <c r="A841" s="339"/>
      <c r="B841" s="270"/>
      <c r="C841" s="271"/>
      <c r="D841" s="456"/>
      <c r="E841" s="362"/>
      <c r="F841" s="272"/>
      <c r="G841" s="460"/>
      <c r="H841" s="272"/>
      <c r="I841" s="399"/>
      <c r="J841" s="241" t="b">
        <f>Age_Sex_PY[[#This Row],[Total Spending After Applying Truncation at the Member Level]]+Age_Sex_PY[[#This Row],[Total Dollars Excluded from Spending After Applying Truncation at the Member Level]]=Age_Sex_PY[[#This Row],[Total Spending before Truncation is Applied]]</f>
        <v>1</v>
      </c>
    </row>
    <row r="842" spans="1:10" x14ac:dyDescent="0.25">
      <c r="A842" s="342"/>
      <c r="B842" s="4"/>
      <c r="C842" s="16"/>
      <c r="D842" s="457"/>
      <c r="E842" s="363"/>
      <c r="F842" s="273"/>
      <c r="G842" s="226"/>
      <c r="H842" s="273"/>
      <c r="I842" s="400"/>
      <c r="J842" s="241" t="b">
        <f>Age_Sex_PY[[#This Row],[Total Spending After Applying Truncation at the Member Level]]+Age_Sex_PY[[#This Row],[Total Dollars Excluded from Spending After Applying Truncation at the Member Level]]=Age_Sex_PY[[#This Row],[Total Spending before Truncation is Applied]]</f>
        <v>1</v>
      </c>
    </row>
    <row r="843" spans="1:10" x14ac:dyDescent="0.25">
      <c r="A843" s="339"/>
      <c r="B843" s="270"/>
      <c r="C843" s="271"/>
      <c r="D843" s="456"/>
      <c r="E843" s="362"/>
      <c r="F843" s="272"/>
      <c r="G843" s="460"/>
      <c r="H843" s="272"/>
      <c r="I843" s="399"/>
      <c r="J843" s="241" t="b">
        <f>Age_Sex_PY[[#This Row],[Total Spending After Applying Truncation at the Member Level]]+Age_Sex_PY[[#This Row],[Total Dollars Excluded from Spending After Applying Truncation at the Member Level]]=Age_Sex_PY[[#This Row],[Total Spending before Truncation is Applied]]</f>
        <v>1</v>
      </c>
    </row>
    <row r="844" spans="1:10" x14ac:dyDescent="0.25">
      <c r="A844" s="342"/>
      <c r="B844" s="4"/>
      <c r="C844" s="16"/>
      <c r="D844" s="457"/>
      <c r="E844" s="363"/>
      <c r="F844" s="273"/>
      <c r="G844" s="226"/>
      <c r="H844" s="273"/>
      <c r="I844" s="400"/>
      <c r="J844" s="241" t="b">
        <f>Age_Sex_PY[[#This Row],[Total Spending After Applying Truncation at the Member Level]]+Age_Sex_PY[[#This Row],[Total Dollars Excluded from Spending After Applying Truncation at the Member Level]]=Age_Sex_PY[[#This Row],[Total Spending before Truncation is Applied]]</f>
        <v>1</v>
      </c>
    </row>
    <row r="845" spans="1:10" x14ac:dyDescent="0.25">
      <c r="A845" s="339"/>
      <c r="B845" s="270"/>
      <c r="C845" s="271"/>
      <c r="D845" s="456"/>
      <c r="E845" s="362"/>
      <c r="F845" s="272"/>
      <c r="G845" s="460"/>
      <c r="H845" s="272"/>
      <c r="I845" s="399"/>
      <c r="J845" s="241" t="b">
        <f>Age_Sex_PY[[#This Row],[Total Spending After Applying Truncation at the Member Level]]+Age_Sex_PY[[#This Row],[Total Dollars Excluded from Spending After Applying Truncation at the Member Level]]=Age_Sex_PY[[#This Row],[Total Spending before Truncation is Applied]]</f>
        <v>1</v>
      </c>
    </row>
    <row r="846" spans="1:10" x14ac:dyDescent="0.25">
      <c r="A846" s="342"/>
      <c r="B846" s="4"/>
      <c r="C846" s="16"/>
      <c r="D846" s="457"/>
      <c r="E846" s="363"/>
      <c r="F846" s="273"/>
      <c r="G846" s="226"/>
      <c r="H846" s="273"/>
      <c r="I846" s="400"/>
      <c r="J846" s="241" t="b">
        <f>Age_Sex_PY[[#This Row],[Total Spending After Applying Truncation at the Member Level]]+Age_Sex_PY[[#This Row],[Total Dollars Excluded from Spending After Applying Truncation at the Member Level]]=Age_Sex_PY[[#This Row],[Total Spending before Truncation is Applied]]</f>
        <v>1</v>
      </c>
    </row>
    <row r="847" spans="1:10" x14ac:dyDescent="0.25">
      <c r="A847" s="339"/>
      <c r="B847" s="270"/>
      <c r="C847" s="271"/>
      <c r="D847" s="456"/>
      <c r="E847" s="362"/>
      <c r="F847" s="272"/>
      <c r="G847" s="460"/>
      <c r="H847" s="272"/>
      <c r="I847" s="399"/>
      <c r="J847" s="241" t="b">
        <f>Age_Sex_PY[[#This Row],[Total Spending After Applying Truncation at the Member Level]]+Age_Sex_PY[[#This Row],[Total Dollars Excluded from Spending After Applying Truncation at the Member Level]]=Age_Sex_PY[[#This Row],[Total Spending before Truncation is Applied]]</f>
        <v>1</v>
      </c>
    </row>
    <row r="848" spans="1:10" x14ac:dyDescent="0.25">
      <c r="A848" s="342"/>
      <c r="B848" s="4"/>
      <c r="C848" s="16"/>
      <c r="D848" s="457"/>
      <c r="E848" s="363"/>
      <c r="F848" s="273"/>
      <c r="G848" s="226"/>
      <c r="H848" s="273"/>
      <c r="I848" s="400"/>
      <c r="J848" s="241" t="b">
        <f>Age_Sex_PY[[#This Row],[Total Spending After Applying Truncation at the Member Level]]+Age_Sex_PY[[#This Row],[Total Dollars Excluded from Spending After Applying Truncation at the Member Level]]=Age_Sex_PY[[#This Row],[Total Spending before Truncation is Applied]]</f>
        <v>1</v>
      </c>
    </row>
    <row r="849" spans="1:10" x14ac:dyDescent="0.25">
      <c r="A849" s="339"/>
      <c r="B849" s="270"/>
      <c r="C849" s="271"/>
      <c r="D849" s="456"/>
      <c r="E849" s="362"/>
      <c r="F849" s="272"/>
      <c r="G849" s="460"/>
      <c r="H849" s="272"/>
      <c r="I849" s="399"/>
      <c r="J849" s="241" t="b">
        <f>Age_Sex_PY[[#This Row],[Total Spending After Applying Truncation at the Member Level]]+Age_Sex_PY[[#This Row],[Total Dollars Excluded from Spending After Applying Truncation at the Member Level]]=Age_Sex_PY[[#This Row],[Total Spending before Truncation is Applied]]</f>
        <v>1</v>
      </c>
    </row>
    <row r="850" spans="1:10" x14ac:dyDescent="0.25">
      <c r="A850" s="342"/>
      <c r="B850" s="4"/>
      <c r="C850" s="16"/>
      <c r="D850" s="457"/>
      <c r="E850" s="363"/>
      <c r="F850" s="273"/>
      <c r="G850" s="226"/>
      <c r="H850" s="273"/>
      <c r="I850" s="400"/>
      <c r="J850" s="241" t="b">
        <f>Age_Sex_PY[[#This Row],[Total Spending After Applying Truncation at the Member Level]]+Age_Sex_PY[[#This Row],[Total Dollars Excluded from Spending After Applying Truncation at the Member Level]]=Age_Sex_PY[[#This Row],[Total Spending before Truncation is Applied]]</f>
        <v>1</v>
      </c>
    </row>
    <row r="851" spans="1:10" x14ac:dyDescent="0.25">
      <c r="A851" s="339"/>
      <c r="B851" s="270"/>
      <c r="C851" s="271"/>
      <c r="D851" s="456"/>
      <c r="E851" s="362"/>
      <c r="F851" s="272"/>
      <c r="G851" s="460"/>
      <c r="H851" s="272"/>
      <c r="I851" s="399"/>
      <c r="J851" s="241" t="b">
        <f>Age_Sex_PY[[#This Row],[Total Spending After Applying Truncation at the Member Level]]+Age_Sex_PY[[#This Row],[Total Dollars Excluded from Spending After Applying Truncation at the Member Level]]=Age_Sex_PY[[#This Row],[Total Spending before Truncation is Applied]]</f>
        <v>1</v>
      </c>
    </row>
    <row r="852" spans="1:10" x14ac:dyDescent="0.25">
      <c r="A852" s="342"/>
      <c r="B852" s="4"/>
      <c r="C852" s="16"/>
      <c r="D852" s="457"/>
      <c r="E852" s="363"/>
      <c r="F852" s="273"/>
      <c r="G852" s="226"/>
      <c r="H852" s="273"/>
      <c r="I852" s="400"/>
      <c r="J852" s="241" t="b">
        <f>Age_Sex_PY[[#This Row],[Total Spending After Applying Truncation at the Member Level]]+Age_Sex_PY[[#This Row],[Total Dollars Excluded from Spending After Applying Truncation at the Member Level]]=Age_Sex_PY[[#This Row],[Total Spending before Truncation is Applied]]</f>
        <v>1</v>
      </c>
    </row>
    <row r="853" spans="1:10" x14ac:dyDescent="0.25">
      <c r="A853" s="339"/>
      <c r="B853" s="270"/>
      <c r="C853" s="271"/>
      <c r="D853" s="456"/>
      <c r="E853" s="362"/>
      <c r="F853" s="272"/>
      <c r="G853" s="460"/>
      <c r="H853" s="272"/>
      <c r="I853" s="399"/>
      <c r="J853" s="241" t="b">
        <f>Age_Sex_PY[[#This Row],[Total Spending After Applying Truncation at the Member Level]]+Age_Sex_PY[[#This Row],[Total Dollars Excluded from Spending After Applying Truncation at the Member Level]]=Age_Sex_PY[[#This Row],[Total Spending before Truncation is Applied]]</f>
        <v>1</v>
      </c>
    </row>
    <row r="854" spans="1:10" x14ac:dyDescent="0.25">
      <c r="A854" s="342"/>
      <c r="B854" s="4"/>
      <c r="C854" s="16"/>
      <c r="D854" s="457"/>
      <c r="E854" s="363"/>
      <c r="F854" s="273"/>
      <c r="G854" s="226"/>
      <c r="H854" s="273"/>
      <c r="I854" s="400"/>
      <c r="J854" s="241" t="b">
        <f>Age_Sex_PY[[#This Row],[Total Spending After Applying Truncation at the Member Level]]+Age_Sex_PY[[#This Row],[Total Dollars Excluded from Spending After Applying Truncation at the Member Level]]=Age_Sex_PY[[#This Row],[Total Spending before Truncation is Applied]]</f>
        <v>1</v>
      </c>
    </row>
    <row r="855" spans="1:10" x14ac:dyDescent="0.25">
      <c r="A855" s="339"/>
      <c r="B855" s="270"/>
      <c r="C855" s="271"/>
      <c r="D855" s="456"/>
      <c r="E855" s="362"/>
      <c r="F855" s="272"/>
      <c r="G855" s="460"/>
      <c r="H855" s="272"/>
      <c r="I855" s="399"/>
      <c r="J855" s="241" t="b">
        <f>Age_Sex_PY[[#This Row],[Total Spending After Applying Truncation at the Member Level]]+Age_Sex_PY[[#This Row],[Total Dollars Excluded from Spending After Applying Truncation at the Member Level]]=Age_Sex_PY[[#This Row],[Total Spending before Truncation is Applied]]</f>
        <v>1</v>
      </c>
    </row>
    <row r="856" spans="1:10" x14ac:dyDescent="0.25">
      <c r="A856" s="342"/>
      <c r="B856" s="4"/>
      <c r="C856" s="16"/>
      <c r="D856" s="457"/>
      <c r="E856" s="363"/>
      <c r="F856" s="273"/>
      <c r="G856" s="226"/>
      <c r="H856" s="273"/>
      <c r="I856" s="400"/>
      <c r="J856" s="241" t="b">
        <f>Age_Sex_PY[[#This Row],[Total Spending After Applying Truncation at the Member Level]]+Age_Sex_PY[[#This Row],[Total Dollars Excluded from Spending After Applying Truncation at the Member Level]]=Age_Sex_PY[[#This Row],[Total Spending before Truncation is Applied]]</f>
        <v>1</v>
      </c>
    </row>
    <row r="857" spans="1:10" x14ac:dyDescent="0.25">
      <c r="A857" s="339"/>
      <c r="B857" s="270"/>
      <c r="C857" s="271"/>
      <c r="D857" s="456"/>
      <c r="E857" s="362"/>
      <c r="F857" s="272"/>
      <c r="G857" s="460"/>
      <c r="H857" s="272"/>
      <c r="I857" s="399"/>
      <c r="J857" s="241" t="b">
        <f>Age_Sex_PY[[#This Row],[Total Spending After Applying Truncation at the Member Level]]+Age_Sex_PY[[#This Row],[Total Dollars Excluded from Spending After Applying Truncation at the Member Level]]=Age_Sex_PY[[#This Row],[Total Spending before Truncation is Applied]]</f>
        <v>1</v>
      </c>
    </row>
    <row r="858" spans="1:10" x14ac:dyDescent="0.25">
      <c r="A858" s="342"/>
      <c r="B858" s="4"/>
      <c r="C858" s="16"/>
      <c r="D858" s="457"/>
      <c r="E858" s="363"/>
      <c r="F858" s="273"/>
      <c r="G858" s="226"/>
      <c r="H858" s="273"/>
      <c r="I858" s="400"/>
      <c r="J858" s="241" t="b">
        <f>Age_Sex_PY[[#This Row],[Total Spending After Applying Truncation at the Member Level]]+Age_Sex_PY[[#This Row],[Total Dollars Excluded from Spending After Applying Truncation at the Member Level]]=Age_Sex_PY[[#This Row],[Total Spending before Truncation is Applied]]</f>
        <v>1</v>
      </c>
    </row>
    <row r="859" spans="1:10" x14ac:dyDescent="0.25">
      <c r="A859" s="339"/>
      <c r="B859" s="270"/>
      <c r="C859" s="271"/>
      <c r="D859" s="456"/>
      <c r="E859" s="362"/>
      <c r="F859" s="272"/>
      <c r="G859" s="460"/>
      <c r="H859" s="272"/>
      <c r="I859" s="399"/>
      <c r="J859" s="241" t="b">
        <f>Age_Sex_PY[[#This Row],[Total Spending After Applying Truncation at the Member Level]]+Age_Sex_PY[[#This Row],[Total Dollars Excluded from Spending After Applying Truncation at the Member Level]]=Age_Sex_PY[[#This Row],[Total Spending before Truncation is Applied]]</f>
        <v>1</v>
      </c>
    </row>
    <row r="860" spans="1:10" x14ac:dyDescent="0.25">
      <c r="A860" s="342"/>
      <c r="B860" s="4"/>
      <c r="C860" s="16"/>
      <c r="D860" s="457"/>
      <c r="E860" s="363"/>
      <c r="F860" s="273"/>
      <c r="G860" s="226"/>
      <c r="H860" s="273"/>
      <c r="I860" s="400"/>
      <c r="J860" s="241" t="b">
        <f>Age_Sex_PY[[#This Row],[Total Spending After Applying Truncation at the Member Level]]+Age_Sex_PY[[#This Row],[Total Dollars Excluded from Spending After Applying Truncation at the Member Level]]=Age_Sex_PY[[#This Row],[Total Spending before Truncation is Applied]]</f>
        <v>1</v>
      </c>
    </row>
    <row r="861" spans="1:10" x14ac:dyDescent="0.25">
      <c r="A861" s="339"/>
      <c r="B861" s="270"/>
      <c r="C861" s="271"/>
      <c r="D861" s="456"/>
      <c r="E861" s="362"/>
      <c r="F861" s="272"/>
      <c r="G861" s="460"/>
      <c r="H861" s="272"/>
      <c r="I861" s="399"/>
      <c r="J861" s="241" t="b">
        <f>Age_Sex_PY[[#This Row],[Total Spending After Applying Truncation at the Member Level]]+Age_Sex_PY[[#This Row],[Total Dollars Excluded from Spending After Applying Truncation at the Member Level]]=Age_Sex_PY[[#This Row],[Total Spending before Truncation is Applied]]</f>
        <v>1</v>
      </c>
    </row>
    <row r="862" spans="1:10" x14ac:dyDescent="0.25">
      <c r="A862" s="342"/>
      <c r="B862" s="4"/>
      <c r="C862" s="16"/>
      <c r="D862" s="457"/>
      <c r="E862" s="363"/>
      <c r="F862" s="273"/>
      <c r="G862" s="226"/>
      <c r="H862" s="273"/>
      <c r="I862" s="400"/>
      <c r="J862" s="241" t="b">
        <f>Age_Sex_PY[[#This Row],[Total Spending After Applying Truncation at the Member Level]]+Age_Sex_PY[[#This Row],[Total Dollars Excluded from Spending After Applying Truncation at the Member Level]]=Age_Sex_PY[[#This Row],[Total Spending before Truncation is Applied]]</f>
        <v>1</v>
      </c>
    </row>
    <row r="863" spans="1:10" x14ac:dyDescent="0.25">
      <c r="A863" s="339"/>
      <c r="B863" s="270"/>
      <c r="C863" s="271"/>
      <c r="D863" s="456"/>
      <c r="E863" s="362"/>
      <c r="F863" s="272"/>
      <c r="G863" s="460"/>
      <c r="H863" s="272"/>
      <c r="I863" s="399"/>
      <c r="J863" s="241" t="b">
        <f>Age_Sex_PY[[#This Row],[Total Spending After Applying Truncation at the Member Level]]+Age_Sex_PY[[#This Row],[Total Dollars Excluded from Spending After Applying Truncation at the Member Level]]=Age_Sex_PY[[#This Row],[Total Spending before Truncation is Applied]]</f>
        <v>1</v>
      </c>
    </row>
    <row r="864" spans="1:10" x14ac:dyDescent="0.25">
      <c r="A864" s="342"/>
      <c r="B864" s="4"/>
      <c r="C864" s="16"/>
      <c r="D864" s="457"/>
      <c r="E864" s="363"/>
      <c r="F864" s="273"/>
      <c r="G864" s="226"/>
      <c r="H864" s="273"/>
      <c r="I864" s="400"/>
      <c r="J864" s="241" t="b">
        <f>Age_Sex_PY[[#This Row],[Total Spending After Applying Truncation at the Member Level]]+Age_Sex_PY[[#This Row],[Total Dollars Excluded from Spending After Applying Truncation at the Member Level]]=Age_Sex_PY[[#This Row],[Total Spending before Truncation is Applied]]</f>
        <v>1</v>
      </c>
    </row>
    <row r="865" spans="1:10" x14ac:dyDescent="0.25">
      <c r="A865" s="339"/>
      <c r="B865" s="270"/>
      <c r="C865" s="271"/>
      <c r="D865" s="456"/>
      <c r="E865" s="362"/>
      <c r="F865" s="272"/>
      <c r="G865" s="460"/>
      <c r="H865" s="272"/>
      <c r="I865" s="399"/>
      <c r="J865" s="241" t="b">
        <f>Age_Sex_PY[[#This Row],[Total Spending After Applying Truncation at the Member Level]]+Age_Sex_PY[[#This Row],[Total Dollars Excluded from Spending After Applying Truncation at the Member Level]]=Age_Sex_PY[[#This Row],[Total Spending before Truncation is Applied]]</f>
        <v>1</v>
      </c>
    </row>
    <row r="866" spans="1:10" x14ac:dyDescent="0.25">
      <c r="A866" s="342"/>
      <c r="B866" s="4"/>
      <c r="C866" s="16"/>
      <c r="D866" s="457"/>
      <c r="E866" s="363"/>
      <c r="F866" s="273"/>
      <c r="G866" s="226"/>
      <c r="H866" s="273"/>
      <c r="I866" s="400"/>
      <c r="J866" s="241" t="b">
        <f>Age_Sex_PY[[#This Row],[Total Spending After Applying Truncation at the Member Level]]+Age_Sex_PY[[#This Row],[Total Dollars Excluded from Spending After Applying Truncation at the Member Level]]=Age_Sex_PY[[#This Row],[Total Spending before Truncation is Applied]]</f>
        <v>1</v>
      </c>
    </row>
    <row r="867" spans="1:10" x14ac:dyDescent="0.25">
      <c r="A867" s="339"/>
      <c r="B867" s="270"/>
      <c r="C867" s="271"/>
      <c r="D867" s="456"/>
      <c r="E867" s="362"/>
      <c r="F867" s="272"/>
      <c r="G867" s="460"/>
      <c r="H867" s="272"/>
      <c r="I867" s="399"/>
      <c r="J867" s="241" t="b">
        <f>Age_Sex_PY[[#This Row],[Total Spending After Applying Truncation at the Member Level]]+Age_Sex_PY[[#This Row],[Total Dollars Excluded from Spending After Applying Truncation at the Member Level]]=Age_Sex_PY[[#This Row],[Total Spending before Truncation is Applied]]</f>
        <v>1</v>
      </c>
    </row>
    <row r="868" spans="1:10" x14ac:dyDescent="0.25">
      <c r="A868" s="342"/>
      <c r="B868" s="4"/>
      <c r="C868" s="16"/>
      <c r="D868" s="457"/>
      <c r="E868" s="363"/>
      <c r="F868" s="273"/>
      <c r="G868" s="226"/>
      <c r="H868" s="273"/>
      <c r="I868" s="400"/>
      <c r="J868" s="241" t="b">
        <f>Age_Sex_PY[[#This Row],[Total Spending After Applying Truncation at the Member Level]]+Age_Sex_PY[[#This Row],[Total Dollars Excluded from Spending After Applying Truncation at the Member Level]]=Age_Sex_PY[[#This Row],[Total Spending before Truncation is Applied]]</f>
        <v>1</v>
      </c>
    </row>
    <row r="869" spans="1:10" x14ac:dyDescent="0.25">
      <c r="A869" s="339"/>
      <c r="B869" s="270"/>
      <c r="C869" s="271"/>
      <c r="D869" s="456"/>
      <c r="E869" s="362"/>
      <c r="F869" s="272"/>
      <c r="G869" s="460"/>
      <c r="H869" s="272"/>
      <c r="I869" s="399"/>
      <c r="J869" s="241" t="b">
        <f>Age_Sex_PY[[#This Row],[Total Spending After Applying Truncation at the Member Level]]+Age_Sex_PY[[#This Row],[Total Dollars Excluded from Spending After Applying Truncation at the Member Level]]=Age_Sex_PY[[#This Row],[Total Spending before Truncation is Applied]]</f>
        <v>1</v>
      </c>
    </row>
    <row r="870" spans="1:10" x14ac:dyDescent="0.25">
      <c r="A870" s="342"/>
      <c r="B870" s="4"/>
      <c r="C870" s="16"/>
      <c r="D870" s="457"/>
      <c r="E870" s="363"/>
      <c r="F870" s="273"/>
      <c r="G870" s="226"/>
      <c r="H870" s="273"/>
      <c r="I870" s="400"/>
      <c r="J870" s="241" t="b">
        <f>Age_Sex_PY[[#This Row],[Total Spending After Applying Truncation at the Member Level]]+Age_Sex_PY[[#This Row],[Total Dollars Excluded from Spending After Applying Truncation at the Member Level]]=Age_Sex_PY[[#This Row],[Total Spending before Truncation is Applied]]</f>
        <v>1</v>
      </c>
    </row>
    <row r="871" spans="1:10" x14ac:dyDescent="0.25">
      <c r="A871" s="339"/>
      <c r="B871" s="270"/>
      <c r="C871" s="271"/>
      <c r="D871" s="456"/>
      <c r="E871" s="362"/>
      <c r="F871" s="272"/>
      <c r="G871" s="460"/>
      <c r="H871" s="272"/>
      <c r="I871" s="399"/>
      <c r="J871" s="241" t="b">
        <f>Age_Sex_PY[[#This Row],[Total Spending After Applying Truncation at the Member Level]]+Age_Sex_PY[[#This Row],[Total Dollars Excluded from Spending After Applying Truncation at the Member Level]]=Age_Sex_PY[[#This Row],[Total Spending before Truncation is Applied]]</f>
        <v>1</v>
      </c>
    </row>
    <row r="872" spans="1:10" x14ac:dyDescent="0.25">
      <c r="A872" s="342"/>
      <c r="B872" s="4"/>
      <c r="C872" s="16"/>
      <c r="D872" s="457"/>
      <c r="E872" s="363"/>
      <c r="F872" s="273"/>
      <c r="G872" s="226"/>
      <c r="H872" s="273"/>
      <c r="I872" s="400"/>
      <c r="J872" s="241" t="b">
        <f>Age_Sex_PY[[#This Row],[Total Spending After Applying Truncation at the Member Level]]+Age_Sex_PY[[#This Row],[Total Dollars Excluded from Spending After Applying Truncation at the Member Level]]=Age_Sex_PY[[#This Row],[Total Spending before Truncation is Applied]]</f>
        <v>1</v>
      </c>
    </row>
    <row r="873" spans="1:10" x14ac:dyDescent="0.25">
      <c r="A873" s="339"/>
      <c r="B873" s="270"/>
      <c r="C873" s="271"/>
      <c r="D873" s="456"/>
      <c r="E873" s="362"/>
      <c r="F873" s="272"/>
      <c r="G873" s="460"/>
      <c r="H873" s="272"/>
      <c r="I873" s="399"/>
      <c r="J873" s="241" t="b">
        <f>Age_Sex_PY[[#This Row],[Total Spending After Applying Truncation at the Member Level]]+Age_Sex_PY[[#This Row],[Total Dollars Excluded from Spending After Applying Truncation at the Member Level]]=Age_Sex_PY[[#This Row],[Total Spending before Truncation is Applied]]</f>
        <v>1</v>
      </c>
    </row>
    <row r="874" spans="1:10" x14ac:dyDescent="0.25">
      <c r="A874" s="342"/>
      <c r="B874" s="4"/>
      <c r="C874" s="16"/>
      <c r="D874" s="457"/>
      <c r="E874" s="363"/>
      <c r="F874" s="273"/>
      <c r="G874" s="226"/>
      <c r="H874" s="273"/>
      <c r="I874" s="400"/>
      <c r="J874" s="241" t="b">
        <f>Age_Sex_PY[[#This Row],[Total Spending After Applying Truncation at the Member Level]]+Age_Sex_PY[[#This Row],[Total Dollars Excluded from Spending After Applying Truncation at the Member Level]]=Age_Sex_PY[[#This Row],[Total Spending before Truncation is Applied]]</f>
        <v>1</v>
      </c>
    </row>
    <row r="875" spans="1:10" x14ac:dyDescent="0.25">
      <c r="A875" s="339"/>
      <c r="B875" s="270"/>
      <c r="C875" s="271"/>
      <c r="D875" s="456"/>
      <c r="E875" s="362"/>
      <c r="F875" s="272"/>
      <c r="G875" s="460"/>
      <c r="H875" s="272"/>
      <c r="I875" s="399"/>
      <c r="J875" s="241" t="b">
        <f>Age_Sex_PY[[#This Row],[Total Spending After Applying Truncation at the Member Level]]+Age_Sex_PY[[#This Row],[Total Dollars Excluded from Spending After Applying Truncation at the Member Level]]=Age_Sex_PY[[#This Row],[Total Spending before Truncation is Applied]]</f>
        <v>1</v>
      </c>
    </row>
    <row r="876" spans="1:10" x14ac:dyDescent="0.25">
      <c r="A876" s="342"/>
      <c r="B876" s="4"/>
      <c r="C876" s="16"/>
      <c r="D876" s="457"/>
      <c r="E876" s="363"/>
      <c r="F876" s="273"/>
      <c r="G876" s="226"/>
      <c r="H876" s="273"/>
      <c r="I876" s="400"/>
      <c r="J876" s="241" t="b">
        <f>Age_Sex_PY[[#This Row],[Total Spending After Applying Truncation at the Member Level]]+Age_Sex_PY[[#This Row],[Total Dollars Excluded from Spending After Applying Truncation at the Member Level]]=Age_Sex_PY[[#This Row],[Total Spending before Truncation is Applied]]</f>
        <v>1</v>
      </c>
    </row>
    <row r="877" spans="1:10" x14ac:dyDescent="0.25">
      <c r="A877" s="339"/>
      <c r="B877" s="270"/>
      <c r="C877" s="271"/>
      <c r="D877" s="456"/>
      <c r="E877" s="362"/>
      <c r="F877" s="272"/>
      <c r="G877" s="460"/>
      <c r="H877" s="272"/>
      <c r="I877" s="399"/>
      <c r="J877" s="241" t="b">
        <f>Age_Sex_PY[[#This Row],[Total Spending After Applying Truncation at the Member Level]]+Age_Sex_PY[[#This Row],[Total Dollars Excluded from Spending After Applying Truncation at the Member Level]]=Age_Sex_PY[[#This Row],[Total Spending before Truncation is Applied]]</f>
        <v>1</v>
      </c>
    </row>
    <row r="878" spans="1:10" x14ac:dyDescent="0.25">
      <c r="A878" s="342"/>
      <c r="B878" s="4"/>
      <c r="C878" s="16"/>
      <c r="D878" s="457"/>
      <c r="E878" s="363"/>
      <c r="F878" s="273"/>
      <c r="G878" s="226"/>
      <c r="H878" s="273"/>
      <c r="I878" s="400"/>
      <c r="J878" s="241" t="b">
        <f>Age_Sex_PY[[#This Row],[Total Spending After Applying Truncation at the Member Level]]+Age_Sex_PY[[#This Row],[Total Dollars Excluded from Spending After Applying Truncation at the Member Level]]=Age_Sex_PY[[#This Row],[Total Spending before Truncation is Applied]]</f>
        <v>1</v>
      </c>
    </row>
    <row r="879" spans="1:10" x14ac:dyDescent="0.25">
      <c r="A879" s="339"/>
      <c r="B879" s="270"/>
      <c r="C879" s="271"/>
      <c r="D879" s="456"/>
      <c r="E879" s="362"/>
      <c r="F879" s="272"/>
      <c r="G879" s="460"/>
      <c r="H879" s="272"/>
      <c r="I879" s="399"/>
      <c r="J879" s="241" t="b">
        <f>Age_Sex_PY[[#This Row],[Total Spending After Applying Truncation at the Member Level]]+Age_Sex_PY[[#This Row],[Total Dollars Excluded from Spending After Applying Truncation at the Member Level]]=Age_Sex_PY[[#This Row],[Total Spending before Truncation is Applied]]</f>
        <v>1</v>
      </c>
    </row>
    <row r="880" spans="1:10" x14ac:dyDescent="0.25">
      <c r="A880" s="342"/>
      <c r="B880" s="4"/>
      <c r="C880" s="16"/>
      <c r="D880" s="457"/>
      <c r="E880" s="363"/>
      <c r="F880" s="273"/>
      <c r="G880" s="226"/>
      <c r="H880" s="273"/>
      <c r="I880" s="400"/>
      <c r="J880" s="241" t="b">
        <f>Age_Sex_PY[[#This Row],[Total Spending After Applying Truncation at the Member Level]]+Age_Sex_PY[[#This Row],[Total Dollars Excluded from Spending After Applying Truncation at the Member Level]]=Age_Sex_PY[[#This Row],[Total Spending before Truncation is Applied]]</f>
        <v>1</v>
      </c>
    </row>
    <row r="881" spans="1:10" x14ac:dyDescent="0.25">
      <c r="A881" s="339"/>
      <c r="B881" s="270"/>
      <c r="C881" s="271"/>
      <c r="D881" s="456"/>
      <c r="E881" s="362"/>
      <c r="F881" s="272"/>
      <c r="G881" s="460"/>
      <c r="H881" s="272"/>
      <c r="I881" s="399"/>
      <c r="J881" s="241" t="b">
        <f>Age_Sex_PY[[#This Row],[Total Spending After Applying Truncation at the Member Level]]+Age_Sex_PY[[#This Row],[Total Dollars Excluded from Spending After Applying Truncation at the Member Level]]=Age_Sex_PY[[#This Row],[Total Spending before Truncation is Applied]]</f>
        <v>1</v>
      </c>
    </row>
    <row r="882" spans="1:10" x14ac:dyDescent="0.25">
      <c r="A882" s="342"/>
      <c r="B882" s="4"/>
      <c r="C882" s="16"/>
      <c r="D882" s="457"/>
      <c r="E882" s="363"/>
      <c r="F882" s="273"/>
      <c r="G882" s="226"/>
      <c r="H882" s="273"/>
      <c r="I882" s="400"/>
      <c r="J882" s="241" t="b">
        <f>Age_Sex_PY[[#This Row],[Total Spending After Applying Truncation at the Member Level]]+Age_Sex_PY[[#This Row],[Total Dollars Excluded from Spending After Applying Truncation at the Member Level]]=Age_Sex_PY[[#This Row],[Total Spending before Truncation is Applied]]</f>
        <v>1</v>
      </c>
    </row>
    <row r="883" spans="1:10" x14ac:dyDescent="0.25">
      <c r="A883" s="339"/>
      <c r="B883" s="270"/>
      <c r="C883" s="271"/>
      <c r="D883" s="456"/>
      <c r="E883" s="362"/>
      <c r="F883" s="272"/>
      <c r="G883" s="460"/>
      <c r="H883" s="272"/>
      <c r="I883" s="399"/>
      <c r="J883" s="241" t="b">
        <f>Age_Sex_PY[[#This Row],[Total Spending After Applying Truncation at the Member Level]]+Age_Sex_PY[[#This Row],[Total Dollars Excluded from Spending After Applying Truncation at the Member Level]]=Age_Sex_PY[[#This Row],[Total Spending before Truncation is Applied]]</f>
        <v>1</v>
      </c>
    </row>
    <row r="884" spans="1:10" x14ac:dyDescent="0.25">
      <c r="A884" s="342"/>
      <c r="B884" s="4"/>
      <c r="C884" s="16"/>
      <c r="D884" s="457"/>
      <c r="E884" s="363"/>
      <c r="F884" s="273"/>
      <c r="G884" s="226"/>
      <c r="H884" s="273"/>
      <c r="I884" s="400"/>
      <c r="J884" s="241" t="b">
        <f>Age_Sex_PY[[#This Row],[Total Spending After Applying Truncation at the Member Level]]+Age_Sex_PY[[#This Row],[Total Dollars Excluded from Spending After Applying Truncation at the Member Level]]=Age_Sex_PY[[#This Row],[Total Spending before Truncation is Applied]]</f>
        <v>1</v>
      </c>
    </row>
    <row r="885" spans="1:10" x14ac:dyDescent="0.25">
      <c r="A885" s="339"/>
      <c r="B885" s="270"/>
      <c r="C885" s="271"/>
      <c r="D885" s="456"/>
      <c r="E885" s="362"/>
      <c r="F885" s="272"/>
      <c r="G885" s="460"/>
      <c r="H885" s="272"/>
      <c r="I885" s="399"/>
      <c r="J885" s="241" t="b">
        <f>Age_Sex_PY[[#This Row],[Total Spending After Applying Truncation at the Member Level]]+Age_Sex_PY[[#This Row],[Total Dollars Excluded from Spending After Applying Truncation at the Member Level]]=Age_Sex_PY[[#This Row],[Total Spending before Truncation is Applied]]</f>
        <v>1</v>
      </c>
    </row>
    <row r="886" spans="1:10" x14ac:dyDescent="0.25">
      <c r="A886" s="342"/>
      <c r="B886" s="4"/>
      <c r="C886" s="16"/>
      <c r="D886" s="457"/>
      <c r="E886" s="363"/>
      <c r="F886" s="273"/>
      <c r="G886" s="226"/>
      <c r="H886" s="273"/>
      <c r="I886" s="400"/>
      <c r="J886" s="241" t="b">
        <f>Age_Sex_PY[[#This Row],[Total Spending After Applying Truncation at the Member Level]]+Age_Sex_PY[[#This Row],[Total Dollars Excluded from Spending After Applying Truncation at the Member Level]]=Age_Sex_PY[[#This Row],[Total Spending before Truncation is Applied]]</f>
        <v>1</v>
      </c>
    </row>
    <row r="887" spans="1:10" x14ac:dyDescent="0.25">
      <c r="A887" s="339"/>
      <c r="B887" s="270"/>
      <c r="C887" s="271"/>
      <c r="D887" s="456"/>
      <c r="E887" s="362"/>
      <c r="F887" s="272"/>
      <c r="G887" s="460"/>
      <c r="H887" s="272"/>
      <c r="I887" s="399"/>
      <c r="J887" s="241" t="b">
        <f>Age_Sex_PY[[#This Row],[Total Spending After Applying Truncation at the Member Level]]+Age_Sex_PY[[#This Row],[Total Dollars Excluded from Spending After Applying Truncation at the Member Level]]=Age_Sex_PY[[#This Row],[Total Spending before Truncation is Applied]]</f>
        <v>1</v>
      </c>
    </row>
    <row r="888" spans="1:10" x14ac:dyDescent="0.25">
      <c r="A888" s="342"/>
      <c r="B888" s="4"/>
      <c r="C888" s="16"/>
      <c r="D888" s="457"/>
      <c r="E888" s="363"/>
      <c r="F888" s="273"/>
      <c r="G888" s="226"/>
      <c r="H888" s="273"/>
      <c r="I888" s="400"/>
      <c r="J888" s="241" t="b">
        <f>Age_Sex_PY[[#This Row],[Total Spending After Applying Truncation at the Member Level]]+Age_Sex_PY[[#This Row],[Total Dollars Excluded from Spending After Applying Truncation at the Member Level]]=Age_Sex_PY[[#This Row],[Total Spending before Truncation is Applied]]</f>
        <v>1</v>
      </c>
    </row>
    <row r="889" spans="1:10" x14ac:dyDescent="0.25">
      <c r="A889" s="339"/>
      <c r="B889" s="270"/>
      <c r="C889" s="271"/>
      <c r="D889" s="456"/>
      <c r="E889" s="362"/>
      <c r="F889" s="272"/>
      <c r="G889" s="460"/>
      <c r="H889" s="272"/>
      <c r="I889" s="399"/>
      <c r="J889" s="241" t="b">
        <f>Age_Sex_PY[[#This Row],[Total Spending After Applying Truncation at the Member Level]]+Age_Sex_PY[[#This Row],[Total Dollars Excluded from Spending After Applying Truncation at the Member Level]]=Age_Sex_PY[[#This Row],[Total Spending before Truncation is Applied]]</f>
        <v>1</v>
      </c>
    </row>
    <row r="890" spans="1:10" x14ac:dyDescent="0.25">
      <c r="A890" s="342"/>
      <c r="B890" s="4"/>
      <c r="C890" s="16"/>
      <c r="D890" s="457"/>
      <c r="E890" s="363"/>
      <c r="F890" s="273"/>
      <c r="G890" s="226"/>
      <c r="H890" s="273"/>
      <c r="I890" s="400"/>
      <c r="J890" s="241" t="b">
        <f>Age_Sex_PY[[#This Row],[Total Spending After Applying Truncation at the Member Level]]+Age_Sex_PY[[#This Row],[Total Dollars Excluded from Spending After Applying Truncation at the Member Level]]=Age_Sex_PY[[#This Row],[Total Spending before Truncation is Applied]]</f>
        <v>1</v>
      </c>
    </row>
    <row r="891" spans="1:10" x14ac:dyDescent="0.25">
      <c r="A891" s="339"/>
      <c r="B891" s="270"/>
      <c r="C891" s="271"/>
      <c r="D891" s="456"/>
      <c r="E891" s="362"/>
      <c r="F891" s="272"/>
      <c r="G891" s="460"/>
      <c r="H891" s="272"/>
      <c r="I891" s="399"/>
      <c r="J891" s="241" t="b">
        <f>Age_Sex_PY[[#This Row],[Total Spending After Applying Truncation at the Member Level]]+Age_Sex_PY[[#This Row],[Total Dollars Excluded from Spending After Applying Truncation at the Member Level]]=Age_Sex_PY[[#This Row],[Total Spending before Truncation is Applied]]</f>
        <v>1</v>
      </c>
    </row>
    <row r="892" spans="1:10" x14ac:dyDescent="0.25">
      <c r="A892" s="342"/>
      <c r="B892" s="4"/>
      <c r="C892" s="16"/>
      <c r="D892" s="457"/>
      <c r="E892" s="363"/>
      <c r="F892" s="273"/>
      <c r="G892" s="226"/>
      <c r="H892" s="273"/>
      <c r="I892" s="400"/>
      <c r="J892" s="241" t="b">
        <f>Age_Sex_PY[[#This Row],[Total Spending After Applying Truncation at the Member Level]]+Age_Sex_PY[[#This Row],[Total Dollars Excluded from Spending After Applying Truncation at the Member Level]]=Age_Sex_PY[[#This Row],[Total Spending before Truncation is Applied]]</f>
        <v>1</v>
      </c>
    </row>
    <row r="893" spans="1:10" x14ac:dyDescent="0.25">
      <c r="A893" s="339"/>
      <c r="B893" s="270"/>
      <c r="C893" s="271"/>
      <c r="D893" s="456"/>
      <c r="E893" s="362"/>
      <c r="F893" s="272"/>
      <c r="G893" s="460"/>
      <c r="H893" s="272"/>
      <c r="I893" s="399"/>
      <c r="J893" s="241" t="b">
        <f>Age_Sex_PY[[#This Row],[Total Spending After Applying Truncation at the Member Level]]+Age_Sex_PY[[#This Row],[Total Dollars Excluded from Spending After Applying Truncation at the Member Level]]=Age_Sex_PY[[#This Row],[Total Spending before Truncation is Applied]]</f>
        <v>1</v>
      </c>
    </row>
    <row r="894" spans="1:10" x14ac:dyDescent="0.25">
      <c r="A894" s="342"/>
      <c r="B894" s="4"/>
      <c r="C894" s="16"/>
      <c r="D894" s="457"/>
      <c r="E894" s="363"/>
      <c r="F894" s="273"/>
      <c r="G894" s="226"/>
      <c r="H894" s="273"/>
      <c r="I894" s="400"/>
      <c r="J894" s="241" t="b">
        <f>Age_Sex_PY[[#This Row],[Total Spending After Applying Truncation at the Member Level]]+Age_Sex_PY[[#This Row],[Total Dollars Excluded from Spending After Applying Truncation at the Member Level]]=Age_Sex_PY[[#This Row],[Total Spending before Truncation is Applied]]</f>
        <v>1</v>
      </c>
    </row>
    <row r="895" spans="1:10" x14ac:dyDescent="0.25">
      <c r="A895" s="339"/>
      <c r="B895" s="270"/>
      <c r="C895" s="271"/>
      <c r="D895" s="456"/>
      <c r="E895" s="362"/>
      <c r="F895" s="272"/>
      <c r="G895" s="460"/>
      <c r="H895" s="272"/>
      <c r="I895" s="399"/>
      <c r="J895" s="241" t="b">
        <f>Age_Sex_PY[[#This Row],[Total Spending After Applying Truncation at the Member Level]]+Age_Sex_PY[[#This Row],[Total Dollars Excluded from Spending After Applying Truncation at the Member Level]]=Age_Sex_PY[[#This Row],[Total Spending before Truncation is Applied]]</f>
        <v>1</v>
      </c>
    </row>
    <row r="896" spans="1:10" x14ac:dyDescent="0.25">
      <c r="A896" s="342"/>
      <c r="B896" s="4"/>
      <c r="C896" s="16"/>
      <c r="D896" s="457"/>
      <c r="E896" s="363"/>
      <c r="F896" s="273"/>
      <c r="G896" s="226"/>
      <c r="H896" s="273"/>
      <c r="I896" s="400"/>
      <c r="J896" s="241" t="b">
        <f>Age_Sex_PY[[#This Row],[Total Spending After Applying Truncation at the Member Level]]+Age_Sex_PY[[#This Row],[Total Dollars Excluded from Spending After Applying Truncation at the Member Level]]=Age_Sex_PY[[#This Row],[Total Spending before Truncation is Applied]]</f>
        <v>1</v>
      </c>
    </row>
    <row r="897" spans="1:10" x14ac:dyDescent="0.25">
      <c r="A897" s="339"/>
      <c r="B897" s="270"/>
      <c r="C897" s="271"/>
      <c r="D897" s="456"/>
      <c r="E897" s="362"/>
      <c r="F897" s="272"/>
      <c r="G897" s="460"/>
      <c r="H897" s="272"/>
      <c r="I897" s="399"/>
      <c r="J897" s="241" t="b">
        <f>Age_Sex_PY[[#This Row],[Total Spending After Applying Truncation at the Member Level]]+Age_Sex_PY[[#This Row],[Total Dollars Excluded from Spending After Applying Truncation at the Member Level]]=Age_Sex_PY[[#This Row],[Total Spending before Truncation is Applied]]</f>
        <v>1</v>
      </c>
    </row>
    <row r="898" spans="1:10" x14ac:dyDescent="0.25">
      <c r="A898" s="342"/>
      <c r="B898" s="4"/>
      <c r="C898" s="16"/>
      <c r="D898" s="457"/>
      <c r="E898" s="363"/>
      <c r="F898" s="273"/>
      <c r="G898" s="226"/>
      <c r="H898" s="273"/>
      <c r="I898" s="400"/>
      <c r="J898" s="241" t="b">
        <f>Age_Sex_PY[[#This Row],[Total Spending After Applying Truncation at the Member Level]]+Age_Sex_PY[[#This Row],[Total Dollars Excluded from Spending After Applying Truncation at the Member Level]]=Age_Sex_PY[[#This Row],[Total Spending before Truncation is Applied]]</f>
        <v>1</v>
      </c>
    </row>
    <row r="899" spans="1:10" x14ac:dyDescent="0.25">
      <c r="A899" s="339"/>
      <c r="B899" s="270"/>
      <c r="C899" s="271"/>
      <c r="D899" s="456"/>
      <c r="E899" s="362"/>
      <c r="F899" s="272"/>
      <c r="G899" s="460"/>
      <c r="H899" s="272"/>
      <c r="I899" s="399"/>
      <c r="J899" s="241" t="b">
        <f>Age_Sex_PY[[#This Row],[Total Spending After Applying Truncation at the Member Level]]+Age_Sex_PY[[#This Row],[Total Dollars Excluded from Spending After Applying Truncation at the Member Level]]=Age_Sex_PY[[#This Row],[Total Spending before Truncation is Applied]]</f>
        <v>1</v>
      </c>
    </row>
    <row r="900" spans="1:10" x14ac:dyDescent="0.25">
      <c r="A900" s="342"/>
      <c r="B900" s="4"/>
      <c r="C900" s="16"/>
      <c r="D900" s="457"/>
      <c r="E900" s="363"/>
      <c r="F900" s="273"/>
      <c r="G900" s="226"/>
      <c r="H900" s="273"/>
      <c r="I900" s="400"/>
      <c r="J900" s="241" t="b">
        <f>Age_Sex_PY[[#This Row],[Total Spending After Applying Truncation at the Member Level]]+Age_Sex_PY[[#This Row],[Total Dollars Excluded from Spending After Applying Truncation at the Member Level]]=Age_Sex_PY[[#This Row],[Total Spending before Truncation is Applied]]</f>
        <v>1</v>
      </c>
    </row>
    <row r="901" spans="1:10" x14ac:dyDescent="0.25">
      <c r="A901" s="339"/>
      <c r="B901" s="270"/>
      <c r="C901" s="271"/>
      <c r="D901" s="456"/>
      <c r="E901" s="362"/>
      <c r="F901" s="272"/>
      <c r="G901" s="460"/>
      <c r="H901" s="272"/>
      <c r="I901" s="399"/>
      <c r="J901" s="241" t="b">
        <f>Age_Sex_PY[[#This Row],[Total Spending After Applying Truncation at the Member Level]]+Age_Sex_PY[[#This Row],[Total Dollars Excluded from Spending After Applying Truncation at the Member Level]]=Age_Sex_PY[[#This Row],[Total Spending before Truncation is Applied]]</f>
        <v>1</v>
      </c>
    </row>
    <row r="902" spans="1:10" x14ac:dyDescent="0.25">
      <c r="A902" s="342"/>
      <c r="B902" s="4"/>
      <c r="C902" s="16"/>
      <c r="D902" s="457"/>
      <c r="E902" s="363"/>
      <c r="F902" s="273"/>
      <c r="G902" s="226"/>
      <c r="H902" s="273"/>
      <c r="I902" s="400"/>
      <c r="J902" s="241" t="b">
        <f>Age_Sex_PY[[#This Row],[Total Spending After Applying Truncation at the Member Level]]+Age_Sex_PY[[#This Row],[Total Dollars Excluded from Spending After Applying Truncation at the Member Level]]=Age_Sex_PY[[#This Row],[Total Spending before Truncation is Applied]]</f>
        <v>1</v>
      </c>
    </row>
    <row r="903" spans="1:10" x14ac:dyDescent="0.25">
      <c r="A903" s="339"/>
      <c r="B903" s="270"/>
      <c r="C903" s="271"/>
      <c r="D903" s="456"/>
      <c r="E903" s="362"/>
      <c r="F903" s="272"/>
      <c r="G903" s="460"/>
      <c r="H903" s="272"/>
      <c r="I903" s="399"/>
      <c r="J903" s="241" t="b">
        <f>Age_Sex_PY[[#This Row],[Total Spending After Applying Truncation at the Member Level]]+Age_Sex_PY[[#This Row],[Total Dollars Excluded from Spending After Applying Truncation at the Member Level]]=Age_Sex_PY[[#This Row],[Total Spending before Truncation is Applied]]</f>
        <v>1</v>
      </c>
    </row>
    <row r="904" spans="1:10" x14ac:dyDescent="0.25">
      <c r="A904" s="342"/>
      <c r="B904" s="4"/>
      <c r="C904" s="16"/>
      <c r="D904" s="457"/>
      <c r="E904" s="363"/>
      <c r="F904" s="273"/>
      <c r="G904" s="226"/>
      <c r="H904" s="273"/>
      <c r="I904" s="400"/>
      <c r="J904" s="241" t="b">
        <f>Age_Sex_PY[[#This Row],[Total Spending After Applying Truncation at the Member Level]]+Age_Sex_PY[[#This Row],[Total Dollars Excluded from Spending After Applying Truncation at the Member Level]]=Age_Sex_PY[[#This Row],[Total Spending before Truncation is Applied]]</f>
        <v>1</v>
      </c>
    </row>
    <row r="905" spans="1:10" x14ac:dyDescent="0.25">
      <c r="A905" s="339"/>
      <c r="B905" s="270"/>
      <c r="C905" s="271"/>
      <c r="D905" s="456"/>
      <c r="E905" s="362"/>
      <c r="F905" s="272"/>
      <c r="G905" s="460"/>
      <c r="H905" s="272"/>
      <c r="I905" s="399"/>
      <c r="J905" s="241" t="b">
        <f>Age_Sex_PY[[#This Row],[Total Spending After Applying Truncation at the Member Level]]+Age_Sex_PY[[#This Row],[Total Dollars Excluded from Spending After Applying Truncation at the Member Level]]=Age_Sex_PY[[#This Row],[Total Spending before Truncation is Applied]]</f>
        <v>1</v>
      </c>
    </row>
    <row r="906" spans="1:10" x14ac:dyDescent="0.25">
      <c r="A906" s="342"/>
      <c r="B906" s="4"/>
      <c r="C906" s="16"/>
      <c r="D906" s="457"/>
      <c r="E906" s="363"/>
      <c r="F906" s="273"/>
      <c r="G906" s="226"/>
      <c r="H906" s="273"/>
      <c r="I906" s="400"/>
      <c r="J906" s="241" t="b">
        <f>Age_Sex_PY[[#This Row],[Total Spending After Applying Truncation at the Member Level]]+Age_Sex_PY[[#This Row],[Total Dollars Excluded from Spending After Applying Truncation at the Member Level]]=Age_Sex_PY[[#This Row],[Total Spending before Truncation is Applied]]</f>
        <v>1</v>
      </c>
    </row>
    <row r="907" spans="1:10" x14ac:dyDescent="0.25">
      <c r="A907" s="339"/>
      <c r="B907" s="270"/>
      <c r="C907" s="271"/>
      <c r="D907" s="456"/>
      <c r="E907" s="362"/>
      <c r="F907" s="272"/>
      <c r="G907" s="460"/>
      <c r="H907" s="272"/>
      <c r="I907" s="399"/>
      <c r="J907" s="241" t="b">
        <f>Age_Sex_PY[[#This Row],[Total Spending After Applying Truncation at the Member Level]]+Age_Sex_PY[[#This Row],[Total Dollars Excluded from Spending After Applying Truncation at the Member Level]]=Age_Sex_PY[[#This Row],[Total Spending before Truncation is Applied]]</f>
        <v>1</v>
      </c>
    </row>
    <row r="908" spans="1:10" x14ac:dyDescent="0.25">
      <c r="A908" s="342"/>
      <c r="B908" s="4"/>
      <c r="C908" s="16"/>
      <c r="D908" s="457"/>
      <c r="E908" s="363"/>
      <c r="F908" s="273"/>
      <c r="G908" s="226"/>
      <c r="H908" s="273"/>
      <c r="I908" s="400"/>
      <c r="J908" s="241" t="b">
        <f>Age_Sex_PY[[#This Row],[Total Spending After Applying Truncation at the Member Level]]+Age_Sex_PY[[#This Row],[Total Dollars Excluded from Spending After Applying Truncation at the Member Level]]=Age_Sex_PY[[#This Row],[Total Spending before Truncation is Applied]]</f>
        <v>1</v>
      </c>
    </row>
    <row r="909" spans="1:10" x14ac:dyDescent="0.25">
      <c r="A909" s="339"/>
      <c r="B909" s="270"/>
      <c r="C909" s="271"/>
      <c r="D909" s="456"/>
      <c r="E909" s="362"/>
      <c r="F909" s="272"/>
      <c r="G909" s="460"/>
      <c r="H909" s="272"/>
      <c r="I909" s="399"/>
      <c r="J909" s="241" t="b">
        <f>Age_Sex_PY[[#This Row],[Total Spending After Applying Truncation at the Member Level]]+Age_Sex_PY[[#This Row],[Total Dollars Excluded from Spending After Applying Truncation at the Member Level]]=Age_Sex_PY[[#This Row],[Total Spending before Truncation is Applied]]</f>
        <v>1</v>
      </c>
    </row>
    <row r="910" spans="1:10" x14ac:dyDescent="0.25">
      <c r="A910" s="342"/>
      <c r="B910" s="4"/>
      <c r="C910" s="16"/>
      <c r="D910" s="457"/>
      <c r="E910" s="363"/>
      <c r="F910" s="273"/>
      <c r="G910" s="226"/>
      <c r="H910" s="273"/>
      <c r="I910" s="400"/>
      <c r="J910" s="241" t="b">
        <f>Age_Sex_PY[[#This Row],[Total Spending After Applying Truncation at the Member Level]]+Age_Sex_PY[[#This Row],[Total Dollars Excluded from Spending After Applying Truncation at the Member Level]]=Age_Sex_PY[[#This Row],[Total Spending before Truncation is Applied]]</f>
        <v>1</v>
      </c>
    </row>
    <row r="911" spans="1:10" x14ac:dyDescent="0.25">
      <c r="A911" s="339"/>
      <c r="B911" s="270"/>
      <c r="C911" s="271"/>
      <c r="D911" s="456"/>
      <c r="E911" s="362"/>
      <c r="F911" s="272"/>
      <c r="G911" s="460"/>
      <c r="H911" s="272"/>
      <c r="I911" s="399"/>
      <c r="J911" s="241" t="b">
        <f>Age_Sex_PY[[#This Row],[Total Spending After Applying Truncation at the Member Level]]+Age_Sex_PY[[#This Row],[Total Dollars Excluded from Spending After Applying Truncation at the Member Level]]=Age_Sex_PY[[#This Row],[Total Spending before Truncation is Applied]]</f>
        <v>1</v>
      </c>
    </row>
    <row r="912" spans="1:10" x14ac:dyDescent="0.25">
      <c r="A912" s="342"/>
      <c r="B912" s="4"/>
      <c r="C912" s="16"/>
      <c r="D912" s="457"/>
      <c r="E912" s="363"/>
      <c r="F912" s="273"/>
      <c r="G912" s="226"/>
      <c r="H912" s="273"/>
      <c r="I912" s="400"/>
      <c r="J912" s="241" t="b">
        <f>Age_Sex_PY[[#This Row],[Total Spending After Applying Truncation at the Member Level]]+Age_Sex_PY[[#This Row],[Total Dollars Excluded from Spending After Applying Truncation at the Member Level]]=Age_Sex_PY[[#This Row],[Total Spending before Truncation is Applied]]</f>
        <v>1</v>
      </c>
    </row>
    <row r="913" spans="1:10" x14ac:dyDescent="0.25">
      <c r="A913" s="339"/>
      <c r="B913" s="270"/>
      <c r="C913" s="271"/>
      <c r="D913" s="456"/>
      <c r="E913" s="362"/>
      <c r="F913" s="272"/>
      <c r="G913" s="460"/>
      <c r="H913" s="272"/>
      <c r="I913" s="399"/>
      <c r="J913" s="241" t="b">
        <f>Age_Sex_PY[[#This Row],[Total Spending After Applying Truncation at the Member Level]]+Age_Sex_PY[[#This Row],[Total Dollars Excluded from Spending After Applying Truncation at the Member Level]]=Age_Sex_PY[[#This Row],[Total Spending before Truncation is Applied]]</f>
        <v>1</v>
      </c>
    </row>
    <row r="914" spans="1:10" x14ac:dyDescent="0.25">
      <c r="A914" s="342"/>
      <c r="B914" s="4"/>
      <c r="C914" s="16"/>
      <c r="D914" s="457"/>
      <c r="E914" s="363"/>
      <c r="F914" s="273"/>
      <c r="G914" s="226"/>
      <c r="H914" s="273"/>
      <c r="I914" s="400"/>
      <c r="J914" s="241" t="b">
        <f>Age_Sex_PY[[#This Row],[Total Spending After Applying Truncation at the Member Level]]+Age_Sex_PY[[#This Row],[Total Dollars Excluded from Spending After Applying Truncation at the Member Level]]=Age_Sex_PY[[#This Row],[Total Spending before Truncation is Applied]]</f>
        <v>1</v>
      </c>
    </row>
    <row r="915" spans="1:10" x14ac:dyDescent="0.25">
      <c r="A915" s="339"/>
      <c r="B915" s="270"/>
      <c r="C915" s="271"/>
      <c r="D915" s="456"/>
      <c r="E915" s="362"/>
      <c r="F915" s="272"/>
      <c r="G915" s="460"/>
      <c r="H915" s="272"/>
      <c r="I915" s="399"/>
      <c r="J915" s="241" t="b">
        <f>Age_Sex_PY[[#This Row],[Total Spending After Applying Truncation at the Member Level]]+Age_Sex_PY[[#This Row],[Total Dollars Excluded from Spending After Applying Truncation at the Member Level]]=Age_Sex_PY[[#This Row],[Total Spending before Truncation is Applied]]</f>
        <v>1</v>
      </c>
    </row>
    <row r="916" spans="1:10" x14ac:dyDescent="0.25">
      <c r="A916" s="342"/>
      <c r="B916" s="4"/>
      <c r="C916" s="16"/>
      <c r="D916" s="457"/>
      <c r="E916" s="363"/>
      <c r="F916" s="273"/>
      <c r="G916" s="226"/>
      <c r="H916" s="273"/>
      <c r="I916" s="400"/>
      <c r="J916" s="241" t="b">
        <f>Age_Sex_PY[[#This Row],[Total Spending After Applying Truncation at the Member Level]]+Age_Sex_PY[[#This Row],[Total Dollars Excluded from Spending After Applying Truncation at the Member Level]]=Age_Sex_PY[[#This Row],[Total Spending before Truncation is Applied]]</f>
        <v>1</v>
      </c>
    </row>
    <row r="917" spans="1:10" x14ac:dyDescent="0.25">
      <c r="A917" s="339"/>
      <c r="B917" s="270"/>
      <c r="C917" s="271"/>
      <c r="D917" s="456"/>
      <c r="E917" s="362"/>
      <c r="F917" s="272"/>
      <c r="G917" s="460"/>
      <c r="H917" s="272"/>
      <c r="I917" s="399"/>
      <c r="J917" s="241" t="b">
        <f>Age_Sex_PY[[#This Row],[Total Spending After Applying Truncation at the Member Level]]+Age_Sex_PY[[#This Row],[Total Dollars Excluded from Spending After Applying Truncation at the Member Level]]=Age_Sex_PY[[#This Row],[Total Spending before Truncation is Applied]]</f>
        <v>1</v>
      </c>
    </row>
    <row r="918" spans="1:10" x14ac:dyDescent="0.25">
      <c r="A918" s="342"/>
      <c r="B918" s="4"/>
      <c r="C918" s="16"/>
      <c r="D918" s="457"/>
      <c r="E918" s="363"/>
      <c r="F918" s="273"/>
      <c r="G918" s="226"/>
      <c r="H918" s="273"/>
      <c r="I918" s="400"/>
      <c r="J918" s="241" t="b">
        <f>Age_Sex_PY[[#This Row],[Total Spending After Applying Truncation at the Member Level]]+Age_Sex_PY[[#This Row],[Total Dollars Excluded from Spending After Applying Truncation at the Member Level]]=Age_Sex_PY[[#This Row],[Total Spending before Truncation is Applied]]</f>
        <v>1</v>
      </c>
    </row>
    <row r="919" spans="1:10" x14ac:dyDescent="0.25">
      <c r="A919" s="339"/>
      <c r="B919" s="270"/>
      <c r="C919" s="271"/>
      <c r="D919" s="456"/>
      <c r="E919" s="362"/>
      <c r="F919" s="272"/>
      <c r="G919" s="460"/>
      <c r="H919" s="272"/>
      <c r="I919" s="399"/>
      <c r="J919" s="241" t="b">
        <f>Age_Sex_PY[[#This Row],[Total Spending After Applying Truncation at the Member Level]]+Age_Sex_PY[[#This Row],[Total Dollars Excluded from Spending After Applying Truncation at the Member Level]]=Age_Sex_PY[[#This Row],[Total Spending before Truncation is Applied]]</f>
        <v>1</v>
      </c>
    </row>
    <row r="920" spans="1:10" x14ac:dyDescent="0.25">
      <c r="A920" s="342"/>
      <c r="B920" s="4"/>
      <c r="C920" s="16"/>
      <c r="D920" s="457"/>
      <c r="E920" s="363"/>
      <c r="F920" s="273"/>
      <c r="G920" s="226"/>
      <c r="H920" s="273"/>
      <c r="I920" s="400"/>
      <c r="J920" s="241" t="b">
        <f>Age_Sex_PY[[#This Row],[Total Spending After Applying Truncation at the Member Level]]+Age_Sex_PY[[#This Row],[Total Dollars Excluded from Spending After Applying Truncation at the Member Level]]=Age_Sex_PY[[#This Row],[Total Spending before Truncation is Applied]]</f>
        <v>1</v>
      </c>
    </row>
    <row r="921" spans="1:10" x14ac:dyDescent="0.25">
      <c r="A921" s="339"/>
      <c r="B921" s="270"/>
      <c r="C921" s="271"/>
      <c r="D921" s="456"/>
      <c r="E921" s="362"/>
      <c r="F921" s="272"/>
      <c r="G921" s="460"/>
      <c r="H921" s="272"/>
      <c r="I921" s="399"/>
      <c r="J921" s="241" t="b">
        <f>Age_Sex_PY[[#This Row],[Total Spending After Applying Truncation at the Member Level]]+Age_Sex_PY[[#This Row],[Total Dollars Excluded from Spending After Applying Truncation at the Member Level]]=Age_Sex_PY[[#This Row],[Total Spending before Truncation is Applied]]</f>
        <v>1</v>
      </c>
    </row>
    <row r="922" spans="1:10" x14ac:dyDescent="0.25">
      <c r="A922" s="342"/>
      <c r="B922" s="4"/>
      <c r="C922" s="16"/>
      <c r="D922" s="457"/>
      <c r="E922" s="363"/>
      <c r="F922" s="273"/>
      <c r="G922" s="226"/>
      <c r="H922" s="273"/>
      <c r="I922" s="400"/>
      <c r="J922" s="241" t="b">
        <f>Age_Sex_PY[[#This Row],[Total Spending After Applying Truncation at the Member Level]]+Age_Sex_PY[[#This Row],[Total Dollars Excluded from Spending After Applying Truncation at the Member Level]]=Age_Sex_PY[[#This Row],[Total Spending before Truncation is Applied]]</f>
        <v>1</v>
      </c>
    </row>
    <row r="923" spans="1:10" x14ac:dyDescent="0.25">
      <c r="A923" s="339"/>
      <c r="B923" s="270"/>
      <c r="C923" s="271"/>
      <c r="D923" s="456"/>
      <c r="E923" s="362"/>
      <c r="F923" s="272"/>
      <c r="G923" s="460"/>
      <c r="H923" s="272"/>
      <c r="I923" s="399"/>
      <c r="J923" s="241" t="b">
        <f>Age_Sex_PY[[#This Row],[Total Spending After Applying Truncation at the Member Level]]+Age_Sex_PY[[#This Row],[Total Dollars Excluded from Spending After Applying Truncation at the Member Level]]=Age_Sex_PY[[#This Row],[Total Spending before Truncation is Applied]]</f>
        <v>1</v>
      </c>
    </row>
    <row r="924" spans="1:10" x14ac:dyDescent="0.25">
      <c r="A924" s="342"/>
      <c r="B924" s="4"/>
      <c r="C924" s="16"/>
      <c r="D924" s="457"/>
      <c r="E924" s="363"/>
      <c r="F924" s="273"/>
      <c r="G924" s="226"/>
      <c r="H924" s="273"/>
      <c r="I924" s="400"/>
      <c r="J924" s="241" t="b">
        <f>Age_Sex_PY[[#This Row],[Total Spending After Applying Truncation at the Member Level]]+Age_Sex_PY[[#This Row],[Total Dollars Excluded from Spending After Applying Truncation at the Member Level]]=Age_Sex_PY[[#This Row],[Total Spending before Truncation is Applied]]</f>
        <v>1</v>
      </c>
    </row>
    <row r="925" spans="1:10" x14ac:dyDescent="0.25">
      <c r="A925" s="339"/>
      <c r="B925" s="270"/>
      <c r="C925" s="271"/>
      <c r="D925" s="456"/>
      <c r="E925" s="362"/>
      <c r="F925" s="272"/>
      <c r="G925" s="460"/>
      <c r="H925" s="272"/>
      <c r="I925" s="399"/>
      <c r="J925" s="241" t="b">
        <f>Age_Sex_PY[[#This Row],[Total Spending After Applying Truncation at the Member Level]]+Age_Sex_PY[[#This Row],[Total Dollars Excluded from Spending After Applying Truncation at the Member Level]]=Age_Sex_PY[[#This Row],[Total Spending before Truncation is Applied]]</f>
        <v>1</v>
      </c>
    </row>
    <row r="926" spans="1:10" x14ac:dyDescent="0.25">
      <c r="A926" s="342"/>
      <c r="B926" s="4"/>
      <c r="C926" s="16"/>
      <c r="D926" s="457"/>
      <c r="E926" s="363"/>
      <c r="F926" s="273"/>
      <c r="G926" s="226"/>
      <c r="H926" s="273"/>
      <c r="I926" s="400"/>
      <c r="J926" s="241" t="b">
        <f>Age_Sex_PY[[#This Row],[Total Spending After Applying Truncation at the Member Level]]+Age_Sex_PY[[#This Row],[Total Dollars Excluded from Spending After Applying Truncation at the Member Level]]=Age_Sex_PY[[#This Row],[Total Spending before Truncation is Applied]]</f>
        <v>1</v>
      </c>
    </row>
    <row r="927" spans="1:10" x14ac:dyDescent="0.25">
      <c r="A927" s="339"/>
      <c r="B927" s="270"/>
      <c r="C927" s="271"/>
      <c r="D927" s="456"/>
      <c r="E927" s="362"/>
      <c r="F927" s="272"/>
      <c r="G927" s="460"/>
      <c r="H927" s="272"/>
      <c r="I927" s="399"/>
      <c r="J927" s="241" t="b">
        <f>Age_Sex_PY[[#This Row],[Total Spending After Applying Truncation at the Member Level]]+Age_Sex_PY[[#This Row],[Total Dollars Excluded from Spending After Applying Truncation at the Member Level]]=Age_Sex_PY[[#This Row],[Total Spending before Truncation is Applied]]</f>
        <v>1</v>
      </c>
    </row>
    <row r="928" spans="1:10" x14ac:dyDescent="0.25">
      <c r="A928" s="342"/>
      <c r="B928" s="4"/>
      <c r="C928" s="16"/>
      <c r="D928" s="457"/>
      <c r="E928" s="363"/>
      <c r="F928" s="273"/>
      <c r="G928" s="226"/>
      <c r="H928" s="273"/>
      <c r="I928" s="400"/>
      <c r="J928" s="241" t="b">
        <f>Age_Sex_PY[[#This Row],[Total Spending After Applying Truncation at the Member Level]]+Age_Sex_PY[[#This Row],[Total Dollars Excluded from Spending After Applying Truncation at the Member Level]]=Age_Sex_PY[[#This Row],[Total Spending before Truncation is Applied]]</f>
        <v>1</v>
      </c>
    </row>
    <row r="929" spans="1:10" x14ac:dyDescent="0.25">
      <c r="A929" s="339"/>
      <c r="B929" s="270"/>
      <c r="C929" s="271"/>
      <c r="D929" s="456"/>
      <c r="E929" s="362"/>
      <c r="F929" s="272"/>
      <c r="G929" s="460"/>
      <c r="H929" s="272"/>
      <c r="I929" s="399"/>
      <c r="J929" s="241" t="b">
        <f>Age_Sex_PY[[#This Row],[Total Spending After Applying Truncation at the Member Level]]+Age_Sex_PY[[#This Row],[Total Dollars Excluded from Spending After Applying Truncation at the Member Level]]=Age_Sex_PY[[#This Row],[Total Spending before Truncation is Applied]]</f>
        <v>1</v>
      </c>
    </row>
    <row r="930" spans="1:10" x14ac:dyDescent="0.25">
      <c r="A930" s="342"/>
      <c r="B930" s="4"/>
      <c r="C930" s="16"/>
      <c r="D930" s="457"/>
      <c r="E930" s="363"/>
      <c r="F930" s="273"/>
      <c r="G930" s="226"/>
      <c r="H930" s="273"/>
      <c r="I930" s="400"/>
      <c r="J930" s="241" t="b">
        <f>Age_Sex_PY[[#This Row],[Total Spending After Applying Truncation at the Member Level]]+Age_Sex_PY[[#This Row],[Total Dollars Excluded from Spending After Applying Truncation at the Member Level]]=Age_Sex_PY[[#This Row],[Total Spending before Truncation is Applied]]</f>
        <v>1</v>
      </c>
    </row>
    <row r="931" spans="1:10" x14ac:dyDescent="0.25">
      <c r="A931" s="339"/>
      <c r="B931" s="270"/>
      <c r="C931" s="271"/>
      <c r="D931" s="456"/>
      <c r="E931" s="362"/>
      <c r="F931" s="272"/>
      <c r="G931" s="460"/>
      <c r="H931" s="272"/>
      <c r="I931" s="399"/>
      <c r="J931" s="241" t="b">
        <f>Age_Sex_PY[[#This Row],[Total Spending After Applying Truncation at the Member Level]]+Age_Sex_PY[[#This Row],[Total Dollars Excluded from Spending After Applying Truncation at the Member Level]]=Age_Sex_PY[[#This Row],[Total Spending before Truncation is Applied]]</f>
        <v>1</v>
      </c>
    </row>
    <row r="932" spans="1:10" x14ac:dyDescent="0.25">
      <c r="A932" s="342"/>
      <c r="B932" s="4"/>
      <c r="C932" s="16"/>
      <c r="D932" s="457"/>
      <c r="E932" s="363"/>
      <c r="F932" s="273"/>
      <c r="G932" s="226"/>
      <c r="H932" s="273"/>
      <c r="I932" s="400"/>
      <c r="J932" s="241" t="b">
        <f>Age_Sex_PY[[#This Row],[Total Spending After Applying Truncation at the Member Level]]+Age_Sex_PY[[#This Row],[Total Dollars Excluded from Spending After Applying Truncation at the Member Level]]=Age_Sex_PY[[#This Row],[Total Spending before Truncation is Applied]]</f>
        <v>1</v>
      </c>
    </row>
    <row r="933" spans="1:10" x14ac:dyDescent="0.25">
      <c r="A933" s="339"/>
      <c r="B933" s="270"/>
      <c r="C933" s="271"/>
      <c r="D933" s="456"/>
      <c r="E933" s="362"/>
      <c r="F933" s="272"/>
      <c r="G933" s="460"/>
      <c r="H933" s="272"/>
      <c r="I933" s="399"/>
      <c r="J933" s="241" t="b">
        <f>Age_Sex_PY[[#This Row],[Total Spending After Applying Truncation at the Member Level]]+Age_Sex_PY[[#This Row],[Total Dollars Excluded from Spending After Applying Truncation at the Member Level]]=Age_Sex_PY[[#This Row],[Total Spending before Truncation is Applied]]</f>
        <v>1</v>
      </c>
    </row>
    <row r="934" spans="1:10" x14ac:dyDescent="0.25">
      <c r="A934" s="342"/>
      <c r="B934" s="4"/>
      <c r="C934" s="16"/>
      <c r="D934" s="457"/>
      <c r="E934" s="363"/>
      <c r="F934" s="273"/>
      <c r="G934" s="226"/>
      <c r="H934" s="273"/>
      <c r="I934" s="400"/>
      <c r="J934" s="241" t="b">
        <f>Age_Sex_PY[[#This Row],[Total Spending After Applying Truncation at the Member Level]]+Age_Sex_PY[[#This Row],[Total Dollars Excluded from Spending After Applying Truncation at the Member Level]]=Age_Sex_PY[[#This Row],[Total Spending before Truncation is Applied]]</f>
        <v>1</v>
      </c>
    </row>
    <row r="935" spans="1:10" x14ac:dyDescent="0.25">
      <c r="A935" s="339"/>
      <c r="B935" s="270"/>
      <c r="C935" s="271"/>
      <c r="D935" s="456"/>
      <c r="E935" s="362"/>
      <c r="F935" s="272"/>
      <c r="G935" s="460"/>
      <c r="H935" s="272"/>
      <c r="I935" s="399"/>
      <c r="J935" s="241" t="b">
        <f>Age_Sex_PY[[#This Row],[Total Spending After Applying Truncation at the Member Level]]+Age_Sex_PY[[#This Row],[Total Dollars Excluded from Spending After Applying Truncation at the Member Level]]=Age_Sex_PY[[#This Row],[Total Spending before Truncation is Applied]]</f>
        <v>1</v>
      </c>
    </row>
    <row r="936" spans="1:10" x14ac:dyDescent="0.25">
      <c r="A936" s="342"/>
      <c r="B936" s="4"/>
      <c r="C936" s="16"/>
      <c r="D936" s="457"/>
      <c r="E936" s="363"/>
      <c r="F936" s="273"/>
      <c r="G936" s="226"/>
      <c r="H936" s="273"/>
      <c r="I936" s="400"/>
      <c r="J936" s="241" t="b">
        <f>Age_Sex_PY[[#This Row],[Total Spending After Applying Truncation at the Member Level]]+Age_Sex_PY[[#This Row],[Total Dollars Excluded from Spending After Applying Truncation at the Member Level]]=Age_Sex_PY[[#This Row],[Total Spending before Truncation is Applied]]</f>
        <v>1</v>
      </c>
    </row>
    <row r="937" spans="1:10" x14ac:dyDescent="0.25">
      <c r="A937" s="339"/>
      <c r="B937" s="270"/>
      <c r="C937" s="271"/>
      <c r="D937" s="456"/>
      <c r="E937" s="362"/>
      <c r="F937" s="272"/>
      <c r="G937" s="460"/>
      <c r="H937" s="272"/>
      <c r="I937" s="399"/>
      <c r="J937" s="241" t="b">
        <f>Age_Sex_PY[[#This Row],[Total Spending After Applying Truncation at the Member Level]]+Age_Sex_PY[[#This Row],[Total Dollars Excluded from Spending After Applying Truncation at the Member Level]]=Age_Sex_PY[[#This Row],[Total Spending before Truncation is Applied]]</f>
        <v>1</v>
      </c>
    </row>
    <row r="938" spans="1:10" x14ac:dyDescent="0.25">
      <c r="A938" s="342"/>
      <c r="B938" s="4"/>
      <c r="C938" s="16"/>
      <c r="D938" s="457"/>
      <c r="E938" s="363"/>
      <c r="F938" s="273"/>
      <c r="G938" s="226"/>
      <c r="H938" s="273"/>
      <c r="I938" s="400"/>
      <c r="J938" s="241" t="b">
        <f>Age_Sex_PY[[#This Row],[Total Spending After Applying Truncation at the Member Level]]+Age_Sex_PY[[#This Row],[Total Dollars Excluded from Spending After Applying Truncation at the Member Level]]=Age_Sex_PY[[#This Row],[Total Spending before Truncation is Applied]]</f>
        <v>1</v>
      </c>
    </row>
    <row r="939" spans="1:10" x14ac:dyDescent="0.25">
      <c r="A939" s="339"/>
      <c r="B939" s="270"/>
      <c r="C939" s="271"/>
      <c r="D939" s="456"/>
      <c r="E939" s="362"/>
      <c r="F939" s="272"/>
      <c r="G939" s="460"/>
      <c r="H939" s="272"/>
      <c r="I939" s="399"/>
      <c r="J939" s="241" t="b">
        <f>Age_Sex_PY[[#This Row],[Total Spending After Applying Truncation at the Member Level]]+Age_Sex_PY[[#This Row],[Total Dollars Excluded from Spending After Applying Truncation at the Member Level]]=Age_Sex_PY[[#This Row],[Total Spending before Truncation is Applied]]</f>
        <v>1</v>
      </c>
    </row>
    <row r="940" spans="1:10" x14ac:dyDescent="0.25">
      <c r="A940" s="342"/>
      <c r="B940" s="4"/>
      <c r="C940" s="16"/>
      <c r="D940" s="457"/>
      <c r="E940" s="363"/>
      <c r="F940" s="273"/>
      <c r="G940" s="226"/>
      <c r="H940" s="273"/>
      <c r="I940" s="400"/>
      <c r="J940" s="241" t="b">
        <f>Age_Sex_PY[[#This Row],[Total Spending After Applying Truncation at the Member Level]]+Age_Sex_PY[[#This Row],[Total Dollars Excluded from Spending After Applying Truncation at the Member Level]]=Age_Sex_PY[[#This Row],[Total Spending before Truncation is Applied]]</f>
        <v>1</v>
      </c>
    </row>
    <row r="941" spans="1:10" x14ac:dyDescent="0.25">
      <c r="A941" s="339"/>
      <c r="B941" s="270"/>
      <c r="C941" s="271"/>
      <c r="D941" s="456"/>
      <c r="E941" s="362"/>
      <c r="F941" s="272"/>
      <c r="G941" s="460"/>
      <c r="H941" s="272"/>
      <c r="I941" s="399"/>
      <c r="J941" s="241" t="b">
        <f>Age_Sex_PY[[#This Row],[Total Spending After Applying Truncation at the Member Level]]+Age_Sex_PY[[#This Row],[Total Dollars Excluded from Spending After Applying Truncation at the Member Level]]=Age_Sex_PY[[#This Row],[Total Spending before Truncation is Applied]]</f>
        <v>1</v>
      </c>
    </row>
    <row r="942" spans="1:10" x14ac:dyDescent="0.25">
      <c r="A942" s="342"/>
      <c r="B942" s="4"/>
      <c r="C942" s="16"/>
      <c r="D942" s="457"/>
      <c r="E942" s="363"/>
      <c r="F942" s="273"/>
      <c r="G942" s="226"/>
      <c r="H942" s="273"/>
      <c r="I942" s="400"/>
      <c r="J942" s="241" t="b">
        <f>Age_Sex_PY[[#This Row],[Total Spending After Applying Truncation at the Member Level]]+Age_Sex_PY[[#This Row],[Total Dollars Excluded from Spending After Applying Truncation at the Member Level]]=Age_Sex_PY[[#This Row],[Total Spending before Truncation is Applied]]</f>
        <v>1</v>
      </c>
    </row>
    <row r="943" spans="1:10" x14ac:dyDescent="0.25">
      <c r="A943" s="339"/>
      <c r="B943" s="270"/>
      <c r="C943" s="271"/>
      <c r="D943" s="456"/>
      <c r="E943" s="362"/>
      <c r="F943" s="272"/>
      <c r="G943" s="460"/>
      <c r="H943" s="272"/>
      <c r="I943" s="399"/>
      <c r="J943" s="241" t="b">
        <f>Age_Sex_PY[[#This Row],[Total Spending After Applying Truncation at the Member Level]]+Age_Sex_PY[[#This Row],[Total Dollars Excluded from Spending After Applying Truncation at the Member Level]]=Age_Sex_PY[[#This Row],[Total Spending before Truncation is Applied]]</f>
        <v>1</v>
      </c>
    </row>
    <row r="944" spans="1:10" x14ac:dyDescent="0.25">
      <c r="A944" s="342"/>
      <c r="B944" s="4"/>
      <c r="C944" s="16"/>
      <c r="D944" s="457"/>
      <c r="E944" s="363"/>
      <c r="F944" s="273"/>
      <c r="G944" s="226"/>
      <c r="H944" s="273"/>
      <c r="I944" s="400"/>
      <c r="J944" s="241" t="b">
        <f>Age_Sex_PY[[#This Row],[Total Spending After Applying Truncation at the Member Level]]+Age_Sex_PY[[#This Row],[Total Dollars Excluded from Spending After Applying Truncation at the Member Level]]=Age_Sex_PY[[#This Row],[Total Spending before Truncation is Applied]]</f>
        <v>1</v>
      </c>
    </row>
    <row r="945" spans="1:10" x14ac:dyDescent="0.25">
      <c r="A945" s="339"/>
      <c r="B945" s="270"/>
      <c r="C945" s="271"/>
      <c r="D945" s="456"/>
      <c r="E945" s="362"/>
      <c r="F945" s="272"/>
      <c r="G945" s="460"/>
      <c r="H945" s="272"/>
      <c r="I945" s="399"/>
      <c r="J945" s="241" t="b">
        <f>Age_Sex_PY[[#This Row],[Total Spending After Applying Truncation at the Member Level]]+Age_Sex_PY[[#This Row],[Total Dollars Excluded from Spending After Applying Truncation at the Member Level]]=Age_Sex_PY[[#This Row],[Total Spending before Truncation is Applied]]</f>
        <v>1</v>
      </c>
    </row>
    <row r="946" spans="1:10" x14ac:dyDescent="0.25">
      <c r="A946" s="342"/>
      <c r="B946" s="4"/>
      <c r="C946" s="16"/>
      <c r="D946" s="457"/>
      <c r="E946" s="363"/>
      <c r="F946" s="273"/>
      <c r="G946" s="226"/>
      <c r="H946" s="273"/>
      <c r="I946" s="400"/>
      <c r="J946" s="241" t="b">
        <f>Age_Sex_PY[[#This Row],[Total Spending After Applying Truncation at the Member Level]]+Age_Sex_PY[[#This Row],[Total Dollars Excluded from Spending After Applying Truncation at the Member Level]]=Age_Sex_PY[[#This Row],[Total Spending before Truncation is Applied]]</f>
        <v>1</v>
      </c>
    </row>
    <row r="947" spans="1:10" x14ac:dyDescent="0.25">
      <c r="A947" s="339"/>
      <c r="B947" s="270"/>
      <c r="C947" s="271"/>
      <c r="D947" s="456"/>
      <c r="E947" s="362"/>
      <c r="F947" s="272"/>
      <c r="G947" s="460"/>
      <c r="H947" s="272"/>
      <c r="I947" s="399"/>
      <c r="J947" s="241" t="b">
        <f>Age_Sex_PY[[#This Row],[Total Spending After Applying Truncation at the Member Level]]+Age_Sex_PY[[#This Row],[Total Dollars Excluded from Spending After Applying Truncation at the Member Level]]=Age_Sex_PY[[#This Row],[Total Spending before Truncation is Applied]]</f>
        <v>1</v>
      </c>
    </row>
    <row r="948" spans="1:10" x14ac:dyDescent="0.25">
      <c r="A948" s="342"/>
      <c r="B948" s="4"/>
      <c r="C948" s="16"/>
      <c r="D948" s="457"/>
      <c r="E948" s="363"/>
      <c r="F948" s="273"/>
      <c r="G948" s="226"/>
      <c r="H948" s="273"/>
      <c r="I948" s="400"/>
      <c r="J948" s="241" t="b">
        <f>Age_Sex_PY[[#This Row],[Total Spending After Applying Truncation at the Member Level]]+Age_Sex_PY[[#This Row],[Total Dollars Excluded from Spending After Applying Truncation at the Member Level]]=Age_Sex_PY[[#This Row],[Total Spending before Truncation is Applied]]</f>
        <v>1</v>
      </c>
    </row>
    <row r="949" spans="1:10" x14ac:dyDescent="0.25">
      <c r="A949" s="339"/>
      <c r="B949" s="270"/>
      <c r="C949" s="271"/>
      <c r="D949" s="456"/>
      <c r="E949" s="362"/>
      <c r="F949" s="272"/>
      <c r="G949" s="460"/>
      <c r="H949" s="272"/>
      <c r="I949" s="399"/>
      <c r="J949" s="241" t="b">
        <f>Age_Sex_PY[[#This Row],[Total Spending After Applying Truncation at the Member Level]]+Age_Sex_PY[[#This Row],[Total Dollars Excluded from Spending After Applying Truncation at the Member Level]]=Age_Sex_PY[[#This Row],[Total Spending before Truncation is Applied]]</f>
        <v>1</v>
      </c>
    </row>
    <row r="950" spans="1:10" x14ac:dyDescent="0.25">
      <c r="A950" s="342"/>
      <c r="B950" s="4"/>
      <c r="C950" s="16"/>
      <c r="D950" s="457"/>
      <c r="E950" s="363"/>
      <c r="F950" s="273"/>
      <c r="G950" s="226"/>
      <c r="H950" s="273"/>
      <c r="I950" s="400"/>
      <c r="J950" s="241" t="b">
        <f>Age_Sex_PY[[#This Row],[Total Spending After Applying Truncation at the Member Level]]+Age_Sex_PY[[#This Row],[Total Dollars Excluded from Spending After Applying Truncation at the Member Level]]=Age_Sex_PY[[#This Row],[Total Spending before Truncation is Applied]]</f>
        <v>1</v>
      </c>
    </row>
    <row r="951" spans="1:10" x14ac:dyDescent="0.25">
      <c r="A951" s="339"/>
      <c r="B951" s="270"/>
      <c r="C951" s="271"/>
      <c r="D951" s="456"/>
      <c r="E951" s="362"/>
      <c r="F951" s="272"/>
      <c r="G951" s="460"/>
      <c r="H951" s="272"/>
      <c r="I951" s="399"/>
      <c r="J951" s="241" t="b">
        <f>Age_Sex_PY[[#This Row],[Total Spending After Applying Truncation at the Member Level]]+Age_Sex_PY[[#This Row],[Total Dollars Excluded from Spending After Applying Truncation at the Member Level]]=Age_Sex_PY[[#This Row],[Total Spending before Truncation is Applied]]</f>
        <v>1</v>
      </c>
    </row>
    <row r="952" spans="1:10" x14ac:dyDescent="0.25">
      <c r="A952" s="342"/>
      <c r="B952" s="4"/>
      <c r="C952" s="16"/>
      <c r="D952" s="457"/>
      <c r="E952" s="363"/>
      <c r="F952" s="273"/>
      <c r="G952" s="226"/>
      <c r="H952" s="273"/>
      <c r="I952" s="400"/>
      <c r="J952" s="241" t="b">
        <f>Age_Sex_PY[[#This Row],[Total Spending After Applying Truncation at the Member Level]]+Age_Sex_PY[[#This Row],[Total Dollars Excluded from Spending After Applying Truncation at the Member Level]]=Age_Sex_PY[[#This Row],[Total Spending before Truncation is Applied]]</f>
        <v>1</v>
      </c>
    </row>
    <row r="953" spans="1:10" x14ac:dyDescent="0.25">
      <c r="A953" s="339"/>
      <c r="B953" s="270"/>
      <c r="C953" s="271"/>
      <c r="D953" s="456"/>
      <c r="E953" s="362"/>
      <c r="F953" s="272"/>
      <c r="G953" s="460"/>
      <c r="H953" s="272"/>
      <c r="I953" s="399"/>
      <c r="J953" s="241" t="b">
        <f>Age_Sex_PY[[#This Row],[Total Spending After Applying Truncation at the Member Level]]+Age_Sex_PY[[#This Row],[Total Dollars Excluded from Spending After Applying Truncation at the Member Level]]=Age_Sex_PY[[#This Row],[Total Spending before Truncation is Applied]]</f>
        <v>1</v>
      </c>
    </row>
    <row r="954" spans="1:10" x14ac:dyDescent="0.25">
      <c r="A954" s="342"/>
      <c r="B954" s="4"/>
      <c r="C954" s="16"/>
      <c r="D954" s="457"/>
      <c r="E954" s="363"/>
      <c r="F954" s="273"/>
      <c r="G954" s="226"/>
      <c r="H954" s="273"/>
      <c r="I954" s="400"/>
      <c r="J954" s="241" t="b">
        <f>Age_Sex_PY[[#This Row],[Total Spending After Applying Truncation at the Member Level]]+Age_Sex_PY[[#This Row],[Total Dollars Excluded from Spending After Applying Truncation at the Member Level]]=Age_Sex_PY[[#This Row],[Total Spending before Truncation is Applied]]</f>
        <v>1</v>
      </c>
    </row>
    <row r="955" spans="1:10" x14ac:dyDescent="0.25">
      <c r="A955" s="339"/>
      <c r="B955" s="270"/>
      <c r="C955" s="271"/>
      <c r="D955" s="456"/>
      <c r="E955" s="362"/>
      <c r="F955" s="272"/>
      <c r="G955" s="460"/>
      <c r="H955" s="272"/>
      <c r="I955" s="399"/>
      <c r="J955" s="241" t="b">
        <f>Age_Sex_PY[[#This Row],[Total Spending After Applying Truncation at the Member Level]]+Age_Sex_PY[[#This Row],[Total Dollars Excluded from Spending After Applying Truncation at the Member Level]]=Age_Sex_PY[[#This Row],[Total Spending before Truncation is Applied]]</f>
        <v>1</v>
      </c>
    </row>
    <row r="956" spans="1:10" x14ac:dyDescent="0.25">
      <c r="A956" s="342"/>
      <c r="B956" s="4"/>
      <c r="C956" s="16"/>
      <c r="D956" s="457"/>
      <c r="E956" s="363"/>
      <c r="F956" s="273"/>
      <c r="G956" s="226"/>
      <c r="H956" s="273"/>
      <c r="I956" s="400"/>
      <c r="J956" s="241" t="b">
        <f>Age_Sex_PY[[#This Row],[Total Spending After Applying Truncation at the Member Level]]+Age_Sex_PY[[#This Row],[Total Dollars Excluded from Spending After Applying Truncation at the Member Level]]=Age_Sex_PY[[#This Row],[Total Spending before Truncation is Applied]]</f>
        <v>1</v>
      </c>
    </row>
    <row r="957" spans="1:10" x14ac:dyDescent="0.25">
      <c r="A957" s="339"/>
      <c r="B957" s="270"/>
      <c r="C957" s="271"/>
      <c r="D957" s="456"/>
      <c r="E957" s="362"/>
      <c r="F957" s="272"/>
      <c r="G957" s="460"/>
      <c r="H957" s="272"/>
      <c r="I957" s="399"/>
      <c r="J957" s="241" t="b">
        <f>Age_Sex_PY[[#This Row],[Total Spending After Applying Truncation at the Member Level]]+Age_Sex_PY[[#This Row],[Total Dollars Excluded from Spending After Applying Truncation at the Member Level]]=Age_Sex_PY[[#This Row],[Total Spending before Truncation is Applied]]</f>
        <v>1</v>
      </c>
    </row>
    <row r="958" spans="1:10" x14ac:dyDescent="0.25">
      <c r="A958" s="342"/>
      <c r="B958" s="4"/>
      <c r="C958" s="16"/>
      <c r="D958" s="457"/>
      <c r="E958" s="363"/>
      <c r="F958" s="273"/>
      <c r="G958" s="226"/>
      <c r="H958" s="273"/>
      <c r="I958" s="400"/>
      <c r="J958" s="241" t="b">
        <f>Age_Sex_PY[[#This Row],[Total Spending After Applying Truncation at the Member Level]]+Age_Sex_PY[[#This Row],[Total Dollars Excluded from Spending After Applying Truncation at the Member Level]]=Age_Sex_PY[[#This Row],[Total Spending before Truncation is Applied]]</f>
        <v>1</v>
      </c>
    </row>
    <row r="959" spans="1:10" x14ac:dyDescent="0.25">
      <c r="A959" s="339"/>
      <c r="B959" s="270"/>
      <c r="C959" s="271"/>
      <c r="D959" s="456"/>
      <c r="E959" s="362"/>
      <c r="F959" s="272"/>
      <c r="G959" s="460"/>
      <c r="H959" s="272"/>
      <c r="I959" s="399"/>
      <c r="J959" s="241" t="b">
        <f>Age_Sex_PY[[#This Row],[Total Spending After Applying Truncation at the Member Level]]+Age_Sex_PY[[#This Row],[Total Dollars Excluded from Spending After Applying Truncation at the Member Level]]=Age_Sex_PY[[#This Row],[Total Spending before Truncation is Applied]]</f>
        <v>1</v>
      </c>
    </row>
    <row r="960" spans="1:10" x14ac:dyDescent="0.25">
      <c r="A960" s="342"/>
      <c r="B960" s="4"/>
      <c r="C960" s="16"/>
      <c r="D960" s="457"/>
      <c r="E960" s="363"/>
      <c r="F960" s="273"/>
      <c r="G960" s="226"/>
      <c r="H960" s="273"/>
      <c r="I960" s="400"/>
      <c r="J960" s="241" t="b">
        <f>Age_Sex_PY[[#This Row],[Total Spending After Applying Truncation at the Member Level]]+Age_Sex_PY[[#This Row],[Total Dollars Excluded from Spending After Applying Truncation at the Member Level]]=Age_Sex_PY[[#This Row],[Total Spending before Truncation is Applied]]</f>
        <v>1</v>
      </c>
    </row>
    <row r="961" spans="1:10" x14ac:dyDescent="0.25">
      <c r="A961" s="339"/>
      <c r="B961" s="270"/>
      <c r="C961" s="271"/>
      <c r="D961" s="456"/>
      <c r="E961" s="362"/>
      <c r="F961" s="272"/>
      <c r="G961" s="460"/>
      <c r="H961" s="272"/>
      <c r="I961" s="399"/>
      <c r="J961" s="241" t="b">
        <f>Age_Sex_PY[[#This Row],[Total Spending After Applying Truncation at the Member Level]]+Age_Sex_PY[[#This Row],[Total Dollars Excluded from Spending After Applying Truncation at the Member Level]]=Age_Sex_PY[[#This Row],[Total Spending before Truncation is Applied]]</f>
        <v>1</v>
      </c>
    </row>
    <row r="962" spans="1:10" x14ac:dyDescent="0.25">
      <c r="A962" s="342"/>
      <c r="B962" s="4"/>
      <c r="C962" s="16"/>
      <c r="D962" s="457"/>
      <c r="E962" s="363"/>
      <c r="F962" s="273"/>
      <c r="G962" s="226"/>
      <c r="H962" s="273"/>
      <c r="I962" s="400"/>
      <c r="J962" s="241" t="b">
        <f>Age_Sex_PY[[#This Row],[Total Spending After Applying Truncation at the Member Level]]+Age_Sex_PY[[#This Row],[Total Dollars Excluded from Spending After Applying Truncation at the Member Level]]=Age_Sex_PY[[#This Row],[Total Spending before Truncation is Applied]]</f>
        <v>1</v>
      </c>
    </row>
    <row r="963" spans="1:10" x14ac:dyDescent="0.25">
      <c r="A963" s="339"/>
      <c r="B963" s="270"/>
      <c r="C963" s="271"/>
      <c r="D963" s="456"/>
      <c r="E963" s="362"/>
      <c r="F963" s="272"/>
      <c r="G963" s="460"/>
      <c r="H963" s="272"/>
      <c r="I963" s="399"/>
      <c r="J963" s="241" t="b">
        <f>Age_Sex_PY[[#This Row],[Total Spending After Applying Truncation at the Member Level]]+Age_Sex_PY[[#This Row],[Total Dollars Excluded from Spending After Applying Truncation at the Member Level]]=Age_Sex_PY[[#This Row],[Total Spending before Truncation is Applied]]</f>
        <v>1</v>
      </c>
    </row>
    <row r="964" spans="1:10" x14ac:dyDescent="0.25">
      <c r="A964" s="342"/>
      <c r="B964" s="4"/>
      <c r="C964" s="16"/>
      <c r="D964" s="457"/>
      <c r="E964" s="363"/>
      <c r="F964" s="273"/>
      <c r="G964" s="226"/>
      <c r="H964" s="273"/>
      <c r="I964" s="400"/>
      <c r="J964" s="241" t="b">
        <f>Age_Sex_PY[[#This Row],[Total Spending After Applying Truncation at the Member Level]]+Age_Sex_PY[[#This Row],[Total Dollars Excluded from Spending After Applying Truncation at the Member Level]]=Age_Sex_PY[[#This Row],[Total Spending before Truncation is Applied]]</f>
        <v>1</v>
      </c>
    </row>
    <row r="965" spans="1:10" x14ac:dyDescent="0.25">
      <c r="A965" s="339"/>
      <c r="B965" s="270"/>
      <c r="C965" s="271"/>
      <c r="D965" s="456"/>
      <c r="E965" s="362"/>
      <c r="F965" s="272"/>
      <c r="G965" s="460"/>
      <c r="H965" s="272"/>
      <c r="I965" s="399"/>
      <c r="J965" s="241" t="b">
        <f>Age_Sex_PY[[#This Row],[Total Spending After Applying Truncation at the Member Level]]+Age_Sex_PY[[#This Row],[Total Dollars Excluded from Spending After Applying Truncation at the Member Level]]=Age_Sex_PY[[#This Row],[Total Spending before Truncation is Applied]]</f>
        <v>1</v>
      </c>
    </row>
    <row r="966" spans="1:10" x14ac:dyDescent="0.25">
      <c r="A966" s="342"/>
      <c r="B966" s="4"/>
      <c r="C966" s="16"/>
      <c r="D966" s="457"/>
      <c r="E966" s="363"/>
      <c r="F966" s="273"/>
      <c r="G966" s="226"/>
      <c r="H966" s="273"/>
      <c r="I966" s="400"/>
      <c r="J966" s="241" t="b">
        <f>Age_Sex_PY[[#This Row],[Total Spending After Applying Truncation at the Member Level]]+Age_Sex_PY[[#This Row],[Total Dollars Excluded from Spending After Applying Truncation at the Member Level]]=Age_Sex_PY[[#This Row],[Total Spending before Truncation is Applied]]</f>
        <v>1</v>
      </c>
    </row>
    <row r="967" spans="1:10" x14ac:dyDescent="0.25">
      <c r="A967" s="339"/>
      <c r="B967" s="270"/>
      <c r="C967" s="271"/>
      <c r="D967" s="456"/>
      <c r="E967" s="362"/>
      <c r="F967" s="272"/>
      <c r="G967" s="460"/>
      <c r="H967" s="272"/>
      <c r="I967" s="399"/>
      <c r="J967" s="241" t="b">
        <f>Age_Sex_PY[[#This Row],[Total Spending After Applying Truncation at the Member Level]]+Age_Sex_PY[[#This Row],[Total Dollars Excluded from Spending After Applying Truncation at the Member Level]]=Age_Sex_PY[[#This Row],[Total Spending before Truncation is Applied]]</f>
        <v>1</v>
      </c>
    </row>
    <row r="968" spans="1:10" x14ac:dyDescent="0.25">
      <c r="A968" s="342"/>
      <c r="B968" s="4"/>
      <c r="C968" s="16"/>
      <c r="D968" s="457"/>
      <c r="E968" s="363"/>
      <c r="F968" s="273"/>
      <c r="G968" s="226"/>
      <c r="H968" s="273"/>
      <c r="I968" s="400"/>
      <c r="J968" s="241" t="b">
        <f>Age_Sex_PY[[#This Row],[Total Spending After Applying Truncation at the Member Level]]+Age_Sex_PY[[#This Row],[Total Dollars Excluded from Spending After Applying Truncation at the Member Level]]=Age_Sex_PY[[#This Row],[Total Spending before Truncation is Applied]]</f>
        <v>1</v>
      </c>
    </row>
    <row r="969" spans="1:10" x14ac:dyDescent="0.25">
      <c r="A969" s="339"/>
      <c r="B969" s="270"/>
      <c r="C969" s="271"/>
      <c r="D969" s="456"/>
      <c r="E969" s="362"/>
      <c r="F969" s="272"/>
      <c r="G969" s="460"/>
      <c r="H969" s="272"/>
      <c r="I969" s="399"/>
      <c r="J969" s="241" t="b">
        <f>Age_Sex_PY[[#This Row],[Total Spending After Applying Truncation at the Member Level]]+Age_Sex_PY[[#This Row],[Total Dollars Excluded from Spending After Applying Truncation at the Member Level]]=Age_Sex_PY[[#This Row],[Total Spending before Truncation is Applied]]</f>
        <v>1</v>
      </c>
    </row>
    <row r="970" spans="1:10" x14ac:dyDescent="0.25">
      <c r="A970" s="342"/>
      <c r="B970" s="4"/>
      <c r="C970" s="16"/>
      <c r="D970" s="457"/>
      <c r="E970" s="363"/>
      <c r="F970" s="273"/>
      <c r="G970" s="226"/>
      <c r="H970" s="273"/>
      <c r="I970" s="400"/>
      <c r="J970" s="241" t="b">
        <f>Age_Sex_PY[[#This Row],[Total Spending After Applying Truncation at the Member Level]]+Age_Sex_PY[[#This Row],[Total Dollars Excluded from Spending After Applying Truncation at the Member Level]]=Age_Sex_PY[[#This Row],[Total Spending before Truncation is Applied]]</f>
        <v>1</v>
      </c>
    </row>
    <row r="971" spans="1:10" x14ac:dyDescent="0.25">
      <c r="A971" s="339"/>
      <c r="B971" s="270"/>
      <c r="C971" s="271"/>
      <c r="D971" s="456"/>
      <c r="E971" s="362"/>
      <c r="F971" s="272"/>
      <c r="G971" s="460"/>
      <c r="H971" s="272"/>
      <c r="I971" s="399"/>
      <c r="J971" s="241" t="b">
        <f>Age_Sex_PY[[#This Row],[Total Spending After Applying Truncation at the Member Level]]+Age_Sex_PY[[#This Row],[Total Dollars Excluded from Spending After Applying Truncation at the Member Level]]=Age_Sex_PY[[#This Row],[Total Spending before Truncation is Applied]]</f>
        <v>1</v>
      </c>
    </row>
    <row r="972" spans="1:10" x14ac:dyDescent="0.25">
      <c r="A972" s="342"/>
      <c r="B972" s="4"/>
      <c r="C972" s="16"/>
      <c r="D972" s="457"/>
      <c r="E972" s="363"/>
      <c r="F972" s="273"/>
      <c r="G972" s="226"/>
      <c r="H972" s="273"/>
      <c r="I972" s="400"/>
      <c r="J972" s="241" t="b">
        <f>Age_Sex_PY[[#This Row],[Total Spending After Applying Truncation at the Member Level]]+Age_Sex_PY[[#This Row],[Total Dollars Excluded from Spending After Applying Truncation at the Member Level]]=Age_Sex_PY[[#This Row],[Total Spending before Truncation is Applied]]</f>
        <v>1</v>
      </c>
    </row>
    <row r="973" spans="1:10" x14ac:dyDescent="0.25">
      <c r="A973" s="339"/>
      <c r="B973" s="270"/>
      <c r="C973" s="271"/>
      <c r="D973" s="456"/>
      <c r="E973" s="362"/>
      <c r="F973" s="272"/>
      <c r="G973" s="460"/>
      <c r="H973" s="272"/>
      <c r="I973" s="399"/>
      <c r="J973" s="241" t="b">
        <f>Age_Sex_PY[[#This Row],[Total Spending After Applying Truncation at the Member Level]]+Age_Sex_PY[[#This Row],[Total Dollars Excluded from Spending After Applying Truncation at the Member Level]]=Age_Sex_PY[[#This Row],[Total Spending before Truncation is Applied]]</f>
        <v>1</v>
      </c>
    </row>
    <row r="974" spans="1:10" x14ac:dyDescent="0.25">
      <c r="A974" s="342"/>
      <c r="B974" s="4"/>
      <c r="C974" s="16"/>
      <c r="D974" s="457"/>
      <c r="E974" s="363"/>
      <c r="F974" s="273"/>
      <c r="G974" s="226"/>
      <c r="H974" s="273"/>
      <c r="I974" s="400"/>
      <c r="J974" s="241" t="b">
        <f>Age_Sex_PY[[#This Row],[Total Spending After Applying Truncation at the Member Level]]+Age_Sex_PY[[#This Row],[Total Dollars Excluded from Spending After Applying Truncation at the Member Level]]=Age_Sex_PY[[#This Row],[Total Spending before Truncation is Applied]]</f>
        <v>1</v>
      </c>
    </row>
    <row r="975" spans="1:10" x14ac:dyDescent="0.25">
      <c r="A975" s="339"/>
      <c r="B975" s="270"/>
      <c r="C975" s="271"/>
      <c r="D975" s="456"/>
      <c r="E975" s="362"/>
      <c r="F975" s="272"/>
      <c r="G975" s="460"/>
      <c r="H975" s="272"/>
      <c r="I975" s="399"/>
      <c r="J975" s="241" t="b">
        <f>Age_Sex_PY[[#This Row],[Total Spending After Applying Truncation at the Member Level]]+Age_Sex_PY[[#This Row],[Total Dollars Excluded from Spending After Applying Truncation at the Member Level]]=Age_Sex_PY[[#This Row],[Total Spending before Truncation is Applied]]</f>
        <v>1</v>
      </c>
    </row>
    <row r="976" spans="1:10" x14ac:dyDescent="0.25">
      <c r="A976" s="342"/>
      <c r="B976" s="4"/>
      <c r="C976" s="16"/>
      <c r="D976" s="457"/>
      <c r="E976" s="363"/>
      <c r="F976" s="273"/>
      <c r="G976" s="226"/>
      <c r="H976" s="273"/>
      <c r="I976" s="400"/>
      <c r="J976" s="241" t="b">
        <f>Age_Sex_PY[[#This Row],[Total Spending After Applying Truncation at the Member Level]]+Age_Sex_PY[[#This Row],[Total Dollars Excluded from Spending After Applying Truncation at the Member Level]]=Age_Sex_PY[[#This Row],[Total Spending before Truncation is Applied]]</f>
        <v>1</v>
      </c>
    </row>
    <row r="977" spans="1:10" x14ac:dyDescent="0.25">
      <c r="A977" s="339"/>
      <c r="B977" s="270"/>
      <c r="C977" s="271"/>
      <c r="D977" s="456"/>
      <c r="E977" s="362"/>
      <c r="F977" s="272"/>
      <c r="G977" s="460"/>
      <c r="H977" s="272"/>
      <c r="I977" s="399"/>
      <c r="J977" s="241" t="b">
        <f>Age_Sex_PY[[#This Row],[Total Spending After Applying Truncation at the Member Level]]+Age_Sex_PY[[#This Row],[Total Dollars Excluded from Spending After Applying Truncation at the Member Level]]=Age_Sex_PY[[#This Row],[Total Spending before Truncation is Applied]]</f>
        <v>1</v>
      </c>
    </row>
    <row r="978" spans="1:10" x14ac:dyDescent="0.25">
      <c r="A978" s="342"/>
      <c r="B978" s="4"/>
      <c r="C978" s="16"/>
      <c r="D978" s="457"/>
      <c r="E978" s="363"/>
      <c r="F978" s="273"/>
      <c r="G978" s="226"/>
      <c r="H978" s="273"/>
      <c r="I978" s="400"/>
      <c r="J978" s="241" t="b">
        <f>Age_Sex_PY[[#This Row],[Total Spending After Applying Truncation at the Member Level]]+Age_Sex_PY[[#This Row],[Total Dollars Excluded from Spending After Applying Truncation at the Member Level]]=Age_Sex_PY[[#This Row],[Total Spending before Truncation is Applied]]</f>
        <v>1</v>
      </c>
    </row>
    <row r="979" spans="1:10" x14ac:dyDescent="0.25">
      <c r="A979" s="339"/>
      <c r="B979" s="270"/>
      <c r="C979" s="271"/>
      <c r="D979" s="456"/>
      <c r="E979" s="362"/>
      <c r="F979" s="272"/>
      <c r="G979" s="460"/>
      <c r="H979" s="272"/>
      <c r="I979" s="399"/>
      <c r="J979" s="241" t="b">
        <f>Age_Sex_PY[[#This Row],[Total Spending After Applying Truncation at the Member Level]]+Age_Sex_PY[[#This Row],[Total Dollars Excluded from Spending After Applying Truncation at the Member Level]]=Age_Sex_PY[[#This Row],[Total Spending before Truncation is Applied]]</f>
        <v>1</v>
      </c>
    </row>
    <row r="980" spans="1:10" x14ac:dyDescent="0.25">
      <c r="A980" s="342"/>
      <c r="B980" s="4"/>
      <c r="C980" s="16"/>
      <c r="D980" s="457"/>
      <c r="E980" s="363"/>
      <c r="F980" s="273"/>
      <c r="G980" s="226"/>
      <c r="H980" s="273"/>
      <c r="I980" s="400"/>
      <c r="J980" s="241" t="b">
        <f>Age_Sex_PY[[#This Row],[Total Spending After Applying Truncation at the Member Level]]+Age_Sex_PY[[#This Row],[Total Dollars Excluded from Spending After Applying Truncation at the Member Level]]=Age_Sex_PY[[#This Row],[Total Spending before Truncation is Applied]]</f>
        <v>1</v>
      </c>
    </row>
    <row r="981" spans="1:10" x14ac:dyDescent="0.25">
      <c r="A981" s="339"/>
      <c r="B981" s="270"/>
      <c r="C981" s="271"/>
      <c r="D981" s="456"/>
      <c r="E981" s="362"/>
      <c r="F981" s="272"/>
      <c r="G981" s="460"/>
      <c r="H981" s="272"/>
      <c r="I981" s="399"/>
      <c r="J981" s="241" t="b">
        <f>Age_Sex_PY[[#This Row],[Total Spending After Applying Truncation at the Member Level]]+Age_Sex_PY[[#This Row],[Total Dollars Excluded from Spending After Applying Truncation at the Member Level]]=Age_Sex_PY[[#This Row],[Total Spending before Truncation is Applied]]</f>
        <v>1</v>
      </c>
    </row>
    <row r="982" spans="1:10" x14ac:dyDescent="0.25">
      <c r="A982" s="342"/>
      <c r="B982" s="4"/>
      <c r="C982" s="16"/>
      <c r="D982" s="457"/>
      <c r="E982" s="363"/>
      <c r="F982" s="273"/>
      <c r="G982" s="226"/>
      <c r="H982" s="273"/>
      <c r="I982" s="400"/>
      <c r="J982" s="241" t="b">
        <f>Age_Sex_PY[[#This Row],[Total Spending After Applying Truncation at the Member Level]]+Age_Sex_PY[[#This Row],[Total Dollars Excluded from Spending After Applying Truncation at the Member Level]]=Age_Sex_PY[[#This Row],[Total Spending before Truncation is Applied]]</f>
        <v>1</v>
      </c>
    </row>
    <row r="983" spans="1:10" x14ac:dyDescent="0.25">
      <c r="A983" s="339"/>
      <c r="B983" s="270"/>
      <c r="C983" s="271"/>
      <c r="D983" s="456"/>
      <c r="E983" s="362"/>
      <c r="F983" s="272"/>
      <c r="G983" s="460"/>
      <c r="H983" s="272"/>
      <c r="I983" s="399"/>
      <c r="J983" s="241" t="b">
        <f>Age_Sex_PY[[#This Row],[Total Spending After Applying Truncation at the Member Level]]+Age_Sex_PY[[#This Row],[Total Dollars Excluded from Spending After Applying Truncation at the Member Level]]=Age_Sex_PY[[#This Row],[Total Spending before Truncation is Applied]]</f>
        <v>1</v>
      </c>
    </row>
    <row r="984" spans="1:10" x14ac:dyDescent="0.25">
      <c r="A984" s="342"/>
      <c r="B984" s="4"/>
      <c r="C984" s="16"/>
      <c r="D984" s="457"/>
      <c r="E984" s="363"/>
      <c r="F984" s="273"/>
      <c r="G984" s="226"/>
      <c r="H984" s="273"/>
      <c r="I984" s="400"/>
      <c r="J984" s="241" t="b">
        <f>Age_Sex_PY[[#This Row],[Total Spending After Applying Truncation at the Member Level]]+Age_Sex_PY[[#This Row],[Total Dollars Excluded from Spending After Applying Truncation at the Member Level]]=Age_Sex_PY[[#This Row],[Total Spending before Truncation is Applied]]</f>
        <v>1</v>
      </c>
    </row>
    <row r="985" spans="1:10" x14ac:dyDescent="0.25">
      <c r="A985" s="339"/>
      <c r="B985" s="270"/>
      <c r="C985" s="271"/>
      <c r="D985" s="456"/>
      <c r="E985" s="362"/>
      <c r="F985" s="272"/>
      <c r="G985" s="460"/>
      <c r="H985" s="272"/>
      <c r="I985" s="399"/>
      <c r="J985" s="241" t="b">
        <f>Age_Sex_PY[[#This Row],[Total Spending After Applying Truncation at the Member Level]]+Age_Sex_PY[[#This Row],[Total Dollars Excluded from Spending After Applying Truncation at the Member Level]]=Age_Sex_PY[[#This Row],[Total Spending before Truncation is Applied]]</f>
        <v>1</v>
      </c>
    </row>
    <row r="986" spans="1:10" x14ac:dyDescent="0.25">
      <c r="A986" s="342"/>
      <c r="B986" s="4"/>
      <c r="C986" s="16"/>
      <c r="D986" s="457"/>
      <c r="E986" s="363"/>
      <c r="F986" s="273"/>
      <c r="G986" s="226"/>
      <c r="H986" s="273"/>
      <c r="I986" s="400"/>
      <c r="J986" s="241" t="b">
        <f>Age_Sex_PY[[#This Row],[Total Spending After Applying Truncation at the Member Level]]+Age_Sex_PY[[#This Row],[Total Dollars Excluded from Spending After Applying Truncation at the Member Level]]=Age_Sex_PY[[#This Row],[Total Spending before Truncation is Applied]]</f>
        <v>1</v>
      </c>
    </row>
    <row r="987" spans="1:10" x14ac:dyDescent="0.25">
      <c r="A987" s="339"/>
      <c r="B987" s="270"/>
      <c r="C987" s="271"/>
      <c r="D987" s="456"/>
      <c r="E987" s="362"/>
      <c r="F987" s="272"/>
      <c r="G987" s="460"/>
      <c r="H987" s="272"/>
      <c r="I987" s="399"/>
      <c r="J987" s="241" t="b">
        <f>Age_Sex_PY[[#This Row],[Total Spending After Applying Truncation at the Member Level]]+Age_Sex_PY[[#This Row],[Total Dollars Excluded from Spending After Applying Truncation at the Member Level]]=Age_Sex_PY[[#This Row],[Total Spending before Truncation is Applied]]</f>
        <v>1</v>
      </c>
    </row>
    <row r="988" spans="1:10" x14ac:dyDescent="0.25">
      <c r="A988" s="342"/>
      <c r="B988" s="4"/>
      <c r="C988" s="16"/>
      <c r="D988" s="457"/>
      <c r="E988" s="363"/>
      <c r="F988" s="273"/>
      <c r="G988" s="226"/>
      <c r="H988" s="273"/>
      <c r="I988" s="400"/>
      <c r="J988" s="241" t="b">
        <f>Age_Sex_PY[[#This Row],[Total Spending After Applying Truncation at the Member Level]]+Age_Sex_PY[[#This Row],[Total Dollars Excluded from Spending After Applying Truncation at the Member Level]]=Age_Sex_PY[[#This Row],[Total Spending before Truncation is Applied]]</f>
        <v>1</v>
      </c>
    </row>
    <row r="989" spans="1:10" x14ac:dyDescent="0.25">
      <c r="A989" s="339"/>
      <c r="B989" s="270"/>
      <c r="C989" s="271"/>
      <c r="D989" s="456"/>
      <c r="E989" s="362"/>
      <c r="F989" s="272"/>
      <c r="G989" s="460"/>
      <c r="H989" s="272"/>
      <c r="I989" s="399"/>
      <c r="J989" s="241" t="b">
        <f>Age_Sex_PY[[#This Row],[Total Spending After Applying Truncation at the Member Level]]+Age_Sex_PY[[#This Row],[Total Dollars Excluded from Spending After Applying Truncation at the Member Level]]=Age_Sex_PY[[#This Row],[Total Spending before Truncation is Applied]]</f>
        <v>1</v>
      </c>
    </row>
    <row r="990" spans="1:10" x14ac:dyDescent="0.25">
      <c r="A990" s="342"/>
      <c r="B990" s="4"/>
      <c r="C990" s="16"/>
      <c r="D990" s="457"/>
      <c r="E990" s="363"/>
      <c r="F990" s="273"/>
      <c r="G990" s="226"/>
      <c r="H990" s="273"/>
      <c r="I990" s="400"/>
      <c r="J990" s="241" t="b">
        <f>Age_Sex_PY[[#This Row],[Total Spending After Applying Truncation at the Member Level]]+Age_Sex_PY[[#This Row],[Total Dollars Excluded from Spending After Applying Truncation at the Member Level]]=Age_Sex_PY[[#This Row],[Total Spending before Truncation is Applied]]</f>
        <v>1</v>
      </c>
    </row>
    <row r="991" spans="1:10" x14ac:dyDescent="0.25">
      <c r="A991" s="339"/>
      <c r="B991" s="270"/>
      <c r="C991" s="271"/>
      <c r="D991" s="456"/>
      <c r="E991" s="362"/>
      <c r="F991" s="272"/>
      <c r="G991" s="460"/>
      <c r="H991" s="272"/>
      <c r="I991" s="399"/>
      <c r="J991" s="241" t="b">
        <f>Age_Sex_PY[[#This Row],[Total Spending After Applying Truncation at the Member Level]]+Age_Sex_PY[[#This Row],[Total Dollars Excluded from Spending After Applying Truncation at the Member Level]]=Age_Sex_PY[[#This Row],[Total Spending before Truncation is Applied]]</f>
        <v>1</v>
      </c>
    </row>
    <row r="992" spans="1:10" x14ac:dyDescent="0.25">
      <c r="A992" s="342"/>
      <c r="B992" s="4"/>
      <c r="C992" s="16"/>
      <c r="D992" s="457"/>
      <c r="E992" s="363"/>
      <c r="F992" s="273"/>
      <c r="G992" s="226"/>
      <c r="H992" s="273"/>
      <c r="I992" s="400"/>
      <c r="J992" s="241" t="b">
        <f>Age_Sex_PY[[#This Row],[Total Spending After Applying Truncation at the Member Level]]+Age_Sex_PY[[#This Row],[Total Dollars Excluded from Spending After Applying Truncation at the Member Level]]=Age_Sex_PY[[#This Row],[Total Spending before Truncation is Applied]]</f>
        <v>1</v>
      </c>
    </row>
    <row r="993" spans="1:10" x14ac:dyDescent="0.25">
      <c r="A993" s="339"/>
      <c r="B993" s="270"/>
      <c r="C993" s="271"/>
      <c r="D993" s="456"/>
      <c r="E993" s="362"/>
      <c r="F993" s="272"/>
      <c r="G993" s="460"/>
      <c r="H993" s="272"/>
      <c r="I993" s="399"/>
      <c r="J993" s="241" t="b">
        <f>Age_Sex_PY[[#This Row],[Total Spending After Applying Truncation at the Member Level]]+Age_Sex_PY[[#This Row],[Total Dollars Excluded from Spending After Applying Truncation at the Member Level]]=Age_Sex_PY[[#This Row],[Total Spending before Truncation is Applied]]</f>
        <v>1</v>
      </c>
    </row>
    <row r="994" spans="1:10" x14ac:dyDescent="0.25">
      <c r="A994" s="342"/>
      <c r="B994" s="4"/>
      <c r="C994" s="16"/>
      <c r="D994" s="457"/>
      <c r="E994" s="363"/>
      <c r="F994" s="273"/>
      <c r="G994" s="226"/>
      <c r="H994" s="273"/>
      <c r="I994" s="400"/>
      <c r="J994" s="241" t="b">
        <f>Age_Sex_PY[[#This Row],[Total Spending After Applying Truncation at the Member Level]]+Age_Sex_PY[[#This Row],[Total Dollars Excluded from Spending After Applying Truncation at the Member Level]]=Age_Sex_PY[[#This Row],[Total Spending before Truncation is Applied]]</f>
        <v>1</v>
      </c>
    </row>
    <row r="995" spans="1:10" x14ac:dyDescent="0.25">
      <c r="A995" s="339"/>
      <c r="B995" s="270"/>
      <c r="C995" s="271"/>
      <c r="D995" s="456"/>
      <c r="E995" s="362"/>
      <c r="F995" s="272"/>
      <c r="G995" s="460"/>
      <c r="H995" s="272"/>
      <c r="I995" s="399"/>
      <c r="J995" s="241" t="b">
        <f>Age_Sex_PY[[#This Row],[Total Spending After Applying Truncation at the Member Level]]+Age_Sex_PY[[#This Row],[Total Dollars Excluded from Spending After Applying Truncation at the Member Level]]=Age_Sex_PY[[#This Row],[Total Spending before Truncation is Applied]]</f>
        <v>1</v>
      </c>
    </row>
    <row r="996" spans="1:10" x14ac:dyDescent="0.25">
      <c r="A996" s="342"/>
      <c r="B996" s="4"/>
      <c r="C996" s="16"/>
      <c r="D996" s="457"/>
      <c r="E996" s="363"/>
      <c r="F996" s="273"/>
      <c r="G996" s="226"/>
      <c r="H996" s="273"/>
      <c r="I996" s="400"/>
      <c r="J996" s="241" t="b">
        <f>Age_Sex_PY[[#This Row],[Total Spending After Applying Truncation at the Member Level]]+Age_Sex_PY[[#This Row],[Total Dollars Excluded from Spending After Applying Truncation at the Member Level]]=Age_Sex_PY[[#This Row],[Total Spending before Truncation is Applied]]</f>
        <v>1</v>
      </c>
    </row>
    <row r="997" spans="1:10" x14ac:dyDescent="0.25">
      <c r="A997" s="339"/>
      <c r="B997" s="270"/>
      <c r="C997" s="271"/>
      <c r="D997" s="456"/>
      <c r="E997" s="362"/>
      <c r="F997" s="272"/>
      <c r="G997" s="460"/>
      <c r="H997" s="272"/>
      <c r="I997" s="399"/>
      <c r="J997" s="241" t="b">
        <f>Age_Sex_PY[[#This Row],[Total Spending After Applying Truncation at the Member Level]]+Age_Sex_PY[[#This Row],[Total Dollars Excluded from Spending After Applying Truncation at the Member Level]]=Age_Sex_PY[[#This Row],[Total Spending before Truncation is Applied]]</f>
        <v>1</v>
      </c>
    </row>
    <row r="998" spans="1:10" x14ac:dyDescent="0.25">
      <c r="A998" s="342"/>
      <c r="B998" s="4"/>
      <c r="C998" s="16"/>
      <c r="D998" s="457"/>
      <c r="E998" s="363"/>
      <c r="F998" s="273"/>
      <c r="G998" s="226"/>
      <c r="H998" s="273"/>
      <c r="I998" s="400"/>
      <c r="J998" s="241" t="b">
        <f>Age_Sex_PY[[#This Row],[Total Spending After Applying Truncation at the Member Level]]+Age_Sex_PY[[#This Row],[Total Dollars Excluded from Spending After Applying Truncation at the Member Level]]=Age_Sex_PY[[#This Row],[Total Spending before Truncation is Applied]]</f>
        <v>1</v>
      </c>
    </row>
    <row r="999" spans="1:10" x14ac:dyDescent="0.25">
      <c r="A999" s="339"/>
      <c r="B999" s="270"/>
      <c r="C999" s="271"/>
      <c r="D999" s="456"/>
      <c r="E999" s="362"/>
      <c r="F999" s="272"/>
      <c r="G999" s="460"/>
      <c r="H999" s="272"/>
      <c r="I999" s="399"/>
      <c r="J999" s="241" t="b">
        <f>Age_Sex_PY[[#This Row],[Total Spending After Applying Truncation at the Member Level]]+Age_Sex_PY[[#This Row],[Total Dollars Excluded from Spending After Applying Truncation at the Member Level]]=Age_Sex_PY[[#This Row],[Total Spending before Truncation is Applied]]</f>
        <v>1</v>
      </c>
    </row>
    <row r="1000" spans="1:10" x14ac:dyDescent="0.25">
      <c r="A1000" s="342"/>
      <c r="B1000" s="4"/>
      <c r="C1000" s="16"/>
      <c r="D1000" s="457"/>
      <c r="E1000" s="363"/>
      <c r="F1000" s="273"/>
      <c r="G1000" s="226"/>
      <c r="H1000" s="273"/>
      <c r="I1000" s="400"/>
      <c r="J1000" s="241" t="b">
        <f>Age_Sex_PY[[#This Row],[Total Spending After Applying Truncation at the Member Level]]+Age_Sex_PY[[#This Row],[Total Dollars Excluded from Spending After Applying Truncation at the Member Level]]=Age_Sex_PY[[#This Row],[Total Spending before Truncation is Applied]]</f>
        <v>1</v>
      </c>
    </row>
    <row r="1001" spans="1:10" x14ac:dyDescent="0.25">
      <c r="A1001" s="339"/>
      <c r="B1001" s="270"/>
      <c r="C1001" s="271"/>
      <c r="D1001" s="456"/>
      <c r="E1001" s="362"/>
      <c r="F1001" s="272"/>
      <c r="G1001" s="460"/>
      <c r="H1001" s="272"/>
      <c r="I1001" s="399"/>
      <c r="J1001" s="241" t="b">
        <f>Age_Sex_PY[[#This Row],[Total Spending After Applying Truncation at the Member Level]]+Age_Sex_PY[[#This Row],[Total Dollars Excluded from Spending After Applying Truncation at the Member Level]]=Age_Sex_PY[[#This Row],[Total Spending before Truncation is Applied]]</f>
        <v>1</v>
      </c>
    </row>
    <row r="1002" spans="1:10" x14ac:dyDescent="0.25">
      <c r="A1002" s="342"/>
      <c r="B1002" s="4"/>
      <c r="C1002" s="16"/>
      <c r="D1002" s="457"/>
      <c r="E1002" s="363"/>
      <c r="F1002" s="273"/>
      <c r="G1002" s="226"/>
      <c r="H1002" s="273"/>
      <c r="I1002" s="400"/>
      <c r="J1002" s="241" t="b">
        <f>Age_Sex_PY[[#This Row],[Total Spending After Applying Truncation at the Member Level]]+Age_Sex_PY[[#This Row],[Total Dollars Excluded from Spending After Applying Truncation at the Member Level]]=Age_Sex_PY[[#This Row],[Total Spending before Truncation is Applied]]</f>
        <v>1</v>
      </c>
    </row>
    <row r="1003" spans="1:10" x14ac:dyDescent="0.25">
      <c r="A1003" s="339"/>
      <c r="B1003" s="270"/>
      <c r="C1003" s="271"/>
      <c r="D1003" s="456"/>
      <c r="E1003" s="362"/>
      <c r="F1003" s="272"/>
      <c r="G1003" s="460"/>
      <c r="H1003" s="272"/>
      <c r="I1003" s="399"/>
      <c r="J1003" s="241" t="b">
        <f>Age_Sex_PY[[#This Row],[Total Spending After Applying Truncation at the Member Level]]+Age_Sex_PY[[#This Row],[Total Dollars Excluded from Spending After Applying Truncation at the Member Level]]=Age_Sex_PY[[#This Row],[Total Spending before Truncation is Applied]]</f>
        <v>1</v>
      </c>
    </row>
    <row r="1004" spans="1:10" x14ac:dyDescent="0.25">
      <c r="A1004" s="342"/>
      <c r="B1004" s="4"/>
      <c r="C1004" s="16"/>
      <c r="D1004" s="457"/>
      <c r="E1004" s="363"/>
      <c r="F1004" s="273"/>
      <c r="G1004" s="226"/>
      <c r="H1004" s="273"/>
      <c r="I1004" s="400"/>
      <c r="J1004" s="241" t="b">
        <f>Age_Sex_PY[[#This Row],[Total Spending After Applying Truncation at the Member Level]]+Age_Sex_PY[[#This Row],[Total Dollars Excluded from Spending After Applying Truncation at the Member Level]]=Age_Sex_PY[[#This Row],[Total Spending before Truncation is Applied]]</f>
        <v>1</v>
      </c>
    </row>
    <row r="1005" spans="1:10" x14ac:dyDescent="0.25">
      <c r="A1005" s="339"/>
      <c r="B1005" s="270"/>
      <c r="C1005" s="271"/>
      <c r="D1005" s="456"/>
      <c r="E1005" s="362"/>
      <c r="F1005" s="272"/>
      <c r="G1005" s="460"/>
      <c r="H1005" s="272"/>
      <c r="I1005" s="399"/>
      <c r="J1005" s="243" t="b">
        <f>Age_Sex_PY[[#This Row],[Total Spending After Applying Truncation at the Member Level]]+Age_Sex_PY[[#This Row],[Total Dollars Excluded from Spending After Applying Truncation at the Member Level]]=Age_Sex_PY[[#This Row],[Total Spending before Truncation is Applied]]</f>
        <v>1</v>
      </c>
    </row>
    <row r="1006" spans="1:10" x14ac:dyDescent="0.25">
      <c r="A1006" s="342"/>
      <c r="B1006" s="4"/>
      <c r="C1006" s="16"/>
      <c r="D1006" s="457"/>
      <c r="E1006" s="363"/>
      <c r="F1006" s="273"/>
      <c r="G1006" s="226"/>
      <c r="H1006" s="273"/>
      <c r="I1006" s="400"/>
      <c r="J1006" s="241" t="b">
        <f>Age_Sex_PY[[#This Row],[Total Spending After Applying Truncation at the Member Level]]+Age_Sex_PY[[#This Row],[Total Dollars Excluded from Spending After Applying Truncation at the Member Level]]=Age_Sex_PY[[#This Row],[Total Spending before Truncation is Applied]]</f>
        <v>1</v>
      </c>
    </row>
    <row r="1007" spans="1:10" x14ac:dyDescent="0.25">
      <c r="A1007" s="339"/>
      <c r="B1007" s="270"/>
      <c r="C1007" s="271"/>
      <c r="D1007" s="456"/>
      <c r="E1007" s="362"/>
      <c r="F1007" s="272"/>
      <c r="G1007" s="460"/>
      <c r="H1007" s="272"/>
      <c r="I1007" s="399"/>
      <c r="J1007" s="241" t="b">
        <f>Age_Sex_PY[[#This Row],[Total Spending After Applying Truncation at the Member Level]]+Age_Sex_PY[[#This Row],[Total Dollars Excluded from Spending After Applying Truncation at the Member Level]]=Age_Sex_PY[[#This Row],[Total Spending before Truncation is Applied]]</f>
        <v>1</v>
      </c>
    </row>
    <row r="1008" spans="1:10" x14ac:dyDescent="0.25">
      <c r="A1008" s="342"/>
      <c r="B1008" s="4"/>
      <c r="C1008" s="16"/>
      <c r="D1008" s="457"/>
      <c r="E1008" s="363"/>
      <c r="F1008" s="273"/>
      <c r="G1008" s="226"/>
      <c r="H1008" s="273"/>
      <c r="I1008" s="400"/>
      <c r="J1008" s="241" t="b">
        <f>Age_Sex_PY[[#This Row],[Total Spending After Applying Truncation at the Member Level]]+Age_Sex_PY[[#This Row],[Total Dollars Excluded from Spending After Applying Truncation at the Member Level]]=Age_Sex_PY[[#This Row],[Total Spending before Truncation is Applied]]</f>
        <v>1</v>
      </c>
    </row>
    <row r="1009" spans="1:10" x14ac:dyDescent="0.25">
      <c r="A1009" s="339"/>
      <c r="B1009" s="270"/>
      <c r="C1009" s="271"/>
      <c r="D1009" s="456"/>
      <c r="E1009" s="362"/>
      <c r="F1009" s="272"/>
      <c r="G1009" s="460"/>
      <c r="H1009" s="272"/>
      <c r="I1009" s="399"/>
      <c r="J1009" s="241" t="b">
        <f>Age_Sex_PY[[#This Row],[Total Spending After Applying Truncation at the Member Level]]+Age_Sex_PY[[#This Row],[Total Dollars Excluded from Spending After Applying Truncation at the Member Level]]=Age_Sex_PY[[#This Row],[Total Spending before Truncation is Applied]]</f>
        <v>1</v>
      </c>
    </row>
    <row r="1010" spans="1:10" x14ac:dyDescent="0.25">
      <c r="A1010" s="342"/>
      <c r="B1010" s="4"/>
      <c r="C1010" s="16"/>
      <c r="D1010" s="457"/>
      <c r="E1010" s="363"/>
      <c r="F1010" s="273"/>
      <c r="G1010" s="226"/>
      <c r="H1010" s="273"/>
      <c r="I1010" s="400"/>
      <c r="J1010" s="241" t="b">
        <f>Age_Sex_PY[[#This Row],[Total Spending After Applying Truncation at the Member Level]]+Age_Sex_PY[[#This Row],[Total Dollars Excluded from Spending After Applying Truncation at the Member Level]]=Age_Sex_PY[[#This Row],[Total Spending before Truncation is Applied]]</f>
        <v>1</v>
      </c>
    </row>
    <row r="1011" spans="1:10" x14ac:dyDescent="0.25">
      <c r="A1011" s="339"/>
      <c r="B1011" s="270"/>
      <c r="C1011" s="271"/>
      <c r="D1011" s="456"/>
      <c r="E1011" s="362"/>
      <c r="F1011" s="272"/>
      <c r="G1011" s="460"/>
      <c r="H1011" s="272"/>
      <c r="I1011" s="399"/>
      <c r="J1011" s="241" t="b">
        <f>Age_Sex_PY[[#This Row],[Total Spending After Applying Truncation at the Member Level]]+Age_Sex_PY[[#This Row],[Total Dollars Excluded from Spending After Applying Truncation at the Member Level]]=Age_Sex_PY[[#This Row],[Total Spending before Truncation is Applied]]</f>
        <v>1</v>
      </c>
    </row>
    <row r="1012" spans="1:10" x14ac:dyDescent="0.25">
      <c r="A1012" s="342"/>
      <c r="B1012" s="4"/>
      <c r="C1012" s="16"/>
      <c r="D1012" s="457"/>
      <c r="E1012" s="363"/>
      <c r="F1012" s="273"/>
      <c r="G1012" s="226"/>
      <c r="H1012" s="273"/>
      <c r="I1012" s="400"/>
      <c r="J1012" s="241" t="b">
        <f>Age_Sex_PY[[#This Row],[Total Spending After Applying Truncation at the Member Level]]+Age_Sex_PY[[#This Row],[Total Dollars Excluded from Spending After Applying Truncation at the Member Level]]=Age_Sex_PY[[#This Row],[Total Spending before Truncation is Applied]]</f>
        <v>1</v>
      </c>
    </row>
    <row r="1013" spans="1:10" x14ac:dyDescent="0.25">
      <c r="A1013" s="339"/>
      <c r="B1013" s="270"/>
      <c r="C1013" s="271"/>
      <c r="D1013" s="456"/>
      <c r="E1013" s="362"/>
      <c r="F1013" s="272"/>
      <c r="G1013" s="460"/>
      <c r="H1013" s="272"/>
      <c r="I1013" s="399"/>
      <c r="J1013" s="241" t="b">
        <f>Age_Sex_PY[[#This Row],[Total Spending After Applying Truncation at the Member Level]]+Age_Sex_PY[[#This Row],[Total Dollars Excluded from Spending After Applying Truncation at the Member Level]]=Age_Sex_PY[[#This Row],[Total Spending before Truncation is Applied]]</f>
        <v>1</v>
      </c>
    </row>
    <row r="1014" spans="1:10" x14ac:dyDescent="0.25">
      <c r="A1014" s="342"/>
      <c r="B1014" s="4"/>
      <c r="C1014" s="16"/>
      <c r="D1014" s="457"/>
      <c r="E1014" s="363"/>
      <c r="F1014" s="273"/>
      <c r="G1014" s="226"/>
      <c r="H1014" s="273"/>
      <c r="I1014" s="400"/>
      <c r="J1014" s="241" t="b">
        <f>Age_Sex_PY[[#This Row],[Total Spending After Applying Truncation at the Member Level]]+Age_Sex_PY[[#This Row],[Total Dollars Excluded from Spending After Applying Truncation at the Member Level]]=Age_Sex_PY[[#This Row],[Total Spending before Truncation is Applied]]</f>
        <v>1</v>
      </c>
    </row>
    <row r="1015" spans="1:10" x14ac:dyDescent="0.25">
      <c r="A1015" s="339"/>
      <c r="B1015" s="270"/>
      <c r="C1015" s="271"/>
      <c r="D1015" s="456"/>
      <c r="E1015" s="362"/>
      <c r="F1015" s="272"/>
      <c r="G1015" s="460"/>
      <c r="H1015" s="272"/>
      <c r="I1015" s="399"/>
      <c r="J1015" s="241" t="b">
        <f>Age_Sex_PY[[#This Row],[Total Spending After Applying Truncation at the Member Level]]+Age_Sex_PY[[#This Row],[Total Dollars Excluded from Spending After Applying Truncation at the Member Level]]=Age_Sex_PY[[#This Row],[Total Spending before Truncation is Applied]]</f>
        <v>1</v>
      </c>
    </row>
    <row r="1016" spans="1:10" x14ac:dyDescent="0.25">
      <c r="A1016" s="342"/>
      <c r="B1016" s="4"/>
      <c r="C1016" s="16"/>
      <c r="D1016" s="457"/>
      <c r="E1016" s="363"/>
      <c r="F1016" s="273"/>
      <c r="G1016" s="226"/>
      <c r="H1016" s="273"/>
      <c r="I1016" s="400"/>
      <c r="J1016" s="241" t="b">
        <f>Age_Sex_PY[[#This Row],[Total Spending After Applying Truncation at the Member Level]]+Age_Sex_PY[[#This Row],[Total Dollars Excluded from Spending After Applying Truncation at the Member Level]]=Age_Sex_PY[[#This Row],[Total Spending before Truncation is Applied]]</f>
        <v>1</v>
      </c>
    </row>
    <row r="1017" spans="1:10" x14ac:dyDescent="0.25">
      <c r="A1017" s="339"/>
      <c r="B1017" s="270"/>
      <c r="C1017" s="271"/>
      <c r="D1017" s="456"/>
      <c r="E1017" s="362"/>
      <c r="F1017" s="272"/>
      <c r="G1017" s="460"/>
      <c r="H1017" s="272"/>
      <c r="I1017" s="399"/>
      <c r="J1017" s="241" t="b">
        <f>Age_Sex_PY[[#This Row],[Total Spending After Applying Truncation at the Member Level]]+Age_Sex_PY[[#This Row],[Total Dollars Excluded from Spending After Applying Truncation at the Member Level]]=Age_Sex_PY[[#This Row],[Total Spending before Truncation is Applied]]</f>
        <v>1</v>
      </c>
    </row>
    <row r="1018" spans="1:10" x14ac:dyDescent="0.25">
      <c r="A1018" s="342"/>
      <c r="B1018" s="4"/>
      <c r="C1018" s="16"/>
      <c r="D1018" s="457"/>
      <c r="E1018" s="363"/>
      <c r="F1018" s="273"/>
      <c r="G1018" s="226"/>
      <c r="H1018" s="273"/>
      <c r="I1018" s="400"/>
      <c r="J1018" s="241" t="b">
        <f>Age_Sex_PY[[#This Row],[Total Spending After Applying Truncation at the Member Level]]+Age_Sex_PY[[#This Row],[Total Dollars Excluded from Spending After Applying Truncation at the Member Level]]=Age_Sex_PY[[#This Row],[Total Spending before Truncation is Applied]]</f>
        <v>1</v>
      </c>
    </row>
    <row r="1019" spans="1:10" x14ac:dyDescent="0.25">
      <c r="A1019" s="339"/>
      <c r="B1019" s="270"/>
      <c r="C1019" s="271"/>
      <c r="D1019" s="456"/>
      <c r="E1019" s="362"/>
      <c r="F1019" s="272"/>
      <c r="G1019" s="460"/>
      <c r="H1019" s="272"/>
      <c r="I1019" s="399"/>
      <c r="J1019" s="241" t="b">
        <f>Age_Sex_PY[[#This Row],[Total Spending After Applying Truncation at the Member Level]]+Age_Sex_PY[[#This Row],[Total Dollars Excluded from Spending After Applying Truncation at the Member Level]]=Age_Sex_PY[[#This Row],[Total Spending before Truncation is Applied]]</f>
        <v>1</v>
      </c>
    </row>
    <row r="1020" spans="1:10" x14ac:dyDescent="0.25">
      <c r="A1020" s="342"/>
      <c r="B1020" s="4"/>
      <c r="C1020" s="16"/>
      <c r="D1020" s="457"/>
      <c r="E1020" s="363"/>
      <c r="F1020" s="273"/>
      <c r="G1020" s="226"/>
      <c r="H1020" s="273"/>
      <c r="I1020" s="400"/>
      <c r="J1020" s="241" t="b">
        <f>Age_Sex_PY[[#This Row],[Total Spending After Applying Truncation at the Member Level]]+Age_Sex_PY[[#This Row],[Total Dollars Excluded from Spending After Applying Truncation at the Member Level]]=Age_Sex_PY[[#This Row],[Total Spending before Truncation is Applied]]</f>
        <v>1</v>
      </c>
    </row>
    <row r="1021" spans="1:10" x14ac:dyDescent="0.25">
      <c r="A1021" s="339"/>
      <c r="B1021" s="270"/>
      <c r="C1021" s="271"/>
      <c r="D1021" s="456"/>
      <c r="E1021" s="362"/>
      <c r="F1021" s="272"/>
      <c r="G1021" s="460"/>
      <c r="H1021" s="272"/>
      <c r="I1021" s="399"/>
      <c r="J1021" s="241" t="b">
        <f>Age_Sex_PY[[#This Row],[Total Spending After Applying Truncation at the Member Level]]+Age_Sex_PY[[#This Row],[Total Dollars Excluded from Spending After Applying Truncation at the Member Level]]=Age_Sex_PY[[#This Row],[Total Spending before Truncation is Applied]]</f>
        <v>1</v>
      </c>
    </row>
    <row r="1022" spans="1:10" x14ac:dyDescent="0.25">
      <c r="A1022" s="342"/>
      <c r="B1022" s="4"/>
      <c r="C1022" s="16"/>
      <c r="D1022" s="457"/>
      <c r="E1022" s="363"/>
      <c r="F1022" s="273"/>
      <c r="G1022" s="226"/>
      <c r="H1022" s="273"/>
      <c r="I1022" s="400"/>
      <c r="J1022" s="241" t="b">
        <f>Age_Sex_PY[[#This Row],[Total Spending After Applying Truncation at the Member Level]]+Age_Sex_PY[[#This Row],[Total Dollars Excluded from Spending After Applying Truncation at the Member Level]]=Age_Sex_PY[[#This Row],[Total Spending before Truncation is Applied]]</f>
        <v>1</v>
      </c>
    </row>
    <row r="1023" spans="1:10" x14ac:dyDescent="0.25">
      <c r="A1023" s="339"/>
      <c r="B1023" s="270"/>
      <c r="C1023" s="271"/>
      <c r="D1023" s="456"/>
      <c r="E1023" s="362"/>
      <c r="F1023" s="272"/>
      <c r="G1023" s="460"/>
      <c r="H1023" s="272"/>
      <c r="I1023" s="399"/>
      <c r="J1023" s="241" t="b">
        <f>Age_Sex_PY[[#This Row],[Total Spending After Applying Truncation at the Member Level]]+Age_Sex_PY[[#This Row],[Total Dollars Excluded from Spending After Applying Truncation at the Member Level]]=Age_Sex_PY[[#This Row],[Total Spending before Truncation is Applied]]</f>
        <v>1</v>
      </c>
    </row>
    <row r="1024" spans="1:10" x14ac:dyDescent="0.25">
      <c r="A1024" s="342"/>
      <c r="B1024" s="4"/>
      <c r="C1024" s="16"/>
      <c r="D1024" s="457"/>
      <c r="E1024" s="363"/>
      <c r="F1024" s="273"/>
      <c r="G1024" s="226"/>
      <c r="H1024" s="273"/>
      <c r="I1024" s="400"/>
      <c r="J1024" s="241" t="b">
        <f>Age_Sex_PY[[#This Row],[Total Spending After Applying Truncation at the Member Level]]+Age_Sex_PY[[#This Row],[Total Dollars Excluded from Spending After Applying Truncation at the Member Level]]=Age_Sex_PY[[#This Row],[Total Spending before Truncation is Applied]]</f>
        <v>1</v>
      </c>
    </row>
    <row r="1025" spans="1:10" x14ac:dyDescent="0.25">
      <c r="A1025" s="339"/>
      <c r="B1025" s="270"/>
      <c r="C1025" s="271"/>
      <c r="D1025" s="456"/>
      <c r="E1025" s="362"/>
      <c r="F1025" s="272"/>
      <c r="G1025" s="460"/>
      <c r="H1025" s="272"/>
      <c r="I1025" s="399"/>
      <c r="J1025" s="241" t="b">
        <f>Age_Sex_PY[[#This Row],[Total Spending After Applying Truncation at the Member Level]]+Age_Sex_PY[[#This Row],[Total Dollars Excluded from Spending After Applying Truncation at the Member Level]]=Age_Sex_PY[[#This Row],[Total Spending before Truncation is Applied]]</f>
        <v>1</v>
      </c>
    </row>
    <row r="1026" spans="1:10" x14ac:dyDescent="0.25">
      <c r="A1026" s="342"/>
      <c r="B1026" s="4"/>
      <c r="C1026" s="16"/>
      <c r="D1026" s="457"/>
      <c r="E1026" s="363"/>
      <c r="F1026" s="273"/>
      <c r="G1026" s="226"/>
      <c r="H1026" s="273"/>
      <c r="I1026" s="400"/>
      <c r="J1026" s="241" t="b">
        <f>Age_Sex_PY[[#This Row],[Total Spending After Applying Truncation at the Member Level]]+Age_Sex_PY[[#This Row],[Total Dollars Excluded from Spending After Applying Truncation at the Member Level]]=Age_Sex_PY[[#This Row],[Total Spending before Truncation is Applied]]</f>
        <v>1</v>
      </c>
    </row>
    <row r="1027" spans="1:10" x14ac:dyDescent="0.25">
      <c r="A1027" s="339"/>
      <c r="B1027" s="270"/>
      <c r="C1027" s="271"/>
      <c r="D1027" s="456"/>
      <c r="E1027" s="362"/>
      <c r="F1027" s="272"/>
      <c r="G1027" s="460"/>
      <c r="H1027" s="272"/>
      <c r="I1027" s="399"/>
      <c r="J1027" s="241" t="b">
        <f>Age_Sex_PY[[#This Row],[Total Spending After Applying Truncation at the Member Level]]+Age_Sex_PY[[#This Row],[Total Dollars Excluded from Spending After Applying Truncation at the Member Level]]=Age_Sex_PY[[#This Row],[Total Spending before Truncation is Applied]]</f>
        <v>1</v>
      </c>
    </row>
    <row r="1028" spans="1:10" x14ac:dyDescent="0.25">
      <c r="A1028" s="342"/>
      <c r="B1028" s="4"/>
      <c r="C1028" s="16"/>
      <c r="D1028" s="457"/>
      <c r="E1028" s="363"/>
      <c r="F1028" s="273"/>
      <c r="G1028" s="226"/>
      <c r="H1028" s="273"/>
      <c r="I1028" s="400"/>
      <c r="J1028" s="241" t="b">
        <f>Age_Sex_PY[[#This Row],[Total Spending After Applying Truncation at the Member Level]]+Age_Sex_PY[[#This Row],[Total Dollars Excluded from Spending After Applying Truncation at the Member Level]]=Age_Sex_PY[[#This Row],[Total Spending before Truncation is Applied]]</f>
        <v>1</v>
      </c>
    </row>
    <row r="1029" spans="1:10" x14ac:dyDescent="0.25">
      <c r="A1029" s="339"/>
      <c r="B1029" s="270"/>
      <c r="C1029" s="271"/>
      <c r="D1029" s="456"/>
      <c r="E1029" s="362"/>
      <c r="F1029" s="272"/>
      <c r="G1029" s="460"/>
      <c r="H1029" s="272"/>
      <c r="I1029" s="399"/>
      <c r="J1029" s="241" t="b">
        <f>Age_Sex_PY[[#This Row],[Total Spending After Applying Truncation at the Member Level]]+Age_Sex_PY[[#This Row],[Total Dollars Excluded from Spending After Applying Truncation at the Member Level]]=Age_Sex_PY[[#This Row],[Total Spending before Truncation is Applied]]</f>
        <v>1</v>
      </c>
    </row>
    <row r="1030" spans="1:10" x14ac:dyDescent="0.25">
      <c r="A1030" s="342"/>
      <c r="B1030" s="4"/>
      <c r="C1030" s="16"/>
      <c r="D1030" s="457"/>
      <c r="E1030" s="363"/>
      <c r="F1030" s="273"/>
      <c r="G1030" s="226"/>
      <c r="H1030" s="273"/>
      <c r="I1030" s="400"/>
      <c r="J1030" s="241" t="b">
        <f>Age_Sex_PY[[#This Row],[Total Spending After Applying Truncation at the Member Level]]+Age_Sex_PY[[#This Row],[Total Dollars Excluded from Spending After Applying Truncation at the Member Level]]=Age_Sex_PY[[#This Row],[Total Spending before Truncation is Applied]]</f>
        <v>1</v>
      </c>
    </row>
    <row r="1031" spans="1:10" x14ac:dyDescent="0.25">
      <c r="A1031" s="339"/>
      <c r="B1031" s="270"/>
      <c r="C1031" s="271"/>
      <c r="D1031" s="456"/>
      <c r="E1031" s="362"/>
      <c r="F1031" s="272"/>
      <c r="G1031" s="460"/>
      <c r="H1031" s="272"/>
      <c r="I1031" s="399"/>
      <c r="J1031" s="241" t="b">
        <f>Age_Sex_PY[[#This Row],[Total Spending After Applying Truncation at the Member Level]]+Age_Sex_PY[[#This Row],[Total Dollars Excluded from Spending After Applying Truncation at the Member Level]]=Age_Sex_PY[[#This Row],[Total Spending before Truncation is Applied]]</f>
        <v>1</v>
      </c>
    </row>
    <row r="1032" spans="1:10" x14ac:dyDescent="0.25">
      <c r="A1032" s="342"/>
      <c r="B1032" s="4"/>
      <c r="C1032" s="16"/>
      <c r="D1032" s="457"/>
      <c r="E1032" s="363"/>
      <c r="F1032" s="273"/>
      <c r="G1032" s="226"/>
      <c r="H1032" s="273"/>
      <c r="I1032" s="400"/>
      <c r="J1032" s="241" t="b">
        <f>Age_Sex_PY[[#This Row],[Total Spending After Applying Truncation at the Member Level]]+Age_Sex_PY[[#This Row],[Total Dollars Excluded from Spending After Applying Truncation at the Member Level]]=Age_Sex_PY[[#This Row],[Total Spending before Truncation is Applied]]</f>
        <v>1</v>
      </c>
    </row>
    <row r="1033" spans="1:10" x14ac:dyDescent="0.25">
      <c r="A1033" s="339"/>
      <c r="B1033" s="270"/>
      <c r="C1033" s="271"/>
      <c r="D1033" s="456"/>
      <c r="E1033" s="362"/>
      <c r="F1033" s="272"/>
      <c r="G1033" s="460"/>
      <c r="H1033" s="272"/>
      <c r="I1033" s="399"/>
      <c r="J1033" s="241" t="b">
        <f>Age_Sex_PY[[#This Row],[Total Spending After Applying Truncation at the Member Level]]+Age_Sex_PY[[#This Row],[Total Dollars Excluded from Spending After Applying Truncation at the Member Level]]=Age_Sex_PY[[#This Row],[Total Spending before Truncation is Applied]]</f>
        <v>1</v>
      </c>
    </row>
    <row r="1034" spans="1:10" x14ac:dyDescent="0.25">
      <c r="A1034" s="342"/>
      <c r="B1034" s="4"/>
      <c r="C1034" s="16"/>
      <c r="D1034" s="457"/>
      <c r="E1034" s="363"/>
      <c r="F1034" s="273"/>
      <c r="G1034" s="226"/>
      <c r="H1034" s="273"/>
      <c r="I1034" s="400"/>
      <c r="J1034" s="241" t="b">
        <f>Age_Sex_PY[[#This Row],[Total Spending After Applying Truncation at the Member Level]]+Age_Sex_PY[[#This Row],[Total Dollars Excluded from Spending After Applying Truncation at the Member Level]]=Age_Sex_PY[[#This Row],[Total Spending before Truncation is Applied]]</f>
        <v>1</v>
      </c>
    </row>
    <row r="1035" spans="1:10" x14ac:dyDescent="0.25">
      <c r="A1035" s="339"/>
      <c r="B1035" s="270"/>
      <c r="C1035" s="271"/>
      <c r="D1035" s="456"/>
      <c r="E1035" s="362"/>
      <c r="F1035" s="272"/>
      <c r="G1035" s="460"/>
      <c r="H1035" s="272"/>
      <c r="I1035" s="399"/>
      <c r="J1035" s="241" t="b">
        <f>Age_Sex_PY[[#This Row],[Total Spending After Applying Truncation at the Member Level]]+Age_Sex_PY[[#This Row],[Total Dollars Excluded from Spending After Applying Truncation at the Member Level]]=Age_Sex_PY[[#This Row],[Total Spending before Truncation is Applied]]</f>
        <v>1</v>
      </c>
    </row>
    <row r="1036" spans="1:10" x14ac:dyDescent="0.25">
      <c r="A1036" s="342"/>
      <c r="B1036" s="4"/>
      <c r="C1036" s="16"/>
      <c r="D1036" s="457"/>
      <c r="E1036" s="363"/>
      <c r="F1036" s="273"/>
      <c r="G1036" s="226"/>
      <c r="H1036" s="273"/>
      <c r="I1036" s="400"/>
      <c r="J1036" s="241" t="b">
        <f>Age_Sex_PY[[#This Row],[Total Spending After Applying Truncation at the Member Level]]+Age_Sex_PY[[#This Row],[Total Dollars Excluded from Spending After Applying Truncation at the Member Level]]=Age_Sex_PY[[#This Row],[Total Spending before Truncation is Applied]]</f>
        <v>1</v>
      </c>
    </row>
    <row r="1037" spans="1:10" x14ac:dyDescent="0.25">
      <c r="A1037" s="339"/>
      <c r="B1037" s="270"/>
      <c r="C1037" s="271"/>
      <c r="D1037" s="456"/>
      <c r="E1037" s="362"/>
      <c r="F1037" s="272"/>
      <c r="G1037" s="460"/>
      <c r="H1037" s="272"/>
      <c r="I1037" s="399"/>
      <c r="J1037" s="241" t="b">
        <f>Age_Sex_PY[[#This Row],[Total Spending After Applying Truncation at the Member Level]]+Age_Sex_PY[[#This Row],[Total Dollars Excluded from Spending After Applying Truncation at the Member Level]]=Age_Sex_PY[[#This Row],[Total Spending before Truncation is Applied]]</f>
        <v>1</v>
      </c>
    </row>
    <row r="1038" spans="1:10" x14ac:dyDescent="0.25">
      <c r="A1038" s="342"/>
      <c r="B1038" s="4"/>
      <c r="C1038" s="16"/>
      <c r="D1038" s="457"/>
      <c r="E1038" s="363"/>
      <c r="F1038" s="273"/>
      <c r="G1038" s="226"/>
      <c r="H1038" s="273"/>
      <c r="I1038" s="400"/>
      <c r="J1038" s="241" t="b">
        <f>Age_Sex_PY[[#This Row],[Total Spending After Applying Truncation at the Member Level]]+Age_Sex_PY[[#This Row],[Total Dollars Excluded from Spending After Applying Truncation at the Member Level]]=Age_Sex_PY[[#This Row],[Total Spending before Truncation is Applied]]</f>
        <v>1</v>
      </c>
    </row>
    <row r="1039" spans="1:10" x14ac:dyDescent="0.25">
      <c r="A1039" s="339"/>
      <c r="B1039" s="270"/>
      <c r="C1039" s="271"/>
      <c r="D1039" s="456"/>
      <c r="E1039" s="362"/>
      <c r="F1039" s="272"/>
      <c r="G1039" s="460"/>
      <c r="H1039" s="272"/>
      <c r="I1039" s="399"/>
      <c r="J1039" s="241" t="b">
        <f>Age_Sex_PY[[#This Row],[Total Spending After Applying Truncation at the Member Level]]+Age_Sex_PY[[#This Row],[Total Dollars Excluded from Spending After Applying Truncation at the Member Level]]=Age_Sex_PY[[#This Row],[Total Spending before Truncation is Applied]]</f>
        <v>1</v>
      </c>
    </row>
    <row r="1040" spans="1:10" x14ac:dyDescent="0.25">
      <c r="A1040" s="342"/>
      <c r="B1040" s="4"/>
      <c r="C1040" s="16"/>
      <c r="D1040" s="457"/>
      <c r="E1040" s="363"/>
      <c r="F1040" s="273"/>
      <c r="G1040" s="226"/>
      <c r="H1040" s="273"/>
      <c r="I1040" s="400"/>
      <c r="J1040" s="241" t="b">
        <f>Age_Sex_PY[[#This Row],[Total Spending After Applying Truncation at the Member Level]]+Age_Sex_PY[[#This Row],[Total Dollars Excluded from Spending After Applying Truncation at the Member Level]]=Age_Sex_PY[[#This Row],[Total Spending before Truncation is Applied]]</f>
        <v>1</v>
      </c>
    </row>
    <row r="1041" spans="1:10" x14ac:dyDescent="0.25">
      <c r="A1041" s="339"/>
      <c r="B1041" s="270"/>
      <c r="C1041" s="271"/>
      <c r="D1041" s="456"/>
      <c r="E1041" s="362"/>
      <c r="F1041" s="272"/>
      <c r="G1041" s="460"/>
      <c r="H1041" s="272"/>
      <c r="I1041" s="399"/>
      <c r="J1041" s="241" t="b">
        <f>Age_Sex_PY[[#This Row],[Total Spending After Applying Truncation at the Member Level]]+Age_Sex_PY[[#This Row],[Total Dollars Excluded from Spending After Applying Truncation at the Member Level]]=Age_Sex_PY[[#This Row],[Total Spending before Truncation is Applied]]</f>
        <v>1</v>
      </c>
    </row>
    <row r="1042" spans="1:10" x14ac:dyDescent="0.25">
      <c r="A1042" s="342"/>
      <c r="B1042" s="4"/>
      <c r="C1042" s="16"/>
      <c r="D1042" s="457"/>
      <c r="E1042" s="363"/>
      <c r="F1042" s="273"/>
      <c r="G1042" s="226"/>
      <c r="H1042" s="273"/>
      <c r="I1042" s="400"/>
      <c r="J1042" s="241" t="b">
        <f>Age_Sex_PY[[#This Row],[Total Spending After Applying Truncation at the Member Level]]+Age_Sex_PY[[#This Row],[Total Dollars Excluded from Spending After Applying Truncation at the Member Level]]=Age_Sex_PY[[#This Row],[Total Spending before Truncation is Applied]]</f>
        <v>1</v>
      </c>
    </row>
    <row r="1043" spans="1:10" x14ac:dyDescent="0.25">
      <c r="A1043" s="339"/>
      <c r="B1043" s="270"/>
      <c r="C1043" s="271"/>
      <c r="D1043" s="456"/>
      <c r="E1043" s="362"/>
      <c r="F1043" s="272"/>
      <c r="G1043" s="460"/>
      <c r="H1043" s="272"/>
      <c r="I1043" s="399"/>
      <c r="J1043" s="241" t="b">
        <f>Age_Sex_PY[[#This Row],[Total Spending After Applying Truncation at the Member Level]]+Age_Sex_PY[[#This Row],[Total Dollars Excluded from Spending After Applying Truncation at the Member Level]]=Age_Sex_PY[[#This Row],[Total Spending before Truncation is Applied]]</f>
        <v>1</v>
      </c>
    </row>
    <row r="1044" spans="1:10" x14ac:dyDescent="0.25">
      <c r="A1044" s="342"/>
      <c r="B1044" s="4"/>
      <c r="C1044" s="16"/>
      <c r="D1044" s="457"/>
      <c r="E1044" s="363"/>
      <c r="F1044" s="273"/>
      <c r="G1044" s="226"/>
      <c r="H1044" s="273"/>
      <c r="I1044" s="400"/>
      <c r="J1044" s="241" t="b">
        <f>Age_Sex_PY[[#This Row],[Total Spending After Applying Truncation at the Member Level]]+Age_Sex_PY[[#This Row],[Total Dollars Excluded from Spending After Applying Truncation at the Member Level]]=Age_Sex_PY[[#This Row],[Total Spending before Truncation is Applied]]</f>
        <v>1</v>
      </c>
    </row>
    <row r="1045" spans="1:10" x14ac:dyDescent="0.25">
      <c r="A1045" s="339"/>
      <c r="B1045" s="270"/>
      <c r="C1045" s="271"/>
      <c r="D1045" s="456"/>
      <c r="E1045" s="362"/>
      <c r="F1045" s="272"/>
      <c r="G1045" s="460"/>
      <c r="H1045" s="272"/>
      <c r="I1045" s="399"/>
      <c r="J1045" s="241" t="b">
        <f>Age_Sex_PY[[#This Row],[Total Spending After Applying Truncation at the Member Level]]+Age_Sex_PY[[#This Row],[Total Dollars Excluded from Spending After Applying Truncation at the Member Level]]=Age_Sex_PY[[#This Row],[Total Spending before Truncation is Applied]]</f>
        <v>1</v>
      </c>
    </row>
    <row r="1046" spans="1:10" x14ac:dyDescent="0.25">
      <c r="A1046" s="342"/>
      <c r="B1046" s="4"/>
      <c r="C1046" s="16"/>
      <c r="D1046" s="457"/>
      <c r="E1046" s="363"/>
      <c r="F1046" s="273"/>
      <c r="G1046" s="226"/>
      <c r="H1046" s="273"/>
      <c r="I1046" s="400"/>
      <c r="J1046" s="241" t="b">
        <f>Age_Sex_PY[[#This Row],[Total Spending After Applying Truncation at the Member Level]]+Age_Sex_PY[[#This Row],[Total Dollars Excluded from Spending After Applying Truncation at the Member Level]]=Age_Sex_PY[[#This Row],[Total Spending before Truncation is Applied]]</f>
        <v>1</v>
      </c>
    </row>
    <row r="1047" spans="1:10" x14ac:dyDescent="0.25">
      <c r="A1047" s="339"/>
      <c r="B1047" s="270"/>
      <c r="C1047" s="271"/>
      <c r="D1047" s="456"/>
      <c r="E1047" s="362"/>
      <c r="F1047" s="272"/>
      <c r="G1047" s="460"/>
      <c r="H1047" s="272"/>
      <c r="I1047" s="399"/>
      <c r="J1047" s="241" t="b">
        <f>Age_Sex_PY[[#This Row],[Total Spending After Applying Truncation at the Member Level]]+Age_Sex_PY[[#This Row],[Total Dollars Excluded from Spending After Applying Truncation at the Member Level]]=Age_Sex_PY[[#This Row],[Total Spending before Truncation is Applied]]</f>
        <v>1</v>
      </c>
    </row>
    <row r="1048" spans="1:10" x14ac:dyDescent="0.25">
      <c r="A1048" s="342"/>
      <c r="B1048" s="4"/>
      <c r="C1048" s="16"/>
      <c r="D1048" s="457"/>
      <c r="E1048" s="363"/>
      <c r="F1048" s="273"/>
      <c r="G1048" s="226"/>
      <c r="H1048" s="273"/>
      <c r="I1048" s="400"/>
      <c r="J1048" s="241" t="b">
        <f>Age_Sex_PY[[#This Row],[Total Spending After Applying Truncation at the Member Level]]+Age_Sex_PY[[#This Row],[Total Dollars Excluded from Spending After Applying Truncation at the Member Level]]=Age_Sex_PY[[#This Row],[Total Spending before Truncation is Applied]]</f>
        <v>1</v>
      </c>
    </row>
    <row r="1049" spans="1:10" x14ac:dyDescent="0.25">
      <c r="A1049" s="339"/>
      <c r="B1049" s="270"/>
      <c r="C1049" s="271"/>
      <c r="D1049" s="456"/>
      <c r="E1049" s="362"/>
      <c r="F1049" s="272"/>
      <c r="G1049" s="460"/>
      <c r="H1049" s="272"/>
      <c r="I1049" s="399"/>
      <c r="J1049" s="241" t="b">
        <f>Age_Sex_PY[[#This Row],[Total Spending After Applying Truncation at the Member Level]]+Age_Sex_PY[[#This Row],[Total Dollars Excluded from Spending After Applying Truncation at the Member Level]]=Age_Sex_PY[[#This Row],[Total Spending before Truncation is Applied]]</f>
        <v>1</v>
      </c>
    </row>
    <row r="1050" spans="1:10" x14ac:dyDescent="0.25">
      <c r="A1050" s="342"/>
      <c r="B1050" s="4"/>
      <c r="C1050" s="16"/>
      <c r="D1050" s="457"/>
      <c r="E1050" s="363"/>
      <c r="F1050" s="273"/>
      <c r="G1050" s="226"/>
      <c r="H1050" s="273"/>
      <c r="I1050" s="400"/>
      <c r="J1050" s="241" t="b">
        <f>Age_Sex_PY[[#This Row],[Total Spending After Applying Truncation at the Member Level]]+Age_Sex_PY[[#This Row],[Total Dollars Excluded from Spending After Applying Truncation at the Member Level]]=Age_Sex_PY[[#This Row],[Total Spending before Truncation is Applied]]</f>
        <v>1</v>
      </c>
    </row>
    <row r="1051" spans="1:10" x14ac:dyDescent="0.25">
      <c r="A1051" s="339"/>
      <c r="B1051" s="270"/>
      <c r="C1051" s="271"/>
      <c r="D1051" s="456"/>
      <c r="E1051" s="362"/>
      <c r="F1051" s="272"/>
      <c r="G1051" s="460"/>
      <c r="H1051" s="272"/>
      <c r="I1051" s="399"/>
      <c r="J1051" s="241" t="b">
        <f>Age_Sex_PY[[#This Row],[Total Spending After Applying Truncation at the Member Level]]+Age_Sex_PY[[#This Row],[Total Dollars Excluded from Spending After Applying Truncation at the Member Level]]=Age_Sex_PY[[#This Row],[Total Spending before Truncation is Applied]]</f>
        <v>1</v>
      </c>
    </row>
    <row r="1052" spans="1:10" x14ac:dyDescent="0.25">
      <c r="A1052" s="342"/>
      <c r="B1052" s="4"/>
      <c r="C1052" s="16"/>
      <c r="D1052" s="457"/>
      <c r="E1052" s="363"/>
      <c r="F1052" s="273"/>
      <c r="G1052" s="226"/>
      <c r="H1052" s="273"/>
      <c r="I1052" s="400"/>
      <c r="J1052" s="241" t="b">
        <f>Age_Sex_PY[[#This Row],[Total Spending After Applying Truncation at the Member Level]]+Age_Sex_PY[[#This Row],[Total Dollars Excluded from Spending After Applying Truncation at the Member Level]]=Age_Sex_PY[[#This Row],[Total Spending before Truncation is Applied]]</f>
        <v>1</v>
      </c>
    </row>
    <row r="1053" spans="1:10" x14ac:dyDescent="0.25">
      <c r="A1053" s="339"/>
      <c r="B1053" s="270"/>
      <c r="C1053" s="271"/>
      <c r="D1053" s="456"/>
      <c r="E1053" s="362"/>
      <c r="F1053" s="272"/>
      <c r="G1053" s="460"/>
      <c r="H1053" s="272"/>
      <c r="I1053" s="399"/>
      <c r="J1053" s="241" t="b">
        <f>Age_Sex_PY[[#This Row],[Total Spending After Applying Truncation at the Member Level]]+Age_Sex_PY[[#This Row],[Total Dollars Excluded from Spending After Applying Truncation at the Member Level]]=Age_Sex_PY[[#This Row],[Total Spending before Truncation is Applied]]</f>
        <v>1</v>
      </c>
    </row>
    <row r="1054" spans="1:10" x14ac:dyDescent="0.25">
      <c r="A1054" s="342"/>
      <c r="B1054" s="4"/>
      <c r="C1054" s="16"/>
      <c r="D1054" s="457"/>
      <c r="E1054" s="363"/>
      <c r="F1054" s="273"/>
      <c r="G1054" s="226"/>
      <c r="H1054" s="273"/>
      <c r="I1054" s="400"/>
      <c r="J1054" s="241" t="b">
        <f>Age_Sex_PY[[#This Row],[Total Spending After Applying Truncation at the Member Level]]+Age_Sex_PY[[#This Row],[Total Dollars Excluded from Spending After Applying Truncation at the Member Level]]=Age_Sex_PY[[#This Row],[Total Spending before Truncation is Applied]]</f>
        <v>1</v>
      </c>
    </row>
    <row r="1055" spans="1:10" x14ac:dyDescent="0.25">
      <c r="A1055" s="339"/>
      <c r="B1055" s="270"/>
      <c r="C1055" s="271"/>
      <c r="D1055" s="456"/>
      <c r="E1055" s="362"/>
      <c r="F1055" s="272"/>
      <c r="G1055" s="460"/>
      <c r="H1055" s="272"/>
      <c r="I1055" s="399"/>
      <c r="J1055" s="241" t="b">
        <f>Age_Sex_PY[[#This Row],[Total Spending After Applying Truncation at the Member Level]]+Age_Sex_PY[[#This Row],[Total Dollars Excluded from Spending After Applying Truncation at the Member Level]]=Age_Sex_PY[[#This Row],[Total Spending before Truncation is Applied]]</f>
        <v>1</v>
      </c>
    </row>
    <row r="1056" spans="1:10" x14ac:dyDescent="0.25">
      <c r="A1056" s="342"/>
      <c r="B1056" s="4"/>
      <c r="C1056" s="16"/>
      <c r="D1056" s="457"/>
      <c r="E1056" s="363"/>
      <c r="F1056" s="273"/>
      <c r="G1056" s="226"/>
      <c r="H1056" s="273"/>
      <c r="I1056" s="400"/>
      <c r="J1056" s="241" t="b">
        <f>Age_Sex_PY[[#This Row],[Total Spending After Applying Truncation at the Member Level]]+Age_Sex_PY[[#This Row],[Total Dollars Excluded from Spending After Applying Truncation at the Member Level]]=Age_Sex_PY[[#This Row],[Total Spending before Truncation is Applied]]</f>
        <v>1</v>
      </c>
    </row>
    <row r="1057" spans="1:10" x14ac:dyDescent="0.25">
      <c r="A1057" s="339"/>
      <c r="B1057" s="270"/>
      <c r="C1057" s="271"/>
      <c r="D1057" s="456"/>
      <c r="E1057" s="362"/>
      <c r="F1057" s="272"/>
      <c r="G1057" s="460"/>
      <c r="H1057" s="272"/>
      <c r="I1057" s="399"/>
      <c r="J1057" s="241" t="b">
        <f>Age_Sex_PY[[#This Row],[Total Spending After Applying Truncation at the Member Level]]+Age_Sex_PY[[#This Row],[Total Dollars Excluded from Spending After Applying Truncation at the Member Level]]=Age_Sex_PY[[#This Row],[Total Spending before Truncation is Applied]]</f>
        <v>1</v>
      </c>
    </row>
    <row r="1058" spans="1:10" x14ac:dyDescent="0.25">
      <c r="A1058" s="342"/>
      <c r="B1058" s="4"/>
      <c r="C1058" s="16"/>
      <c r="D1058" s="457"/>
      <c r="E1058" s="363"/>
      <c r="F1058" s="273"/>
      <c r="G1058" s="226"/>
      <c r="H1058" s="273"/>
      <c r="I1058" s="400"/>
      <c r="J1058" s="241" t="b">
        <f>Age_Sex_PY[[#This Row],[Total Spending After Applying Truncation at the Member Level]]+Age_Sex_PY[[#This Row],[Total Dollars Excluded from Spending After Applying Truncation at the Member Level]]=Age_Sex_PY[[#This Row],[Total Spending before Truncation is Applied]]</f>
        <v>1</v>
      </c>
    </row>
    <row r="1059" spans="1:10" x14ac:dyDescent="0.25">
      <c r="A1059" s="339"/>
      <c r="B1059" s="270"/>
      <c r="C1059" s="271"/>
      <c r="D1059" s="456"/>
      <c r="E1059" s="362"/>
      <c r="F1059" s="272"/>
      <c r="G1059" s="460"/>
      <c r="H1059" s="272"/>
      <c r="I1059" s="399"/>
      <c r="J1059" s="241" t="b">
        <f>Age_Sex_PY[[#This Row],[Total Spending After Applying Truncation at the Member Level]]+Age_Sex_PY[[#This Row],[Total Dollars Excluded from Spending After Applying Truncation at the Member Level]]=Age_Sex_PY[[#This Row],[Total Spending before Truncation is Applied]]</f>
        <v>1</v>
      </c>
    </row>
    <row r="1060" spans="1:10" x14ac:dyDescent="0.25">
      <c r="A1060" s="342"/>
      <c r="B1060" s="4"/>
      <c r="C1060" s="16"/>
      <c r="D1060" s="457"/>
      <c r="E1060" s="363"/>
      <c r="F1060" s="273"/>
      <c r="G1060" s="226"/>
      <c r="H1060" s="273"/>
      <c r="I1060" s="400"/>
      <c r="J1060" s="241" t="b">
        <f>Age_Sex_PY[[#This Row],[Total Spending After Applying Truncation at the Member Level]]+Age_Sex_PY[[#This Row],[Total Dollars Excluded from Spending After Applying Truncation at the Member Level]]=Age_Sex_PY[[#This Row],[Total Spending before Truncation is Applied]]</f>
        <v>1</v>
      </c>
    </row>
    <row r="1061" spans="1:10" x14ac:dyDescent="0.25">
      <c r="A1061" s="339"/>
      <c r="B1061" s="270"/>
      <c r="C1061" s="271"/>
      <c r="D1061" s="456"/>
      <c r="E1061" s="362"/>
      <c r="F1061" s="272"/>
      <c r="G1061" s="460"/>
      <c r="H1061" s="272"/>
      <c r="I1061" s="399"/>
      <c r="J1061" s="241" t="b">
        <f>Age_Sex_PY[[#This Row],[Total Spending After Applying Truncation at the Member Level]]+Age_Sex_PY[[#This Row],[Total Dollars Excluded from Spending After Applying Truncation at the Member Level]]=Age_Sex_PY[[#This Row],[Total Spending before Truncation is Applied]]</f>
        <v>1</v>
      </c>
    </row>
    <row r="1062" spans="1:10" x14ac:dyDescent="0.25">
      <c r="A1062" s="342"/>
      <c r="B1062" s="4"/>
      <c r="C1062" s="16"/>
      <c r="D1062" s="457"/>
      <c r="E1062" s="363"/>
      <c r="F1062" s="273"/>
      <c r="G1062" s="226"/>
      <c r="H1062" s="273"/>
      <c r="I1062" s="400"/>
      <c r="J1062" s="241" t="b">
        <f>Age_Sex_PY[[#This Row],[Total Spending After Applying Truncation at the Member Level]]+Age_Sex_PY[[#This Row],[Total Dollars Excluded from Spending After Applying Truncation at the Member Level]]=Age_Sex_PY[[#This Row],[Total Spending before Truncation is Applied]]</f>
        <v>1</v>
      </c>
    </row>
    <row r="1063" spans="1:10" x14ac:dyDescent="0.25">
      <c r="A1063" s="339"/>
      <c r="B1063" s="270"/>
      <c r="C1063" s="271"/>
      <c r="D1063" s="456"/>
      <c r="E1063" s="362"/>
      <c r="F1063" s="272"/>
      <c r="G1063" s="460"/>
      <c r="H1063" s="272"/>
      <c r="I1063" s="399"/>
      <c r="J1063" s="241" t="b">
        <f>Age_Sex_PY[[#This Row],[Total Spending After Applying Truncation at the Member Level]]+Age_Sex_PY[[#This Row],[Total Dollars Excluded from Spending After Applying Truncation at the Member Level]]=Age_Sex_PY[[#This Row],[Total Spending before Truncation is Applied]]</f>
        <v>1</v>
      </c>
    </row>
    <row r="1064" spans="1:10" x14ac:dyDescent="0.25">
      <c r="A1064" s="342"/>
      <c r="B1064" s="4"/>
      <c r="C1064" s="16"/>
      <c r="D1064" s="457"/>
      <c r="E1064" s="363"/>
      <c r="F1064" s="273"/>
      <c r="G1064" s="226"/>
      <c r="H1064" s="273"/>
      <c r="I1064" s="400"/>
      <c r="J1064" s="241" t="b">
        <f>Age_Sex_PY[[#This Row],[Total Spending After Applying Truncation at the Member Level]]+Age_Sex_PY[[#This Row],[Total Dollars Excluded from Spending After Applying Truncation at the Member Level]]=Age_Sex_PY[[#This Row],[Total Spending before Truncation is Applied]]</f>
        <v>1</v>
      </c>
    </row>
    <row r="1065" spans="1:10" x14ac:dyDescent="0.25">
      <c r="A1065" s="339"/>
      <c r="B1065" s="270"/>
      <c r="C1065" s="271"/>
      <c r="D1065" s="456"/>
      <c r="E1065" s="362"/>
      <c r="F1065" s="272"/>
      <c r="G1065" s="460"/>
      <c r="H1065" s="272"/>
      <c r="I1065" s="399"/>
      <c r="J1065" s="241" t="b">
        <f>Age_Sex_PY[[#This Row],[Total Spending After Applying Truncation at the Member Level]]+Age_Sex_PY[[#This Row],[Total Dollars Excluded from Spending After Applying Truncation at the Member Level]]=Age_Sex_PY[[#This Row],[Total Spending before Truncation is Applied]]</f>
        <v>1</v>
      </c>
    </row>
    <row r="1066" spans="1:10" x14ac:dyDescent="0.25">
      <c r="A1066" s="342"/>
      <c r="B1066" s="4"/>
      <c r="C1066" s="16"/>
      <c r="D1066" s="457"/>
      <c r="E1066" s="363"/>
      <c r="F1066" s="273"/>
      <c r="G1066" s="226"/>
      <c r="H1066" s="273"/>
      <c r="I1066" s="400"/>
      <c r="J1066" s="241" t="b">
        <f>Age_Sex_PY[[#This Row],[Total Spending After Applying Truncation at the Member Level]]+Age_Sex_PY[[#This Row],[Total Dollars Excluded from Spending After Applying Truncation at the Member Level]]=Age_Sex_PY[[#This Row],[Total Spending before Truncation is Applied]]</f>
        <v>1</v>
      </c>
    </row>
    <row r="1067" spans="1:10" x14ac:dyDescent="0.25">
      <c r="A1067" s="339"/>
      <c r="B1067" s="270"/>
      <c r="C1067" s="271"/>
      <c r="D1067" s="456"/>
      <c r="E1067" s="362"/>
      <c r="F1067" s="272"/>
      <c r="G1067" s="460"/>
      <c r="H1067" s="272"/>
      <c r="I1067" s="399"/>
      <c r="J1067" s="241" t="b">
        <f>Age_Sex_PY[[#This Row],[Total Spending After Applying Truncation at the Member Level]]+Age_Sex_PY[[#This Row],[Total Dollars Excluded from Spending After Applying Truncation at the Member Level]]=Age_Sex_PY[[#This Row],[Total Spending before Truncation is Applied]]</f>
        <v>1</v>
      </c>
    </row>
    <row r="1068" spans="1:10" x14ac:dyDescent="0.25">
      <c r="A1068" s="342"/>
      <c r="B1068" s="4"/>
      <c r="C1068" s="16"/>
      <c r="D1068" s="457"/>
      <c r="E1068" s="363"/>
      <c r="F1068" s="273"/>
      <c r="G1068" s="226"/>
      <c r="H1068" s="273"/>
      <c r="I1068" s="400"/>
      <c r="J1068" s="241" t="b">
        <f>Age_Sex_PY[[#This Row],[Total Spending After Applying Truncation at the Member Level]]+Age_Sex_PY[[#This Row],[Total Dollars Excluded from Spending After Applying Truncation at the Member Level]]=Age_Sex_PY[[#This Row],[Total Spending before Truncation is Applied]]</f>
        <v>1</v>
      </c>
    </row>
    <row r="1069" spans="1:10" x14ac:dyDescent="0.25">
      <c r="A1069" s="339"/>
      <c r="B1069" s="270"/>
      <c r="C1069" s="271"/>
      <c r="D1069" s="456"/>
      <c r="E1069" s="362"/>
      <c r="F1069" s="272"/>
      <c r="G1069" s="460"/>
      <c r="H1069" s="272"/>
      <c r="I1069" s="399"/>
      <c r="J1069" s="241" t="b">
        <f>Age_Sex_PY[[#This Row],[Total Spending After Applying Truncation at the Member Level]]+Age_Sex_PY[[#This Row],[Total Dollars Excluded from Spending After Applying Truncation at the Member Level]]=Age_Sex_PY[[#This Row],[Total Spending before Truncation is Applied]]</f>
        <v>1</v>
      </c>
    </row>
    <row r="1070" spans="1:10" x14ac:dyDescent="0.25">
      <c r="A1070" s="342"/>
      <c r="B1070" s="4"/>
      <c r="C1070" s="16"/>
      <c r="D1070" s="457"/>
      <c r="E1070" s="363"/>
      <c r="F1070" s="273"/>
      <c r="G1070" s="226"/>
      <c r="H1070" s="273"/>
      <c r="I1070" s="400"/>
      <c r="J1070" s="241" t="b">
        <f>Age_Sex_PY[[#This Row],[Total Spending After Applying Truncation at the Member Level]]+Age_Sex_PY[[#This Row],[Total Dollars Excluded from Spending After Applying Truncation at the Member Level]]=Age_Sex_PY[[#This Row],[Total Spending before Truncation is Applied]]</f>
        <v>1</v>
      </c>
    </row>
    <row r="1071" spans="1:10" x14ac:dyDescent="0.25">
      <c r="A1071" s="339"/>
      <c r="B1071" s="270"/>
      <c r="C1071" s="271"/>
      <c r="D1071" s="456"/>
      <c r="E1071" s="362"/>
      <c r="F1071" s="272"/>
      <c r="G1071" s="460"/>
      <c r="H1071" s="272"/>
      <c r="I1071" s="399"/>
      <c r="J1071" s="241" t="b">
        <f>Age_Sex_PY[[#This Row],[Total Spending After Applying Truncation at the Member Level]]+Age_Sex_PY[[#This Row],[Total Dollars Excluded from Spending After Applying Truncation at the Member Level]]=Age_Sex_PY[[#This Row],[Total Spending before Truncation is Applied]]</f>
        <v>1</v>
      </c>
    </row>
    <row r="1072" spans="1:10" x14ac:dyDescent="0.25">
      <c r="A1072" s="342"/>
      <c r="B1072" s="4"/>
      <c r="C1072" s="16"/>
      <c r="D1072" s="457"/>
      <c r="E1072" s="363"/>
      <c r="F1072" s="273"/>
      <c r="G1072" s="226"/>
      <c r="H1072" s="273"/>
      <c r="I1072" s="400"/>
      <c r="J1072" s="241" t="b">
        <f>Age_Sex_PY[[#This Row],[Total Spending After Applying Truncation at the Member Level]]+Age_Sex_PY[[#This Row],[Total Dollars Excluded from Spending After Applying Truncation at the Member Level]]=Age_Sex_PY[[#This Row],[Total Spending before Truncation is Applied]]</f>
        <v>1</v>
      </c>
    </row>
    <row r="1073" spans="1:10" x14ac:dyDescent="0.25">
      <c r="A1073" s="339"/>
      <c r="B1073" s="270"/>
      <c r="C1073" s="271"/>
      <c r="D1073" s="456"/>
      <c r="E1073" s="362"/>
      <c r="F1073" s="272"/>
      <c r="G1073" s="460"/>
      <c r="H1073" s="272"/>
      <c r="I1073" s="399"/>
      <c r="J1073" s="241" t="b">
        <f>Age_Sex_PY[[#This Row],[Total Spending After Applying Truncation at the Member Level]]+Age_Sex_PY[[#This Row],[Total Dollars Excluded from Spending After Applying Truncation at the Member Level]]=Age_Sex_PY[[#This Row],[Total Spending before Truncation is Applied]]</f>
        <v>1</v>
      </c>
    </row>
    <row r="1074" spans="1:10" x14ac:dyDescent="0.25">
      <c r="A1074" s="342"/>
      <c r="B1074" s="4"/>
      <c r="C1074" s="16"/>
      <c r="D1074" s="457"/>
      <c r="E1074" s="363"/>
      <c r="F1074" s="273"/>
      <c r="G1074" s="226"/>
      <c r="H1074" s="273"/>
      <c r="I1074" s="400"/>
      <c r="J1074" s="241" t="b">
        <f>Age_Sex_PY[[#This Row],[Total Spending After Applying Truncation at the Member Level]]+Age_Sex_PY[[#This Row],[Total Dollars Excluded from Spending After Applying Truncation at the Member Level]]=Age_Sex_PY[[#This Row],[Total Spending before Truncation is Applied]]</f>
        <v>1</v>
      </c>
    </row>
    <row r="1075" spans="1:10" x14ac:dyDescent="0.25">
      <c r="A1075" s="339"/>
      <c r="B1075" s="270"/>
      <c r="C1075" s="271"/>
      <c r="D1075" s="456"/>
      <c r="E1075" s="362"/>
      <c r="F1075" s="272"/>
      <c r="G1075" s="460"/>
      <c r="H1075" s="272"/>
      <c r="I1075" s="399"/>
      <c r="J1075" s="241" t="b">
        <f>Age_Sex_PY[[#This Row],[Total Spending After Applying Truncation at the Member Level]]+Age_Sex_PY[[#This Row],[Total Dollars Excluded from Spending After Applying Truncation at the Member Level]]=Age_Sex_PY[[#This Row],[Total Spending before Truncation is Applied]]</f>
        <v>1</v>
      </c>
    </row>
    <row r="1076" spans="1:10" x14ac:dyDescent="0.25">
      <c r="A1076" s="342"/>
      <c r="B1076" s="4"/>
      <c r="C1076" s="16"/>
      <c r="D1076" s="457"/>
      <c r="E1076" s="363"/>
      <c r="F1076" s="273"/>
      <c r="G1076" s="226"/>
      <c r="H1076" s="273"/>
      <c r="I1076" s="400"/>
      <c r="J1076" s="241" t="b">
        <f>Age_Sex_PY[[#This Row],[Total Spending After Applying Truncation at the Member Level]]+Age_Sex_PY[[#This Row],[Total Dollars Excluded from Spending After Applying Truncation at the Member Level]]=Age_Sex_PY[[#This Row],[Total Spending before Truncation is Applied]]</f>
        <v>1</v>
      </c>
    </row>
    <row r="1077" spans="1:10" x14ac:dyDescent="0.25">
      <c r="A1077" s="339"/>
      <c r="B1077" s="270"/>
      <c r="C1077" s="271"/>
      <c r="D1077" s="456"/>
      <c r="E1077" s="362"/>
      <c r="F1077" s="272"/>
      <c r="G1077" s="460"/>
      <c r="H1077" s="272"/>
      <c r="I1077" s="399"/>
      <c r="J1077" s="241" t="b">
        <f>Age_Sex_PY[[#This Row],[Total Spending After Applying Truncation at the Member Level]]+Age_Sex_PY[[#This Row],[Total Dollars Excluded from Spending After Applying Truncation at the Member Level]]=Age_Sex_PY[[#This Row],[Total Spending before Truncation is Applied]]</f>
        <v>1</v>
      </c>
    </row>
    <row r="1078" spans="1:10" x14ac:dyDescent="0.25">
      <c r="A1078" s="342"/>
      <c r="B1078" s="4"/>
      <c r="C1078" s="16"/>
      <c r="D1078" s="457"/>
      <c r="E1078" s="363"/>
      <c r="F1078" s="273"/>
      <c r="G1078" s="226"/>
      <c r="H1078" s="273"/>
      <c r="I1078" s="400"/>
      <c r="J1078" s="241" t="b">
        <f>Age_Sex_PY[[#This Row],[Total Spending After Applying Truncation at the Member Level]]+Age_Sex_PY[[#This Row],[Total Dollars Excluded from Spending After Applying Truncation at the Member Level]]=Age_Sex_PY[[#This Row],[Total Spending before Truncation is Applied]]</f>
        <v>1</v>
      </c>
    </row>
    <row r="1079" spans="1:10" x14ac:dyDescent="0.25">
      <c r="A1079" s="339"/>
      <c r="B1079" s="270"/>
      <c r="C1079" s="271"/>
      <c r="D1079" s="456"/>
      <c r="E1079" s="362"/>
      <c r="F1079" s="272"/>
      <c r="G1079" s="460"/>
      <c r="H1079" s="272"/>
      <c r="I1079" s="399"/>
      <c r="J1079" s="241" t="b">
        <f>Age_Sex_PY[[#This Row],[Total Spending After Applying Truncation at the Member Level]]+Age_Sex_PY[[#This Row],[Total Dollars Excluded from Spending After Applying Truncation at the Member Level]]=Age_Sex_PY[[#This Row],[Total Spending before Truncation is Applied]]</f>
        <v>1</v>
      </c>
    </row>
    <row r="1080" spans="1:10" x14ac:dyDescent="0.25">
      <c r="A1080" s="342"/>
      <c r="B1080" s="4"/>
      <c r="C1080" s="16"/>
      <c r="D1080" s="457"/>
      <c r="E1080" s="363"/>
      <c r="F1080" s="273"/>
      <c r="G1080" s="226"/>
      <c r="H1080" s="273"/>
      <c r="I1080" s="400"/>
      <c r="J1080" s="241" t="b">
        <f>Age_Sex_PY[[#This Row],[Total Spending After Applying Truncation at the Member Level]]+Age_Sex_PY[[#This Row],[Total Dollars Excluded from Spending After Applying Truncation at the Member Level]]=Age_Sex_PY[[#This Row],[Total Spending before Truncation is Applied]]</f>
        <v>1</v>
      </c>
    </row>
    <row r="1081" spans="1:10" x14ac:dyDescent="0.25">
      <c r="A1081" s="339"/>
      <c r="B1081" s="270"/>
      <c r="C1081" s="271"/>
      <c r="D1081" s="456"/>
      <c r="E1081" s="362"/>
      <c r="F1081" s="272"/>
      <c r="G1081" s="460"/>
      <c r="H1081" s="272"/>
      <c r="I1081" s="399"/>
      <c r="J1081" s="241" t="b">
        <f>Age_Sex_PY[[#This Row],[Total Spending After Applying Truncation at the Member Level]]+Age_Sex_PY[[#This Row],[Total Dollars Excluded from Spending After Applying Truncation at the Member Level]]=Age_Sex_PY[[#This Row],[Total Spending before Truncation is Applied]]</f>
        <v>1</v>
      </c>
    </row>
    <row r="1082" spans="1:10" x14ac:dyDescent="0.25">
      <c r="A1082" s="342"/>
      <c r="B1082" s="4"/>
      <c r="C1082" s="16"/>
      <c r="D1082" s="457"/>
      <c r="E1082" s="363"/>
      <c r="F1082" s="273"/>
      <c r="G1082" s="226"/>
      <c r="H1082" s="273"/>
      <c r="I1082" s="400"/>
      <c r="J1082" s="241" t="b">
        <f>Age_Sex_PY[[#This Row],[Total Spending After Applying Truncation at the Member Level]]+Age_Sex_PY[[#This Row],[Total Dollars Excluded from Spending After Applying Truncation at the Member Level]]=Age_Sex_PY[[#This Row],[Total Spending before Truncation is Applied]]</f>
        <v>1</v>
      </c>
    </row>
    <row r="1083" spans="1:10" x14ac:dyDescent="0.25">
      <c r="A1083" s="339"/>
      <c r="B1083" s="270"/>
      <c r="C1083" s="271"/>
      <c r="D1083" s="456"/>
      <c r="E1083" s="362"/>
      <c r="F1083" s="272"/>
      <c r="G1083" s="460"/>
      <c r="H1083" s="272"/>
      <c r="I1083" s="399"/>
      <c r="J1083" s="241" t="b">
        <f>Age_Sex_PY[[#This Row],[Total Spending After Applying Truncation at the Member Level]]+Age_Sex_PY[[#This Row],[Total Dollars Excluded from Spending After Applying Truncation at the Member Level]]=Age_Sex_PY[[#This Row],[Total Spending before Truncation is Applied]]</f>
        <v>1</v>
      </c>
    </row>
    <row r="1084" spans="1:10" x14ac:dyDescent="0.25">
      <c r="A1084" s="342"/>
      <c r="B1084" s="4"/>
      <c r="C1084" s="16"/>
      <c r="D1084" s="457"/>
      <c r="E1084" s="363"/>
      <c r="F1084" s="273"/>
      <c r="G1084" s="226"/>
      <c r="H1084" s="273"/>
      <c r="I1084" s="400"/>
      <c r="J1084" s="241" t="b">
        <f>Age_Sex_PY[[#This Row],[Total Spending After Applying Truncation at the Member Level]]+Age_Sex_PY[[#This Row],[Total Dollars Excluded from Spending After Applying Truncation at the Member Level]]=Age_Sex_PY[[#This Row],[Total Spending before Truncation is Applied]]</f>
        <v>1</v>
      </c>
    </row>
    <row r="1085" spans="1:10" x14ac:dyDescent="0.25">
      <c r="A1085" s="339"/>
      <c r="B1085" s="270"/>
      <c r="C1085" s="271"/>
      <c r="D1085" s="456"/>
      <c r="E1085" s="362"/>
      <c r="F1085" s="272"/>
      <c r="G1085" s="460"/>
      <c r="H1085" s="272"/>
      <c r="I1085" s="399"/>
      <c r="J1085" s="241" t="b">
        <f>Age_Sex_PY[[#This Row],[Total Spending After Applying Truncation at the Member Level]]+Age_Sex_PY[[#This Row],[Total Dollars Excluded from Spending After Applying Truncation at the Member Level]]=Age_Sex_PY[[#This Row],[Total Spending before Truncation is Applied]]</f>
        <v>1</v>
      </c>
    </row>
    <row r="1086" spans="1:10" x14ac:dyDescent="0.25">
      <c r="A1086" s="342"/>
      <c r="B1086" s="4"/>
      <c r="C1086" s="16"/>
      <c r="D1086" s="457"/>
      <c r="E1086" s="363"/>
      <c r="F1086" s="273"/>
      <c r="G1086" s="226"/>
      <c r="H1086" s="273"/>
      <c r="I1086" s="400"/>
      <c r="J1086" s="241" t="b">
        <f>Age_Sex_PY[[#This Row],[Total Spending After Applying Truncation at the Member Level]]+Age_Sex_PY[[#This Row],[Total Dollars Excluded from Spending After Applying Truncation at the Member Level]]=Age_Sex_PY[[#This Row],[Total Spending before Truncation is Applied]]</f>
        <v>1</v>
      </c>
    </row>
    <row r="1087" spans="1:10" x14ac:dyDescent="0.25">
      <c r="A1087" s="339"/>
      <c r="B1087" s="270"/>
      <c r="C1087" s="271"/>
      <c r="D1087" s="456"/>
      <c r="E1087" s="362"/>
      <c r="F1087" s="272"/>
      <c r="G1087" s="460"/>
      <c r="H1087" s="272"/>
      <c r="I1087" s="399"/>
      <c r="J1087" s="241" t="b">
        <f>Age_Sex_PY[[#This Row],[Total Spending After Applying Truncation at the Member Level]]+Age_Sex_PY[[#This Row],[Total Dollars Excluded from Spending After Applying Truncation at the Member Level]]=Age_Sex_PY[[#This Row],[Total Spending before Truncation is Applied]]</f>
        <v>1</v>
      </c>
    </row>
    <row r="1088" spans="1:10" x14ac:dyDescent="0.25">
      <c r="A1088" s="342"/>
      <c r="B1088" s="4"/>
      <c r="C1088" s="16"/>
      <c r="D1088" s="457"/>
      <c r="E1088" s="363"/>
      <c r="F1088" s="273"/>
      <c r="G1088" s="226"/>
      <c r="H1088" s="273"/>
      <c r="I1088" s="400"/>
      <c r="J1088" s="241" t="b">
        <f>Age_Sex_PY[[#This Row],[Total Spending After Applying Truncation at the Member Level]]+Age_Sex_PY[[#This Row],[Total Dollars Excluded from Spending After Applying Truncation at the Member Level]]=Age_Sex_PY[[#This Row],[Total Spending before Truncation is Applied]]</f>
        <v>1</v>
      </c>
    </row>
    <row r="1089" spans="1:10" x14ac:dyDescent="0.25">
      <c r="A1089" s="339"/>
      <c r="B1089" s="270"/>
      <c r="C1089" s="271"/>
      <c r="D1089" s="456"/>
      <c r="E1089" s="362"/>
      <c r="F1089" s="272"/>
      <c r="G1089" s="460"/>
      <c r="H1089" s="272"/>
      <c r="I1089" s="399"/>
      <c r="J1089" s="241" t="b">
        <f>Age_Sex_PY[[#This Row],[Total Spending After Applying Truncation at the Member Level]]+Age_Sex_PY[[#This Row],[Total Dollars Excluded from Spending After Applying Truncation at the Member Level]]=Age_Sex_PY[[#This Row],[Total Spending before Truncation is Applied]]</f>
        <v>1</v>
      </c>
    </row>
    <row r="1090" spans="1:10" x14ac:dyDescent="0.25">
      <c r="A1090" s="342"/>
      <c r="B1090" s="4"/>
      <c r="C1090" s="16"/>
      <c r="D1090" s="457"/>
      <c r="E1090" s="363"/>
      <c r="F1090" s="273"/>
      <c r="G1090" s="226"/>
      <c r="H1090" s="273"/>
      <c r="I1090" s="400"/>
      <c r="J1090" s="241" t="b">
        <f>Age_Sex_PY[[#This Row],[Total Spending After Applying Truncation at the Member Level]]+Age_Sex_PY[[#This Row],[Total Dollars Excluded from Spending After Applying Truncation at the Member Level]]=Age_Sex_PY[[#This Row],[Total Spending before Truncation is Applied]]</f>
        <v>1</v>
      </c>
    </row>
    <row r="1091" spans="1:10" x14ac:dyDescent="0.25">
      <c r="A1091" s="339"/>
      <c r="B1091" s="270"/>
      <c r="C1091" s="271"/>
      <c r="D1091" s="456"/>
      <c r="E1091" s="362"/>
      <c r="F1091" s="272"/>
      <c r="G1091" s="460"/>
      <c r="H1091" s="272"/>
      <c r="I1091" s="399"/>
      <c r="J1091" s="241" t="b">
        <f>Age_Sex_PY[[#This Row],[Total Spending After Applying Truncation at the Member Level]]+Age_Sex_PY[[#This Row],[Total Dollars Excluded from Spending After Applying Truncation at the Member Level]]=Age_Sex_PY[[#This Row],[Total Spending before Truncation is Applied]]</f>
        <v>1</v>
      </c>
    </row>
    <row r="1092" spans="1:10" x14ac:dyDescent="0.25">
      <c r="A1092" s="342"/>
      <c r="B1092" s="4"/>
      <c r="C1092" s="16"/>
      <c r="D1092" s="457"/>
      <c r="E1092" s="363"/>
      <c r="F1092" s="273"/>
      <c r="G1092" s="226"/>
      <c r="H1092" s="273"/>
      <c r="I1092" s="400"/>
      <c r="J1092" s="241" t="b">
        <f>Age_Sex_PY[[#This Row],[Total Spending After Applying Truncation at the Member Level]]+Age_Sex_PY[[#This Row],[Total Dollars Excluded from Spending After Applying Truncation at the Member Level]]=Age_Sex_PY[[#This Row],[Total Spending before Truncation is Applied]]</f>
        <v>1</v>
      </c>
    </row>
    <row r="1093" spans="1:10" x14ac:dyDescent="0.25">
      <c r="A1093" s="339"/>
      <c r="B1093" s="270"/>
      <c r="C1093" s="271"/>
      <c r="D1093" s="456"/>
      <c r="E1093" s="362"/>
      <c r="F1093" s="272"/>
      <c r="G1093" s="460"/>
      <c r="H1093" s="272"/>
      <c r="I1093" s="399"/>
      <c r="J1093" s="241" t="b">
        <f>Age_Sex_PY[[#This Row],[Total Spending After Applying Truncation at the Member Level]]+Age_Sex_PY[[#This Row],[Total Dollars Excluded from Spending After Applying Truncation at the Member Level]]=Age_Sex_PY[[#This Row],[Total Spending before Truncation is Applied]]</f>
        <v>1</v>
      </c>
    </row>
    <row r="1094" spans="1:10" x14ac:dyDescent="0.25">
      <c r="A1094" s="342"/>
      <c r="B1094" s="4"/>
      <c r="C1094" s="16"/>
      <c r="D1094" s="457"/>
      <c r="E1094" s="363"/>
      <c r="F1094" s="273"/>
      <c r="G1094" s="226"/>
      <c r="H1094" s="273"/>
      <c r="I1094" s="400"/>
      <c r="J1094" s="241" t="b">
        <f>Age_Sex_PY[[#This Row],[Total Spending After Applying Truncation at the Member Level]]+Age_Sex_PY[[#This Row],[Total Dollars Excluded from Spending After Applying Truncation at the Member Level]]=Age_Sex_PY[[#This Row],[Total Spending before Truncation is Applied]]</f>
        <v>1</v>
      </c>
    </row>
    <row r="1095" spans="1:10" x14ac:dyDescent="0.25">
      <c r="A1095" s="339"/>
      <c r="B1095" s="270"/>
      <c r="C1095" s="271"/>
      <c r="D1095" s="456"/>
      <c r="E1095" s="362"/>
      <c r="F1095" s="272"/>
      <c r="G1095" s="460"/>
      <c r="H1095" s="272"/>
      <c r="I1095" s="399"/>
      <c r="J1095" s="241" t="b">
        <f>Age_Sex_PY[[#This Row],[Total Spending After Applying Truncation at the Member Level]]+Age_Sex_PY[[#This Row],[Total Dollars Excluded from Spending After Applying Truncation at the Member Level]]=Age_Sex_PY[[#This Row],[Total Spending before Truncation is Applied]]</f>
        <v>1</v>
      </c>
    </row>
    <row r="1096" spans="1:10" x14ac:dyDescent="0.25">
      <c r="A1096" s="342"/>
      <c r="B1096" s="4"/>
      <c r="C1096" s="16"/>
      <c r="D1096" s="457"/>
      <c r="E1096" s="363"/>
      <c r="F1096" s="273"/>
      <c r="G1096" s="226"/>
      <c r="H1096" s="273"/>
      <c r="I1096" s="400"/>
      <c r="J1096" s="241" t="b">
        <f>Age_Sex_PY[[#This Row],[Total Spending After Applying Truncation at the Member Level]]+Age_Sex_PY[[#This Row],[Total Dollars Excluded from Spending After Applying Truncation at the Member Level]]=Age_Sex_PY[[#This Row],[Total Spending before Truncation is Applied]]</f>
        <v>1</v>
      </c>
    </row>
    <row r="1097" spans="1:10" x14ac:dyDescent="0.25">
      <c r="A1097" s="339"/>
      <c r="B1097" s="270"/>
      <c r="C1097" s="271"/>
      <c r="D1097" s="456"/>
      <c r="E1097" s="362"/>
      <c r="F1097" s="272"/>
      <c r="G1097" s="460"/>
      <c r="H1097" s="272"/>
      <c r="I1097" s="399"/>
      <c r="J1097" s="241" t="b">
        <f>Age_Sex_PY[[#This Row],[Total Spending After Applying Truncation at the Member Level]]+Age_Sex_PY[[#This Row],[Total Dollars Excluded from Spending After Applying Truncation at the Member Level]]=Age_Sex_PY[[#This Row],[Total Spending before Truncation is Applied]]</f>
        <v>1</v>
      </c>
    </row>
    <row r="1098" spans="1:10" x14ac:dyDescent="0.25">
      <c r="A1098" s="342"/>
      <c r="B1098" s="4"/>
      <c r="C1098" s="16"/>
      <c r="D1098" s="457"/>
      <c r="E1098" s="363"/>
      <c r="F1098" s="273"/>
      <c r="G1098" s="226"/>
      <c r="H1098" s="273"/>
      <c r="I1098" s="400"/>
      <c r="J1098" s="241" t="b">
        <f>Age_Sex_PY[[#This Row],[Total Spending After Applying Truncation at the Member Level]]+Age_Sex_PY[[#This Row],[Total Dollars Excluded from Spending After Applying Truncation at the Member Level]]=Age_Sex_PY[[#This Row],[Total Spending before Truncation is Applied]]</f>
        <v>1</v>
      </c>
    </row>
    <row r="1099" spans="1:10" x14ac:dyDescent="0.25">
      <c r="A1099" s="339"/>
      <c r="B1099" s="270"/>
      <c r="C1099" s="271"/>
      <c r="D1099" s="456"/>
      <c r="E1099" s="362"/>
      <c r="F1099" s="272"/>
      <c r="G1099" s="460"/>
      <c r="H1099" s="272"/>
      <c r="I1099" s="399"/>
      <c r="J1099" s="241" t="b">
        <f>Age_Sex_PY[[#This Row],[Total Spending After Applying Truncation at the Member Level]]+Age_Sex_PY[[#This Row],[Total Dollars Excluded from Spending After Applying Truncation at the Member Level]]=Age_Sex_PY[[#This Row],[Total Spending before Truncation is Applied]]</f>
        <v>1</v>
      </c>
    </row>
    <row r="1100" spans="1:10" x14ac:dyDescent="0.25">
      <c r="A1100" s="342"/>
      <c r="B1100" s="4"/>
      <c r="C1100" s="16"/>
      <c r="D1100" s="457"/>
      <c r="E1100" s="363"/>
      <c r="F1100" s="273"/>
      <c r="G1100" s="226"/>
      <c r="H1100" s="273"/>
      <c r="I1100" s="400"/>
      <c r="J1100" s="241" t="b">
        <f>Age_Sex_PY[[#This Row],[Total Spending After Applying Truncation at the Member Level]]+Age_Sex_PY[[#This Row],[Total Dollars Excluded from Spending After Applying Truncation at the Member Level]]=Age_Sex_PY[[#This Row],[Total Spending before Truncation is Applied]]</f>
        <v>1</v>
      </c>
    </row>
    <row r="1101" spans="1:10" x14ac:dyDescent="0.25">
      <c r="A1101" s="339"/>
      <c r="B1101" s="270"/>
      <c r="C1101" s="271"/>
      <c r="D1101" s="456"/>
      <c r="E1101" s="362"/>
      <c r="F1101" s="272"/>
      <c r="G1101" s="460"/>
      <c r="H1101" s="272"/>
      <c r="I1101" s="399"/>
      <c r="J1101" s="241" t="b">
        <f>Age_Sex_PY[[#This Row],[Total Spending After Applying Truncation at the Member Level]]+Age_Sex_PY[[#This Row],[Total Dollars Excluded from Spending After Applying Truncation at the Member Level]]=Age_Sex_PY[[#This Row],[Total Spending before Truncation is Applied]]</f>
        <v>1</v>
      </c>
    </row>
    <row r="1102" spans="1:10" x14ac:dyDescent="0.25">
      <c r="A1102" s="342"/>
      <c r="B1102" s="4"/>
      <c r="C1102" s="16"/>
      <c r="D1102" s="457"/>
      <c r="E1102" s="363"/>
      <c r="F1102" s="273"/>
      <c r="G1102" s="226"/>
      <c r="H1102" s="273"/>
      <c r="I1102" s="400"/>
      <c r="J1102" s="241" t="b">
        <f>Age_Sex_PY[[#This Row],[Total Spending After Applying Truncation at the Member Level]]+Age_Sex_PY[[#This Row],[Total Dollars Excluded from Spending After Applying Truncation at the Member Level]]=Age_Sex_PY[[#This Row],[Total Spending before Truncation is Applied]]</f>
        <v>1</v>
      </c>
    </row>
    <row r="1103" spans="1:10" x14ac:dyDescent="0.25">
      <c r="A1103" s="339"/>
      <c r="B1103" s="270"/>
      <c r="C1103" s="271"/>
      <c r="D1103" s="456"/>
      <c r="E1103" s="362"/>
      <c r="F1103" s="272"/>
      <c r="G1103" s="460"/>
      <c r="H1103" s="272"/>
      <c r="I1103" s="399"/>
      <c r="J1103" s="241" t="b">
        <f>Age_Sex_PY[[#This Row],[Total Spending After Applying Truncation at the Member Level]]+Age_Sex_PY[[#This Row],[Total Dollars Excluded from Spending After Applying Truncation at the Member Level]]=Age_Sex_PY[[#This Row],[Total Spending before Truncation is Applied]]</f>
        <v>1</v>
      </c>
    </row>
    <row r="1104" spans="1:10" x14ac:dyDescent="0.25">
      <c r="A1104" s="342"/>
      <c r="B1104" s="4"/>
      <c r="C1104" s="16"/>
      <c r="D1104" s="457"/>
      <c r="E1104" s="363"/>
      <c r="F1104" s="273"/>
      <c r="G1104" s="226"/>
      <c r="H1104" s="273"/>
      <c r="I1104" s="400"/>
      <c r="J1104" s="241" t="b">
        <f>Age_Sex_PY[[#This Row],[Total Spending After Applying Truncation at the Member Level]]+Age_Sex_PY[[#This Row],[Total Dollars Excluded from Spending After Applying Truncation at the Member Level]]=Age_Sex_PY[[#This Row],[Total Spending before Truncation is Applied]]</f>
        <v>1</v>
      </c>
    </row>
    <row r="1105" spans="1:10" x14ac:dyDescent="0.25">
      <c r="A1105" s="339"/>
      <c r="B1105" s="270"/>
      <c r="C1105" s="271"/>
      <c r="D1105" s="456"/>
      <c r="E1105" s="362"/>
      <c r="F1105" s="272"/>
      <c r="G1105" s="460"/>
      <c r="H1105" s="272"/>
      <c r="I1105" s="399"/>
      <c r="J1105" s="241" t="b">
        <f>Age_Sex_PY[[#This Row],[Total Spending After Applying Truncation at the Member Level]]+Age_Sex_PY[[#This Row],[Total Dollars Excluded from Spending After Applying Truncation at the Member Level]]=Age_Sex_PY[[#This Row],[Total Spending before Truncation is Applied]]</f>
        <v>1</v>
      </c>
    </row>
    <row r="1106" spans="1:10" x14ac:dyDescent="0.25">
      <c r="A1106" s="342"/>
      <c r="B1106" s="4"/>
      <c r="C1106" s="16"/>
      <c r="D1106" s="457"/>
      <c r="E1106" s="363"/>
      <c r="F1106" s="273"/>
      <c r="G1106" s="226"/>
      <c r="H1106" s="273"/>
      <c r="I1106" s="400"/>
      <c r="J1106" s="241" t="b">
        <f>Age_Sex_PY[[#This Row],[Total Spending After Applying Truncation at the Member Level]]+Age_Sex_PY[[#This Row],[Total Dollars Excluded from Spending After Applying Truncation at the Member Level]]=Age_Sex_PY[[#This Row],[Total Spending before Truncation is Applied]]</f>
        <v>1</v>
      </c>
    </row>
    <row r="1107" spans="1:10" x14ac:dyDescent="0.25">
      <c r="A1107" s="339"/>
      <c r="B1107" s="270"/>
      <c r="C1107" s="271"/>
      <c r="D1107" s="456"/>
      <c r="E1107" s="362"/>
      <c r="F1107" s="272"/>
      <c r="G1107" s="460"/>
      <c r="H1107" s="272"/>
      <c r="I1107" s="399"/>
      <c r="J1107" s="241" t="b">
        <f>Age_Sex_PY[[#This Row],[Total Spending After Applying Truncation at the Member Level]]+Age_Sex_PY[[#This Row],[Total Dollars Excluded from Spending After Applying Truncation at the Member Level]]=Age_Sex_PY[[#This Row],[Total Spending before Truncation is Applied]]</f>
        <v>1</v>
      </c>
    </row>
    <row r="1108" spans="1:10" x14ac:dyDescent="0.25">
      <c r="A1108" s="342"/>
      <c r="B1108" s="4"/>
      <c r="C1108" s="16"/>
      <c r="D1108" s="457"/>
      <c r="E1108" s="363"/>
      <c r="F1108" s="273"/>
      <c r="G1108" s="226"/>
      <c r="H1108" s="273"/>
      <c r="I1108" s="400"/>
      <c r="J1108" s="243" t="b">
        <f>Age_Sex_PY[[#This Row],[Total Spending After Applying Truncation at the Member Level]]+Age_Sex_PY[[#This Row],[Total Dollars Excluded from Spending After Applying Truncation at the Member Level]]=Age_Sex_PY[[#This Row],[Total Spending before Truncation is Applied]]</f>
        <v>1</v>
      </c>
    </row>
    <row r="1109" spans="1:10" x14ac:dyDescent="0.25">
      <c r="A1109" s="339"/>
      <c r="B1109" s="270"/>
      <c r="C1109" s="271"/>
      <c r="D1109" s="456"/>
      <c r="E1109" s="362"/>
      <c r="F1109" s="272"/>
      <c r="G1109" s="460"/>
      <c r="H1109" s="272"/>
      <c r="I1109" s="399"/>
      <c r="J1109" s="241" t="b">
        <f>Age_Sex_PY[[#This Row],[Total Spending After Applying Truncation at the Member Level]]+Age_Sex_PY[[#This Row],[Total Dollars Excluded from Spending After Applying Truncation at the Member Level]]=Age_Sex_PY[[#This Row],[Total Spending before Truncation is Applied]]</f>
        <v>1</v>
      </c>
    </row>
    <row r="1110" spans="1:10" x14ac:dyDescent="0.25">
      <c r="A1110" s="342"/>
      <c r="B1110" s="4"/>
      <c r="C1110" s="16"/>
      <c r="D1110" s="457"/>
      <c r="E1110" s="363"/>
      <c r="F1110" s="273"/>
      <c r="G1110" s="226"/>
      <c r="H1110" s="273"/>
      <c r="I1110" s="400"/>
      <c r="J1110" s="243" t="b">
        <f>Age_Sex_PY[[#This Row],[Total Spending After Applying Truncation at the Member Level]]+Age_Sex_PY[[#This Row],[Total Dollars Excluded from Spending After Applying Truncation at the Member Level]]=Age_Sex_PY[[#This Row],[Total Spending before Truncation is Applied]]</f>
        <v>1</v>
      </c>
    </row>
    <row r="1111" spans="1:10" x14ac:dyDescent="0.25">
      <c r="A1111" s="339"/>
      <c r="B1111" s="270"/>
      <c r="C1111" s="271"/>
      <c r="D1111" s="456"/>
      <c r="E1111" s="362"/>
      <c r="F1111" s="272"/>
      <c r="G1111" s="460"/>
      <c r="H1111" s="272"/>
      <c r="I1111" s="399"/>
      <c r="J1111" s="241" t="b">
        <f>Age_Sex_PY[[#This Row],[Total Spending After Applying Truncation at the Member Level]]+Age_Sex_PY[[#This Row],[Total Dollars Excluded from Spending After Applying Truncation at the Member Level]]=Age_Sex_PY[[#This Row],[Total Spending before Truncation is Applied]]</f>
        <v>1</v>
      </c>
    </row>
    <row r="1112" spans="1:10" x14ac:dyDescent="0.25">
      <c r="A1112" s="342"/>
      <c r="B1112" s="4"/>
      <c r="C1112" s="16"/>
      <c r="D1112" s="457"/>
      <c r="E1112" s="363"/>
      <c r="F1112" s="273"/>
      <c r="G1112" s="226"/>
      <c r="H1112" s="273"/>
      <c r="I1112" s="400"/>
      <c r="J1112" s="243" t="b">
        <f>Age_Sex_PY[[#This Row],[Total Spending After Applying Truncation at the Member Level]]+Age_Sex_PY[[#This Row],[Total Dollars Excluded from Spending After Applying Truncation at the Member Level]]=Age_Sex_PY[[#This Row],[Total Spending before Truncation is Applied]]</f>
        <v>1</v>
      </c>
    </row>
    <row r="1113" spans="1:10" x14ac:dyDescent="0.25">
      <c r="A1113" s="339"/>
      <c r="B1113" s="270"/>
      <c r="C1113" s="271"/>
      <c r="D1113" s="456"/>
      <c r="E1113" s="362"/>
      <c r="F1113" s="272"/>
      <c r="G1113" s="460"/>
      <c r="H1113" s="272"/>
      <c r="I1113" s="399"/>
      <c r="J1113" s="241" t="b">
        <f>Age_Sex_PY[[#This Row],[Total Spending After Applying Truncation at the Member Level]]+Age_Sex_PY[[#This Row],[Total Dollars Excluded from Spending After Applying Truncation at the Member Level]]=Age_Sex_PY[[#This Row],[Total Spending before Truncation is Applied]]</f>
        <v>1</v>
      </c>
    </row>
    <row r="1114" spans="1:10" x14ac:dyDescent="0.25">
      <c r="A1114" s="342"/>
      <c r="B1114" s="4"/>
      <c r="C1114" s="16"/>
      <c r="D1114" s="457"/>
      <c r="E1114" s="363"/>
      <c r="F1114" s="273"/>
      <c r="G1114" s="226"/>
      <c r="H1114" s="273"/>
      <c r="I1114" s="400"/>
      <c r="J1114" s="243" t="b">
        <f>Age_Sex_PY[[#This Row],[Total Spending After Applying Truncation at the Member Level]]+Age_Sex_PY[[#This Row],[Total Dollars Excluded from Spending After Applying Truncation at the Member Level]]=Age_Sex_PY[[#This Row],[Total Spending before Truncation is Applied]]</f>
        <v>1</v>
      </c>
    </row>
    <row r="1115" spans="1:10" x14ac:dyDescent="0.25">
      <c r="A1115" s="339"/>
      <c r="B1115" s="270"/>
      <c r="C1115" s="271"/>
      <c r="D1115" s="456"/>
      <c r="E1115" s="362"/>
      <c r="F1115" s="272"/>
      <c r="G1115" s="460"/>
      <c r="H1115" s="272"/>
      <c r="I1115" s="399"/>
      <c r="J1115" s="241" t="b">
        <f>Age_Sex_PY[[#This Row],[Total Spending After Applying Truncation at the Member Level]]+Age_Sex_PY[[#This Row],[Total Dollars Excluded from Spending After Applying Truncation at the Member Level]]=Age_Sex_PY[[#This Row],[Total Spending before Truncation is Applied]]</f>
        <v>1</v>
      </c>
    </row>
    <row r="1116" spans="1:10" x14ac:dyDescent="0.25">
      <c r="A1116" s="342"/>
      <c r="B1116" s="4"/>
      <c r="C1116" s="16"/>
      <c r="D1116" s="457"/>
      <c r="E1116" s="363"/>
      <c r="F1116" s="273"/>
      <c r="G1116" s="226"/>
      <c r="H1116" s="273"/>
      <c r="I1116" s="400"/>
      <c r="J1116" s="243" t="b">
        <f>Age_Sex_PY[[#This Row],[Total Spending After Applying Truncation at the Member Level]]+Age_Sex_PY[[#This Row],[Total Dollars Excluded from Spending After Applying Truncation at the Member Level]]=Age_Sex_PY[[#This Row],[Total Spending before Truncation is Applied]]</f>
        <v>1</v>
      </c>
    </row>
    <row r="1117" spans="1:10" x14ac:dyDescent="0.25">
      <c r="A1117" s="339"/>
      <c r="B1117" s="270"/>
      <c r="C1117" s="271"/>
      <c r="D1117" s="456"/>
      <c r="E1117" s="362"/>
      <c r="F1117" s="272"/>
      <c r="G1117" s="460"/>
      <c r="H1117" s="272"/>
      <c r="I1117" s="399"/>
      <c r="J1117" s="241" t="b">
        <f>Age_Sex_PY[[#This Row],[Total Spending After Applying Truncation at the Member Level]]+Age_Sex_PY[[#This Row],[Total Dollars Excluded from Spending After Applying Truncation at the Member Level]]=Age_Sex_PY[[#This Row],[Total Spending before Truncation is Applied]]</f>
        <v>1</v>
      </c>
    </row>
    <row r="1118" spans="1:10" x14ac:dyDescent="0.25">
      <c r="A1118" s="342"/>
      <c r="B1118" s="4"/>
      <c r="C1118" s="16"/>
      <c r="D1118" s="457"/>
      <c r="E1118" s="363"/>
      <c r="F1118" s="273"/>
      <c r="G1118" s="226"/>
      <c r="H1118" s="273"/>
      <c r="I1118" s="400"/>
      <c r="J1118" s="243" t="b">
        <f>Age_Sex_PY[[#This Row],[Total Spending After Applying Truncation at the Member Level]]+Age_Sex_PY[[#This Row],[Total Dollars Excluded from Spending After Applying Truncation at the Member Level]]=Age_Sex_PY[[#This Row],[Total Spending before Truncation is Applied]]</f>
        <v>1</v>
      </c>
    </row>
    <row r="1119" spans="1:10" x14ac:dyDescent="0.25">
      <c r="A1119" s="339"/>
      <c r="B1119" s="270"/>
      <c r="C1119" s="271"/>
      <c r="D1119" s="456"/>
      <c r="E1119" s="362"/>
      <c r="F1119" s="272"/>
      <c r="G1119" s="460"/>
      <c r="H1119" s="272"/>
      <c r="I1119" s="399"/>
      <c r="J1119" s="241" t="b">
        <f>Age_Sex_PY[[#This Row],[Total Spending After Applying Truncation at the Member Level]]+Age_Sex_PY[[#This Row],[Total Dollars Excluded from Spending After Applying Truncation at the Member Level]]=Age_Sex_PY[[#This Row],[Total Spending before Truncation is Applied]]</f>
        <v>1</v>
      </c>
    </row>
    <row r="1120" spans="1:10" x14ac:dyDescent="0.25">
      <c r="A1120" s="342"/>
      <c r="B1120" s="4"/>
      <c r="C1120" s="16"/>
      <c r="D1120" s="457"/>
      <c r="E1120" s="363"/>
      <c r="F1120" s="273"/>
      <c r="G1120" s="226"/>
      <c r="H1120" s="273"/>
      <c r="I1120" s="400"/>
      <c r="J1120" s="243" t="b">
        <f>Age_Sex_PY[[#This Row],[Total Spending After Applying Truncation at the Member Level]]+Age_Sex_PY[[#This Row],[Total Dollars Excluded from Spending After Applying Truncation at the Member Level]]=Age_Sex_PY[[#This Row],[Total Spending before Truncation is Applied]]</f>
        <v>1</v>
      </c>
    </row>
    <row r="1121" spans="1:10" x14ac:dyDescent="0.25">
      <c r="A1121" s="339"/>
      <c r="B1121" s="270"/>
      <c r="C1121" s="271"/>
      <c r="D1121" s="456"/>
      <c r="E1121" s="362"/>
      <c r="F1121" s="272"/>
      <c r="G1121" s="460"/>
      <c r="H1121" s="272"/>
      <c r="I1121" s="399"/>
      <c r="J1121" s="241" t="b">
        <f>Age_Sex_PY[[#This Row],[Total Spending After Applying Truncation at the Member Level]]+Age_Sex_PY[[#This Row],[Total Dollars Excluded from Spending After Applying Truncation at the Member Level]]=Age_Sex_PY[[#This Row],[Total Spending before Truncation is Applied]]</f>
        <v>1</v>
      </c>
    </row>
    <row r="1122" spans="1:10" x14ac:dyDescent="0.25">
      <c r="A1122" s="342"/>
      <c r="B1122" s="4"/>
      <c r="C1122" s="16"/>
      <c r="D1122" s="457"/>
      <c r="E1122" s="363"/>
      <c r="F1122" s="273"/>
      <c r="G1122" s="226"/>
      <c r="H1122" s="273"/>
      <c r="I1122" s="400"/>
      <c r="J1122" s="243" t="b">
        <f>Age_Sex_PY[[#This Row],[Total Spending After Applying Truncation at the Member Level]]+Age_Sex_PY[[#This Row],[Total Dollars Excluded from Spending After Applying Truncation at the Member Level]]=Age_Sex_PY[[#This Row],[Total Spending before Truncation is Applied]]</f>
        <v>1</v>
      </c>
    </row>
    <row r="1123" spans="1:10" x14ac:dyDescent="0.25">
      <c r="A1123" s="339"/>
      <c r="B1123" s="270"/>
      <c r="C1123" s="271"/>
      <c r="D1123" s="456"/>
      <c r="E1123" s="362"/>
      <c r="F1123" s="272"/>
      <c r="G1123" s="460"/>
      <c r="H1123" s="272"/>
      <c r="I1123" s="399"/>
      <c r="J1123" s="241" t="b">
        <f>Age_Sex_PY[[#This Row],[Total Spending After Applying Truncation at the Member Level]]+Age_Sex_PY[[#This Row],[Total Dollars Excluded from Spending After Applying Truncation at the Member Level]]=Age_Sex_PY[[#This Row],[Total Spending before Truncation is Applied]]</f>
        <v>1</v>
      </c>
    </row>
    <row r="1124" spans="1:10" x14ac:dyDescent="0.25">
      <c r="A1124" s="342"/>
      <c r="B1124" s="4"/>
      <c r="C1124" s="16"/>
      <c r="D1124" s="457"/>
      <c r="E1124" s="363"/>
      <c r="F1124" s="273"/>
      <c r="G1124" s="226"/>
      <c r="H1124" s="273"/>
      <c r="I1124" s="400"/>
      <c r="J1124" s="243" t="b">
        <f>Age_Sex_PY[[#This Row],[Total Spending After Applying Truncation at the Member Level]]+Age_Sex_PY[[#This Row],[Total Dollars Excluded from Spending After Applying Truncation at the Member Level]]=Age_Sex_PY[[#This Row],[Total Spending before Truncation is Applied]]</f>
        <v>1</v>
      </c>
    </row>
    <row r="1125" spans="1:10" x14ac:dyDescent="0.25">
      <c r="A1125" s="339"/>
      <c r="B1125" s="270"/>
      <c r="C1125" s="271"/>
      <c r="D1125" s="456"/>
      <c r="E1125" s="362"/>
      <c r="F1125" s="272"/>
      <c r="G1125" s="460"/>
      <c r="H1125" s="272"/>
      <c r="I1125" s="399"/>
      <c r="J1125" s="241" t="b">
        <f>Age_Sex_PY[[#This Row],[Total Spending After Applying Truncation at the Member Level]]+Age_Sex_PY[[#This Row],[Total Dollars Excluded from Spending After Applying Truncation at the Member Level]]=Age_Sex_PY[[#This Row],[Total Spending before Truncation is Applied]]</f>
        <v>1</v>
      </c>
    </row>
    <row r="1126" spans="1:10" x14ac:dyDescent="0.25">
      <c r="A1126" s="342"/>
      <c r="B1126" s="4"/>
      <c r="C1126" s="16"/>
      <c r="D1126" s="457"/>
      <c r="E1126" s="363"/>
      <c r="F1126" s="273"/>
      <c r="G1126" s="226"/>
      <c r="H1126" s="273"/>
      <c r="I1126" s="400"/>
      <c r="J1126" s="243" t="b">
        <f>Age_Sex_PY[[#This Row],[Total Spending After Applying Truncation at the Member Level]]+Age_Sex_PY[[#This Row],[Total Dollars Excluded from Spending After Applying Truncation at the Member Level]]=Age_Sex_PY[[#This Row],[Total Spending before Truncation is Applied]]</f>
        <v>1</v>
      </c>
    </row>
    <row r="1127" spans="1:10" x14ac:dyDescent="0.25">
      <c r="A1127" s="339"/>
      <c r="B1127" s="270"/>
      <c r="C1127" s="271"/>
      <c r="D1127" s="456"/>
      <c r="E1127" s="362"/>
      <c r="F1127" s="272"/>
      <c r="G1127" s="460"/>
      <c r="H1127" s="272"/>
      <c r="I1127" s="399"/>
      <c r="J1127" s="241" t="b">
        <f>Age_Sex_PY[[#This Row],[Total Spending After Applying Truncation at the Member Level]]+Age_Sex_PY[[#This Row],[Total Dollars Excluded from Spending After Applying Truncation at the Member Level]]=Age_Sex_PY[[#This Row],[Total Spending before Truncation is Applied]]</f>
        <v>1</v>
      </c>
    </row>
    <row r="1128" spans="1:10" x14ac:dyDescent="0.25">
      <c r="A1128" s="342"/>
      <c r="B1128" s="4"/>
      <c r="C1128" s="16"/>
      <c r="D1128" s="457"/>
      <c r="E1128" s="363"/>
      <c r="F1128" s="273"/>
      <c r="G1128" s="226"/>
      <c r="H1128" s="273"/>
      <c r="I1128" s="400"/>
      <c r="J1128" s="243" t="b">
        <f>Age_Sex_PY[[#This Row],[Total Spending After Applying Truncation at the Member Level]]+Age_Sex_PY[[#This Row],[Total Dollars Excluded from Spending After Applying Truncation at the Member Level]]=Age_Sex_PY[[#This Row],[Total Spending before Truncation is Applied]]</f>
        <v>1</v>
      </c>
    </row>
    <row r="1129" spans="1:10" x14ac:dyDescent="0.25">
      <c r="A1129" s="339"/>
      <c r="B1129" s="270"/>
      <c r="C1129" s="271"/>
      <c r="D1129" s="456"/>
      <c r="E1129" s="362"/>
      <c r="F1129" s="272"/>
      <c r="G1129" s="460"/>
      <c r="H1129" s="272"/>
      <c r="I1129" s="399"/>
      <c r="J1129" s="241" t="b">
        <f>Age_Sex_PY[[#This Row],[Total Spending After Applying Truncation at the Member Level]]+Age_Sex_PY[[#This Row],[Total Dollars Excluded from Spending After Applying Truncation at the Member Level]]=Age_Sex_PY[[#This Row],[Total Spending before Truncation is Applied]]</f>
        <v>1</v>
      </c>
    </row>
    <row r="1130" spans="1:10" x14ac:dyDescent="0.25">
      <c r="A1130" s="342"/>
      <c r="B1130" s="4"/>
      <c r="C1130" s="16"/>
      <c r="D1130" s="457"/>
      <c r="E1130" s="363"/>
      <c r="F1130" s="273"/>
      <c r="G1130" s="226"/>
      <c r="H1130" s="273"/>
      <c r="I1130" s="400"/>
      <c r="J1130" s="243" t="b">
        <f>Age_Sex_PY[[#This Row],[Total Spending After Applying Truncation at the Member Level]]+Age_Sex_PY[[#This Row],[Total Dollars Excluded from Spending After Applying Truncation at the Member Level]]=Age_Sex_PY[[#This Row],[Total Spending before Truncation is Applied]]</f>
        <v>1</v>
      </c>
    </row>
    <row r="1131" spans="1:10" x14ac:dyDescent="0.25">
      <c r="A1131" s="339"/>
      <c r="B1131" s="270"/>
      <c r="C1131" s="271"/>
      <c r="D1131" s="456"/>
      <c r="E1131" s="362"/>
      <c r="F1131" s="272"/>
      <c r="G1131" s="460"/>
      <c r="H1131" s="272"/>
      <c r="I1131" s="399"/>
      <c r="J1131" s="241" t="b">
        <f>Age_Sex_PY[[#This Row],[Total Spending After Applying Truncation at the Member Level]]+Age_Sex_PY[[#This Row],[Total Dollars Excluded from Spending After Applying Truncation at the Member Level]]=Age_Sex_PY[[#This Row],[Total Spending before Truncation is Applied]]</f>
        <v>1</v>
      </c>
    </row>
    <row r="1132" spans="1:10" x14ac:dyDescent="0.25">
      <c r="A1132" s="342"/>
      <c r="B1132" s="4"/>
      <c r="C1132" s="16"/>
      <c r="D1132" s="457"/>
      <c r="E1132" s="363"/>
      <c r="F1132" s="273"/>
      <c r="G1132" s="226"/>
      <c r="H1132" s="273"/>
      <c r="I1132" s="400"/>
      <c r="J1132" s="243" t="b">
        <f>Age_Sex_PY[[#This Row],[Total Spending After Applying Truncation at the Member Level]]+Age_Sex_PY[[#This Row],[Total Dollars Excluded from Spending After Applying Truncation at the Member Level]]=Age_Sex_PY[[#This Row],[Total Spending before Truncation is Applied]]</f>
        <v>1</v>
      </c>
    </row>
    <row r="1133" spans="1:10" x14ac:dyDescent="0.25">
      <c r="A1133" s="339"/>
      <c r="B1133" s="270"/>
      <c r="C1133" s="271"/>
      <c r="D1133" s="456"/>
      <c r="E1133" s="362"/>
      <c r="F1133" s="272"/>
      <c r="G1133" s="460"/>
      <c r="H1133" s="272"/>
      <c r="I1133" s="399"/>
      <c r="J1133" s="241" t="b">
        <f>Age_Sex_PY[[#This Row],[Total Spending After Applying Truncation at the Member Level]]+Age_Sex_PY[[#This Row],[Total Dollars Excluded from Spending After Applying Truncation at the Member Level]]=Age_Sex_PY[[#This Row],[Total Spending before Truncation is Applied]]</f>
        <v>1</v>
      </c>
    </row>
    <row r="1134" spans="1:10" x14ac:dyDescent="0.25">
      <c r="A1134" s="342"/>
      <c r="B1134" s="4"/>
      <c r="C1134" s="16"/>
      <c r="D1134" s="457"/>
      <c r="E1134" s="363"/>
      <c r="F1134" s="273"/>
      <c r="G1134" s="226"/>
      <c r="H1134" s="273"/>
      <c r="I1134" s="400"/>
      <c r="J1134" s="243" t="b">
        <f>Age_Sex_PY[[#This Row],[Total Spending After Applying Truncation at the Member Level]]+Age_Sex_PY[[#This Row],[Total Dollars Excluded from Spending After Applying Truncation at the Member Level]]=Age_Sex_PY[[#This Row],[Total Spending before Truncation is Applied]]</f>
        <v>1</v>
      </c>
    </row>
    <row r="1135" spans="1:10" x14ac:dyDescent="0.25">
      <c r="A1135" s="339"/>
      <c r="B1135" s="270"/>
      <c r="C1135" s="271"/>
      <c r="D1135" s="456"/>
      <c r="E1135" s="362"/>
      <c r="F1135" s="272"/>
      <c r="G1135" s="460"/>
      <c r="H1135" s="272"/>
      <c r="I1135" s="399"/>
      <c r="J1135" s="241" t="b">
        <f>Age_Sex_PY[[#This Row],[Total Spending After Applying Truncation at the Member Level]]+Age_Sex_PY[[#This Row],[Total Dollars Excluded from Spending After Applying Truncation at the Member Level]]=Age_Sex_PY[[#This Row],[Total Spending before Truncation is Applied]]</f>
        <v>1</v>
      </c>
    </row>
    <row r="1136" spans="1:10" x14ac:dyDescent="0.25">
      <c r="A1136" s="342"/>
      <c r="B1136" s="4"/>
      <c r="C1136" s="16"/>
      <c r="D1136" s="457"/>
      <c r="E1136" s="363"/>
      <c r="F1136" s="273"/>
      <c r="G1136" s="226"/>
      <c r="H1136" s="273"/>
      <c r="I1136" s="400"/>
      <c r="J1136" s="243" t="b">
        <f>Age_Sex_PY[[#This Row],[Total Spending After Applying Truncation at the Member Level]]+Age_Sex_PY[[#This Row],[Total Dollars Excluded from Spending After Applying Truncation at the Member Level]]=Age_Sex_PY[[#This Row],[Total Spending before Truncation is Applied]]</f>
        <v>1</v>
      </c>
    </row>
    <row r="1137" spans="1:10" x14ac:dyDescent="0.25">
      <c r="A1137" s="339"/>
      <c r="B1137" s="270"/>
      <c r="C1137" s="271"/>
      <c r="D1137" s="456"/>
      <c r="E1137" s="362"/>
      <c r="F1137" s="272"/>
      <c r="G1137" s="460"/>
      <c r="H1137" s="272"/>
      <c r="I1137" s="399"/>
      <c r="J1137" s="241" t="b">
        <f>Age_Sex_PY[[#This Row],[Total Spending After Applying Truncation at the Member Level]]+Age_Sex_PY[[#This Row],[Total Dollars Excluded from Spending After Applying Truncation at the Member Level]]=Age_Sex_PY[[#This Row],[Total Spending before Truncation is Applied]]</f>
        <v>1</v>
      </c>
    </row>
    <row r="1138" spans="1:10" x14ac:dyDescent="0.25">
      <c r="A1138" s="342"/>
      <c r="B1138" s="4"/>
      <c r="C1138" s="16"/>
      <c r="D1138" s="457"/>
      <c r="E1138" s="363"/>
      <c r="F1138" s="273"/>
      <c r="G1138" s="226"/>
      <c r="H1138" s="273"/>
      <c r="I1138" s="400"/>
      <c r="J1138" s="243" t="b">
        <f>Age_Sex_PY[[#This Row],[Total Spending After Applying Truncation at the Member Level]]+Age_Sex_PY[[#This Row],[Total Dollars Excluded from Spending After Applying Truncation at the Member Level]]=Age_Sex_PY[[#This Row],[Total Spending before Truncation is Applied]]</f>
        <v>1</v>
      </c>
    </row>
    <row r="1139" spans="1:10" x14ac:dyDescent="0.25">
      <c r="A1139" s="339"/>
      <c r="B1139" s="270"/>
      <c r="C1139" s="271"/>
      <c r="D1139" s="456"/>
      <c r="E1139" s="362"/>
      <c r="F1139" s="272"/>
      <c r="G1139" s="460"/>
      <c r="H1139" s="272"/>
      <c r="I1139" s="399"/>
      <c r="J1139" s="241" t="b">
        <f>Age_Sex_PY[[#This Row],[Total Spending After Applying Truncation at the Member Level]]+Age_Sex_PY[[#This Row],[Total Dollars Excluded from Spending After Applying Truncation at the Member Level]]=Age_Sex_PY[[#This Row],[Total Spending before Truncation is Applied]]</f>
        <v>1</v>
      </c>
    </row>
    <row r="1140" spans="1:10" x14ac:dyDescent="0.25">
      <c r="A1140" s="342"/>
      <c r="B1140" s="4"/>
      <c r="C1140" s="16"/>
      <c r="D1140" s="457"/>
      <c r="E1140" s="363"/>
      <c r="F1140" s="273"/>
      <c r="G1140" s="226"/>
      <c r="H1140" s="273"/>
      <c r="I1140" s="400"/>
      <c r="J1140" s="243" t="b">
        <f>Age_Sex_PY[[#This Row],[Total Spending After Applying Truncation at the Member Level]]+Age_Sex_PY[[#This Row],[Total Dollars Excluded from Spending After Applying Truncation at the Member Level]]=Age_Sex_PY[[#This Row],[Total Spending before Truncation is Applied]]</f>
        <v>1</v>
      </c>
    </row>
    <row r="1141" spans="1:10" x14ac:dyDescent="0.25">
      <c r="A1141" s="339"/>
      <c r="B1141" s="270"/>
      <c r="C1141" s="271"/>
      <c r="D1141" s="456"/>
      <c r="E1141" s="362"/>
      <c r="F1141" s="272"/>
      <c r="G1141" s="460"/>
      <c r="H1141" s="272"/>
      <c r="I1141" s="399"/>
      <c r="J1141" s="241" t="b">
        <f>Age_Sex_PY[[#This Row],[Total Spending After Applying Truncation at the Member Level]]+Age_Sex_PY[[#This Row],[Total Dollars Excluded from Spending After Applying Truncation at the Member Level]]=Age_Sex_PY[[#This Row],[Total Spending before Truncation is Applied]]</f>
        <v>1</v>
      </c>
    </row>
    <row r="1142" spans="1:10" x14ac:dyDescent="0.25">
      <c r="A1142" s="342"/>
      <c r="B1142" s="4"/>
      <c r="C1142" s="16"/>
      <c r="D1142" s="457"/>
      <c r="E1142" s="363"/>
      <c r="F1142" s="273"/>
      <c r="G1142" s="226"/>
      <c r="H1142" s="273"/>
      <c r="I1142" s="400"/>
      <c r="J1142" s="243" t="b">
        <f>Age_Sex_PY[[#This Row],[Total Spending After Applying Truncation at the Member Level]]+Age_Sex_PY[[#This Row],[Total Dollars Excluded from Spending After Applying Truncation at the Member Level]]=Age_Sex_PY[[#This Row],[Total Spending before Truncation is Applied]]</f>
        <v>1</v>
      </c>
    </row>
    <row r="1143" spans="1:10" x14ac:dyDescent="0.25">
      <c r="A1143" s="339"/>
      <c r="B1143" s="270"/>
      <c r="C1143" s="271"/>
      <c r="D1143" s="456"/>
      <c r="E1143" s="362"/>
      <c r="F1143" s="272"/>
      <c r="G1143" s="460"/>
      <c r="H1143" s="272"/>
      <c r="I1143" s="399"/>
      <c r="J1143" s="241" t="b">
        <f>Age_Sex_PY[[#This Row],[Total Spending After Applying Truncation at the Member Level]]+Age_Sex_PY[[#This Row],[Total Dollars Excluded from Spending After Applying Truncation at the Member Level]]=Age_Sex_PY[[#This Row],[Total Spending before Truncation is Applied]]</f>
        <v>1</v>
      </c>
    </row>
    <row r="1144" spans="1:10" x14ac:dyDescent="0.25">
      <c r="A1144" s="342"/>
      <c r="B1144" s="4"/>
      <c r="C1144" s="16"/>
      <c r="D1144" s="457"/>
      <c r="E1144" s="363"/>
      <c r="F1144" s="273"/>
      <c r="G1144" s="226"/>
      <c r="H1144" s="273"/>
      <c r="I1144" s="400"/>
      <c r="J1144" s="243" t="b">
        <f>Age_Sex_PY[[#This Row],[Total Spending After Applying Truncation at the Member Level]]+Age_Sex_PY[[#This Row],[Total Dollars Excluded from Spending After Applying Truncation at the Member Level]]=Age_Sex_PY[[#This Row],[Total Spending before Truncation is Applied]]</f>
        <v>1</v>
      </c>
    </row>
    <row r="1145" spans="1:10" x14ac:dyDescent="0.25">
      <c r="A1145" s="339"/>
      <c r="B1145" s="270"/>
      <c r="C1145" s="271"/>
      <c r="D1145" s="456"/>
      <c r="E1145" s="362"/>
      <c r="F1145" s="272"/>
      <c r="G1145" s="460"/>
      <c r="H1145" s="272"/>
      <c r="I1145" s="399"/>
      <c r="J1145" s="241" t="b">
        <f>Age_Sex_PY[[#This Row],[Total Spending After Applying Truncation at the Member Level]]+Age_Sex_PY[[#This Row],[Total Dollars Excluded from Spending After Applying Truncation at the Member Level]]=Age_Sex_PY[[#This Row],[Total Spending before Truncation is Applied]]</f>
        <v>1</v>
      </c>
    </row>
    <row r="1146" spans="1:10" x14ac:dyDescent="0.25">
      <c r="A1146" s="342"/>
      <c r="B1146" s="4"/>
      <c r="C1146" s="16"/>
      <c r="D1146" s="457"/>
      <c r="E1146" s="363"/>
      <c r="F1146" s="273"/>
      <c r="G1146" s="226"/>
      <c r="H1146" s="273"/>
      <c r="I1146" s="400"/>
      <c r="J1146" s="243" t="b">
        <f>Age_Sex_PY[[#This Row],[Total Spending After Applying Truncation at the Member Level]]+Age_Sex_PY[[#This Row],[Total Dollars Excluded from Spending After Applying Truncation at the Member Level]]=Age_Sex_PY[[#This Row],[Total Spending before Truncation is Applied]]</f>
        <v>1</v>
      </c>
    </row>
    <row r="1147" spans="1:10" x14ac:dyDescent="0.25">
      <c r="A1147" s="339"/>
      <c r="B1147" s="270"/>
      <c r="C1147" s="271"/>
      <c r="D1147" s="456"/>
      <c r="E1147" s="362"/>
      <c r="F1147" s="272"/>
      <c r="G1147" s="460"/>
      <c r="H1147" s="272"/>
      <c r="I1147" s="399"/>
      <c r="J1147" s="241" t="b">
        <f>Age_Sex_PY[[#This Row],[Total Spending After Applying Truncation at the Member Level]]+Age_Sex_PY[[#This Row],[Total Dollars Excluded from Spending After Applying Truncation at the Member Level]]=Age_Sex_PY[[#This Row],[Total Spending before Truncation is Applied]]</f>
        <v>1</v>
      </c>
    </row>
    <row r="1148" spans="1:10" x14ac:dyDescent="0.25">
      <c r="A1148" s="342"/>
      <c r="B1148" s="4"/>
      <c r="C1148" s="16"/>
      <c r="D1148" s="457"/>
      <c r="E1148" s="363"/>
      <c r="F1148" s="273"/>
      <c r="G1148" s="226"/>
      <c r="H1148" s="273"/>
      <c r="I1148" s="400"/>
      <c r="J1148" s="243" t="b">
        <f>Age_Sex_PY[[#This Row],[Total Spending After Applying Truncation at the Member Level]]+Age_Sex_PY[[#This Row],[Total Dollars Excluded from Spending After Applying Truncation at the Member Level]]=Age_Sex_PY[[#This Row],[Total Spending before Truncation is Applied]]</f>
        <v>1</v>
      </c>
    </row>
    <row r="1149" spans="1:10" x14ac:dyDescent="0.25">
      <c r="A1149" s="339"/>
      <c r="B1149" s="270"/>
      <c r="C1149" s="271"/>
      <c r="D1149" s="456"/>
      <c r="E1149" s="362"/>
      <c r="F1149" s="272"/>
      <c r="G1149" s="460"/>
      <c r="H1149" s="272"/>
      <c r="I1149" s="399"/>
      <c r="J1149" s="241" t="b">
        <f>Age_Sex_PY[[#This Row],[Total Spending After Applying Truncation at the Member Level]]+Age_Sex_PY[[#This Row],[Total Dollars Excluded from Spending After Applying Truncation at the Member Level]]=Age_Sex_PY[[#This Row],[Total Spending before Truncation is Applied]]</f>
        <v>1</v>
      </c>
    </row>
    <row r="1150" spans="1:10" x14ac:dyDescent="0.25">
      <c r="A1150" s="342"/>
      <c r="B1150" s="4"/>
      <c r="C1150" s="16"/>
      <c r="D1150" s="457"/>
      <c r="E1150" s="363"/>
      <c r="F1150" s="273"/>
      <c r="G1150" s="226"/>
      <c r="H1150" s="273"/>
      <c r="I1150" s="400"/>
      <c r="J1150" s="243" t="b">
        <f>Age_Sex_PY[[#This Row],[Total Spending After Applying Truncation at the Member Level]]+Age_Sex_PY[[#This Row],[Total Dollars Excluded from Spending After Applying Truncation at the Member Level]]=Age_Sex_PY[[#This Row],[Total Spending before Truncation is Applied]]</f>
        <v>1</v>
      </c>
    </row>
    <row r="1151" spans="1:10" x14ac:dyDescent="0.25">
      <c r="A1151" s="339"/>
      <c r="B1151" s="270"/>
      <c r="C1151" s="271"/>
      <c r="D1151" s="456"/>
      <c r="E1151" s="362"/>
      <c r="F1151" s="272"/>
      <c r="G1151" s="460"/>
      <c r="H1151" s="272"/>
      <c r="I1151" s="399"/>
      <c r="J1151" s="241" t="b">
        <f>Age_Sex_PY[[#This Row],[Total Spending After Applying Truncation at the Member Level]]+Age_Sex_PY[[#This Row],[Total Dollars Excluded from Spending After Applying Truncation at the Member Level]]=Age_Sex_PY[[#This Row],[Total Spending before Truncation is Applied]]</f>
        <v>1</v>
      </c>
    </row>
    <row r="1152" spans="1:10" x14ac:dyDescent="0.25">
      <c r="A1152" s="342"/>
      <c r="B1152" s="4"/>
      <c r="C1152" s="16"/>
      <c r="D1152" s="457"/>
      <c r="E1152" s="363"/>
      <c r="F1152" s="273"/>
      <c r="G1152" s="226"/>
      <c r="H1152" s="273"/>
      <c r="I1152" s="400"/>
      <c r="J1152" s="243" t="b">
        <f>Age_Sex_PY[[#This Row],[Total Spending After Applying Truncation at the Member Level]]+Age_Sex_PY[[#This Row],[Total Dollars Excluded from Spending After Applying Truncation at the Member Level]]=Age_Sex_PY[[#This Row],[Total Spending before Truncation is Applied]]</f>
        <v>1</v>
      </c>
    </row>
    <row r="1153" spans="1:10" x14ac:dyDescent="0.25">
      <c r="A1153" s="339"/>
      <c r="B1153" s="270"/>
      <c r="C1153" s="271"/>
      <c r="D1153" s="456"/>
      <c r="E1153" s="362"/>
      <c r="F1153" s="272"/>
      <c r="G1153" s="460"/>
      <c r="H1153" s="272"/>
      <c r="I1153" s="399"/>
      <c r="J1153" s="241" t="b">
        <f>Age_Sex_PY[[#This Row],[Total Spending After Applying Truncation at the Member Level]]+Age_Sex_PY[[#This Row],[Total Dollars Excluded from Spending After Applying Truncation at the Member Level]]=Age_Sex_PY[[#This Row],[Total Spending before Truncation is Applied]]</f>
        <v>1</v>
      </c>
    </row>
    <row r="1154" spans="1:10" x14ac:dyDescent="0.25">
      <c r="A1154" s="342"/>
      <c r="B1154" s="4"/>
      <c r="C1154" s="16"/>
      <c r="D1154" s="457"/>
      <c r="E1154" s="363"/>
      <c r="F1154" s="273"/>
      <c r="G1154" s="226"/>
      <c r="H1154" s="273"/>
      <c r="I1154" s="400"/>
      <c r="J1154" s="243" t="b">
        <f>Age_Sex_PY[[#This Row],[Total Spending After Applying Truncation at the Member Level]]+Age_Sex_PY[[#This Row],[Total Dollars Excluded from Spending After Applying Truncation at the Member Level]]=Age_Sex_PY[[#This Row],[Total Spending before Truncation is Applied]]</f>
        <v>1</v>
      </c>
    </row>
    <row r="1155" spans="1:10" x14ac:dyDescent="0.25">
      <c r="A1155" s="339"/>
      <c r="B1155" s="270"/>
      <c r="C1155" s="271"/>
      <c r="D1155" s="456"/>
      <c r="E1155" s="362"/>
      <c r="F1155" s="272"/>
      <c r="G1155" s="460"/>
      <c r="H1155" s="272"/>
      <c r="I1155" s="399"/>
      <c r="J1155" s="241" t="b">
        <f>Age_Sex_PY[[#This Row],[Total Spending After Applying Truncation at the Member Level]]+Age_Sex_PY[[#This Row],[Total Dollars Excluded from Spending After Applying Truncation at the Member Level]]=Age_Sex_PY[[#This Row],[Total Spending before Truncation is Applied]]</f>
        <v>1</v>
      </c>
    </row>
    <row r="1156" spans="1:10" x14ac:dyDescent="0.25">
      <c r="A1156" s="342"/>
      <c r="B1156" s="4"/>
      <c r="C1156" s="16"/>
      <c r="D1156" s="457"/>
      <c r="E1156" s="363"/>
      <c r="F1156" s="273"/>
      <c r="G1156" s="226"/>
      <c r="H1156" s="273"/>
      <c r="I1156" s="400"/>
      <c r="J1156" s="243" t="b">
        <f>Age_Sex_PY[[#This Row],[Total Spending After Applying Truncation at the Member Level]]+Age_Sex_PY[[#This Row],[Total Dollars Excluded from Spending After Applying Truncation at the Member Level]]=Age_Sex_PY[[#This Row],[Total Spending before Truncation is Applied]]</f>
        <v>1</v>
      </c>
    </row>
    <row r="1157" spans="1:10" x14ac:dyDescent="0.25">
      <c r="A1157" s="339"/>
      <c r="B1157" s="270"/>
      <c r="C1157" s="271"/>
      <c r="D1157" s="456"/>
      <c r="E1157" s="362"/>
      <c r="F1157" s="272"/>
      <c r="G1157" s="460"/>
      <c r="H1157" s="272"/>
      <c r="I1157" s="399"/>
      <c r="J1157" s="241" t="b">
        <f>Age_Sex_PY[[#This Row],[Total Spending After Applying Truncation at the Member Level]]+Age_Sex_PY[[#This Row],[Total Dollars Excluded from Spending After Applying Truncation at the Member Level]]=Age_Sex_PY[[#This Row],[Total Spending before Truncation is Applied]]</f>
        <v>1</v>
      </c>
    </row>
    <row r="1158" spans="1:10" x14ac:dyDescent="0.25">
      <c r="A1158" s="342"/>
      <c r="B1158" s="4"/>
      <c r="C1158" s="16"/>
      <c r="D1158" s="457"/>
      <c r="E1158" s="363"/>
      <c r="F1158" s="273"/>
      <c r="G1158" s="226"/>
      <c r="H1158" s="273"/>
      <c r="I1158" s="400"/>
      <c r="J1158" s="243" t="b">
        <f>Age_Sex_PY[[#This Row],[Total Spending After Applying Truncation at the Member Level]]+Age_Sex_PY[[#This Row],[Total Dollars Excluded from Spending After Applying Truncation at the Member Level]]=Age_Sex_PY[[#This Row],[Total Spending before Truncation is Applied]]</f>
        <v>1</v>
      </c>
    </row>
    <row r="1159" spans="1:10" x14ac:dyDescent="0.25">
      <c r="A1159" s="339"/>
      <c r="B1159" s="270"/>
      <c r="C1159" s="271"/>
      <c r="D1159" s="456"/>
      <c r="E1159" s="362"/>
      <c r="F1159" s="272"/>
      <c r="G1159" s="460"/>
      <c r="H1159" s="272"/>
      <c r="I1159" s="399"/>
      <c r="J1159" s="241" t="b">
        <f>Age_Sex_PY[[#This Row],[Total Spending After Applying Truncation at the Member Level]]+Age_Sex_PY[[#This Row],[Total Dollars Excluded from Spending After Applying Truncation at the Member Level]]=Age_Sex_PY[[#This Row],[Total Spending before Truncation is Applied]]</f>
        <v>1</v>
      </c>
    </row>
    <row r="1160" spans="1:10" x14ac:dyDescent="0.25">
      <c r="A1160" s="342"/>
      <c r="B1160" s="4"/>
      <c r="C1160" s="16"/>
      <c r="D1160" s="457"/>
      <c r="E1160" s="363"/>
      <c r="F1160" s="273"/>
      <c r="G1160" s="226"/>
      <c r="H1160" s="273"/>
      <c r="I1160" s="400"/>
      <c r="J1160" s="243" t="b">
        <f>Age_Sex_PY[[#This Row],[Total Spending After Applying Truncation at the Member Level]]+Age_Sex_PY[[#This Row],[Total Dollars Excluded from Spending After Applying Truncation at the Member Level]]=Age_Sex_PY[[#This Row],[Total Spending before Truncation is Applied]]</f>
        <v>1</v>
      </c>
    </row>
    <row r="1161" spans="1:10" x14ac:dyDescent="0.25">
      <c r="A1161" s="339"/>
      <c r="B1161" s="270"/>
      <c r="C1161" s="271"/>
      <c r="D1161" s="456"/>
      <c r="E1161" s="362"/>
      <c r="F1161" s="272"/>
      <c r="G1161" s="460"/>
      <c r="H1161" s="272"/>
      <c r="I1161" s="399"/>
      <c r="J1161" s="241" t="b">
        <f>Age_Sex_PY[[#This Row],[Total Spending After Applying Truncation at the Member Level]]+Age_Sex_PY[[#This Row],[Total Dollars Excluded from Spending After Applying Truncation at the Member Level]]=Age_Sex_PY[[#This Row],[Total Spending before Truncation is Applied]]</f>
        <v>1</v>
      </c>
    </row>
    <row r="1162" spans="1:10" x14ac:dyDescent="0.25">
      <c r="A1162" s="342"/>
      <c r="B1162" s="4"/>
      <c r="C1162" s="16"/>
      <c r="D1162" s="457"/>
      <c r="E1162" s="363"/>
      <c r="F1162" s="273"/>
      <c r="G1162" s="226"/>
      <c r="H1162" s="273"/>
      <c r="I1162" s="400"/>
      <c r="J1162" s="243" t="b">
        <f>Age_Sex_PY[[#This Row],[Total Spending After Applying Truncation at the Member Level]]+Age_Sex_PY[[#This Row],[Total Dollars Excluded from Spending After Applying Truncation at the Member Level]]=Age_Sex_PY[[#This Row],[Total Spending before Truncation is Applied]]</f>
        <v>1</v>
      </c>
    </row>
    <row r="1163" spans="1:10" x14ac:dyDescent="0.25">
      <c r="A1163" s="339"/>
      <c r="B1163" s="270"/>
      <c r="C1163" s="271"/>
      <c r="D1163" s="456"/>
      <c r="E1163" s="362"/>
      <c r="F1163" s="272"/>
      <c r="G1163" s="460"/>
      <c r="H1163" s="272"/>
      <c r="I1163" s="399"/>
      <c r="J1163" s="241" t="b">
        <f>Age_Sex_PY[[#This Row],[Total Spending After Applying Truncation at the Member Level]]+Age_Sex_PY[[#This Row],[Total Dollars Excluded from Spending After Applying Truncation at the Member Level]]=Age_Sex_PY[[#This Row],[Total Spending before Truncation is Applied]]</f>
        <v>1</v>
      </c>
    </row>
    <row r="1164" spans="1:10" x14ac:dyDescent="0.25">
      <c r="A1164" s="342"/>
      <c r="B1164" s="4"/>
      <c r="C1164" s="16"/>
      <c r="D1164" s="457"/>
      <c r="E1164" s="363"/>
      <c r="F1164" s="273"/>
      <c r="G1164" s="226"/>
      <c r="H1164" s="273"/>
      <c r="I1164" s="400"/>
      <c r="J1164" s="243" t="b">
        <f>Age_Sex_PY[[#This Row],[Total Spending After Applying Truncation at the Member Level]]+Age_Sex_PY[[#This Row],[Total Dollars Excluded from Spending After Applying Truncation at the Member Level]]=Age_Sex_PY[[#This Row],[Total Spending before Truncation is Applied]]</f>
        <v>1</v>
      </c>
    </row>
    <row r="1165" spans="1:10" x14ac:dyDescent="0.25">
      <c r="A1165" s="339"/>
      <c r="B1165" s="270"/>
      <c r="C1165" s="271"/>
      <c r="D1165" s="456"/>
      <c r="E1165" s="362"/>
      <c r="F1165" s="272"/>
      <c r="G1165" s="460"/>
      <c r="H1165" s="272"/>
      <c r="I1165" s="399"/>
      <c r="J1165" s="241" t="b">
        <f>Age_Sex_PY[[#This Row],[Total Spending After Applying Truncation at the Member Level]]+Age_Sex_PY[[#This Row],[Total Dollars Excluded from Spending After Applying Truncation at the Member Level]]=Age_Sex_PY[[#This Row],[Total Spending before Truncation is Applied]]</f>
        <v>1</v>
      </c>
    </row>
    <row r="1166" spans="1:10" x14ac:dyDescent="0.25">
      <c r="A1166" s="342"/>
      <c r="B1166" s="4"/>
      <c r="C1166" s="16"/>
      <c r="D1166" s="457"/>
      <c r="E1166" s="363"/>
      <c r="F1166" s="273"/>
      <c r="G1166" s="226"/>
      <c r="H1166" s="273"/>
      <c r="I1166" s="400"/>
      <c r="J1166" s="243" t="b">
        <f>Age_Sex_PY[[#This Row],[Total Spending After Applying Truncation at the Member Level]]+Age_Sex_PY[[#This Row],[Total Dollars Excluded from Spending After Applying Truncation at the Member Level]]=Age_Sex_PY[[#This Row],[Total Spending before Truncation is Applied]]</f>
        <v>1</v>
      </c>
    </row>
    <row r="1167" spans="1:10" x14ac:dyDescent="0.25">
      <c r="A1167" s="339"/>
      <c r="B1167" s="270"/>
      <c r="C1167" s="271"/>
      <c r="D1167" s="456"/>
      <c r="E1167" s="362"/>
      <c r="F1167" s="272"/>
      <c r="G1167" s="460"/>
      <c r="H1167" s="272"/>
      <c r="I1167" s="399"/>
      <c r="J1167" s="241" t="b">
        <f>Age_Sex_PY[[#This Row],[Total Spending After Applying Truncation at the Member Level]]+Age_Sex_PY[[#This Row],[Total Dollars Excluded from Spending After Applying Truncation at the Member Level]]=Age_Sex_PY[[#This Row],[Total Spending before Truncation is Applied]]</f>
        <v>1</v>
      </c>
    </row>
    <row r="1168" spans="1:10" x14ac:dyDescent="0.25">
      <c r="A1168" s="342"/>
      <c r="B1168" s="4"/>
      <c r="C1168" s="16"/>
      <c r="D1168" s="457"/>
      <c r="E1168" s="363"/>
      <c r="F1168" s="273"/>
      <c r="G1168" s="226"/>
      <c r="H1168" s="273"/>
      <c r="I1168" s="400"/>
      <c r="J1168" s="243" t="b">
        <f>Age_Sex_PY[[#This Row],[Total Spending After Applying Truncation at the Member Level]]+Age_Sex_PY[[#This Row],[Total Dollars Excluded from Spending After Applying Truncation at the Member Level]]=Age_Sex_PY[[#This Row],[Total Spending before Truncation is Applied]]</f>
        <v>1</v>
      </c>
    </row>
    <row r="1169" spans="1:10" x14ac:dyDescent="0.25">
      <c r="A1169" s="339"/>
      <c r="B1169" s="270"/>
      <c r="C1169" s="271"/>
      <c r="D1169" s="456"/>
      <c r="E1169" s="362"/>
      <c r="F1169" s="272"/>
      <c r="G1169" s="460"/>
      <c r="H1169" s="272"/>
      <c r="I1169" s="399"/>
      <c r="J1169" s="241" t="b">
        <f>Age_Sex_PY[[#This Row],[Total Spending After Applying Truncation at the Member Level]]+Age_Sex_PY[[#This Row],[Total Dollars Excluded from Spending After Applying Truncation at the Member Level]]=Age_Sex_PY[[#This Row],[Total Spending before Truncation is Applied]]</f>
        <v>1</v>
      </c>
    </row>
    <row r="1170" spans="1:10" x14ac:dyDescent="0.25">
      <c r="A1170" s="342"/>
      <c r="B1170" s="4"/>
      <c r="C1170" s="16"/>
      <c r="D1170" s="457"/>
      <c r="E1170" s="363"/>
      <c r="F1170" s="273"/>
      <c r="G1170" s="226"/>
      <c r="H1170" s="273"/>
      <c r="I1170" s="400"/>
      <c r="J1170" s="243" t="b">
        <f>Age_Sex_PY[[#This Row],[Total Spending After Applying Truncation at the Member Level]]+Age_Sex_PY[[#This Row],[Total Dollars Excluded from Spending After Applying Truncation at the Member Level]]=Age_Sex_PY[[#This Row],[Total Spending before Truncation is Applied]]</f>
        <v>1</v>
      </c>
    </row>
    <row r="1171" spans="1:10" x14ac:dyDescent="0.25">
      <c r="A1171" s="339"/>
      <c r="B1171" s="270"/>
      <c r="C1171" s="271"/>
      <c r="D1171" s="456"/>
      <c r="E1171" s="362"/>
      <c r="F1171" s="272"/>
      <c r="G1171" s="460"/>
      <c r="H1171" s="272"/>
      <c r="I1171" s="399"/>
      <c r="J1171" s="241" t="b">
        <f>Age_Sex_PY[[#This Row],[Total Spending After Applying Truncation at the Member Level]]+Age_Sex_PY[[#This Row],[Total Dollars Excluded from Spending After Applying Truncation at the Member Level]]=Age_Sex_PY[[#This Row],[Total Spending before Truncation is Applied]]</f>
        <v>1</v>
      </c>
    </row>
    <row r="1172" spans="1:10" x14ac:dyDescent="0.25">
      <c r="A1172" s="342"/>
      <c r="B1172" s="4"/>
      <c r="C1172" s="16"/>
      <c r="D1172" s="457"/>
      <c r="E1172" s="363"/>
      <c r="F1172" s="273"/>
      <c r="G1172" s="226"/>
      <c r="H1172" s="273"/>
      <c r="I1172" s="400"/>
      <c r="J1172" s="243" t="b">
        <f>Age_Sex_PY[[#This Row],[Total Spending After Applying Truncation at the Member Level]]+Age_Sex_PY[[#This Row],[Total Dollars Excluded from Spending After Applying Truncation at the Member Level]]=Age_Sex_PY[[#This Row],[Total Spending before Truncation is Applied]]</f>
        <v>1</v>
      </c>
    </row>
    <row r="1173" spans="1:10" x14ac:dyDescent="0.25">
      <c r="A1173" s="339"/>
      <c r="B1173" s="270"/>
      <c r="C1173" s="271"/>
      <c r="D1173" s="456"/>
      <c r="E1173" s="362"/>
      <c r="F1173" s="272"/>
      <c r="G1173" s="460"/>
      <c r="H1173" s="272"/>
      <c r="I1173" s="399"/>
      <c r="J1173" s="241" t="b">
        <f>Age_Sex_PY[[#This Row],[Total Spending After Applying Truncation at the Member Level]]+Age_Sex_PY[[#This Row],[Total Dollars Excluded from Spending After Applying Truncation at the Member Level]]=Age_Sex_PY[[#This Row],[Total Spending before Truncation is Applied]]</f>
        <v>1</v>
      </c>
    </row>
    <row r="1174" spans="1:10" x14ac:dyDescent="0.25">
      <c r="A1174" s="342"/>
      <c r="B1174" s="4"/>
      <c r="C1174" s="16"/>
      <c r="D1174" s="457"/>
      <c r="E1174" s="363"/>
      <c r="F1174" s="273"/>
      <c r="G1174" s="226"/>
      <c r="H1174" s="273"/>
      <c r="I1174" s="400"/>
      <c r="J1174" s="243" t="b">
        <f>Age_Sex_PY[[#This Row],[Total Spending After Applying Truncation at the Member Level]]+Age_Sex_PY[[#This Row],[Total Dollars Excluded from Spending After Applying Truncation at the Member Level]]=Age_Sex_PY[[#This Row],[Total Spending before Truncation is Applied]]</f>
        <v>1</v>
      </c>
    </row>
    <row r="1175" spans="1:10" x14ac:dyDescent="0.25">
      <c r="A1175" s="339"/>
      <c r="B1175" s="270"/>
      <c r="C1175" s="271"/>
      <c r="D1175" s="456"/>
      <c r="E1175" s="362"/>
      <c r="F1175" s="272"/>
      <c r="G1175" s="460"/>
      <c r="H1175" s="272"/>
      <c r="I1175" s="399"/>
      <c r="J1175" s="241" t="b">
        <f>Age_Sex_PY[[#This Row],[Total Spending After Applying Truncation at the Member Level]]+Age_Sex_PY[[#This Row],[Total Dollars Excluded from Spending After Applying Truncation at the Member Level]]=Age_Sex_PY[[#This Row],[Total Spending before Truncation is Applied]]</f>
        <v>1</v>
      </c>
    </row>
    <row r="1176" spans="1:10" x14ac:dyDescent="0.25">
      <c r="A1176" s="342"/>
      <c r="B1176" s="4"/>
      <c r="C1176" s="16"/>
      <c r="D1176" s="457"/>
      <c r="E1176" s="363"/>
      <c r="F1176" s="273"/>
      <c r="G1176" s="226"/>
      <c r="H1176" s="273"/>
      <c r="I1176" s="400"/>
      <c r="J1176" s="243" t="b">
        <f>Age_Sex_PY[[#This Row],[Total Spending After Applying Truncation at the Member Level]]+Age_Sex_PY[[#This Row],[Total Dollars Excluded from Spending After Applying Truncation at the Member Level]]=Age_Sex_PY[[#This Row],[Total Spending before Truncation is Applied]]</f>
        <v>1</v>
      </c>
    </row>
    <row r="1177" spans="1:10" x14ac:dyDescent="0.25">
      <c r="A1177" s="339"/>
      <c r="B1177" s="270"/>
      <c r="C1177" s="271"/>
      <c r="D1177" s="456"/>
      <c r="E1177" s="362"/>
      <c r="F1177" s="272"/>
      <c r="G1177" s="460"/>
      <c r="H1177" s="272"/>
      <c r="I1177" s="399"/>
      <c r="J1177" s="241" t="b">
        <f>Age_Sex_PY[[#This Row],[Total Spending After Applying Truncation at the Member Level]]+Age_Sex_PY[[#This Row],[Total Dollars Excluded from Spending After Applying Truncation at the Member Level]]=Age_Sex_PY[[#This Row],[Total Spending before Truncation is Applied]]</f>
        <v>1</v>
      </c>
    </row>
    <row r="1178" spans="1:10" x14ac:dyDescent="0.25">
      <c r="A1178" s="342"/>
      <c r="B1178" s="4"/>
      <c r="C1178" s="16"/>
      <c r="D1178" s="457"/>
      <c r="E1178" s="363"/>
      <c r="F1178" s="273"/>
      <c r="G1178" s="226"/>
      <c r="H1178" s="273"/>
      <c r="I1178" s="400"/>
      <c r="J1178" s="243" t="b">
        <f>Age_Sex_PY[[#This Row],[Total Spending After Applying Truncation at the Member Level]]+Age_Sex_PY[[#This Row],[Total Dollars Excluded from Spending After Applying Truncation at the Member Level]]=Age_Sex_PY[[#This Row],[Total Spending before Truncation is Applied]]</f>
        <v>1</v>
      </c>
    </row>
    <row r="1179" spans="1:10" x14ac:dyDescent="0.25">
      <c r="A1179" s="339"/>
      <c r="B1179" s="270"/>
      <c r="C1179" s="271"/>
      <c r="D1179" s="456"/>
      <c r="E1179" s="362"/>
      <c r="F1179" s="272"/>
      <c r="G1179" s="460"/>
      <c r="H1179" s="272"/>
      <c r="I1179" s="399"/>
      <c r="J1179" s="241" t="b">
        <f>Age_Sex_PY[[#This Row],[Total Spending After Applying Truncation at the Member Level]]+Age_Sex_PY[[#This Row],[Total Dollars Excluded from Spending After Applying Truncation at the Member Level]]=Age_Sex_PY[[#This Row],[Total Spending before Truncation is Applied]]</f>
        <v>1</v>
      </c>
    </row>
    <row r="1180" spans="1:10" x14ac:dyDescent="0.25">
      <c r="A1180" s="342"/>
      <c r="B1180" s="4"/>
      <c r="C1180" s="16"/>
      <c r="D1180" s="457"/>
      <c r="E1180" s="363"/>
      <c r="F1180" s="273"/>
      <c r="G1180" s="226"/>
      <c r="H1180" s="273"/>
      <c r="I1180" s="400"/>
      <c r="J1180" s="243" t="b">
        <f>Age_Sex_PY[[#This Row],[Total Spending After Applying Truncation at the Member Level]]+Age_Sex_PY[[#This Row],[Total Dollars Excluded from Spending After Applying Truncation at the Member Level]]=Age_Sex_PY[[#This Row],[Total Spending before Truncation is Applied]]</f>
        <v>1</v>
      </c>
    </row>
    <row r="1181" spans="1:10" x14ac:dyDescent="0.25">
      <c r="A1181" s="339"/>
      <c r="B1181" s="270"/>
      <c r="C1181" s="271"/>
      <c r="D1181" s="456"/>
      <c r="E1181" s="362"/>
      <c r="F1181" s="272"/>
      <c r="G1181" s="460"/>
      <c r="H1181" s="272"/>
      <c r="I1181" s="399"/>
      <c r="J1181" s="241" t="b">
        <f>Age_Sex_PY[[#This Row],[Total Spending After Applying Truncation at the Member Level]]+Age_Sex_PY[[#This Row],[Total Dollars Excluded from Spending After Applying Truncation at the Member Level]]=Age_Sex_PY[[#This Row],[Total Spending before Truncation is Applied]]</f>
        <v>1</v>
      </c>
    </row>
    <row r="1182" spans="1:10" x14ac:dyDescent="0.25">
      <c r="A1182" s="342"/>
      <c r="B1182" s="4"/>
      <c r="C1182" s="16"/>
      <c r="D1182" s="457"/>
      <c r="E1182" s="363"/>
      <c r="F1182" s="273"/>
      <c r="G1182" s="226"/>
      <c r="H1182" s="273"/>
      <c r="I1182" s="400"/>
      <c r="J1182" s="243" t="b">
        <f>Age_Sex_PY[[#This Row],[Total Spending After Applying Truncation at the Member Level]]+Age_Sex_PY[[#This Row],[Total Dollars Excluded from Spending After Applying Truncation at the Member Level]]=Age_Sex_PY[[#This Row],[Total Spending before Truncation is Applied]]</f>
        <v>1</v>
      </c>
    </row>
    <row r="1183" spans="1:10" x14ac:dyDescent="0.25">
      <c r="A1183" s="339"/>
      <c r="B1183" s="270"/>
      <c r="C1183" s="271"/>
      <c r="D1183" s="456"/>
      <c r="E1183" s="362"/>
      <c r="F1183" s="272"/>
      <c r="G1183" s="460"/>
      <c r="H1183" s="272"/>
      <c r="I1183" s="399"/>
      <c r="J1183" s="241" t="b">
        <f>Age_Sex_PY[[#This Row],[Total Spending After Applying Truncation at the Member Level]]+Age_Sex_PY[[#This Row],[Total Dollars Excluded from Spending After Applying Truncation at the Member Level]]=Age_Sex_PY[[#This Row],[Total Spending before Truncation is Applied]]</f>
        <v>1</v>
      </c>
    </row>
    <row r="1184" spans="1:10" x14ac:dyDescent="0.25">
      <c r="A1184" s="342"/>
      <c r="B1184" s="4"/>
      <c r="C1184" s="16"/>
      <c r="D1184" s="457"/>
      <c r="E1184" s="363"/>
      <c r="F1184" s="273"/>
      <c r="G1184" s="226"/>
      <c r="H1184" s="273"/>
      <c r="I1184" s="400"/>
      <c r="J1184" s="243" t="b">
        <f>Age_Sex_PY[[#This Row],[Total Spending After Applying Truncation at the Member Level]]+Age_Sex_PY[[#This Row],[Total Dollars Excluded from Spending After Applying Truncation at the Member Level]]=Age_Sex_PY[[#This Row],[Total Spending before Truncation is Applied]]</f>
        <v>1</v>
      </c>
    </row>
    <row r="1185" spans="1:10" x14ac:dyDescent="0.25">
      <c r="A1185" s="339"/>
      <c r="B1185" s="270"/>
      <c r="C1185" s="271"/>
      <c r="D1185" s="456"/>
      <c r="E1185" s="362"/>
      <c r="F1185" s="272"/>
      <c r="G1185" s="460"/>
      <c r="H1185" s="272"/>
      <c r="I1185" s="399"/>
      <c r="J1185" s="241" t="b">
        <f>Age_Sex_PY[[#This Row],[Total Spending After Applying Truncation at the Member Level]]+Age_Sex_PY[[#This Row],[Total Dollars Excluded from Spending After Applying Truncation at the Member Level]]=Age_Sex_PY[[#This Row],[Total Spending before Truncation is Applied]]</f>
        <v>1</v>
      </c>
    </row>
    <row r="1186" spans="1:10" x14ac:dyDescent="0.25">
      <c r="A1186" s="342"/>
      <c r="B1186" s="4"/>
      <c r="C1186" s="16"/>
      <c r="D1186" s="457"/>
      <c r="E1186" s="363"/>
      <c r="F1186" s="273"/>
      <c r="G1186" s="226"/>
      <c r="H1186" s="273"/>
      <c r="I1186" s="400"/>
      <c r="J1186" s="243" t="b">
        <f>Age_Sex_PY[[#This Row],[Total Spending After Applying Truncation at the Member Level]]+Age_Sex_PY[[#This Row],[Total Dollars Excluded from Spending After Applying Truncation at the Member Level]]=Age_Sex_PY[[#This Row],[Total Spending before Truncation is Applied]]</f>
        <v>1</v>
      </c>
    </row>
    <row r="1187" spans="1:10" x14ac:dyDescent="0.25">
      <c r="A1187" s="339"/>
      <c r="B1187" s="270"/>
      <c r="C1187" s="271"/>
      <c r="D1187" s="456"/>
      <c r="E1187" s="362"/>
      <c r="F1187" s="272"/>
      <c r="G1187" s="460"/>
      <c r="H1187" s="272"/>
      <c r="I1187" s="399"/>
      <c r="J1187" s="241" t="b">
        <f>Age_Sex_PY[[#This Row],[Total Spending After Applying Truncation at the Member Level]]+Age_Sex_PY[[#This Row],[Total Dollars Excluded from Spending After Applying Truncation at the Member Level]]=Age_Sex_PY[[#This Row],[Total Spending before Truncation is Applied]]</f>
        <v>1</v>
      </c>
    </row>
    <row r="1188" spans="1:10" x14ac:dyDescent="0.25">
      <c r="A1188" s="342"/>
      <c r="B1188" s="4"/>
      <c r="C1188" s="16"/>
      <c r="D1188" s="457"/>
      <c r="E1188" s="363"/>
      <c r="F1188" s="273"/>
      <c r="G1188" s="226"/>
      <c r="H1188" s="273"/>
      <c r="I1188" s="400"/>
      <c r="J1188" s="243" t="b">
        <f>Age_Sex_PY[[#This Row],[Total Spending After Applying Truncation at the Member Level]]+Age_Sex_PY[[#This Row],[Total Dollars Excluded from Spending After Applying Truncation at the Member Level]]=Age_Sex_PY[[#This Row],[Total Spending before Truncation is Applied]]</f>
        <v>1</v>
      </c>
    </row>
    <row r="1189" spans="1:10" x14ac:dyDescent="0.25">
      <c r="A1189" s="339"/>
      <c r="B1189" s="270"/>
      <c r="C1189" s="271"/>
      <c r="D1189" s="456"/>
      <c r="E1189" s="362"/>
      <c r="F1189" s="272"/>
      <c r="G1189" s="460"/>
      <c r="H1189" s="272"/>
      <c r="I1189" s="399"/>
      <c r="J1189" s="241" t="b">
        <f>Age_Sex_PY[[#This Row],[Total Spending After Applying Truncation at the Member Level]]+Age_Sex_PY[[#This Row],[Total Dollars Excluded from Spending After Applying Truncation at the Member Level]]=Age_Sex_PY[[#This Row],[Total Spending before Truncation is Applied]]</f>
        <v>1</v>
      </c>
    </row>
    <row r="1190" spans="1:10" x14ac:dyDescent="0.25">
      <c r="A1190" s="342"/>
      <c r="B1190" s="4"/>
      <c r="C1190" s="16"/>
      <c r="D1190" s="457"/>
      <c r="E1190" s="363"/>
      <c r="F1190" s="273"/>
      <c r="G1190" s="226"/>
      <c r="H1190" s="273"/>
      <c r="I1190" s="400"/>
      <c r="J1190" s="243" t="b">
        <f>Age_Sex_PY[[#This Row],[Total Spending After Applying Truncation at the Member Level]]+Age_Sex_PY[[#This Row],[Total Dollars Excluded from Spending After Applying Truncation at the Member Level]]=Age_Sex_PY[[#This Row],[Total Spending before Truncation is Applied]]</f>
        <v>1</v>
      </c>
    </row>
    <row r="1191" spans="1:10" x14ac:dyDescent="0.25">
      <c r="A1191" s="339"/>
      <c r="B1191" s="270"/>
      <c r="C1191" s="271"/>
      <c r="D1191" s="456"/>
      <c r="E1191" s="362"/>
      <c r="F1191" s="272"/>
      <c r="G1191" s="460"/>
      <c r="H1191" s="272"/>
      <c r="I1191" s="399"/>
      <c r="J1191" s="241" t="b">
        <f>Age_Sex_PY[[#This Row],[Total Spending After Applying Truncation at the Member Level]]+Age_Sex_PY[[#This Row],[Total Dollars Excluded from Spending After Applying Truncation at the Member Level]]=Age_Sex_PY[[#This Row],[Total Spending before Truncation is Applied]]</f>
        <v>1</v>
      </c>
    </row>
    <row r="1192" spans="1:10" x14ac:dyDescent="0.25">
      <c r="A1192" s="342"/>
      <c r="B1192" s="4"/>
      <c r="C1192" s="16"/>
      <c r="D1192" s="457"/>
      <c r="E1192" s="363"/>
      <c r="F1192" s="273"/>
      <c r="G1192" s="226"/>
      <c r="H1192" s="273"/>
      <c r="I1192" s="400"/>
      <c r="J1192" s="243" t="b">
        <f>Age_Sex_PY[[#This Row],[Total Spending After Applying Truncation at the Member Level]]+Age_Sex_PY[[#This Row],[Total Dollars Excluded from Spending After Applying Truncation at the Member Level]]=Age_Sex_PY[[#This Row],[Total Spending before Truncation is Applied]]</f>
        <v>1</v>
      </c>
    </row>
    <row r="1193" spans="1:10" x14ac:dyDescent="0.25">
      <c r="A1193" s="339"/>
      <c r="B1193" s="270"/>
      <c r="C1193" s="271"/>
      <c r="D1193" s="456"/>
      <c r="E1193" s="362"/>
      <c r="F1193" s="272"/>
      <c r="G1193" s="460"/>
      <c r="H1193" s="272"/>
      <c r="I1193" s="399"/>
      <c r="J1193" s="241" t="b">
        <f>Age_Sex_PY[[#This Row],[Total Spending After Applying Truncation at the Member Level]]+Age_Sex_PY[[#This Row],[Total Dollars Excluded from Spending After Applying Truncation at the Member Level]]=Age_Sex_PY[[#This Row],[Total Spending before Truncation is Applied]]</f>
        <v>1</v>
      </c>
    </row>
    <row r="1194" spans="1:10" x14ac:dyDescent="0.25">
      <c r="A1194" s="342"/>
      <c r="B1194" s="4"/>
      <c r="C1194" s="16"/>
      <c r="D1194" s="457"/>
      <c r="E1194" s="363"/>
      <c r="F1194" s="273"/>
      <c r="G1194" s="226"/>
      <c r="H1194" s="273"/>
      <c r="I1194" s="400"/>
      <c r="J1194" s="243" t="b">
        <f>Age_Sex_PY[[#This Row],[Total Spending After Applying Truncation at the Member Level]]+Age_Sex_PY[[#This Row],[Total Dollars Excluded from Spending After Applying Truncation at the Member Level]]=Age_Sex_PY[[#This Row],[Total Spending before Truncation is Applied]]</f>
        <v>1</v>
      </c>
    </row>
    <row r="1195" spans="1:10" x14ac:dyDescent="0.25">
      <c r="A1195" s="339"/>
      <c r="B1195" s="270"/>
      <c r="C1195" s="271"/>
      <c r="D1195" s="456"/>
      <c r="E1195" s="362"/>
      <c r="F1195" s="272"/>
      <c r="G1195" s="460"/>
      <c r="H1195" s="272"/>
      <c r="I1195" s="399"/>
      <c r="J1195" s="241" t="b">
        <f>Age_Sex_PY[[#This Row],[Total Spending After Applying Truncation at the Member Level]]+Age_Sex_PY[[#This Row],[Total Dollars Excluded from Spending After Applying Truncation at the Member Level]]=Age_Sex_PY[[#This Row],[Total Spending before Truncation is Applied]]</f>
        <v>1</v>
      </c>
    </row>
    <row r="1196" spans="1:10" x14ac:dyDescent="0.25">
      <c r="A1196" s="342"/>
      <c r="B1196" s="4"/>
      <c r="C1196" s="16"/>
      <c r="D1196" s="457"/>
      <c r="E1196" s="363"/>
      <c r="F1196" s="273"/>
      <c r="G1196" s="226"/>
      <c r="H1196" s="273"/>
      <c r="I1196" s="400"/>
      <c r="J1196" s="243" t="b">
        <f>Age_Sex_PY[[#This Row],[Total Spending After Applying Truncation at the Member Level]]+Age_Sex_PY[[#This Row],[Total Dollars Excluded from Spending After Applying Truncation at the Member Level]]=Age_Sex_PY[[#This Row],[Total Spending before Truncation is Applied]]</f>
        <v>1</v>
      </c>
    </row>
    <row r="1197" spans="1:10" x14ac:dyDescent="0.25">
      <c r="A1197" s="339"/>
      <c r="B1197" s="270"/>
      <c r="C1197" s="271"/>
      <c r="D1197" s="456"/>
      <c r="E1197" s="362"/>
      <c r="F1197" s="272"/>
      <c r="G1197" s="460"/>
      <c r="H1197" s="272"/>
      <c r="I1197" s="399"/>
      <c r="J1197" s="241" t="b">
        <f>Age_Sex_PY[[#This Row],[Total Spending After Applying Truncation at the Member Level]]+Age_Sex_PY[[#This Row],[Total Dollars Excluded from Spending After Applying Truncation at the Member Level]]=Age_Sex_PY[[#This Row],[Total Spending before Truncation is Applied]]</f>
        <v>1</v>
      </c>
    </row>
    <row r="1198" spans="1:10" x14ac:dyDescent="0.25">
      <c r="A1198" s="342"/>
      <c r="B1198" s="4"/>
      <c r="C1198" s="16"/>
      <c r="D1198" s="457"/>
      <c r="E1198" s="363"/>
      <c r="F1198" s="273"/>
      <c r="G1198" s="226"/>
      <c r="H1198" s="273"/>
      <c r="I1198" s="400"/>
      <c r="J1198" s="243" t="b">
        <f>Age_Sex_PY[[#This Row],[Total Spending After Applying Truncation at the Member Level]]+Age_Sex_PY[[#This Row],[Total Dollars Excluded from Spending After Applying Truncation at the Member Level]]=Age_Sex_PY[[#This Row],[Total Spending before Truncation is Applied]]</f>
        <v>1</v>
      </c>
    </row>
    <row r="1199" spans="1:10" x14ac:dyDescent="0.25">
      <c r="A1199" s="339"/>
      <c r="B1199" s="270"/>
      <c r="C1199" s="271"/>
      <c r="D1199" s="456"/>
      <c r="E1199" s="362"/>
      <c r="F1199" s="272"/>
      <c r="G1199" s="460"/>
      <c r="H1199" s="272"/>
      <c r="I1199" s="399"/>
      <c r="J1199" s="241" t="b">
        <f>Age_Sex_PY[[#This Row],[Total Spending After Applying Truncation at the Member Level]]+Age_Sex_PY[[#This Row],[Total Dollars Excluded from Spending After Applying Truncation at the Member Level]]=Age_Sex_PY[[#This Row],[Total Spending before Truncation is Applied]]</f>
        <v>1</v>
      </c>
    </row>
    <row r="1200" spans="1:10" x14ac:dyDescent="0.25">
      <c r="A1200" s="342"/>
      <c r="B1200" s="4"/>
      <c r="C1200" s="16"/>
      <c r="D1200" s="457"/>
      <c r="E1200" s="363"/>
      <c r="F1200" s="273"/>
      <c r="G1200" s="226"/>
      <c r="H1200" s="273"/>
      <c r="I1200" s="400"/>
      <c r="J1200" s="243" t="b">
        <f>Age_Sex_PY[[#This Row],[Total Spending After Applying Truncation at the Member Level]]+Age_Sex_PY[[#This Row],[Total Dollars Excluded from Spending After Applying Truncation at the Member Level]]=Age_Sex_PY[[#This Row],[Total Spending before Truncation is Applied]]</f>
        <v>1</v>
      </c>
    </row>
    <row r="1201" spans="1:10" x14ac:dyDescent="0.25">
      <c r="A1201" s="339"/>
      <c r="B1201" s="270"/>
      <c r="C1201" s="271"/>
      <c r="D1201" s="456"/>
      <c r="E1201" s="362"/>
      <c r="F1201" s="272"/>
      <c r="G1201" s="460"/>
      <c r="H1201" s="272"/>
      <c r="I1201" s="399"/>
      <c r="J1201" s="241" t="b">
        <f>Age_Sex_PY[[#This Row],[Total Spending After Applying Truncation at the Member Level]]+Age_Sex_PY[[#This Row],[Total Dollars Excluded from Spending After Applying Truncation at the Member Level]]=Age_Sex_PY[[#This Row],[Total Spending before Truncation is Applied]]</f>
        <v>1</v>
      </c>
    </row>
    <row r="1202" spans="1:10" x14ac:dyDescent="0.25">
      <c r="A1202" s="342"/>
      <c r="B1202" s="4"/>
      <c r="C1202" s="16"/>
      <c r="D1202" s="457"/>
      <c r="E1202" s="363"/>
      <c r="F1202" s="273"/>
      <c r="G1202" s="226"/>
      <c r="H1202" s="273"/>
      <c r="I1202" s="400"/>
      <c r="J1202" s="243" t="b">
        <f>Age_Sex_PY[[#This Row],[Total Spending After Applying Truncation at the Member Level]]+Age_Sex_PY[[#This Row],[Total Dollars Excluded from Spending After Applying Truncation at the Member Level]]=Age_Sex_PY[[#This Row],[Total Spending before Truncation is Applied]]</f>
        <v>1</v>
      </c>
    </row>
    <row r="1203" spans="1:10" x14ac:dyDescent="0.25">
      <c r="A1203" s="339"/>
      <c r="B1203" s="270"/>
      <c r="C1203" s="271"/>
      <c r="D1203" s="456"/>
      <c r="E1203" s="362"/>
      <c r="F1203" s="272"/>
      <c r="G1203" s="460"/>
      <c r="H1203" s="272"/>
      <c r="I1203" s="399"/>
      <c r="J1203" s="241" t="b">
        <f>Age_Sex_PY[[#This Row],[Total Spending After Applying Truncation at the Member Level]]+Age_Sex_PY[[#This Row],[Total Dollars Excluded from Spending After Applying Truncation at the Member Level]]=Age_Sex_PY[[#This Row],[Total Spending before Truncation is Applied]]</f>
        <v>1</v>
      </c>
    </row>
    <row r="1204" spans="1:10" x14ac:dyDescent="0.25">
      <c r="A1204" s="342"/>
      <c r="B1204" s="4"/>
      <c r="C1204" s="16"/>
      <c r="D1204" s="457"/>
      <c r="E1204" s="363"/>
      <c r="F1204" s="273"/>
      <c r="G1204" s="226"/>
      <c r="H1204" s="273"/>
      <c r="I1204" s="400"/>
      <c r="J1204" s="243" t="b">
        <f>Age_Sex_PY[[#This Row],[Total Spending After Applying Truncation at the Member Level]]+Age_Sex_PY[[#This Row],[Total Dollars Excluded from Spending After Applying Truncation at the Member Level]]=Age_Sex_PY[[#This Row],[Total Spending before Truncation is Applied]]</f>
        <v>1</v>
      </c>
    </row>
    <row r="1205" spans="1:10" x14ac:dyDescent="0.25">
      <c r="A1205" s="339"/>
      <c r="B1205" s="270"/>
      <c r="C1205" s="271"/>
      <c r="D1205" s="456"/>
      <c r="E1205" s="362"/>
      <c r="F1205" s="272"/>
      <c r="G1205" s="460"/>
      <c r="H1205" s="272"/>
      <c r="I1205" s="399"/>
      <c r="J1205" s="241" t="b">
        <f>Age_Sex_PY[[#This Row],[Total Spending After Applying Truncation at the Member Level]]+Age_Sex_PY[[#This Row],[Total Dollars Excluded from Spending After Applying Truncation at the Member Level]]=Age_Sex_PY[[#This Row],[Total Spending before Truncation is Applied]]</f>
        <v>1</v>
      </c>
    </row>
    <row r="1206" spans="1:10" x14ac:dyDescent="0.25">
      <c r="A1206" s="342"/>
      <c r="B1206" s="4"/>
      <c r="C1206" s="16"/>
      <c r="D1206" s="457"/>
      <c r="E1206" s="363"/>
      <c r="F1206" s="273"/>
      <c r="G1206" s="226"/>
      <c r="H1206" s="273"/>
      <c r="I1206" s="400"/>
      <c r="J1206" s="243" t="b">
        <f>Age_Sex_PY[[#This Row],[Total Spending After Applying Truncation at the Member Level]]+Age_Sex_PY[[#This Row],[Total Dollars Excluded from Spending After Applying Truncation at the Member Level]]=Age_Sex_PY[[#This Row],[Total Spending before Truncation is Applied]]</f>
        <v>1</v>
      </c>
    </row>
    <row r="1207" spans="1:10" x14ac:dyDescent="0.25">
      <c r="A1207" s="339"/>
      <c r="B1207" s="270"/>
      <c r="C1207" s="271"/>
      <c r="D1207" s="456"/>
      <c r="E1207" s="362"/>
      <c r="F1207" s="272"/>
      <c r="G1207" s="460"/>
      <c r="H1207" s="272"/>
      <c r="I1207" s="399"/>
      <c r="J1207" s="241" t="b">
        <f>Age_Sex_PY[[#This Row],[Total Spending After Applying Truncation at the Member Level]]+Age_Sex_PY[[#This Row],[Total Dollars Excluded from Spending After Applying Truncation at the Member Level]]=Age_Sex_PY[[#This Row],[Total Spending before Truncation is Applied]]</f>
        <v>1</v>
      </c>
    </row>
    <row r="1208" spans="1:10" x14ac:dyDescent="0.25">
      <c r="A1208" s="342"/>
      <c r="B1208" s="4"/>
      <c r="C1208" s="16"/>
      <c r="D1208" s="457"/>
      <c r="E1208" s="363"/>
      <c r="F1208" s="273"/>
      <c r="G1208" s="226"/>
      <c r="H1208" s="273"/>
      <c r="I1208" s="400"/>
      <c r="J1208" s="243" t="b">
        <f>Age_Sex_PY[[#This Row],[Total Spending After Applying Truncation at the Member Level]]+Age_Sex_PY[[#This Row],[Total Dollars Excluded from Spending After Applying Truncation at the Member Level]]=Age_Sex_PY[[#This Row],[Total Spending before Truncation is Applied]]</f>
        <v>1</v>
      </c>
    </row>
    <row r="1209" spans="1:10" x14ac:dyDescent="0.25">
      <c r="A1209" s="339"/>
      <c r="B1209" s="270"/>
      <c r="C1209" s="271"/>
      <c r="D1209" s="456"/>
      <c r="E1209" s="362"/>
      <c r="F1209" s="272"/>
      <c r="G1209" s="460"/>
      <c r="H1209" s="272"/>
      <c r="I1209" s="399"/>
      <c r="J1209" s="241" t="b">
        <f>Age_Sex_PY[[#This Row],[Total Spending After Applying Truncation at the Member Level]]+Age_Sex_PY[[#This Row],[Total Dollars Excluded from Spending After Applying Truncation at the Member Level]]=Age_Sex_PY[[#This Row],[Total Spending before Truncation is Applied]]</f>
        <v>1</v>
      </c>
    </row>
    <row r="1210" spans="1:10" x14ac:dyDescent="0.25">
      <c r="A1210" s="342"/>
      <c r="B1210" s="4"/>
      <c r="C1210" s="16"/>
      <c r="D1210" s="457"/>
      <c r="E1210" s="363"/>
      <c r="F1210" s="273"/>
      <c r="G1210" s="226"/>
      <c r="H1210" s="273"/>
      <c r="I1210" s="400"/>
      <c r="J1210" s="243" t="b">
        <f>Age_Sex_PY[[#This Row],[Total Spending After Applying Truncation at the Member Level]]+Age_Sex_PY[[#This Row],[Total Dollars Excluded from Spending After Applying Truncation at the Member Level]]=Age_Sex_PY[[#This Row],[Total Spending before Truncation is Applied]]</f>
        <v>1</v>
      </c>
    </row>
    <row r="1211" spans="1:10" x14ac:dyDescent="0.25">
      <c r="A1211" s="339"/>
      <c r="B1211" s="270"/>
      <c r="C1211" s="271"/>
      <c r="D1211" s="456"/>
      <c r="E1211" s="362"/>
      <c r="F1211" s="272"/>
      <c r="G1211" s="460"/>
      <c r="H1211" s="272"/>
      <c r="I1211" s="399"/>
      <c r="J1211" s="241" t="b">
        <f>Age_Sex_PY[[#This Row],[Total Spending After Applying Truncation at the Member Level]]+Age_Sex_PY[[#This Row],[Total Dollars Excluded from Spending After Applying Truncation at the Member Level]]=Age_Sex_PY[[#This Row],[Total Spending before Truncation is Applied]]</f>
        <v>1</v>
      </c>
    </row>
    <row r="1212" spans="1:10" x14ac:dyDescent="0.25">
      <c r="A1212" s="342"/>
      <c r="B1212" s="4"/>
      <c r="C1212" s="16"/>
      <c r="D1212" s="457"/>
      <c r="E1212" s="363"/>
      <c r="F1212" s="273"/>
      <c r="G1212" s="226"/>
      <c r="H1212" s="273"/>
      <c r="I1212" s="400"/>
      <c r="J1212" s="243" t="b">
        <f>Age_Sex_PY[[#This Row],[Total Spending After Applying Truncation at the Member Level]]+Age_Sex_PY[[#This Row],[Total Dollars Excluded from Spending After Applying Truncation at the Member Level]]=Age_Sex_PY[[#This Row],[Total Spending before Truncation is Applied]]</f>
        <v>1</v>
      </c>
    </row>
    <row r="1213" spans="1:10" x14ac:dyDescent="0.25">
      <c r="A1213" s="339"/>
      <c r="B1213" s="270"/>
      <c r="C1213" s="271"/>
      <c r="D1213" s="456"/>
      <c r="E1213" s="362"/>
      <c r="F1213" s="272"/>
      <c r="G1213" s="460"/>
      <c r="H1213" s="272"/>
      <c r="I1213" s="399"/>
      <c r="J1213" s="241" t="b">
        <f>Age_Sex_PY[[#This Row],[Total Spending After Applying Truncation at the Member Level]]+Age_Sex_PY[[#This Row],[Total Dollars Excluded from Spending After Applying Truncation at the Member Level]]=Age_Sex_PY[[#This Row],[Total Spending before Truncation is Applied]]</f>
        <v>1</v>
      </c>
    </row>
    <row r="1214" spans="1:10" x14ac:dyDescent="0.25">
      <c r="A1214" s="342"/>
      <c r="B1214" s="4"/>
      <c r="C1214" s="16"/>
      <c r="D1214" s="457"/>
      <c r="E1214" s="363"/>
      <c r="F1214" s="273"/>
      <c r="G1214" s="226"/>
      <c r="H1214" s="273"/>
      <c r="I1214" s="400"/>
      <c r="J1214" s="243" t="b">
        <f>Age_Sex_PY[[#This Row],[Total Spending After Applying Truncation at the Member Level]]+Age_Sex_PY[[#This Row],[Total Dollars Excluded from Spending After Applying Truncation at the Member Level]]=Age_Sex_PY[[#This Row],[Total Spending before Truncation is Applied]]</f>
        <v>1</v>
      </c>
    </row>
    <row r="1215" spans="1:10" x14ac:dyDescent="0.25">
      <c r="A1215" s="339"/>
      <c r="B1215" s="270"/>
      <c r="C1215" s="271"/>
      <c r="D1215" s="456"/>
      <c r="E1215" s="362"/>
      <c r="F1215" s="272"/>
      <c r="G1215" s="460"/>
      <c r="H1215" s="272"/>
      <c r="I1215" s="399"/>
      <c r="J1215" s="241" t="b">
        <f>Age_Sex_PY[[#This Row],[Total Spending After Applying Truncation at the Member Level]]+Age_Sex_PY[[#This Row],[Total Dollars Excluded from Spending After Applying Truncation at the Member Level]]=Age_Sex_PY[[#This Row],[Total Spending before Truncation is Applied]]</f>
        <v>1</v>
      </c>
    </row>
    <row r="1216" spans="1:10" x14ac:dyDescent="0.25">
      <c r="A1216" s="342"/>
      <c r="B1216" s="4"/>
      <c r="C1216" s="16"/>
      <c r="D1216" s="457"/>
      <c r="E1216" s="363"/>
      <c r="F1216" s="273"/>
      <c r="G1216" s="226"/>
      <c r="H1216" s="273"/>
      <c r="I1216" s="400"/>
      <c r="J1216" s="243" t="b">
        <f>Age_Sex_PY[[#This Row],[Total Spending After Applying Truncation at the Member Level]]+Age_Sex_PY[[#This Row],[Total Dollars Excluded from Spending After Applying Truncation at the Member Level]]=Age_Sex_PY[[#This Row],[Total Spending before Truncation is Applied]]</f>
        <v>1</v>
      </c>
    </row>
    <row r="1217" spans="1:10" x14ac:dyDescent="0.25">
      <c r="A1217" s="339"/>
      <c r="B1217" s="270"/>
      <c r="C1217" s="271"/>
      <c r="D1217" s="456"/>
      <c r="E1217" s="362"/>
      <c r="F1217" s="272"/>
      <c r="G1217" s="460"/>
      <c r="H1217" s="272"/>
      <c r="I1217" s="399"/>
      <c r="J1217" s="241" t="b">
        <f>Age_Sex_PY[[#This Row],[Total Spending After Applying Truncation at the Member Level]]+Age_Sex_PY[[#This Row],[Total Dollars Excluded from Spending After Applying Truncation at the Member Level]]=Age_Sex_PY[[#This Row],[Total Spending before Truncation is Applied]]</f>
        <v>1</v>
      </c>
    </row>
    <row r="1218" spans="1:10" x14ac:dyDescent="0.25">
      <c r="A1218" s="342"/>
      <c r="B1218" s="4"/>
      <c r="C1218" s="16"/>
      <c r="D1218" s="457"/>
      <c r="E1218" s="363"/>
      <c r="F1218" s="273"/>
      <c r="G1218" s="226"/>
      <c r="H1218" s="273"/>
      <c r="I1218" s="400"/>
      <c r="J1218" s="243" t="b">
        <f>Age_Sex_PY[[#This Row],[Total Spending After Applying Truncation at the Member Level]]+Age_Sex_PY[[#This Row],[Total Dollars Excluded from Spending After Applying Truncation at the Member Level]]=Age_Sex_PY[[#This Row],[Total Spending before Truncation is Applied]]</f>
        <v>1</v>
      </c>
    </row>
    <row r="1219" spans="1:10" x14ac:dyDescent="0.25">
      <c r="A1219" s="339"/>
      <c r="B1219" s="270"/>
      <c r="C1219" s="271"/>
      <c r="D1219" s="456"/>
      <c r="E1219" s="362"/>
      <c r="F1219" s="272"/>
      <c r="G1219" s="460"/>
      <c r="H1219" s="272"/>
      <c r="I1219" s="399"/>
      <c r="J1219" s="241" t="b">
        <f>Age_Sex_PY[[#This Row],[Total Spending After Applying Truncation at the Member Level]]+Age_Sex_PY[[#This Row],[Total Dollars Excluded from Spending After Applying Truncation at the Member Level]]=Age_Sex_PY[[#This Row],[Total Spending before Truncation is Applied]]</f>
        <v>1</v>
      </c>
    </row>
    <row r="1220" spans="1:10" x14ac:dyDescent="0.25">
      <c r="A1220" s="342"/>
      <c r="B1220" s="4"/>
      <c r="C1220" s="16"/>
      <c r="D1220" s="457"/>
      <c r="E1220" s="363"/>
      <c r="F1220" s="273"/>
      <c r="G1220" s="226"/>
      <c r="H1220" s="273"/>
      <c r="I1220" s="400"/>
      <c r="J1220" s="243" t="b">
        <f>Age_Sex_PY[[#This Row],[Total Spending After Applying Truncation at the Member Level]]+Age_Sex_PY[[#This Row],[Total Dollars Excluded from Spending After Applying Truncation at the Member Level]]=Age_Sex_PY[[#This Row],[Total Spending before Truncation is Applied]]</f>
        <v>1</v>
      </c>
    </row>
    <row r="1221" spans="1:10" x14ac:dyDescent="0.25">
      <c r="A1221" s="339"/>
      <c r="B1221" s="270"/>
      <c r="C1221" s="271"/>
      <c r="D1221" s="456"/>
      <c r="E1221" s="362"/>
      <c r="F1221" s="272"/>
      <c r="G1221" s="460"/>
      <c r="H1221" s="272"/>
      <c r="I1221" s="399"/>
      <c r="J1221" s="241" t="b">
        <f>Age_Sex_PY[[#This Row],[Total Spending After Applying Truncation at the Member Level]]+Age_Sex_PY[[#This Row],[Total Dollars Excluded from Spending After Applying Truncation at the Member Level]]=Age_Sex_PY[[#This Row],[Total Spending before Truncation is Applied]]</f>
        <v>1</v>
      </c>
    </row>
    <row r="1222" spans="1:10" x14ac:dyDescent="0.25">
      <c r="A1222" s="342"/>
      <c r="B1222" s="4"/>
      <c r="C1222" s="16"/>
      <c r="D1222" s="457"/>
      <c r="E1222" s="363"/>
      <c r="F1222" s="273"/>
      <c r="G1222" s="226"/>
      <c r="H1222" s="273"/>
      <c r="I1222" s="400"/>
      <c r="J1222" s="243" t="b">
        <f>Age_Sex_PY[[#This Row],[Total Spending After Applying Truncation at the Member Level]]+Age_Sex_PY[[#This Row],[Total Dollars Excluded from Spending After Applying Truncation at the Member Level]]=Age_Sex_PY[[#This Row],[Total Spending before Truncation is Applied]]</f>
        <v>1</v>
      </c>
    </row>
    <row r="1223" spans="1:10" x14ac:dyDescent="0.25">
      <c r="A1223" s="339"/>
      <c r="B1223" s="270"/>
      <c r="C1223" s="271"/>
      <c r="D1223" s="456"/>
      <c r="E1223" s="362"/>
      <c r="F1223" s="272"/>
      <c r="G1223" s="460"/>
      <c r="H1223" s="272"/>
      <c r="I1223" s="399"/>
      <c r="J1223" s="241" t="b">
        <f>Age_Sex_PY[[#This Row],[Total Spending After Applying Truncation at the Member Level]]+Age_Sex_PY[[#This Row],[Total Dollars Excluded from Spending After Applying Truncation at the Member Level]]=Age_Sex_PY[[#This Row],[Total Spending before Truncation is Applied]]</f>
        <v>1</v>
      </c>
    </row>
    <row r="1224" spans="1:10" x14ac:dyDescent="0.25">
      <c r="A1224" s="342"/>
      <c r="B1224" s="4"/>
      <c r="C1224" s="16"/>
      <c r="D1224" s="457"/>
      <c r="E1224" s="363"/>
      <c r="F1224" s="273"/>
      <c r="G1224" s="226"/>
      <c r="H1224" s="273"/>
      <c r="I1224" s="400"/>
      <c r="J1224" s="243" t="b">
        <f>Age_Sex_PY[[#This Row],[Total Spending After Applying Truncation at the Member Level]]+Age_Sex_PY[[#This Row],[Total Dollars Excluded from Spending After Applying Truncation at the Member Level]]=Age_Sex_PY[[#This Row],[Total Spending before Truncation is Applied]]</f>
        <v>1</v>
      </c>
    </row>
    <row r="1225" spans="1:10" x14ac:dyDescent="0.25">
      <c r="A1225" s="339"/>
      <c r="B1225" s="270"/>
      <c r="C1225" s="271"/>
      <c r="D1225" s="456"/>
      <c r="E1225" s="362"/>
      <c r="F1225" s="272"/>
      <c r="G1225" s="460"/>
      <c r="H1225" s="272"/>
      <c r="I1225" s="399"/>
      <c r="J1225" s="241" t="b">
        <f>Age_Sex_PY[[#This Row],[Total Spending After Applying Truncation at the Member Level]]+Age_Sex_PY[[#This Row],[Total Dollars Excluded from Spending After Applying Truncation at the Member Level]]=Age_Sex_PY[[#This Row],[Total Spending before Truncation is Applied]]</f>
        <v>1</v>
      </c>
    </row>
    <row r="1226" spans="1:10" x14ac:dyDescent="0.25">
      <c r="A1226" s="342"/>
      <c r="B1226" s="4"/>
      <c r="C1226" s="16"/>
      <c r="D1226" s="457"/>
      <c r="E1226" s="363"/>
      <c r="F1226" s="273"/>
      <c r="G1226" s="226"/>
      <c r="H1226" s="273"/>
      <c r="I1226" s="400"/>
      <c r="J1226" s="243" t="b">
        <f>Age_Sex_PY[[#This Row],[Total Spending After Applying Truncation at the Member Level]]+Age_Sex_PY[[#This Row],[Total Dollars Excluded from Spending After Applying Truncation at the Member Level]]=Age_Sex_PY[[#This Row],[Total Spending before Truncation is Applied]]</f>
        <v>1</v>
      </c>
    </row>
    <row r="1227" spans="1:10" x14ac:dyDescent="0.25">
      <c r="A1227" s="339"/>
      <c r="B1227" s="270"/>
      <c r="C1227" s="271"/>
      <c r="D1227" s="456"/>
      <c r="E1227" s="362"/>
      <c r="F1227" s="272"/>
      <c r="G1227" s="460"/>
      <c r="H1227" s="272"/>
      <c r="I1227" s="399"/>
      <c r="J1227" s="241" t="b">
        <f>Age_Sex_PY[[#This Row],[Total Spending After Applying Truncation at the Member Level]]+Age_Sex_PY[[#This Row],[Total Dollars Excluded from Spending After Applying Truncation at the Member Level]]=Age_Sex_PY[[#This Row],[Total Spending before Truncation is Applied]]</f>
        <v>1</v>
      </c>
    </row>
    <row r="1228" spans="1:10" x14ac:dyDescent="0.25">
      <c r="A1228" s="342"/>
      <c r="B1228" s="4"/>
      <c r="C1228" s="16"/>
      <c r="D1228" s="457"/>
      <c r="E1228" s="363"/>
      <c r="F1228" s="273"/>
      <c r="G1228" s="226"/>
      <c r="H1228" s="273"/>
      <c r="I1228" s="400"/>
      <c r="J1228" s="243" t="b">
        <f>Age_Sex_PY[[#This Row],[Total Spending After Applying Truncation at the Member Level]]+Age_Sex_PY[[#This Row],[Total Dollars Excluded from Spending After Applying Truncation at the Member Level]]=Age_Sex_PY[[#This Row],[Total Spending before Truncation is Applied]]</f>
        <v>1</v>
      </c>
    </row>
    <row r="1229" spans="1:10" x14ac:dyDescent="0.25">
      <c r="A1229" s="339"/>
      <c r="B1229" s="270"/>
      <c r="C1229" s="271"/>
      <c r="D1229" s="456"/>
      <c r="E1229" s="362"/>
      <c r="F1229" s="272"/>
      <c r="G1229" s="460"/>
      <c r="H1229" s="272"/>
      <c r="I1229" s="399"/>
      <c r="J1229" s="241" t="b">
        <f>Age_Sex_PY[[#This Row],[Total Spending After Applying Truncation at the Member Level]]+Age_Sex_PY[[#This Row],[Total Dollars Excluded from Spending After Applying Truncation at the Member Level]]=Age_Sex_PY[[#This Row],[Total Spending before Truncation is Applied]]</f>
        <v>1</v>
      </c>
    </row>
    <row r="1230" spans="1:10" x14ac:dyDescent="0.25">
      <c r="A1230" s="342"/>
      <c r="B1230" s="4"/>
      <c r="C1230" s="16"/>
      <c r="D1230" s="457"/>
      <c r="E1230" s="363"/>
      <c r="F1230" s="273"/>
      <c r="G1230" s="226"/>
      <c r="H1230" s="273"/>
      <c r="I1230" s="400"/>
      <c r="J1230" s="243" t="b">
        <f>Age_Sex_PY[[#This Row],[Total Spending After Applying Truncation at the Member Level]]+Age_Sex_PY[[#This Row],[Total Dollars Excluded from Spending After Applying Truncation at the Member Level]]=Age_Sex_PY[[#This Row],[Total Spending before Truncation is Applied]]</f>
        <v>1</v>
      </c>
    </row>
    <row r="1231" spans="1:10" x14ac:dyDescent="0.25">
      <c r="A1231" s="339"/>
      <c r="B1231" s="270"/>
      <c r="C1231" s="271"/>
      <c r="D1231" s="456"/>
      <c r="E1231" s="362"/>
      <c r="F1231" s="272"/>
      <c r="G1231" s="460"/>
      <c r="H1231" s="272"/>
      <c r="I1231" s="399"/>
      <c r="J1231" s="241" t="b">
        <f>Age_Sex_PY[[#This Row],[Total Spending After Applying Truncation at the Member Level]]+Age_Sex_PY[[#This Row],[Total Dollars Excluded from Spending After Applying Truncation at the Member Level]]=Age_Sex_PY[[#This Row],[Total Spending before Truncation is Applied]]</f>
        <v>1</v>
      </c>
    </row>
    <row r="1232" spans="1:10" x14ac:dyDescent="0.25">
      <c r="A1232" s="342"/>
      <c r="B1232" s="4"/>
      <c r="C1232" s="16"/>
      <c r="D1232" s="457"/>
      <c r="E1232" s="363"/>
      <c r="F1232" s="273"/>
      <c r="G1232" s="226"/>
      <c r="H1232" s="273"/>
      <c r="I1232" s="400"/>
      <c r="J1232" s="243" t="b">
        <f>Age_Sex_PY[[#This Row],[Total Spending After Applying Truncation at the Member Level]]+Age_Sex_PY[[#This Row],[Total Dollars Excluded from Spending After Applying Truncation at the Member Level]]=Age_Sex_PY[[#This Row],[Total Spending before Truncation is Applied]]</f>
        <v>1</v>
      </c>
    </row>
    <row r="1233" spans="1:10" x14ac:dyDescent="0.25">
      <c r="A1233" s="339"/>
      <c r="B1233" s="270"/>
      <c r="C1233" s="271"/>
      <c r="D1233" s="456"/>
      <c r="E1233" s="362"/>
      <c r="F1233" s="272"/>
      <c r="G1233" s="460"/>
      <c r="H1233" s="272"/>
      <c r="I1233" s="399"/>
      <c r="J1233" s="241" t="b">
        <f>Age_Sex_PY[[#This Row],[Total Spending After Applying Truncation at the Member Level]]+Age_Sex_PY[[#This Row],[Total Dollars Excluded from Spending After Applying Truncation at the Member Level]]=Age_Sex_PY[[#This Row],[Total Spending before Truncation is Applied]]</f>
        <v>1</v>
      </c>
    </row>
    <row r="1234" spans="1:10" x14ac:dyDescent="0.25">
      <c r="A1234" s="342"/>
      <c r="B1234" s="4"/>
      <c r="C1234" s="16"/>
      <c r="D1234" s="457"/>
      <c r="E1234" s="363"/>
      <c r="F1234" s="273"/>
      <c r="G1234" s="226"/>
      <c r="H1234" s="273"/>
      <c r="I1234" s="400"/>
      <c r="J1234" s="243" t="b">
        <f>Age_Sex_PY[[#This Row],[Total Spending After Applying Truncation at the Member Level]]+Age_Sex_PY[[#This Row],[Total Dollars Excluded from Spending After Applying Truncation at the Member Level]]=Age_Sex_PY[[#This Row],[Total Spending before Truncation is Applied]]</f>
        <v>1</v>
      </c>
    </row>
    <row r="1235" spans="1:10" x14ac:dyDescent="0.25">
      <c r="A1235" s="339"/>
      <c r="B1235" s="270"/>
      <c r="C1235" s="271"/>
      <c r="D1235" s="456"/>
      <c r="E1235" s="362"/>
      <c r="F1235" s="272"/>
      <c r="G1235" s="460"/>
      <c r="H1235" s="272"/>
      <c r="I1235" s="399"/>
      <c r="J1235" s="241" t="b">
        <f>Age_Sex_PY[[#This Row],[Total Spending After Applying Truncation at the Member Level]]+Age_Sex_PY[[#This Row],[Total Dollars Excluded from Spending After Applying Truncation at the Member Level]]=Age_Sex_PY[[#This Row],[Total Spending before Truncation is Applied]]</f>
        <v>1</v>
      </c>
    </row>
    <row r="1236" spans="1:10" x14ac:dyDescent="0.25">
      <c r="A1236" s="342"/>
      <c r="B1236" s="4"/>
      <c r="C1236" s="16"/>
      <c r="D1236" s="457"/>
      <c r="E1236" s="363"/>
      <c r="F1236" s="273"/>
      <c r="G1236" s="226"/>
      <c r="H1236" s="273"/>
      <c r="I1236" s="400"/>
      <c r="J1236" s="243" t="b">
        <f>Age_Sex_PY[[#This Row],[Total Spending After Applying Truncation at the Member Level]]+Age_Sex_PY[[#This Row],[Total Dollars Excluded from Spending After Applying Truncation at the Member Level]]=Age_Sex_PY[[#This Row],[Total Spending before Truncation is Applied]]</f>
        <v>1</v>
      </c>
    </row>
    <row r="1237" spans="1:10" x14ac:dyDescent="0.25">
      <c r="A1237" s="339"/>
      <c r="B1237" s="270"/>
      <c r="C1237" s="271"/>
      <c r="D1237" s="456"/>
      <c r="E1237" s="362"/>
      <c r="F1237" s="272"/>
      <c r="G1237" s="460"/>
      <c r="H1237" s="272"/>
      <c r="I1237" s="399"/>
      <c r="J1237" s="241" t="b">
        <f>Age_Sex_PY[[#This Row],[Total Spending After Applying Truncation at the Member Level]]+Age_Sex_PY[[#This Row],[Total Dollars Excluded from Spending After Applying Truncation at the Member Level]]=Age_Sex_PY[[#This Row],[Total Spending before Truncation is Applied]]</f>
        <v>1</v>
      </c>
    </row>
    <row r="1238" spans="1:10" x14ac:dyDescent="0.25">
      <c r="A1238" s="342"/>
      <c r="B1238" s="4"/>
      <c r="C1238" s="16"/>
      <c r="D1238" s="457"/>
      <c r="E1238" s="363"/>
      <c r="F1238" s="273"/>
      <c r="G1238" s="226"/>
      <c r="H1238" s="273"/>
      <c r="I1238" s="400"/>
      <c r="J1238" s="243" t="b">
        <f>Age_Sex_PY[[#This Row],[Total Spending After Applying Truncation at the Member Level]]+Age_Sex_PY[[#This Row],[Total Dollars Excluded from Spending After Applying Truncation at the Member Level]]=Age_Sex_PY[[#This Row],[Total Spending before Truncation is Applied]]</f>
        <v>1</v>
      </c>
    </row>
    <row r="1239" spans="1:10" x14ac:dyDescent="0.25">
      <c r="A1239" s="339"/>
      <c r="B1239" s="270"/>
      <c r="C1239" s="271"/>
      <c r="D1239" s="456"/>
      <c r="E1239" s="362"/>
      <c r="F1239" s="272"/>
      <c r="G1239" s="460"/>
      <c r="H1239" s="272"/>
      <c r="I1239" s="399"/>
      <c r="J1239" s="241" t="b">
        <f>Age_Sex_PY[[#This Row],[Total Spending After Applying Truncation at the Member Level]]+Age_Sex_PY[[#This Row],[Total Dollars Excluded from Spending After Applying Truncation at the Member Level]]=Age_Sex_PY[[#This Row],[Total Spending before Truncation is Applied]]</f>
        <v>1</v>
      </c>
    </row>
    <row r="1240" spans="1:10" x14ac:dyDescent="0.25">
      <c r="A1240" s="342"/>
      <c r="B1240" s="4"/>
      <c r="C1240" s="16"/>
      <c r="D1240" s="457"/>
      <c r="E1240" s="363"/>
      <c r="F1240" s="273"/>
      <c r="G1240" s="226"/>
      <c r="H1240" s="273"/>
      <c r="I1240" s="400"/>
      <c r="J1240" s="243" t="b">
        <f>Age_Sex_PY[[#This Row],[Total Spending After Applying Truncation at the Member Level]]+Age_Sex_PY[[#This Row],[Total Dollars Excluded from Spending After Applying Truncation at the Member Level]]=Age_Sex_PY[[#This Row],[Total Spending before Truncation is Applied]]</f>
        <v>1</v>
      </c>
    </row>
    <row r="1241" spans="1:10" x14ac:dyDescent="0.25">
      <c r="A1241" s="339"/>
      <c r="B1241" s="270"/>
      <c r="C1241" s="271"/>
      <c r="D1241" s="456"/>
      <c r="E1241" s="362"/>
      <c r="F1241" s="272"/>
      <c r="G1241" s="460"/>
      <c r="H1241" s="272"/>
      <c r="I1241" s="399"/>
      <c r="J1241" s="241" t="b">
        <f>Age_Sex_PY[[#This Row],[Total Spending After Applying Truncation at the Member Level]]+Age_Sex_PY[[#This Row],[Total Dollars Excluded from Spending After Applying Truncation at the Member Level]]=Age_Sex_PY[[#This Row],[Total Spending before Truncation is Applied]]</f>
        <v>1</v>
      </c>
    </row>
    <row r="1242" spans="1:10" x14ac:dyDescent="0.25">
      <c r="A1242" s="342"/>
      <c r="B1242" s="4"/>
      <c r="C1242" s="16"/>
      <c r="D1242" s="457"/>
      <c r="E1242" s="363"/>
      <c r="F1242" s="273"/>
      <c r="G1242" s="226"/>
      <c r="H1242" s="273"/>
      <c r="I1242" s="400"/>
      <c r="J1242" s="243" t="b">
        <f>Age_Sex_PY[[#This Row],[Total Spending After Applying Truncation at the Member Level]]+Age_Sex_PY[[#This Row],[Total Dollars Excluded from Spending After Applying Truncation at the Member Level]]=Age_Sex_PY[[#This Row],[Total Spending before Truncation is Applied]]</f>
        <v>1</v>
      </c>
    </row>
    <row r="1243" spans="1:10" x14ac:dyDescent="0.25">
      <c r="A1243" s="339"/>
      <c r="B1243" s="270"/>
      <c r="C1243" s="271"/>
      <c r="D1243" s="456"/>
      <c r="E1243" s="362"/>
      <c r="F1243" s="272"/>
      <c r="G1243" s="460"/>
      <c r="H1243" s="272"/>
      <c r="I1243" s="399"/>
      <c r="J1243" s="241" t="b">
        <f>Age_Sex_PY[[#This Row],[Total Spending After Applying Truncation at the Member Level]]+Age_Sex_PY[[#This Row],[Total Dollars Excluded from Spending After Applying Truncation at the Member Level]]=Age_Sex_PY[[#This Row],[Total Spending before Truncation is Applied]]</f>
        <v>1</v>
      </c>
    </row>
    <row r="1244" spans="1:10" x14ac:dyDescent="0.25">
      <c r="A1244" s="342"/>
      <c r="B1244" s="4"/>
      <c r="C1244" s="16"/>
      <c r="D1244" s="457"/>
      <c r="E1244" s="363"/>
      <c r="F1244" s="273"/>
      <c r="G1244" s="226"/>
      <c r="H1244" s="273"/>
      <c r="I1244" s="400"/>
      <c r="J1244" s="243" t="b">
        <f>Age_Sex_PY[[#This Row],[Total Spending After Applying Truncation at the Member Level]]+Age_Sex_PY[[#This Row],[Total Dollars Excluded from Spending After Applying Truncation at the Member Level]]=Age_Sex_PY[[#This Row],[Total Spending before Truncation is Applied]]</f>
        <v>1</v>
      </c>
    </row>
    <row r="1245" spans="1:10" x14ac:dyDescent="0.25">
      <c r="A1245" s="339"/>
      <c r="B1245" s="270"/>
      <c r="C1245" s="271"/>
      <c r="D1245" s="456"/>
      <c r="E1245" s="362"/>
      <c r="F1245" s="272"/>
      <c r="G1245" s="460"/>
      <c r="H1245" s="272"/>
      <c r="I1245" s="399"/>
      <c r="J1245" s="241" t="b">
        <f>Age_Sex_PY[[#This Row],[Total Spending After Applying Truncation at the Member Level]]+Age_Sex_PY[[#This Row],[Total Dollars Excluded from Spending After Applying Truncation at the Member Level]]=Age_Sex_PY[[#This Row],[Total Spending before Truncation is Applied]]</f>
        <v>1</v>
      </c>
    </row>
    <row r="1246" spans="1:10" x14ac:dyDescent="0.25">
      <c r="A1246" s="342"/>
      <c r="B1246" s="4"/>
      <c r="C1246" s="16"/>
      <c r="D1246" s="457"/>
      <c r="E1246" s="363"/>
      <c r="F1246" s="273"/>
      <c r="G1246" s="226"/>
      <c r="H1246" s="273"/>
      <c r="I1246" s="400"/>
      <c r="J1246" s="243" t="b">
        <f>Age_Sex_PY[[#This Row],[Total Spending After Applying Truncation at the Member Level]]+Age_Sex_PY[[#This Row],[Total Dollars Excluded from Spending After Applying Truncation at the Member Level]]=Age_Sex_PY[[#This Row],[Total Spending before Truncation is Applied]]</f>
        <v>1</v>
      </c>
    </row>
    <row r="1247" spans="1:10" x14ac:dyDescent="0.25">
      <c r="A1247" s="339"/>
      <c r="B1247" s="270"/>
      <c r="C1247" s="271"/>
      <c r="D1247" s="456"/>
      <c r="E1247" s="362"/>
      <c r="F1247" s="272"/>
      <c r="G1247" s="460"/>
      <c r="H1247" s="272"/>
      <c r="I1247" s="399"/>
      <c r="J1247" s="241" t="b">
        <f>Age_Sex_PY[[#This Row],[Total Spending After Applying Truncation at the Member Level]]+Age_Sex_PY[[#This Row],[Total Dollars Excluded from Spending After Applying Truncation at the Member Level]]=Age_Sex_PY[[#This Row],[Total Spending before Truncation is Applied]]</f>
        <v>1</v>
      </c>
    </row>
    <row r="1248" spans="1:10" x14ac:dyDescent="0.25">
      <c r="A1248" s="342"/>
      <c r="B1248" s="4"/>
      <c r="C1248" s="16"/>
      <c r="D1248" s="457"/>
      <c r="E1248" s="363"/>
      <c r="F1248" s="273"/>
      <c r="G1248" s="226"/>
      <c r="H1248" s="273"/>
      <c r="I1248" s="400"/>
      <c r="J1248" s="243" t="b">
        <f>Age_Sex_PY[[#This Row],[Total Spending After Applying Truncation at the Member Level]]+Age_Sex_PY[[#This Row],[Total Dollars Excluded from Spending After Applying Truncation at the Member Level]]=Age_Sex_PY[[#This Row],[Total Spending before Truncation is Applied]]</f>
        <v>1</v>
      </c>
    </row>
    <row r="1249" spans="1:10" x14ac:dyDescent="0.25">
      <c r="A1249" s="339"/>
      <c r="B1249" s="270"/>
      <c r="C1249" s="271"/>
      <c r="D1249" s="456"/>
      <c r="E1249" s="362"/>
      <c r="F1249" s="272"/>
      <c r="G1249" s="460"/>
      <c r="H1249" s="272"/>
      <c r="I1249" s="399"/>
      <c r="J1249" s="241" t="b">
        <f>Age_Sex_PY[[#This Row],[Total Spending After Applying Truncation at the Member Level]]+Age_Sex_PY[[#This Row],[Total Dollars Excluded from Spending After Applying Truncation at the Member Level]]=Age_Sex_PY[[#This Row],[Total Spending before Truncation is Applied]]</f>
        <v>1</v>
      </c>
    </row>
    <row r="1250" spans="1:10" x14ac:dyDescent="0.25">
      <c r="A1250" s="342"/>
      <c r="B1250" s="4"/>
      <c r="C1250" s="16"/>
      <c r="D1250" s="457"/>
      <c r="E1250" s="363"/>
      <c r="F1250" s="273"/>
      <c r="G1250" s="226"/>
      <c r="H1250" s="273"/>
      <c r="I1250" s="400"/>
      <c r="J1250" s="243" t="b">
        <f>Age_Sex_PY[[#This Row],[Total Spending After Applying Truncation at the Member Level]]+Age_Sex_PY[[#This Row],[Total Dollars Excluded from Spending After Applying Truncation at the Member Level]]=Age_Sex_PY[[#This Row],[Total Spending before Truncation is Applied]]</f>
        <v>1</v>
      </c>
    </row>
    <row r="1251" spans="1:10" x14ac:dyDescent="0.25">
      <c r="A1251" s="339"/>
      <c r="B1251" s="270"/>
      <c r="C1251" s="271"/>
      <c r="D1251" s="456"/>
      <c r="E1251" s="362"/>
      <c r="F1251" s="272"/>
      <c r="G1251" s="460"/>
      <c r="H1251" s="272"/>
      <c r="I1251" s="399"/>
      <c r="J1251" s="241" t="b">
        <f>Age_Sex_PY[[#This Row],[Total Spending After Applying Truncation at the Member Level]]+Age_Sex_PY[[#This Row],[Total Dollars Excluded from Spending After Applying Truncation at the Member Level]]=Age_Sex_PY[[#This Row],[Total Spending before Truncation is Applied]]</f>
        <v>1</v>
      </c>
    </row>
    <row r="1252" spans="1:10" x14ac:dyDescent="0.25">
      <c r="A1252" s="342"/>
      <c r="B1252" s="4"/>
      <c r="C1252" s="16"/>
      <c r="D1252" s="457"/>
      <c r="E1252" s="363"/>
      <c r="F1252" s="273"/>
      <c r="G1252" s="226"/>
      <c r="H1252" s="273"/>
      <c r="I1252" s="400"/>
      <c r="J1252" s="243" t="b">
        <f>Age_Sex_PY[[#This Row],[Total Spending After Applying Truncation at the Member Level]]+Age_Sex_PY[[#This Row],[Total Dollars Excluded from Spending After Applying Truncation at the Member Level]]=Age_Sex_PY[[#This Row],[Total Spending before Truncation is Applied]]</f>
        <v>1</v>
      </c>
    </row>
    <row r="1253" spans="1:10" x14ac:dyDescent="0.25">
      <c r="A1253" s="339"/>
      <c r="B1253" s="270"/>
      <c r="C1253" s="271"/>
      <c r="D1253" s="456"/>
      <c r="E1253" s="362"/>
      <c r="F1253" s="272"/>
      <c r="G1253" s="460"/>
      <c r="H1253" s="272"/>
      <c r="I1253" s="399"/>
      <c r="J1253" s="241" t="b">
        <f>Age_Sex_PY[[#This Row],[Total Spending After Applying Truncation at the Member Level]]+Age_Sex_PY[[#This Row],[Total Dollars Excluded from Spending After Applying Truncation at the Member Level]]=Age_Sex_PY[[#This Row],[Total Spending before Truncation is Applied]]</f>
        <v>1</v>
      </c>
    </row>
    <row r="1254" spans="1:10" x14ac:dyDescent="0.25">
      <c r="A1254" s="342"/>
      <c r="B1254" s="4"/>
      <c r="C1254" s="16"/>
      <c r="D1254" s="457"/>
      <c r="E1254" s="363"/>
      <c r="F1254" s="273"/>
      <c r="G1254" s="226"/>
      <c r="H1254" s="273"/>
      <c r="I1254" s="400"/>
      <c r="J1254" s="243" t="b">
        <f>Age_Sex_PY[[#This Row],[Total Spending After Applying Truncation at the Member Level]]+Age_Sex_PY[[#This Row],[Total Dollars Excluded from Spending After Applying Truncation at the Member Level]]=Age_Sex_PY[[#This Row],[Total Spending before Truncation is Applied]]</f>
        <v>1</v>
      </c>
    </row>
    <row r="1255" spans="1:10" x14ac:dyDescent="0.25">
      <c r="A1255" s="339"/>
      <c r="B1255" s="270"/>
      <c r="C1255" s="271"/>
      <c r="D1255" s="456"/>
      <c r="E1255" s="362"/>
      <c r="F1255" s="272"/>
      <c r="G1255" s="460"/>
      <c r="H1255" s="272"/>
      <c r="I1255" s="399"/>
      <c r="J1255" s="241" t="b">
        <f>Age_Sex_PY[[#This Row],[Total Spending After Applying Truncation at the Member Level]]+Age_Sex_PY[[#This Row],[Total Dollars Excluded from Spending After Applying Truncation at the Member Level]]=Age_Sex_PY[[#This Row],[Total Spending before Truncation is Applied]]</f>
        <v>1</v>
      </c>
    </row>
    <row r="1256" spans="1:10" x14ac:dyDescent="0.25">
      <c r="A1256" s="342"/>
      <c r="B1256" s="4"/>
      <c r="C1256" s="16"/>
      <c r="D1256" s="457"/>
      <c r="E1256" s="363"/>
      <c r="F1256" s="273"/>
      <c r="G1256" s="226"/>
      <c r="H1256" s="273"/>
      <c r="I1256" s="400"/>
      <c r="J1256" s="243" t="b">
        <f>Age_Sex_PY[[#This Row],[Total Spending After Applying Truncation at the Member Level]]+Age_Sex_PY[[#This Row],[Total Dollars Excluded from Spending After Applying Truncation at the Member Level]]=Age_Sex_PY[[#This Row],[Total Spending before Truncation is Applied]]</f>
        <v>1</v>
      </c>
    </row>
    <row r="1257" spans="1:10" x14ac:dyDescent="0.25">
      <c r="A1257" s="339"/>
      <c r="B1257" s="270"/>
      <c r="C1257" s="271"/>
      <c r="D1257" s="456"/>
      <c r="E1257" s="362"/>
      <c r="F1257" s="272"/>
      <c r="G1257" s="460"/>
      <c r="H1257" s="272"/>
      <c r="I1257" s="399"/>
      <c r="J1257" s="241" t="b">
        <f>Age_Sex_PY[[#This Row],[Total Spending After Applying Truncation at the Member Level]]+Age_Sex_PY[[#This Row],[Total Dollars Excluded from Spending After Applying Truncation at the Member Level]]=Age_Sex_PY[[#This Row],[Total Spending before Truncation is Applied]]</f>
        <v>1</v>
      </c>
    </row>
    <row r="1258" spans="1:10" x14ac:dyDescent="0.25">
      <c r="A1258" s="342"/>
      <c r="B1258" s="4"/>
      <c r="C1258" s="16"/>
      <c r="D1258" s="457"/>
      <c r="E1258" s="363"/>
      <c r="F1258" s="273"/>
      <c r="G1258" s="226"/>
      <c r="H1258" s="273"/>
      <c r="I1258" s="400"/>
      <c r="J1258" s="243" t="b">
        <f>Age_Sex_PY[[#This Row],[Total Spending After Applying Truncation at the Member Level]]+Age_Sex_PY[[#This Row],[Total Dollars Excluded from Spending After Applying Truncation at the Member Level]]=Age_Sex_PY[[#This Row],[Total Spending before Truncation is Applied]]</f>
        <v>1</v>
      </c>
    </row>
    <row r="1259" spans="1:10" x14ac:dyDescent="0.25">
      <c r="A1259" s="339"/>
      <c r="B1259" s="270"/>
      <c r="C1259" s="271"/>
      <c r="D1259" s="456"/>
      <c r="E1259" s="362"/>
      <c r="F1259" s="272"/>
      <c r="G1259" s="460"/>
      <c r="H1259" s="272"/>
      <c r="I1259" s="399"/>
      <c r="J1259" s="241" t="b">
        <f>Age_Sex_PY[[#This Row],[Total Spending After Applying Truncation at the Member Level]]+Age_Sex_PY[[#This Row],[Total Dollars Excluded from Spending After Applying Truncation at the Member Level]]=Age_Sex_PY[[#This Row],[Total Spending before Truncation is Applied]]</f>
        <v>1</v>
      </c>
    </row>
    <row r="1260" spans="1:10" x14ac:dyDescent="0.25">
      <c r="A1260" s="342"/>
      <c r="B1260" s="4"/>
      <c r="C1260" s="16"/>
      <c r="D1260" s="457"/>
      <c r="E1260" s="363"/>
      <c r="F1260" s="273"/>
      <c r="G1260" s="226"/>
      <c r="H1260" s="273"/>
      <c r="I1260" s="400"/>
      <c r="J1260" s="243" t="b">
        <f>Age_Sex_PY[[#This Row],[Total Spending After Applying Truncation at the Member Level]]+Age_Sex_PY[[#This Row],[Total Dollars Excluded from Spending After Applying Truncation at the Member Level]]=Age_Sex_PY[[#This Row],[Total Spending before Truncation is Applied]]</f>
        <v>1</v>
      </c>
    </row>
    <row r="1261" spans="1:10" x14ac:dyDescent="0.25">
      <c r="A1261" s="339"/>
      <c r="B1261" s="270"/>
      <c r="C1261" s="271"/>
      <c r="D1261" s="456"/>
      <c r="E1261" s="362"/>
      <c r="F1261" s="272"/>
      <c r="G1261" s="460"/>
      <c r="H1261" s="272"/>
      <c r="I1261" s="399"/>
      <c r="J1261" s="241" t="b">
        <f>Age_Sex_PY[[#This Row],[Total Spending After Applying Truncation at the Member Level]]+Age_Sex_PY[[#This Row],[Total Dollars Excluded from Spending After Applying Truncation at the Member Level]]=Age_Sex_PY[[#This Row],[Total Spending before Truncation is Applied]]</f>
        <v>1</v>
      </c>
    </row>
    <row r="1262" spans="1:10" x14ac:dyDescent="0.25">
      <c r="A1262" s="342"/>
      <c r="B1262" s="4"/>
      <c r="C1262" s="16"/>
      <c r="D1262" s="457"/>
      <c r="E1262" s="363"/>
      <c r="F1262" s="273"/>
      <c r="G1262" s="226"/>
      <c r="H1262" s="273"/>
      <c r="I1262" s="400"/>
      <c r="J1262" s="243" t="b">
        <f>Age_Sex_PY[[#This Row],[Total Spending After Applying Truncation at the Member Level]]+Age_Sex_PY[[#This Row],[Total Dollars Excluded from Spending After Applying Truncation at the Member Level]]=Age_Sex_PY[[#This Row],[Total Spending before Truncation is Applied]]</f>
        <v>1</v>
      </c>
    </row>
    <row r="1263" spans="1:10" x14ac:dyDescent="0.25">
      <c r="A1263" s="339"/>
      <c r="B1263" s="270"/>
      <c r="C1263" s="271"/>
      <c r="D1263" s="456"/>
      <c r="E1263" s="362"/>
      <c r="F1263" s="272"/>
      <c r="G1263" s="460"/>
      <c r="H1263" s="272"/>
      <c r="I1263" s="399"/>
      <c r="J1263" s="241" t="b">
        <f>Age_Sex_PY[[#This Row],[Total Spending After Applying Truncation at the Member Level]]+Age_Sex_PY[[#This Row],[Total Dollars Excluded from Spending After Applying Truncation at the Member Level]]=Age_Sex_PY[[#This Row],[Total Spending before Truncation is Applied]]</f>
        <v>1</v>
      </c>
    </row>
    <row r="1264" spans="1:10" x14ac:dyDescent="0.25">
      <c r="A1264" s="342"/>
      <c r="B1264" s="4"/>
      <c r="C1264" s="16"/>
      <c r="D1264" s="457"/>
      <c r="E1264" s="363"/>
      <c r="F1264" s="273"/>
      <c r="G1264" s="226"/>
      <c r="H1264" s="273"/>
      <c r="I1264" s="400"/>
      <c r="J1264" s="243" t="b">
        <f>Age_Sex_PY[[#This Row],[Total Spending After Applying Truncation at the Member Level]]+Age_Sex_PY[[#This Row],[Total Dollars Excluded from Spending After Applying Truncation at the Member Level]]=Age_Sex_PY[[#This Row],[Total Spending before Truncation is Applied]]</f>
        <v>1</v>
      </c>
    </row>
    <row r="1265" spans="1:10" x14ac:dyDescent="0.25">
      <c r="A1265" s="339"/>
      <c r="B1265" s="270"/>
      <c r="C1265" s="271"/>
      <c r="D1265" s="456"/>
      <c r="E1265" s="362"/>
      <c r="F1265" s="272"/>
      <c r="G1265" s="460"/>
      <c r="H1265" s="272"/>
      <c r="I1265" s="399"/>
      <c r="J1265" s="241" t="b">
        <f>Age_Sex_PY[[#This Row],[Total Spending After Applying Truncation at the Member Level]]+Age_Sex_PY[[#This Row],[Total Dollars Excluded from Spending After Applying Truncation at the Member Level]]=Age_Sex_PY[[#This Row],[Total Spending before Truncation is Applied]]</f>
        <v>1</v>
      </c>
    </row>
    <row r="1266" spans="1:10" x14ac:dyDescent="0.25">
      <c r="A1266" s="342"/>
      <c r="B1266" s="4"/>
      <c r="C1266" s="16"/>
      <c r="D1266" s="457"/>
      <c r="E1266" s="363"/>
      <c r="F1266" s="273"/>
      <c r="G1266" s="226"/>
      <c r="H1266" s="273"/>
      <c r="I1266" s="400"/>
      <c r="J1266" s="243" t="b">
        <f>Age_Sex_PY[[#This Row],[Total Spending After Applying Truncation at the Member Level]]+Age_Sex_PY[[#This Row],[Total Dollars Excluded from Spending After Applying Truncation at the Member Level]]=Age_Sex_PY[[#This Row],[Total Spending before Truncation is Applied]]</f>
        <v>1</v>
      </c>
    </row>
    <row r="1267" spans="1:10" x14ac:dyDescent="0.25">
      <c r="A1267" s="339"/>
      <c r="B1267" s="270"/>
      <c r="C1267" s="271"/>
      <c r="D1267" s="456"/>
      <c r="E1267" s="362"/>
      <c r="F1267" s="272"/>
      <c r="G1267" s="460"/>
      <c r="H1267" s="272"/>
      <c r="I1267" s="399"/>
      <c r="J1267" s="241" t="b">
        <f>Age_Sex_PY[[#This Row],[Total Spending After Applying Truncation at the Member Level]]+Age_Sex_PY[[#This Row],[Total Dollars Excluded from Spending After Applying Truncation at the Member Level]]=Age_Sex_PY[[#This Row],[Total Spending before Truncation is Applied]]</f>
        <v>1</v>
      </c>
    </row>
    <row r="1268" spans="1:10" x14ac:dyDescent="0.25">
      <c r="A1268" s="342"/>
      <c r="B1268" s="4"/>
      <c r="C1268" s="16"/>
      <c r="D1268" s="457"/>
      <c r="E1268" s="363"/>
      <c r="F1268" s="273"/>
      <c r="G1268" s="226"/>
      <c r="H1268" s="273"/>
      <c r="I1268" s="400"/>
      <c r="J1268" s="243" t="b">
        <f>Age_Sex_PY[[#This Row],[Total Spending After Applying Truncation at the Member Level]]+Age_Sex_PY[[#This Row],[Total Dollars Excluded from Spending After Applying Truncation at the Member Level]]=Age_Sex_PY[[#This Row],[Total Spending before Truncation is Applied]]</f>
        <v>1</v>
      </c>
    </row>
    <row r="1269" spans="1:10" x14ac:dyDescent="0.25">
      <c r="A1269" s="339"/>
      <c r="B1269" s="270"/>
      <c r="C1269" s="271"/>
      <c r="D1269" s="456"/>
      <c r="E1269" s="362"/>
      <c r="F1269" s="272"/>
      <c r="G1269" s="460"/>
      <c r="H1269" s="272"/>
      <c r="I1269" s="399"/>
      <c r="J1269" s="241" t="b">
        <f>Age_Sex_PY[[#This Row],[Total Spending After Applying Truncation at the Member Level]]+Age_Sex_PY[[#This Row],[Total Dollars Excluded from Spending After Applying Truncation at the Member Level]]=Age_Sex_PY[[#This Row],[Total Spending before Truncation is Applied]]</f>
        <v>1</v>
      </c>
    </row>
    <row r="1270" spans="1:10" x14ac:dyDescent="0.25">
      <c r="A1270" s="342"/>
      <c r="B1270" s="4"/>
      <c r="C1270" s="16"/>
      <c r="D1270" s="457"/>
      <c r="E1270" s="363"/>
      <c r="F1270" s="273"/>
      <c r="G1270" s="226"/>
      <c r="H1270" s="273"/>
      <c r="I1270" s="400"/>
      <c r="J1270" s="243" t="b">
        <f>Age_Sex_PY[[#This Row],[Total Spending After Applying Truncation at the Member Level]]+Age_Sex_PY[[#This Row],[Total Dollars Excluded from Spending After Applying Truncation at the Member Level]]=Age_Sex_PY[[#This Row],[Total Spending before Truncation is Applied]]</f>
        <v>1</v>
      </c>
    </row>
    <row r="1271" spans="1:10" x14ac:dyDescent="0.25">
      <c r="A1271" s="339"/>
      <c r="B1271" s="270"/>
      <c r="C1271" s="271"/>
      <c r="D1271" s="456"/>
      <c r="E1271" s="362"/>
      <c r="F1271" s="272"/>
      <c r="G1271" s="460"/>
      <c r="H1271" s="272"/>
      <c r="I1271" s="399"/>
      <c r="J1271" s="241" t="b">
        <f>Age_Sex_PY[[#This Row],[Total Spending After Applying Truncation at the Member Level]]+Age_Sex_PY[[#This Row],[Total Dollars Excluded from Spending After Applying Truncation at the Member Level]]=Age_Sex_PY[[#This Row],[Total Spending before Truncation is Applied]]</f>
        <v>1</v>
      </c>
    </row>
    <row r="1272" spans="1:10" x14ac:dyDescent="0.25">
      <c r="A1272" s="342"/>
      <c r="B1272" s="4"/>
      <c r="C1272" s="16"/>
      <c r="D1272" s="457"/>
      <c r="E1272" s="363"/>
      <c r="F1272" s="273"/>
      <c r="G1272" s="226"/>
      <c r="H1272" s="273"/>
      <c r="I1272" s="400"/>
      <c r="J1272" s="243" t="b">
        <f>Age_Sex_PY[[#This Row],[Total Spending After Applying Truncation at the Member Level]]+Age_Sex_PY[[#This Row],[Total Dollars Excluded from Spending After Applying Truncation at the Member Level]]=Age_Sex_PY[[#This Row],[Total Spending before Truncation is Applied]]</f>
        <v>1</v>
      </c>
    </row>
    <row r="1273" spans="1:10" x14ac:dyDescent="0.25">
      <c r="A1273" s="339"/>
      <c r="B1273" s="270"/>
      <c r="C1273" s="271"/>
      <c r="D1273" s="456"/>
      <c r="E1273" s="362"/>
      <c r="F1273" s="272"/>
      <c r="G1273" s="460"/>
      <c r="H1273" s="272"/>
      <c r="I1273" s="399"/>
      <c r="J1273" s="241" t="b">
        <f>Age_Sex_PY[[#This Row],[Total Spending After Applying Truncation at the Member Level]]+Age_Sex_PY[[#This Row],[Total Dollars Excluded from Spending After Applying Truncation at the Member Level]]=Age_Sex_PY[[#This Row],[Total Spending before Truncation is Applied]]</f>
        <v>1</v>
      </c>
    </row>
    <row r="1274" spans="1:10" x14ac:dyDescent="0.25">
      <c r="A1274" s="342"/>
      <c r="B1274" s="4"/>
      <c r="C1274" s="16"/>
      <c r="D1274" s="457"/>
      <c r="E1274" s="363"/>
      <c r="F1274" s="273"/>
      <c r="G1274" s="226"/>
      <c r="H1274" s="273"/>
      <c r="I1274" s="400"/>
      <c r="J1274" s="243" t="b">
        <f>Age_Sex_PY[[#This Row],[Total Spending After Applying Truncation at the Member Level]]+Age_Sex_PY[[#This Row],[Total Dollars Excluded from Spending After Applying Truncation at the Member Level]]=Age_Sex_PY[[#This Row],[Total Spending before Truncation is Applied]]</f>
        <v>1</v>
      </c>
    </row>
    <row r="1275" spans="1:10" x14ac:dyDescent="0.25">
      <c r="A1275" s="339"/>
      <c r="B1275" s="270"/>
      <c r="C1275" s="271"/>
      <c r="D1275" s="456"/>
      <c r="E1275" s="362"/>
      <c r="F1275" s="272"/>
      <c r="G1275" s="460"/>
      <c r="H1275" s="272"/>
      <c r="I1275" s="399"/>
      <c r="J1275" s="241" t="b">
        <f>Age_Sex_PY[[#This Row],[Total Spending After Applying Truncation at the Member Level]]+Age_Sex_PY[[#This Row],[Total Dollars Excluded from Spending After Applying Truncation at the Member Level]]=Age_Sex_PY[[#This Row],[Total Spending before Truncation is Applied]]</f>
        <v>1</v>
      </c>
    </row>
    <row r="1276" spans="1:10" x14ac:dyDescent="0.25">
      <c r="A1276" s="342"/>
      <c r="B1276" s="4"/>
      <c r="C1276" s="16"/>
      <c r="D1276" s="457"/>
      <c r="E1276" s="363"/>
      <c r="F1276" s="273"/>
      <c r="G1276" s="226"/>
      <c r="H1276" s="273"/>
      <c r="I1276" s="400"/>
      <c r="J1276" s="243" t="b">
        <f>Age_Sex_PY[[#This Row],[Total Spending After Applying Truncation at the Member Level]]+Age_Sex_PY[[#This Row],[Total Dollars Excluded from Spending After Applying Truncation at the Member Level]]=Age_Sex_PY[[#This Row],[Total Spending before Truncation is Applied]]</f>
        <v>1</v>
      </c>
    </row>
    <row r="1277" spans="1:10" x14ac:dyDescent="0.25">
      <c r="A1277" s="339"/>
      <c r="B1277" s="270"/>
      <c r="C1277" s="271"/>
      <c r="D1277" s="456"/>
      <c r="E1277" s="362"/>
      <c r="F1277" s="272"/>
      <c r="G1277" s="460"/>
      <c r="H1277" s="272"/>
      <c r="I1277" s="399"/>
      <c r="J1277" s="241" t="b">
        <f>Age_Sex_PY[[#This Row],[Total Spending After Applying Truncation at the Member Level]]+Age_Sex_PY[[#This Row],[Total Dollars Excluded from Spending After Applying Truncation at the Member Level]]=Age_Sex_PY[[#This Row],[Total Spending before Truncation is Applied]]</f>
        <v>1</v>
      </c>
    </row>
    <row r="1278" spans="1:10" x14ac:dyDescent="0.25">
      <c r="A1278" s="342"/>
      <c r="B1278" s="4"/>
      <c r="C1278" s="16"/>
      <c r="D1278" s="457"/>
      <c r="E1278" s="363"/>
      <c r="F1278" s="273"/>
      <c r="G1278" s="226"/>
      <c r="H1278" s="273"/>
      <c r="I1278" s="400"/>
      <c r="J1278" s="243" t="b">
        <f>Age_Sex_PY[[#This Row],[Total Spending After Applying Truncation at the Member Level]]+Age_Sex_PY[[#This Row],[Total Dollars Excluded from Spending After Applying Truncation at the Member Level]]=Age_Sex_PY[[#This Row],[Total Spending before Truncation is Applied]]</f>
        <v>1</v>
      </c>
    </row>
    <row r="1279" spans="1:10" x14ac:dyDescent="0.25">
      <c r="A1279" s="339"/>
      <c r="B1279" s="270"/>
      <c r="C1279" s="271"/>
      <c r="D1279" s="456"/>
      <c r="E1279" s="362"/>
      <c r="F1279" s="272"/>
      <c r="G1279" s="460"/>
      <c r="H1279" s="272"/>
      <c r="I1279" s="399"/>
      <c r="J1279" s="241" t="b">
        <f>Age_Sex_PY[[#This Row],[Total Spending After Applying Truncation at the Member Level]]+Age_Sex_PY[[#This Row],[Total Dollars Excluded from Spending After Applying Truncation at the Member Level]]=Age_Sex_PY[[#This Row],[Total Spending before Truncation is Applied]]</f>
        <v>1</v>
      </c>
    </row>
    <row r="1280" spans="1:10" x14ac:dyDescent="0.25">
      <c r="A1280" s="342"/>
      <c r="B1280" s="4"/>
      <c r="C1280" s="16"/>
      <c r="D1280" s="457"/>
      <c r="E1280" s="363"/>
      <c r="F1280" s="273"/>
      <c r="G1280" s="226"/>
      <c r="H1280" s="273"/>
      <c r="I1280" s="400"/>
      <c r="J1280" s="243" t="b">
        <f>Age_Sex_PY[[#This Row],[Total Spending After Applying Truncation at the Member Level]]+Age_Sex_PY[[#This Row],[Total Dollars Excluded from Spending After Applying Truncation at the Member Level]]=Age_Sex_PY[[#This Row],[Total Spending before Truncation is Applied]]</f>
        <v>1</v>
      </c>
    </row>
    <row r="1281" spans="1:10" x14ac:dyDescent="0.25">
      <c r="A1281" s="339"/>
      <c r="B1281" s="270"/>
      <c r="C1281" s="271"/>
      <c r="D1281" s="456"/>
      <c r="E1281" s="362"/>
      <c r="F1281" s="272"/>
      <c r="G1281" s="460"/>
      <c r="H1281" s="272"/>
      <c r="I1281" s="399"/>
      <c r="J1281" s="241" t="b">
        <f>Age_Sex_PY[[#This Row],[Total Spending After Applying Truncation at the Member Level]]+Age_Sex_PY[[#This Row],[Total Dollars Excluded from Spending After Applying Truncation at the Member Level]]=Age_Sex_PY[[#This Row],[Total Spending before Truncation is Applied]]</f>
        <v>1</v>
      </c>
    </row>
    <row r="1282" spans="1:10" x14ac:dyDescent="0.25">
      <c r="A1282" s="342"/>
      <c r="B1282" s="4"/>
      <c r="C1282" s="16"/>
      <c r="D1282" s="457"/>
      <c r="E1282" s="363"/>
      <c r="F1282" s="273"/>
      <c r="G1282" s="226"/>
      <c r="H1282" s="273"/>
      <c r="I1282" s="400"/>
      <c r="J1282" s="243" t="b">
        <f>Age_Sex_PY[[#This Row],[Total Spending After Applying Truncation at the Member Level]]+Age_Sex_PY[[#This Row],[Total Dollars Excluded from Spending After Applying Truncation at the Member Level]]=Age_Sex_PY[[#This Row],[Total Spending before Truncation is Applied]]</f>
        <v>1</v>
      </c>
    </row>
    <row r="1283" spans="1:10" x14ac:dyDescent="0.25">
      <c r="A1283" s="339"/>
      <c r="B1283" s="270"/>
      <c r="C1283" s="271"/>
      <c r="D1283" s="456"/>
      <c r="E1283" s="362"/>
      <c r="F1283" s="272"/>
      <c r="G1283" s="460"/>
      <c r="H1283" s="272"/>
      <c r="I1283" s="399"/>
      <c r="J1283" s="241" t="b">
        <f>Age_Sex_PY[[#This Row],[Total Spending After Applying Truncation at the Member Level]]+Age_Sex_PY[[#This Row],[Total Dollars Excluded from Spending After Applying Truncation at the Member Level]]=Age_Sex_PY[[#This Row],[Total Spending before Truncation is Applied]]</f>
        <v>1</v>
      </c>
    </row>
    <row r="1284" spans="1:10" x14ac:dyDescent="0.25">
      <c r="A1284" s="342"/>
      <c r="B1284" s="4"/>
      <c r="C1284" s="16"/>
      <c r="D1284" s="457"/>
      <c r="E1284" s="363"/>
      <c r="F1284" s="273"/>
      <c r="G1284" s="226"/>
      <c r="H1284" s="273"/>
      <c r="I1284" s="400"/>
      <c r="J1284" s="243" t="b">
        <f>Age_Sex_PY[[#This Row],[Total Spending After Applying Truncation at the Member Level]]+Age_Sex_PY[[#This Row],[Total Dollars Excluded from Spending After Applying Truncation at the Member Level]]=Age_Sex_PY[[#This Row],[Total Spending before Truncation is Applied]]</f>
        <v>1</v>
      </c>
    </row>
    <row r="1285" spans="1:10" x14ac:dyDescent="0.25">
      <c r="A1285" s="339"/>
      <c r="B1285" s="270"/>
      <c r="C1285" s="271"/>
      <c r="D1285" s="456"/>
      <c r="E1285" s="362"/>
      <c r="F1285" s="272"/>
      <c r="G1285" s="460"/>
      <c r="H1285" s="272"/>
      <c r="I1285" s="399"/>
      <c r="J1285" s="241" t="b">
        <f>Age_Sex_PY[[#This Row],[Total Spending After Applying Truncation at the Member Level]]+Age_Sex_PY[[#This Row],[Total Dollars Excluded from Spending After Applying Truncation at the Member Level]]=Age_Sex_PY[[#This Row],[Total Spending before Truncation is Applied]]</f>
        <v>1</v>
      </c>
    </row>
    <row r="1286" spans="1:10" x14ac:dyDescent="0.25">
      <c r="A1286" s="342"/>
      <c r="B1286" s="4"/>
      <c r="C1286" s="16"/>
      <c r="D1286" s="457"/>
      <c r="E1286" s="363"/>
      <c r="F1286" s="273"/>
      <c r="G1286" s="226"/>
      <c r="H1286" s="273"/>
      <c r="I1286" s="400"/>
      <c r="J1286" s="243" t="b">
        <f>Age_Sex_PY[[#This Row],[Total Spending After Applying Truncation at the Member Level]]+Age_Sex_PY[[#This Row],[Total Dollars Excluded from Spending After Applying Truncation at the Member Level]]=Age_Sex_PY[[#This Row],[Total Spending before Truncation is Applied]]</f>
        <v>1</v>
      </c>
    </row>
    <row r="1287" spans="1:10" x14ac:dyDescent="0.25">
      <c r="A1287" s="339"/>
      <c r="B1287" s="270"/>
      <c r="C1287" s="271"/>
      <c r="D1287" s="456"/>
      <c r="E1287" s="362"/>
      <c r="F1287" s="272"/>
      <c r="G1287" s="460"/>
      <c r="H1287" s="272"/>
      <c r="I1287" s="399"/>
      <c r="J1287" s="241" t="b">
        <f>Age_Sex_PY[[#This Row],[Total Spending After Applying Truncation at the Member Level]]+Age_Sex_PY[[#This Row],[Total Dollars Excluded from Spending After Applying Truncation at the Member Level]]=Age_Sex_PY[[#This Row],[Total Spending before Truncation is Applied]]</f>
        <v>1</v>
      </c>
    </row>
    <row r="1288" spans="1:10" x14ac:dyDescent="0.25">
      <c r="A1288" s="342"/>
      <c r="B1288" s="4"/>
      <c r="C1288" s="16"/>
      <c r="D1288" s="457"/>
      <c r="E1288" s="363"/>
      <c r="F1288" s="273"/>
      <c r="G1288" s="226"/>
      <c r="H1288" s="273"/>
      <c r="I1288" s="400"/>
      <c r="J1288" s="243" t="b">
        <f>Age_Sex_PY[[#This Row],[Total Spending After Applying Truncation at the Member Level]]+Age_Sex_PY[[#This Row],[Total Dollars Excluded from Spending After Applying Truncation at the Member Level]]=Age_Sex_PY[[#This Row],[Total Spending before Truncation is Applied]]</f>
        <v>1</v>
      </c>
    </row>
    <row r="1289" spans="1:10" x14ac:dyDescent="0.25">
      <c r="A1289" s="339"/>
      <c r="B1289" s="270"/>
      <c r="C1289" s="271"/>
      <c r="D1289" s="456"/>
      <c r="E1289" s="362"/>
      <c r="F1289" s="272"/>
      <c r="G1289" s="460"/>
      <c r="H1289" s="272"/>
      <c r="I1289" s="399"/>
      <c r="J1289" s="241" t="b">
        <f>Age_Sex_PY[[#This Row],[Total Spending After Applying Truncation at the Member Level]]+Age_Sex_PY[[#This Row],[Total Dollars Excluded from Spending After Applying Truncation at the Member Level]]=Age_Sex_PY[[#This Row],[Total Spending before Truncation is Applied]]</f>
        <v>1</v>
      </c>
    </row>
    <row r="1290" spans="1:10" x14ac:dyDescent="0.25">
      <c r="A1290" s="342"/>
      <c r="B1290" s="4"/>
      <c r="C1290" s="16"/>
      <c r="D1290" s="457"/>
      <c r="E1290" s="363"/>
      <c r="F1290" s="273"/>
      <c r="G1290" s="226"/>
      <c r="H1290" s="273"/>
      <c r="I1290" s="400"/>
      <c r="J1290" s="243" t="b">
        <f>Age_Sex_PY[[#This Row],[Total Spending After Applying Truncation at the Member Level]]+Age_Sex_PY[[#This Row],[Total Dollars Excluded from Spending After Applying Truncation at the Member Level]]=Age_Sex_PY[[#This Row],[Total Spending before Truncation is Applied]]</f>
        <v>1</v>
      </c>
    </row>
    <row r="1291" spans="1:10" x14ac:dyDescent="0.25">
      <c r="A1291" s="339"/>
      <c r="B1291" s="270"/>
      <c r="C1291" s="271"/>
      <c r="D1291" s="456"/>
      <c r="E1291" s="362"/>
      <c r="F1291" s="272"/>
      <c r="G1291" s="460"/>
      <c r="H1291" s="272"/>
      <c r="I1291" s="399"/>
      <c r="J1291" s="241" t="b">
        <f>Age_Sex_PY[[#This Row],[Total Spending After Applying Truncation at the Member Level]]+Age_Sex_PY[[#This Row],[Total Dollars Excluded from Spending After Applying Truncation at the Member Level]]=Age_Sex_PY[[#This Row],[Total Spending before Truncation is Applied]]</f>
        <v>1</v>
      </c>
    </row>
    <row r="1292" spans="1:10" x14ac:dyDescent="0.25">
      <c r="A1292" s="342"/>
      <c r="B1292" s="4"/>
      <c r="C1292" s="16"/>
      <c r="D1292" s="457"/>
      <c r="E1292" s="363"/>
      <c r="F1292" s="273"/>
      <c r="G1292" s="226"/>
      <c r="H1292" s="273"/>
      <c r="I1292" s="400"/>
      <c r="J1292" s="243" t="b">
        <f>Age_Sex_PY[[#This Row],[Total Spending After Applying Truncation at the Member Level]]+Age_Sex_PY[[#This Row],[Total Dollars Excluded from Spending After Applying Truncation at the Member Level]]=Age_Sex_PY[[#This Row],[Total Spending before Truncation is Applied]]</f>
        <v>1</v>
      </c>
    </row>
    <row r="1293" spans="1:10" x14ac:dyDescent="0.25">
      <c r="A1293" s="339"/>
      <c r="B1293" s="270"/>
      <c r="C1293" s="271"/>
      <c r="D1293" s="456"/>
      <c r="E1293" s="362"/>
      <c r="F1293" s="272"/>
      <c r="G1293" s="460"/>
      <c r="H1293" s="272"/>
      <c r="I1293" s="399"/>
      <c r="J1293" s="241" t="b">
        <f>Age_Sex_PY[[#This Row],[Total Spending After Applying Truncation at the Member Level]]+Age_Sex_PY[[#This Row],[Total Dollars Excluded from Spending After Applying Truncation at the Member Level]]=Age_Sex_PY[[#This Row],[Total Spending before Truncation is Applied]]</f>
        <v>1</v>
      </c>
    </row>
    <row r="1294" spans="1:10" x14ac:dyDescent="0.25">
      <c r="A1294" s="342"/>
      <c r="B1294" s="4"/>
      <c r="C1294" s="16"/>
      <c r="D1294" s="457"/>
      <c r="E1294" s="363"/>
      <c r="F1294" s="273"/>
      <c r="G1294" s="226"/>
      <c r="H1294" s="273"/>
      <c r="I1294" s="400"/>
      <c r="J1294" s="243" t="b">
        <f>Age_Sex_PY[[#This Row],[Total Spending After Applying Truncation at the Member Level]]+Age_Sex_PY[[#This Row],[Total Dollars Excluded from Spending After Applying Truncation at the Member Level]]=Age_Sex_PY[[#This Row],[Total Spending before Truncation is Applied]]</f>
        <v>1</v>
      </c>
    </row>
    <row r="1295" spans="1:10" x14ac:dyDescent="0.25">
      <c r="A1295" s="339"/>
      <c r="B1295" s="270"/>
      <c r="C1295" s="271"/>
      <c r="D1295" s="456"/>
      <c r="E1295" s="362"/>
      <c r="F1295" s="272"/>
      <c r="G1295" s="460"/>
      <c r="H1295" s="272"/>
      <c r="I1295" s="399"/>
      <c r="J1295" s="241" t="b">
        <f>Age_Sex_PY[[#This Row],[Total Spending After Applying Truncation at the Member Level]]+Age_Sex_PY[[#This Row],[Total Dollars Excluded from Spending After Applying Truncation at the Member Level]]=Age_Sex_PY[[#This Row],[Total Spending before Truncation is Applied]]</f>
        <v>1</v>
      </c>
    </row>
    <row r="1296" spans="1:10" x14ac:dyDescent="0.25">
      <c r="A1296" s="342"/>
      <c r="B1296" s="4"/>
      <c r="C1296" s="16"/>
      <c r="D1296" s="457"/>
      <c r="E1296" s="363"/>
      <c r="F1296" s="273"/>
      <c r="G1296" s="226"/>
      <c r="H1296" s="273"/>
      <c r="I1296" s="400"/>
      <c r="J1296" s="243" t="b">
        <f>Age_Sex_PY[[#This Row],[Total Spending After Applying Truncation at the Member Level]]+Age_Sex_PY[[#This Row],[Total Dollars Excluded from Spending After Applying Truncation at the Member Level]]=Age_Sex_PY[[#This Row],[Total Spending before Truncation is Applied]]</f>
        <v>1</v>
      </c>
    </row>
    <row r="1297" spans="1:10" x14ac:dyDescent="0.25">
      <c r="A1297" s="339"/>
      <c r="B1297" s="270"/>
      <c r="C1297" s="271"/>
      <c r="D1297" s="456"/>
      <c r="E1297" s="362"/>
      <c r="F1297" s="272"/>
      <c r="G1297" s="460"/>
      <c r="H1297" s="272"/>
      <c r="I1297" s="399"/>
      <c r="J1297" s="241" t="b">
        <f>Age_Sex_PY[[#This Row],[Total Spending After Applying Truncation at the Member Level]]+Age_Sex_PY[[#This Row],[Total Dollars Excluded from Spending After Applying Truncation at the Member Level]]=Age_Sex_PY[[#This Row],[Total Spending before Truncation is Applied]]</f>
        <v>1</v>
      </c>
    </row>
    <row r="1298" spans="1:10" x14ac:dyDescent="0.25">
      <c r="A1298" s="342"/>
      <c r="B1298" s="4"/>
      <c r="C1298" s="16"/>
      <c r="D1298" s="457"/>
      <c r="E1298" s="363"/>
      <c r="F1298" s="273"/>
      <c r="G1298" s="226"/>
      <c r="H1298" s="273"/>
      <c r="I1298" s="400"/>
      <c r="J1298" s="243" t="b">
        <f>Age_Sex_PY[[#This Row],[Total Spending After Applying Truncation at the Member Level]]+Age_Sex_PY[[#This Row],[Total Dollars Excluded from Spending After Applying Truncation at the Member Level]]=Age_Sex_PY[[#This Row],[Total Spending before Truncation is Applied]]</f>
        <v>1</v>
      </c>
    </row>
    <row r="1299" spans="1:10" x14ac:dyDescent="0.25">
      <c r="A1299" s="339"/>
      <c r="B1299" s="270"/>
      <c r="C1299" s="271"/>
      <c r="D1299" s="456"/>
      <c r="E1299" s="362"/>
      <c r="F1299" s="272"/>
      <c r="G1299" s="460"/>
      <c r="H1299" s="272"/>
      <c r="I1299" s="399"/>
      <c r="J1299" s="241" t="b">
        <f>Age_Sex_PY[[#This Row],[Total Spending After Applying Truncation at the Member Level]]+Age_Sex_PY[[#This Row],[Total Dollars Excluded from Spending After Applying Truncation at the Member Level]]=Age_Sex_PY[[#This Row],[Total Spending before Truncation is Applied]]</f>
        <v>1</v>
      </c>
    </row>
    <row r="1300" spans="1:10" x14ac:dyDescent="0.25">
      <c r="A1300" s="342"/>
      <c r="B1300" s="4"/>
      <c r="C1300" s="16"/>
      <c r="D1300" s="457"/>
      <c r="E1300" s="363"/>
      <c r="F1300" s="273"/>
      <c r="G1300" s="226"/>
      <c r="H1300" s="273"/>
      <c r="I1300" s="400"/>
      <c r="J1300" s="243" t="b">
        <f>Age_Sex_PY[[#This Row],[Total Spending After Applying Truncation at the Member Level]]+Age_Sex_PY[[#This Row],[Total Dollars Excluded from Spending After Applying Truncation at the Member Level]]=Age_Sex_PY[[#This Row],[Total Spending before Truncation is Applied]]</f>
        <v>1</v>
      </c>
    </row>
    <row r="1301" spans="1:10" x14ac:dyDescent="0.25">
      <c r="A1301" s="339"/>
      <c r="B1301" s="270"/>
      <c r="C1301" s="271"/>
      <c r="D1301" s="456"/>
      <c r="E1301" s="362"/>
      <c r="F1301" s="272"/>
      <c r="G1301" s="460"/>
      <c r="H1301" s="272"/>
      <c r="I1301" s="399"/>
      <c r="J1301" s="241" t="b">
        <f>Age_Sex_PY[[#This Row],[Total Spending After Applying Truncation at the Member Level]]+Age_Sex_PY[[#This Row],[Total Dollars Excluded from Spending After Applying Truncation at the Member Level]]=Age_Sex_PY[[#This Row],[Total Spending before Truncation is Applied]]</f>
        <v>1</v>
      </c>
    </row>
    <row r="1302" spans="1:10" x14ac:dyDescent="0.25">
      <c r="A1302" s="342"/>
      <c r="B1302" s="4"/>
      <c r="C1302" s="16"/>
      <c r="D1302" s="457"/>
      <c r="E1302" s="363"/>
      <c r="F1302" s="273"/>
      <c r="G1302" s="226"/>
      <c r="H1302" s="273"/>
      <c r="I1302" s="400"/>
      <c r="J1302" s="243" t="b">
        <f>Age_Sex_PY[[#This Row],[Total Spending After Applying Truncation at the Member Level]]+Age_Sex_PY[[#This Row],[Total Dollars Excluded from Spending After Applying Truncation at the Member Level]]=Age_Sex_PY[[#This Row],[Total Spending before Truncation is Applied]]</f>
        <v>1</v>
      </c>
    </row>
    <row r="1303" spans="1:10" x14ac:dyDescent="0.25">
      <c r="A1303" s="339"/>
      <c r="B1303" s="270"/>
      <c r="C1303" s="271"/>
      <c r="D1303" s="456"/>
      <c r="E1303" s="362"/>
      <c r="F1303" s="272"/>
      <c r="G1303" s="460"/>
      <c r="H1303" s="272"/>
      <c r="I1303" s="399"/>
      <c r="J1303" s="241" t="b">
        <f>Age_Sex_PY[[#This Row],[Total Spending After Applying Truncation at the Member Level]]+Age_Sex_PY[[#This Row],[Total Dollars Excluded from Spending After Applying Truncation at the Member Level]]=Age_Sex_PY[[#This Row],[Total Spending before Truncation is Applied]]</f>
        <v>1</v>
      </c>
    </row>
    <row r="1304" spans="1:10" x14ac:dyDescent="0.25">
      <c r="A1304" s="342"/>
      <c r="B1304" s="4"/>
      <c r="C1304" s="16"/>
      <c r="D1304" s="457"/>
      <c r="E1304" s="363"/>
      <c r="F1304" s="273"/>
      <c r="G1304" s="226"/>
      <c r="H1304" s="273"/>
      <c r="I1304" s="400"/>
      <c r="J1304" s="243" t="b">
        <f>Age_Sex_PY[[#This Row],[Total Spending After Applying Truncation at the Member Level]]+Age_Sex_PY[[#This Row],[Total Dollars Excluded from Spending After Applying Truncation at the Member Level]]=Age_Sex_PY[[#This Row],[Total Spending before Truncation is Applied]]</f>
        <v>1</v>
      </c>
    </row>
    <row r="1305" spans="1:10" x14ac:dyDescent="0.25">
      <c r="A1305" s="339"/>
      <c r="B1305" s="270"/>
      <c r="C1305" s="271"/>
      <c r="D1305" s="456"/>
      <c r="E1305" s="362"/>
      <c r="F1305" s="272"/>
      <c r="G1305" s="460"/>
      <c r="H1305" s="272"/>
      <c r="I1305" s="399"/>
      <c r="J1305" s="241" t="b">
        <f>Age_Sex_PY[[#This Row],[Total Spending After Applying Truncation at the Member Level]]+Age_Sex_PY[[#This Row],[Total Dollars Excluded from Spending After Applying Truncation at the Member Level]]=Age_Sex_PY[[#This Row],[Total Spending before Truncation is Applied]]</f>
        <v>1</v>
      </c>
    </row>
    <row r="1306" spans="1:10" x14ac:dyDescent="0.25">
      <c r="A1306" s="342"/>
      <c r="B1306" s="4"/>
      <c r="C1306" s="16"/>
      <c r="D1306" s="457"/>
      <c r="E1306" s="363"/>
      <c r="F1306" s="273"/>
      <c r="G1306" s="226"/>
      <c r="H1306" s="273"/>
      <c r="I1306" s="400"/>
      <c r="J1306" s="243" t="b">
        <f>Age_Sex_PY[[#This Row],[Total Spending After Applying Truncation at the Member Level]]+Age_Sex_PY[[#This Row],[Total Dollars Excluded from Spending After Applying Truncation at the Member Level]]=Age_Sex_PY[[#This Row],[Total Spending before Truncation is Applied]]</f>
        <v>1</v>
      </c>
    </row>
    <row r="1307" spans="1:10" x14ac:dyDescent="0.25">
      <c r="A1307" s="339"/>
      <c r="B1307" s="270"/>
      <c r="C1307" s="271"/>
      <c r="D1307" s="456"/>
      <c r="E1307" s="362"/>
      <c r="F1307" s="272"/>
      <c r="G1307" s="460"/>
      <c r="H1307" s="272"/>
      <c r="I1307" s="399"/>
      <c r="J1307" s="241" t="b">
        <f>Age_Sex_PY[[#This Row],[Total Spending After Applying Truncation at the Member Level]]+Age_Sex_PY[[#This Row],[Total Dollars Excluded from Spending After Applying Truncation at the Member Level]]=Age_Sex_PY[[#This Row],[Total Spending before Truncation is Applied]]</f>
        <v>1</v>
      </c>
    </row>
    <row r="1308" spans="1:10" x14ac:dyDescent="0.25">
      <c r="A1308" s="342"/>
      <c r="B1308" s="4"/>
      <c r="C1308" s="16"/>
      <c r="D1308" s="457"/>
      <c r="E1308" s="363"/>
      <c r="F1308" s="273"/>
      <c r="G1308" s="226"/>
      <c r="H1308" s="273"/>
      <c r="I1308" s="400"/>
      <c r="J1308" s="243" t="b">
        <f>Age_Sex_PY[[#This Row],[Total Spending After Applying Truncation at the Member Level]]+Age_Sex_PY[[#This Row],[Total Dollars Excluded from Spending After Applying Truncation at the Member Level]]=Age_Sex_PY[[#This Row],[Total Spending before Truncation is Applied]]</f>
        <v>1</v>
      </c>
    </row>
    <row r="1309" spans="1:10" x14ac:dyDescent="0.25">
      <c r="A1309" s="339"/>
      <c r="B1309" s="270"/>
      <c r="C1309" s="271"/>
      <c r="D1309" s="456"/>
      <c r="E1309" s="362"/>
      <c r="F1309" s="272"/>
      <c r="G1309" s="460"/>
      <c r="H1309" s="272"/>
      <c r="I1309" s="399"/>
      <c r="J1309" s="241" t="b">
        <f>Age_Sex_PY[[#This Row],[Total Spending After Applying Truncation at the Member Level]]+Age_Sex_PY[[#This Row],[Total Dollars Excluded from Spending After Applying Truncation at the Member Level]]=Age_Sex_PY[[#This Row],[Total Spending before Truncation is Applied]]</f>
        <v>1</v>
      </c>
    </row>
    <row r="1310" spans="1:10" x14ac:dyDescent="0.25">
      <c r="A1310" s="342"/>
      <c r="B1310" s="4"/>
      <c r="C1310" s="16"/>
      <c r="D1310" s="457"/>
      <c r="E1310" s="363"/>
      <c r="F1310" s="273"/>
      <c r="G1310" s="226"/>
      <c r="H1310" s="273"/>
      <c r="I1310" s="400"/>
      <c r="J1310" s="243" t="b">
        <f>Age_Sex_PY[[#This Row],[Total Spending After Applying Truncation at the Member Level]]+Age_Sex_PY[[#This Row],[Total Dollars Excluded from Spending After Applying Truncation at the Member Level]]=Age_Sex_PY[[#This Row],[Total Spending before Truncation is Applied]]</f>
        <v>1</v>
      </c>
    </row>
    <row r="1311" spans="1:10" x14ac:dyDescent="0.25">
      <c r="A1311" s="339"/>
      <c r="B1311" s="270"/>
      <c r="C1311" s="271"/>
      <c r="D1311" s="456"/>
      <c r="E1311" s="362"/>
      <c r="F1311" s="272"/>
      <c r="G1311" s="460"/>
      <c r="H1311" s="272"/>
      <c r="I1311" s="399"/>
      <c r="J1311" s="241" t="b">
        <f>Age_Sex_PY[[#This Row],[Total Spending After Applying Truncation at the Member Level]]+Age_Sex_PY[[#This Row],[Total Dollars Excluded from Spending After Applying Truncation at the Member Level]]=Age_Sex_PY[[#This Row],[Total Spending before Truncation is Applied]]</f>
        <v>1</v>
      </c>
    </row>
    <row r="1312" spans="1:10" x14ac:dyDescent="0.25">
      <c r="A1312" s="342"/>
      <c r="B1312" s="4"/>
      <c r="C1312" s="16"/>
      <c r="D1312" s="457"/>
      <c r="E1312" s="363"/>
      <c r="F1312" s="273"/>
      <c r="G1312" s="226"/>
      <c r="H1312" s="273"/>
      <c r="I1312" s="400"/>
      <c r="J1312" s="243" t="b">
        <f>Age_Sex_PY[[#This Row],[Total Spending After Applying Truncation at the Member Level]]+Age_Sex_PY[[#This Row],[Total Dollars Excluded from Spending After Applying Truncation at the Member Level]]=Age_Sex_PY[[#This Row],[Total Spending before Truncation is Applied]]</f>
        <v>1</v>
      </c>
    </row>
    <row r="1313" spans="1:10" x14ac:dyDescent="0.25">
      <c r="A1313" s="339"/>
      <c r="B1313" s="270"/>
      <c r="C1313" s="271"/>
      <c r="D1313" s="456"/>
      <c r="E1313" s="362"/>
      <c r="F1313" s="272"/>
      <c r="G1313" s="460"/>
      <c r="H1313" s="272"/>
      <c r="I1313" s="399"/>
      <c r="J1313" s="241" t="b">
        <f>Age_Sex_PY[[#This Row],[Total Spending After Applying Truncation at the Member Level]]+Age_Sex_PY[[#This Row],[Total Dollars Excluded from Spending After Applying Truncation at the Member Level]]=Age_Sex_PY[[#This Row],[Total Spending before Truncation is Applied]]</f>
        <v>1</v>
      </c>
    </row>
    <row r="1314" spans="1:10" x14ac:dyDescent="0.25">
      <c r="A1314" s="342"/>
      <c r="B1314" s="4"/>
      <c r="C1314" s="16"/>
      <c r="D1314" s="457"/>
      <c r="E1314" s="363"/>
      <c r="F1314" s="273"/>
      <c r="G1314" s="226"/>
      <c r="H1314" s="273"/>
      <c r="I1314" s="400"/>
      <c r="J1314" s="243" t="b">
        <f>Age_Sex_PY[[#This Row],[Total Spending After Applying Truncation at the Member Level]]+Age_Sex_PY[[#This Row],[Total Dollars Excluded from Spending After Applying Truncation at the Member Level]]=Age_Sex_PY[[#This Row],[Total Spending before Truncation is Applied]]</f>
        <v>1</v>
      </c>
    </row>
    <row r="1315" spans="1:10" x14ac:dyDescent="0.25">
      <c r="A1315" s="339"/>
      <c r="B1315" s="270"/>
      <c r="C1315" s="271"/>
      <c r="D1315" s="456"/>
      <c r="E1315" s="362"/>
      <c r="F1315" s="272"/>
      <c r="G1315" s="460"/>
      <c r="H1315" s="272"/>
      <c r="I1315" s="399"/>
      <c r="J1315" s="241" t="b">
        <f>Age_Sex_PY[[#This Row],[Total Spending After Applying Truncation at the Member Level]]+Age_Sex_PY[[#This Row],[Total Dollars Excluded from Spending After Applying Truncation at the Member Level]]=Age_Sex_PY[[#This Row],[Total Spending before Truncation is Applied]]</f>
        <v>1</v>
      </c>
    </row>
    <row r="1316" spans="1:10" x14ac:dyDescent="0.25">
      <c r="A1316" s="342"/>
      <c r="B1316" s="4"/>
      <c r="C1316" s="16"/>
      <c r="D1316" s="457"/>
      <c r="E1316" s="363"/>
      <c r="F1316" s="273"/>
      <c r="G1316" s="226"/>
      <c r="H1316" s="273"/>
      <c r="I1316" s="400"/>
      <c r="J1316" s="243" t="b">
        <f>Age_Sex_PY[[#This Row],[Total Spending After Applying Truncation at the Member Level]]+Age_Sex_PY[[#This Row],[Total Dollars Excluded from Spending After Applying Truncation at the Member Level]]=Age_Sex_PY[[#This Row],[Total Spending before Truncation is Applied]]</f>
        <v>1</v>
      </c>
    </row>
    <row r="1317" spans="1:10" x14ac:dyDescent="0.25">
      <c r="A1317" s="339"/>
      <c r="B1317" s="270"/>
      <c r="C1317" s="271"/>
      <c r="D1317" s="456"/>
      <c r="E1317" s="362"/>
      <c r="F1317" s="272"/>
      <c r="G1317" s="460"/>
      <c r="H1317" s="272"/>
      <c r="I1317" s="399"/>
      <c r="J1317" s="241" t="b">
        <f>Age_Sex_PY[[#This Row],[Total Spending After Applying Truncation at the Member Level]]+Age_Sex_PY[[#This Row],[Total Dollars Excluded from Spending After Applying Truncation at the Member Level]]=Age_Sex_PY[[#This Row],[Total Spending before Truncation is Applied]]</f>
        <v>1</v>
      </c>
    </row>
    <row r="1318" spans="1:10" x14ac:dyDescent="0.25">
      <c r="A1318" s="342"/>
      <c r="B1318" s="4"/>
      <c r="C1318" s="16"/>
      <c r="D1318" s="457"/>
      <c r="E1318" s="363"/>
      <c r="F1318" s="273"/>
      <c r="G1318" s="226"/>
      <c r="H1318" s="273"/>
      <c r="I1318" s="400"/>
      <c r="J1318" s="243" t="b">
        <f>Age_Sex_PY[[#This Row],[Total Spending After Applying Truncation at the Member Level]]+Age_Sex_PY[[#This Row],[Total Dollars Excluded from Spending After Applying Truncation at the Member Level]]=Age_Sex_PY[[#This Row],[Total Spending before Truncation is Applied]]</f>
        <v>1</v>
      </c>
    </row>
    <row r="1319" spans="1:10" x14ac:dyDescent="0.25">
      <c r="A1319" s="339"/>
      <c r="B1319" s="270"/>
      <c r="C1319" s="271"/>
      <c r="D1319" s="456"/>
      <c r="E1319" s="362"/>
      <c r="F1319" s="272"/>
      <c r="G1319" s="460"/>
      <c r="H1319" s="272"/>
      <c r="I1319" s="399"/>
      <c r="J1319" s="241" t="b">
        <f>Age_Sex_PY[[#This Row],[Total Spending After Applying Truncation at the Member Level]]+Age_Sex_PY[[#This Row],[Total Dollars Excluded from Spending After Applying Truncation at the Member Level]]=Age_Sex_PY[[#This Row],[Total Spending before Truncation is Applied]]</f>
        <v>1</v>
      </c>
    </row>
    <row r="1320" spans="1:10" x14ac:dyDescent="0.25">
      <c r="A1320" s="342"/>
      <c r="B1320" s="4"/>
      <c r="C1320" s="16"/>
      <c r="D1320" s="457"/>
      <c r="E1320" s="363"/>
      <c r="F1320" s="273"/>
      <c r="G1320" s="226"/>
      <c r="H1320" s="273"/>
      <c r="I1320" s="400"/>
      <c r="J1320" s="243" t="b">
        <f>Age_Sex_PY[[#This Row],[Total Spending After Applying Truncation at the Member Level]]+Age_Sex_PY[[#This Row],[Total Dollars Excluded from Spending After Applying Truncation at the Member Level]]=Age_Sex_PY[[#This Row],[Total Spending before Truncation is Applied]]</f>
        <v>1</v>
      </c>
    </row>
    <row r="1321" spans="1:10" x14ac:dyDescent="0.25">
      <c r="A1321" s="339"/>
      <c r="B1321" s="270"/>
      <c r="C1321" s="271"/>
      <c r="D1321" s="456"/>
      <c r="E1321" s="362"/>
      <c r="F1321" s="272"/>
      <c r="G1321" s="460"/>
      <c r="H1321" s="272"/>
      <c r="I1321" s="399"/>
      <c r="J1321" s="241" t="b">
        <f>Age_Sex_PY[[#This Row],[Total Spending After Applying Truncation at the Member Level]]+Age_Sex_PY[[#This Row],[Total Dollars Excluded from Spending After Applying Truncation at the Member Level]]=Age_Sex_PY[[#This Row],[Total Spending before Truncation is Applied]]</f>
        <v>1</v>
      </c>
    </row>
    <row r="1322" spans="1:10" x14ac:dyDescent="0.25">
      <c r="A1322" s="342"/>
      <c r="B1322" s="4"/>
      <c r="C1322" s="16"/>
      <c r="D1322" s="457"/>
      <c r="E1322" s="363"/>
      <c r="F1322" s="273"/>
      <c r="G1322" s="226"/>
      <c r="H1322" s="273"/>
      <c r="I1322" s="400"/>
      <c r="J1322" s="243" t="b">
        <f>Age_Sex_PY[[#This Row],[Total Spending After Applying Truncation at the Member Level]]+Age_Sex_PY[[#This Row],[Total Dollars Excluded from Spending After Applying Truncation at the Member Level]]=Age_Sex_PY[[#This Row],[Total Spending before Truncation is Applied]]</f>
        <v>1</v>
      </c>
    </row>
    <row r="1323" spans="1:10" x14ac:dyDescent="0.25">
      <c r="A1323" s="339"/>
      <c r="B1323" s="270"/>
      <c r="C1323" s="271"/>
      <c r="D1323" s="456"/>
      <c r="E1323" s="362"/>
      <c r="F1323" s="272"/>
      <c r="G1323" s="460"/>
      <c r="H1323" s="272"/>
      <c r="I1323" s="399"/>
      <c r="J1323" s="241" t="b">
        <f>Age_Sex_PY[[#This Row],[Total Spending After Applying Truncation at the Member Level]]+Age_Sex_PY[[#This Row],[Total Dollars Excluded from Spending After Applying Truncation at the Member Level]]=Age_Sex_PY[[#This Row],[Total Spending before Truncation is Applied]]</f>
        <v>1</v>
      </c>
    </row>
    <row r="1324" spans="1:10" x14ac:dyDescent="0.25">
      <c r="A1324" s="342"/>
      <c r="B1324" s="4"/>
      <c r="C1324" s="16"/>
      <c r="D1324" s="457"/>
      <c r="E1324" s="363"/>
      <c r="F1324" s="273"/>
      <c r="G1324" s="226"/>
      <c r="H1324" s="273"/>
      <c r="I1324" s="400"/>
      <c r="J1324" s="243" t="b">
        <f>Age_Sex_PY[[#This Row],[Total Spending After Applying Truncation at the Member Level]]+Age_Sex_PY[[#This Row],[Total Dollars Excluded from Spending After Applying Truncation at the Member Level]]=Age_Sex_PY[[#This Row],[Total Spending before Truncation is Applied]]</f>
        <v>1</v>
      </c>
    </row>
    <row r="1325" spans="1:10" x14ac:dyDescent="0.25">
      <c r="A1325" s="339"/>
      <c r="B1325" s="270"/>
      <c r="C1325" s="271"/>
      <c r="D1325" s="456"/>
      <c r="E1325" s="362"/>
      <c r="F1325" s="272"/>
      <c r="G1325" s="460"/>
      <c r="H1325" s="272"/>
      <c r="I1325" s="399"/>
      <c r="J1325" s="241" t="b">
        <f>Age_Sex_PY[[#This Row],[Total Spending After Applying Truncation at the Member Level]]+Age_Sex_PY[[#This Row],[Total Dollars Excluded from Spending After Applying Truncation at the Member Level]]=Age_Sex_PY[[#This Row],[Total Spending before Truncation is Applied]]</f>
        <v>1</v>
      </c>
    </row>
    <row r="1326" spans="1:10" x14ac:dyDescent="0.25">
      <c r="A1326" s="342"/>
      <c r="B1326" s="4"/>
      <c r="C1326" s="16"/>
      <c r="D1326" s="457"/>
      <c r="E1326" s="363"/>
      <c r="F1326" s="273"/>
      <c r="G1326" s="226"/>
      <c r="H1326" s="273"/>
      <c r="I1326" s="400"/>
      <c r="J1326" s="243" t="b">
        <f>Age_Sex_PY[[#This Row],[Total Spending After Applying Truncation at the Member Level]]+Age_Sex_PY[[#This Row],[Total Dollars Excluded from Spending After Applying Truncation at the Member Level]]=Age_Sex_PY[[#This Row],[Total Spending before Truncation is Applied]]</f>
        <v>1</v>
      </c>
    </row>
    <row r="1327" spans="1:10" x14ac:dyDescent="0.25">
      <c r="A1327" s="339"/>
      <c r="B1327" s="270"/>
      <c r="C1327" s="271"/>
      <c r="D1327" s="456"/>
      <c r="E1327" s="362"/>
      <c r="F1327" s="272"/>
      <c r="G1327" s="460"/>
      <c r="H1327" s="272"/>
      <c r="I1327" s="399"/>
      <c r="J1327" s="241" t="b">
        <f>Age_Sex_PY[[#This Row],[Total Spending After Applying Truncation at the Member Level]]+Age_Sex_PY[[#This Row],[Total Dollars Excluded from Spending After Applying Truncation at the Member Level]]=Age_Sex_PY[[#This Row],[Total Spending before Truncation is Applied]]</f>
        <v>1</v>
      </c>
    </row>
    <row r="1328" spans="1:10" x14ac:dyDescent="0.25">
      <c r="A1328" s="342"/>
      <c r="B1328" s="4"/>
      <c r="C1328" s="16"/>
      <c r="D1328" s="457"/>
      <c r="E1328" s="363"/>
      <c r="F1328" s="273"/>
      <c r="G1328" s="226"/>
      <c r="H1328" s="273"/>
      <c r="I1328" s="400"/>
      <c r="J1328" s="243" t="b">
        <f>Age_Sex_PY[[#This Row],[Total Spending After Applying Truncation at the Member Level]]+Age_Sex_PY[[#This Row],[Total Dollars Excluded from Spending After Applying Truncation at the Member Level]]=Age_Sex_PY[[#This Row],[Total Spending before Truncation is Applied]]</f>
        <v>1</v>
      </c>
    </row>
    <row r="1329" spans="1:10" x14ac:dyDescent="0.25">
      <c r="A1329" s="339"/>
      <c r="B1329" s="270"/>
      <c r="C1329" s="271"/>
      <c r="D1329" s="456"/>
      <c r="E1329" s="362"/>
      <c r="F1329" s="272"/>
      <c r="G1329" s="460"/>
      <c r="H1329" s="272"/>
      <c r="I1329" s="399"/>
      <c r="J1329" s="241" t="b">
        <f>Age_Sex_PY[[#This Row],[Total Spending After Applying Truncation at the Member Level]]+Age_Sex_PY[[#This Row],[Total Dollars Excluded from Spending After Applying Truncation at the Member Level]]=Age_Sex_PY[[#This Row],[Total Spending before Truncation is Applied]]</f>
        <v>1</v>
      </c>
    </row>
    <row r="1330" spans="1:10" x14ac:dyDescent="0.25">
      <c r="A1330" s="342"/>
      <c r="B1330" s="4"/>
      <c r="C1330" s="16"/>
      <c r="D1330" s="457"/>
      <c r="E1330" s="363"/>
      <c r="F1330" s="273"/>
      <c r="G1330" s="226"/>
      <c r="H1330" s="273"/>
      <c r="I1330" s="400"/>
      <c r="J1330" s="243" t="b">
        <f>Age_Sex_PY[[#This Row],[Total Spending After Applying Truncation at the Member Level]]+Age_Sex_PY[[#This Row],[Total Dollars Excluded from Spending After Applying Truncation at the Member Level]]=Age_Sex_PY[[#This Row],[Total Spending before Truncation is Applied]]</f>
        <v>1</v>
      </c>
    </row>
    <row r="1331" spans="1:10" x14ac:dyDescent="0.25">
      <c r="A1331" s="339"/>
      <c r="B1331" s="270"/>
      <c r="C1331" s="271"/>
      <c r="D1331" s="456"/>
      <c r="E1331" s="362"/>
      <c r="F1331" s="272"/>
      <c r="G1331" s="460"/>
      <c r="H1331" s="272"/>
      <c r="I1331" s="399"/>
      <c r="J1331" s="241" t="b">
        <f>Age_Sex_PY[[#This Row],[Total Spending After Applying Truncation at the Member Level]]+Age_Sex_PY[[#This Row],[Total Dollars Excluded from Spending After Applying Truncation at the Member Level]]=Age_Sex_PY[[#This Row],[Total Spending before Truncation is Applied]]</f>
        <v>1</v>
      </c>
    </row>
    <row r="1332" spans="1:10" x14ac:dyDescent="0.25">
      <c r="A1332" s="342"/>
      <c r="B1332" s="4"/>
      <c r="C1332" s="16"/>
      <c r="D1332" s="457"/>
      <c r="E1332" s="363"/>
      <c r="F1332" s="273"/>
      <c r="G1332" s="226"/>
      <c r="H1332" s="273"/>
      <c r="I1332" s="400"/>
      <c r="J1332" s="243" t="b">
        <f>Age_Sex_PY[[#This Row],[Total Spending After Applying Truncation at the Member Level]]+Age_Sex_PY[[#This Row],[Total Dollars Excluded from Spending After Applying Truncation at the Member Level]]=Age_Sex_PY[[#This Row],[Total Spending before Truncation is Applied]]</f>
        <v>1</v>
      </c>
    </row>
    <row r="1333" spans="1:10" x14ac:dyDescent="0.25">
      <c r="A1333" s="339"/>
      <c r="B1333" s="270"/>
      <c r="C1333" s="271"/>
      <c r="D1333" s="456"/>
      <c r="E1333" s="362"/>
      <c r="F1333" s="272"/>
      <c r="G1333" s="460"/>
      <c r="H1333" s="272"/>
      <c r="I1333" s="399"/>
      <c r="J1333" s="241" t="b">
        <f>Age_Sex_PY[[#This Row],[Total Spending After Applying Truncation at the Member Level]]+Age_Sex_PY[[#This Row],[Total Dollars Excluded from Spending After Applying Truncation at the Member Level]]=Age_Sex_PY[[#This Row],[Total Spending before Truncation is Applied]]</f>
        <v>1</v>
      </c>
    </row>
    <row r="1334" spans="1:10" x14ac:dyDescent="0.25">
      <c r="A1334" s="342"/>
      <c r="B1334" s="4"/>
      <c r="C1334" s="16"/>
      <c r="D1334" s="457"/>
      <c r="E1334" s="363"/>
      <c r="F1334" s="273"/>
      <c r="G1334" s="226"/>
      <c r="H1334" s="273"/>
      <c r="I1334" s="400"/>
      <c r="J1334" s="243" t="b">
        <f>Age_Sex_PY[[#This Row],[Total Spending After Applying Truncation at the Member Level]]+Age_Sex_PY[[#This Row],[Total Dollars Excluded from Spending After Applying Truncation at the Member Level]]=Age_Sex_PY[[#This Row],[Total Spending before Truncation is Applied]]</f>
        <v>1</v>
      </c>
    </row>
    <row r="1335" spans="1:10" x14ac:dyDescent="0.25">
      <c r="A1335" s="339"/>
      <c r="B1335" s="270"/>
      <c r="C1335" s="271"/>
      <c r="D1335" s="456"/>
      <c r="E1335" s="362"/>
      <c r="F1335" s="272"/>
      <c r="G1335" s="460"/>
      <c r="H1335" s="272"/>
      <c r="I1335" s="399"/>
      <c r="J1335" s="241" t="b">
        <f>Age_Sex_PY[[#This Row],[Total Spending After Applying Truncation at the Member Level]]+Age_Sex_PY[[#This Row],[Total Dollars Excluded from Spending After Applying Truncation at the Member Level]]=Age_Sex_PY[[#This Row],[Total Spending before Truncation is Applied]]</f>
        <v>1</v>
      </c>
    </row>
    <row r="1336" spans="1:10" x14ac:dyDescent="0.25">
      <c r="A1336" s="342"/>
      <c r="B1336" s="4"/>
      <c r="C1336" s="16"/>
      <c r="D1336" s="457"/>
      <c r="E1336" s="363"/>
      <c r="F1336" s="273"/>
      <c r="G1336" s="226"/>
      <c r="H1336" s="273"/>
      <c r="I1336" s="400"/>
      <c r="J1336" s="243" t="b">
        <f>Age_Sex_PY[[#This Row],[Total Spending After Applying Truncation at the Member Level]]+Age_Sex_PY[[#This Row],[Total Dollars Excluded from Spending After Applying Truncation at the Member Level]]=Age_Sex_PY[[#This Row],[Total Spending before Truncation is Applied]]</f>
        <v>1</v>
      </c>
    </row>
    <row r="1337" spans="1:10" x14ac:dyDescent="0.25">
      <c r="A1337" s="339"/>
      <c r="B1337" s="270"/>
      <c r="C1337" s="271"/>
      <c r="D1337" s="456"/>
      <c r="E1337" s="362"/>
      <c r="F1337" s="272"/>
      <c r="G1337" s="460"/>
      <c r="H1337" s="272"/>
      <c r="I1337" s="399"/>
      <c r="J1337" s="241" t="b">
        <f>Age_Sex_PY[[#This Row],[Total Spending After Applying Truncation at the Member Level]]+Age_Sex_PY[[#This Row],[Total Dollars Excluded from Spending After Applying Truncation at the Member Level]]=Age_Sex_PY[[#This Row],[Total Spending before Truncation is Applied]]</f>
        <v>1</v>
      </c>
    </row>
    <row r="1338" spans="1:10" x14ac:dyDescent="0.25">
      <c r="A1338" s="342"/>
      <c r="B1338" s="4"/>
      <c r="C1338" s="16"/>
      <c r="D1338" s="457"/>
      <c r="E1338" s="363"/>
      <c r="F1338" s="273"/>
      <c r="G1338" s="226"/>
      <c r="H1338" s="273"/>
      <c r="I1338" s="400"/>
      <c r="J1338" s="243" t="b">
        <f>Age_Sex_PY[[#This Row],[Total Spending After Applying Truncation at the Member Level]]+Age_Sex_PY[[#This Row],[Total Dollars Excluded from Spending After Applying Truncation at the Member Level]]=Age_Sex_PY[[#This Row],[Total Spending before Truncation is Applied]]</f>
        <v>1</v>
      </c>
    </row>
    <row r="1339" spans="1:10" x14ac:dyDescent="0.25">
      <c r="A1339" s="339"/>
      <c r="B1339" s="270"/>
      <c r="C1339" s="271"/>
      <c r="D1339" s="456"/>
      <c r="E1339" s="362"/>
      <c r="F1339" s="272"/>
      <c r="G1339" s="460"/>
      <c r="H1339" s="272"/>
      <c r="I1339" s="399"/>
      <c r="J1339" s="241" t="b">
        <f>Age_Sex_PY[[#This Row],[Total Spending After Applying Truncation at the Member Level]]+Age_Sex_PY[[#This Row],[Total Dollars Excluded from Spending After Applying Truncation at the Member Level]]=Age_Sex_PY[[#This Row],[Total Spending before Truncation is Applied]]</f>
        <v>1</v>
      </c>
    </row>
    <row r="1340" spans="1:10" x14ac:dyDescent="0.25">
      <c r="A1340" s="342"/>
      <c r="B1340" s="4"/>
      <c r="C1340" s="16"/>
      <c r="D1340" s="457"/>
      <c r="E1340" s="363"/>
      <c r="F1340" s="273"/>
      <c r="G1340" s="226"/>
      <c r="H1340" s="273"/>
      <c r="I1340" s="400"/>
      <c r="J1340" s="243" t="b">
        <f>Age_Sex_PY[[#This Row],[Total Spending After Applying Truncation at the Member Level]]+Age_Sex_PY[[#This Row],[Total Dollars Excluded from Spending After Applying Truncation at the Member Level]]=Age_Sex_PY[[#This Row],[Total Spending before Truncation is Applied]]</f>
        <v>1</v>
      </c>
    </row>
    <row r="1341" spans="1:10" x14ac:dyDescent="0.25">
      <c r="A1341" s="339"/>
      <c r="B1341" s="270"/>
      <c r="C1341" s="271"/>
      <c r="D1341" s="456"/>
      <c r="E1341" s="362"/>
      <c r="F1341" s="272"/>
      <c r="G1341" s="460"/>
      <c r="H1341" s="272"/>
      <c r="I1341" s="399"/>
      <c r="J1341" s="241" t="b">
        <f>Age_Sex_PY[[#This Row],[Total Spending After Applying Truncation at the Member Level]]+Age_Sex_PY[[#This Row],[Total Dollars Excluded from Spending After Applying Truncation at the Member Level]]=Age_Sex_PY[[#This Row],[Total Spending before Truncation is Applied]]</f>
        <v>1</v>
      </c>
    </row>
    <row r="1342" spans="1:10" x14ac:dyDescent="0.25">
      <c r="A1342" s="342"/>
      <c r="B1342" s="4"/>
      <c r="C1342" s="16"/>
      <c r="D1342" s="457"/>
      <c r="E1342" s="363"/>
      <c r="F1342" s="273"/>
      <c r="G1342" s="226"/>
      <c r="H1342" s="273"/>
      <c r="I1342" s="400"/>
      <c r="J1342" s="243" t="b">
        <f>Age_Sex_PY[[#This Row],[Total Spending After Applying Truncation at the Member Level]]+Age_Sex_PY[[#This Row],[Total Dollars Excluded from Spending After Applying Truncation at the Member Level]]=Age_Sex_PY[[#This Row],[Total Spending before Truncation is Applied]]</f>
        <v>1</v>
      </c>
    </row>
    <row r="1343" spans="1:10" x14ac:dyDescent="0.25">
      <c r="A1343" s="339"/>
      <c r="B1343" s="270"/>
      <c r="C1343" s="271"/>
      <c r="D1343" s="456"/>
      <c r="E1343" s="362"/>
      <c r="F1343" s="272"/>
      <c r="G1343" s="460"/>
      <c r="H1343" s="272"/>
      <c r="I1343" s="399"/>
      <c r="J1343" s="241" t="b">
        <f>Age_Sex_PY[[#This Row],[Total Spending After Applying Truncation at the Member Level]]+Age_Sex_PY[[#This Row],[Total Dollars Excluded from Spending After Applying Truncation at the Member Level]]=Age_Sex_PY[[#This Row],[Total Spending before Truncation is Applied]]</f>
        <v>1</v>
      </c>
    </row>
    <row r="1344" spans="1:10" x14ac:dyDescent="0.25">
      <c r="A1344" s="342"/>
      <c r="B1344" s="4"/>
      <c r="C1344" s="16"/>
      <c r="D1344" s="457"/>
      <c r="E1344" s="363"/>
      <c r="F1344" s="273"/>
      <c r="G1344" s="226"/>
      <c r="H1344" s="273"/>
      <c r="I1344" s="400"/>
      <c r="J1344" s="243" t="b">
        <f>Age_Sex_PY[[#This Row],[Total Spending After Applying Truncation at the Member Level]]+Age_Sex_PY[[#This Row],[Total Dollars Excluded from Spending After Applying Truncation at the Member Level]]=Age_Sex_PY[[#This Row],[Total Spending before Truncation is Applied]]</f>
        <v>1</v>
      </c>
    </row>
    <row r="1345" spans="1:10" x14ac:dyDescent="0.25">
      <c r="A1345" s="339"/>
      <c r="B1345" s="270"/>
      <c r="C1345" s="271"/>
      <c r="D1345" s="456"/>
      <c r="E1345" s="362"/>
      <c r="F1345" s="272"/>
      <c r="G1345" s="460"/>
      <c r="H1345" s="272"/>
      <c r="I1345" s="399"/>
      <c r="J1345" s="241" t="b">
        <f>Age_Sex_PY[[#This Row],[Total Spending After Applying Truncation at the Member Level]]+Age_Sex_PY[[#This Row],[Total Dollars Excluded from Spending After Applying Truncation at the Member Level]]=Age_Sex_PY[[#This Row],[Total Spending before Truncation is Applied]]</f>
        <v>1</v>
      </c>
    </row>
    <row r="1346" spans="1:10" x14ac:dyDescent="0.25">
      <c r="A1346" s="342"/>
      <c r="B1346" s="4"/>
      <c r="C1346" s="16"/>
      <c r="D1346" s="457"/>
      <c r="E1346" s="363"/>
      <c r="F1346" s="273"/>
      <c r="G1346" s="226"/>
      <c r="H1346" s="273"/>
      <c r="I1346" s="400"/>
      <c r="J1346" s="243" t="b">
        <f>Age_Sex_PY[[#This Row],[Total Spending After Applying Truncation at the Member Level]]+Age_Sex_PY[[#This Row],[Total Dollars Excluded from Spending After Applying Truncation at the Member Level]]=Age_Sex_PY[[#This Row],[Total Spending before Truncation is Applied]]</f>
        <v>1</v>
      </c>
    </row>
    <row r="1347" spans="1:10" x14ac:dyDescent="0.25">
      <c r="A1347" s="339"/>
      <c r="B1347" s="270"/>
      <c r="C1347" s="271"/>
      <c r="D1347" s="456"/>
      <c r="E1347" s="362"/>
      <c r="F1347" s="272"/>
      <c r="G1347" s="460"/>
      <c r="H1347" s="272"/>
      <c r="I1347" s="399"/>
      <c r="J1347" s="241" t="b">
        <f>Age_Sex_PY[[#This Row],[Total Spending After Applying Truncation at the Member Level]]+Age_Sex_PY[[#This Row],[Total Dollars Excluded from Spending After Applying Truncation at the Member Level]]=Age_Sex_PY[[#This Row],[Total Spending before Truncation is Applied]]</f>
        <v>1</v>
      </c>
    </row>
    <row r="1348" spans="1:10" x14ac:dyDescent="0.25">
      <c r="A1348" s="342"/>
      <c r="B1348" s="4"/>
      <c r="C1348" s="16"/>
      <c r="D1348" s="457"/>
      <c r="E1348" s="363"/>
      <c r="F1348" s="273"/>
      <c r="G1348" s="226"/>
      <c r="H1348" s="273"/>
      <c r="I1348" s="400"/>
      <c r="J1348" s="243" t="b">
        <f>Age_Sex_PY[[#This Row],[Total Spending After Applying Truncation at the Member Level]]+Age_Sex_PY[[#This Row],[Total Dollars Excluded from Spending After Applying Truncation at the Member Level]]=Age_Sex_PY[[#This Row],[Total Spending before Truncation is Applied]]</f>
        <v>1</v>
      </c>
    </row>
    <row r="1349" spans="1:10" x14ac:dyDescent="0.25">
      <c r="A1349" s="339"/>
      <c r="B1349" s="270"/>
      <c r="C1349" s="271"/>
      <c r="D1349" s="456"/>
      <c r="E1349" s="362"/>
      <c r="F1349" s="272"/>
      <c r="G1349" s="460"/>
      <c r="H1349" s="272"/>
      <c r="I1349" s="399"/>
      <c r="J1349" s="241" t="b">
        <f>Age_Sex_PY[[#This Row],[Total Spending After Applying Truncation at the Member Level]]+Age_Sex_PY[[#This Row],[Total Dollars Excluded from Spending After Applying Truncation at the Member Level]]=Age_Sex_PY[[#This Row],[Total Spending before Truncation is Applied]]</f>
        <v>1</v>
      </c>
    </row>
    <row r="1350" spans="1:10" x14ac:dyDescent="0.25">
      <c r="A1350" s="342"/>
      <c r="B1350" s="4"/>
      <c r="C1350" s="16"/>
      <c r="D1350" s="457"/>
      <c r="E1350" s="363"/>
      <c r="F1350" s="273"/>
      <c r="G1350" s="226"/>
      <c r="H1350" s="273"/>
      <c r="I1350" s="400"/>
      <c r="J1350" s="243" t="b">
        <f>Age_Sex_PY[[#This Row],[Total Spending After Applying Truncation at the Member Level]]+Age_Sex_PY[[#This Row],[Total Dollars Excluded from Spending After Applying Truncation at the Member Level]]=Age_Sex_PY[[#This Row],[Total Spending before Truncation is Applied]]</f>
        <v>1</v>
      </c>
    </row>
    <row r="1351" spans="1:10" x14ac:dyDescent="0.25">
      <c r="A1351" s="339"/>
      <c r="B1351" s="270"/>
      <c r="C1351" s="271"/>
      <c r="D1351" s="456"/>
      <c r="E1351" s="362"/>
      <c r="F1351" s="272"/>
      <c r="G1351" s="460"/>
      <c r="H1351" s="272"/>
      <c r="I1351" s="399"/>
      <c r="J1351" s="241" t="b">
        <f>Age_Sex_PY[[#This Row],[Total Spending After Applying Truncation at the Member Level]]+Age_Sex_PY[[#This Row],[Total Dollars Excluded from Spending After Applying Truncation at the Member Level]]=Age_Sex_PY[[#This Row],[Total Spending before Truncation is Applied]]</f>
        <v>1</v>
      </c>
    </row>
    <row r="1352" spans="1:10" x14ac:dyDescent="0.25">
      <c r="A1352" s="342"/>
      <c r="B1352" s="4"/>
      <c r="C1352" s="16"/>
      <c r="D1352" s="457"/>
      <c r="E1352" s="363"/>
      <c r="F1352" s="273"/>
      <c r="G1352" s="226"/>
      <c r="H1352" s="273"/>
      <c r="I1352" s="400"/>
      <c r="J1352" s="243" t="b">
        <f>Age_Sex_PY[[#This Row],[Total Spending After Applying Truncation at the Member Level]]+Age_Sex_PY[[#This Row],[Total Dollars Excluded from Spending After Applying Truncation at the Member Level]]=Age_Sex_PY[[#This Row],[Total Spending before Truncation is Applied]]</f>
        <v>1</v>
      </c>
    </row>
    <row r="1353" spans="1:10" x14ac:dyDescent="0.25">
      <c r="A1353" s="339"/>
      <c r="B1353" s="270"/>
      <c r="C1353" s="271"/>
      <c r="D1353" s="456"/>
      <c r="E1353" s="362"/>
      <c r="F1353" s="272"/>
      <c r="G1353" s="460"/>
      <c r="H1353" s="272"/>
      <c r="I1353" s="399"/>
      <c r="J1353" s="241" t="b">
        <f>Age_Sex_PY[[#This Row],[Total Spending After Applying Truncation at the Member Level]]+Age_Sex_PY[[#This Row],[Total Dollars Excluded from Spending After Applying Truncation at the Member Level]]=Age_Sex_PY[[#This Row],[Total Spending before Truncation is Applied]]</f>
        <v>1</v>
      </c>
    </row>
    <row r="1354" spans="1:10" x14ac:dyDescent="0.25">
      <c r="A1354" s="342"/>
      <c r="B1354" s="4"/>
      <c r="C1354" s="16"/>
      <c r="D1354" s="457"/>
      <c r="E1354" s="363"/>
      <c r="F1354" s="273"/>
      <c r="G1354" s="226"/>
      <c r="H1354" s="273"/>
      <c r="I1354" s="400"/>
      <c r="J1354" s="243" t="b">
        <f>Age_Sex_PY[[#This Row],[Total Spending After Applying Truncation at the Member Level]]+Age_Sex_PY[[#This Row],[Total Dollars Excluded from Spending After Applying Truncation at the Member Level]]=Age_Sex_PY[[#This Row],[Total Spending before Truncation is Applied]]</f>
        <v>1</v>
      </c>
    </row>
    <row r="1355" spans="1:10" x14ac:dyDescent="0.25">
      <c r="A1355" s="339"/>
      <c r="B1355" s="270"/>
      <c r="C1355" s="271"/>
      <c r="D1355" s="456"/>
      <c r="E1355" s="362"/>
      <c r="F1355" s="272"/>
      <c r="G1355" s="460"/>
      <c r="H1355" s="272"/>
      <c r="I1355" s="399"/>
      <c r="J1355" s="241" t="b">
        <f>Age_Sex_PY[[#This Row],[Total Spending After Applying Truncation at the Member Level]]+Age_Sex_PY[[#This Row],[Total Dollars Excluded from Spending After Applying Truncation at the Member Level]]=Age_Sex_PY[[#This Row],[Total Spending before Truncation is Applied]]</f>
        <v>1</v>
      </c>
    </row>
    <row r="1356" spans="1:10" x14ac:dyDescent="0.25">
      <c r="A1356" s="342"/>
      <c r="B1356" s="4"/>
      <c r="C1356" s="16"/>
      <c r="D1356" s="457"/>
      <c r="E1356" s="363"/>
      <c r="F1356" s="273"/>
      <c r="G1356" s="226"/>
      <c r="H1356" s="273"/>
      <c r="I1356" s="400"/>
      <c r="J1356" s="243" t="b">
        <f>Age_Sex_PY[[#This Row],[Total Spending After Applying Truncation at the Member Level]]+Age_Sex_PY[[#This Row],[Total Dollars Excluded from Spending After Applying Truncation at the Member Level]]=Age_Sex_PY[[#This Row],[Total Spending before Truncation is Applied]]</f>
        <v>1</v>
      </c>
    </row>
    <row r="1357" spans="1:10" x14ac:dyDescent="0.25">
      <c r="A1357" s="339"/>
      <c r="B1357" s="270"/>
      <c r="C1357" s="271"/>
      <c r="D1357" s="456"/>
      <c r="E1357" s="362"/>
      <c r="F1357" s="272"/>
      <c r="G1357" s="460"/>
      <c r="H1357" s="272"/>
      <c r="I1357" s="399"/>
      <c r="J1357" s="241" t="b">
        <f>Age_Sex_PY[[#This Row],[Total Spending After Applying Truncation at the Member Level]]+Age_Sex_PY[[#This Row],[Total Dollars Excluded from Spending After Applying Truncation at the Member Level]]=Age_Sex_PY[[#This Row],[Total Spending before Truncation is Applied]]</f>
        <v>1</v>
      </c>
    </row>
    <row r="1358" spans="1:10" x14ac:dyDescent="0.25">
      <c r="A1358" s="342"/>
      <c r="B1358" s="4"/>
      <c r="C1358" s="16"/>
      <c r="D1358" s="457"/>
      <c r="E1358" s="363"/>
      <c r="F1358" s="273"/>
      <c r="G1358" s="226"/>
      <c r="H1358" s="273"/>
      <c r="I1358" s="400"/>
      <c r="J1358" s="243" t="b">
        <f>Age_Sex_PY[[#This Row],[Total Spending After Applying Truncation at the Member Level]]+Age_Sex_PY[[#This Row],[Total Dollars Excluded from Spending After Applying Truncation at the Member Level]]=Age_Sex_PY[[#This Row],[Total Spending before Truncation is Applied]]</f>
        <v>1</v>
      </c>
    </row>
    <row r="1359" spans="1:10" x14ac:dyDescent="0.25">
      <c r="A1359" s="339"/>
      <c r="B1359" s="270"/>
      <c r="C1359" s="271"/>
      <c r="D1359" s="456"/>
      <c r="E1359" s="362"/>
      <c r="F1359" s="272"/>
      <c r="G1359" s="460"/>
      <c r="H1359" s="272"/>
      <c r="I1359" s="399"/>
      <c r="J1359" s="241" t="b">
        <f>Age_Sex_PY[[#This Row],[Total Spending After Applying Truncation at the Member Level]]+Age_Sex_PY[[#This Row],[Total Dollars Excluded from Spending After Applying Truncation at the Member Level]]=Age_Sex_PY[[#This Row],[Total Spending before Truncation is Applied]]</f>
        <v>1</v>
      </c>
    </row>
    <row r="1360" spans="1:10" x14ac:dyDescent="0.25">
      <c r="A1360" s="342"/>
      <c r="B1360" s="4"/>
      <c r="C1360" s="16"/>
      <c r="D1360" s="457"/>
      <c r="E1360" s="363"/>
      <c r="F1360" s="273"/>
      <c r="G1360" s="226"/>
      <c r="H1360" s="273"/>
      <c r="I1360" s="400"/>
      <c r="J1360" s="243" t="b">
        <f>Age_Sex_PY[[#This Row],[Total Spending After Applying Truncation at the Member Level]]+Age_Sex_PY[[#This Row],[Total Dollars Excluded from Spending After Applying Truncation at the Member Level]]=Age_Sex_PY[[#This Row],[Total Spending before Truncation is Applied]]</f>
        <v>1</v>
      </c>
    </row>
    <row r="1361" spans="1:10" x14ac:dyDescent="0.25">
      <c r="A1361" s="339"/>
      <c r="B1361" s="270"/>
      <c r="C1361" s="271"/>
      <c r="D1361" s="456"/>
      <c r="E1361" s="362"/>
      <c r="F1361" s="272"/>
      <c r="G1361" s="460"/>
      <c r="H1361" s="272"/>
      <c r="I1361" s="399"/>
      <c r="J1361" s="241" t="b">
        <f>Age_Sex_PY[[#This Row],[Total Spending After Applying Truncation at the Member Level]]+Age_Sex_PY[[#This Row],[Total Dollars Excluded from Spending After Applying Truncation at the Member Level]]=Age_Sex_PY[[#This Row],[Total Spending before Truncation is Applied]]</f>
        <v>1</v>
      </c>
    </row>
    <row r="1362" spans="1:10" x14ac:dyDescent="0.25">
      <c r="A1362" s="342"/>
      <c r="B1362" s="4"/>
      <c r="C1362" s="16"/>
      <c r="D1362" s="457"/>
      <c r="E1362" s="363"/>
      <c r="F1362" s="273"/>
      <c r="G1362" s="226"/>
      <c r="H1362" s="273"/>
      <c r="I1362" s="400"/>
      <c r="J1362" s="243" t="b">
        <f>Age_Sex_PY[[#This Row],[Total Spending After Applying Truncation at the Member Level]]+Age_Sex_PY[[#This Row],[Total Dollars Excluded from Spending After Applying Truncation at the Member Level]]=Age_Sex_PY[[#This Row],[Total Spending before Truncation is Applied]]</f>
        <v>1</v>
      </c>
    </row>
    <row r="1363" spans="1:10" x14ac:dyDescent="0.25">
      <c r="A1363" s="339"/>
      <c r="B1363" s="270"/>
      <c r="C1363" s="271"/>
      <c r="D1363" s="456"/>
      <c r="E1363" s="362"/>
      <c r="F1363" s="272"/>
      <c r="G1363" s="460"/>
      <c r="H1363" s="272"/>
      <c r="I1363" s="399"/>
      <c r="J1363" s="241" t="b">
        <f>Age_Sex_PY[[#This Row],[Total Spending After Applying Truncation at the Member Level]]+Age_Sex_PY[[#This Row],[Total Dollars Excluded from Spending After Applying Truncation at the Member Level]]=Age_Sex_PY[[#This Row],[Total Spending before Truncation is Applied]]</f>
        <v>1</v>
      </c>
    </row>
    <row r="1364" spans="1:10" x14ac:dyDescent="0.25">
      <c r="A1364" s="342"/>
      <c r="B1364" s="4"/>
      <c r="C1364" s="16"/>
      <c r="D1364" s="457"/>
      <c r="E1364" s="363"/>
      <c r="F1364" s="273"/>
      <c r="G1364" s="226"/>
      <c r="H1364" s="273"/>
      <c r="I1364" s="400"/>
      <c r="J1364" s="243" t="b">
        <f>Age_Sex_PY[[#This Row],[Total Spending After Applying Truncation at the Member Level]]+Age_Sex_PY[[#This Row],[Total Dollars Excluded from Spending After Applying Truncation at the Member Level]]=Age_Sex_PY[[#This Row],[Total Spending before Truncation is Applied]]</f>
        <v>1</v>
      </c>
    </row>
    <row r="1365" spans="1:10" x14ac:dyDescent="0.25">
      <c r="A1365" s="339"/>
      <c r="B1365" s="270"/>
      <c r="C1365" s="271"/>
      <c r="D1365" s="456"/>
      <c r="E1365" s="362"/>
      <c r="F1365" s="272"/>
      <c r="G1365" s="460"/>
      <c r="H1365" s="272"/>
      <c r="I1365" s="399"/>
      <c r="J1365" s="241" t="b">
        <f>Age_Sex_PY[[#This Row],[Total Spending After Applying Truncation at the Member Level]]+Age_Sex_PY[[#This Row],[Total Dollars Excluded from Spending After Applying Truncation at the Member Level]]=Age_Sex_PY[[#This Row],[Total Spending before Truncation is Applied]]</f>
        <v>1</v>
      </c>
    </row>
    <row r="1366" spans="1:10" x14ac:dyDescent="0.25">
      <c r="A1366" s="342"/>
      <c r="B1366" s="4"/>
      <c r="C1366" s="16"/>
      <c r="D1366" s="457"/>
      <c r="E1366" s="363"/>
      <c r="F1366" s="273"/>
      <c r="G1366" s="226"/>
      <c r="H1366" s="273"/>
      <c r="I1366" s="400"/>
      <c r="J1366" s="243" t="b">
        <f>Age_Sex_PY[[#This Row],[Total Spending After Applying Truncation at the Member Level]]+Age_Sex_PY[[#This Row],[Total Dollars Excluded from Spending After Applying Truncation at the Member Level]]=Age_Sex_PY[[#This Row],[Total Spending before Truncation is Applied]]</f>
        <v>1</v>
      </c>
    </row>
    <row r="1367" spans="1:10" x14ac:dyDescent="0.25">
      <c r="A1367" s="339"/>
      <c r="B1367" s="270"/>
      <c r="C1367" s="271"/>
      <c r="D1367" s="456"/>
      <c r="E1367" s="362"/>
      <c r="F1367" s="272"/>
      <c r="G1367" s="460"/>
      <c r="H1367" s="272"/>
      <c r="I1367" s="399"/>
      <c r="J1367" s="241" t="b">
        <f>Age_Sex_PY[[#This Row],[Total Spending After Applying Truncation at the Member Level]]+Age_Sex_PY[[#This Row],[Total Dollars Excluded from Spending After Applying Truncation at the Member Level]]=Age_Sex_PY[[#This Row],[Total Spending before Truncation is Applied]]</f>
        <v>1</v>
      </c>
    </row>
    <row r="1368" spans="1:10" x14ac:dyDescent="0.25">
      <c r="A1368" s="342"/>
      <c r="B1368" s="4"/>
      <c r="C1368" s="16"/>
      <c r="D1368" s="457"/>
      <c r="E1368" s="363"/>
      <c r="F1368" s="273"/>
      <c r="G1368" s="226"/>
      <c r="H1368" s="273"/>
      <c r="I1368" s="400"/>
      <c r="J1368" s="243" t="b">
        <f>Age_Sex_PY[[#This Row],[Total Spending After Applying Truncation at the Member Level]]+Age_Sex_PY[[#This Row],[Total Dollars Excluded from Spending After Applying Truncation at the Member Level]]=Age_Sex_PY[[#This Row],[Total Spending before Truncation is Applied]]</f>
        <v>1</v>
      </c>
    </row>
    <row r="1369" spans="1:10" x14ac:dyDescent="0.25">
      <c r="A1369" s="339"/>
      <c r="B1369" s="270"/>
      <c r="C1369" s="271"/>
      <c r="D1369" s="456"/>
      <c r="E1369" s="362"/>
      <c r="F1369" s="272"/>
      <c r="G1369" s="460"/>
      <c r="H1369" s="272"/>
      <c r="I1369" s="399"/>
      <c r="J1369" s="241" t="b">
        <f>Age_Sex_PY[[#This Row],[Total Spending After Applying Truncation at the Member Level]]+Age_Sex_PY[[#This Row],[Total Dollars Excluded from Spending After Applying Truncation at the Member Level]]=Age_Sex_PY[[#This Row],[Total Spending before Truncation is Applied]]</f>
        <v>1</v>
      </c>
    </row>
    <row r="1370" spans="1:10" x14ac:dyDescent="0.25">
      <c r="A1370" s="342"/>
      <c r="B1370" s="4"/>
      <c r="C1370" s="16"/>
      <c r="D1370" s="457"/>
      <c r="E1370" s="363"/>
      <c r="F1370" s="273"/>
      <c r="G1370" s="226"/>
      <c r="H1370" s="273"/>
      <c r="I1370" s="400"/>
      <c r="J1370" s="243" t="b">
        <f>Age_Sex_PY[[#This Row],[Total Spending After Applying Truncation at the Member Level]]+Age_Sex_PY[[#This Row],[Total Dollars Excluded from Spending After Applying Truncation at the Member Level]]=Age_Sex_PY[[#This Row],[Total Spending before Truncation is Applied]]</f>
        <v>1</v>
      </c>
    </row>
    <row r="1371" spans="1:10" x14ac:dyDescent="0.25">
      <c r="A1371" s="339"/>
      <c r="B1371" s="270"/>
      <c r="C1371" s="271"/>
      <c r="D1371" s="456"/>
      <c r="E1371" s="362"/>
      <c r="F1371" s="272"/>
      <c r="G1371" s="460"/>
      <c r="H1371" s="272"/>
      <c r="I1371" s="399"/>
      <c r="J1371" s="241" t="b">
        <f>Age_Sex_PY[[#This Row],[Total Spending After Applying Truncation at the Member Level]]+Age_Sex_PY[[#This Row],[Total Dollars Excluded from Spending After Applying Truncation at the Member Level]]=Age_Sex_PY[[#This Row],[Total Spending before Truncation is Applied]]</f>
        <v>1</v>
      </c>
    </row>
    <row r="1372" spans="1:10" x14ac:dyDescent="0.25">
      <c r="A1372" s="342"/>
      <c r="B1372" s="4"/>
      <c r="C1372" s="16"/>
      <c r="D1372" s="457"/>
      <c r="E1372" s="363"/>
      <c r="F1372" s="273"/>
      <c r="G1372" s="226"/>
      <c r="H1372" s="273"/>
      <c r="I1372" s="400"/>
      <c r="J1372" s="243" t="b">
        <f>Age_Sex_PY[[#This Row],[Total Spending After Applying Truncation at the Member Level]]+Age_Sex_PY[[#This Row],[Total Dollars Excluded from Spending After Applying Truncation at the Member Level]]=Age_Sex_PY[[#This Row],[Total Spending before Truncation is Applied]]</f>
        <v>1</v>
      </c>
    </row>
    <row r="1373" spans="1:10" x14ac:dyDescent="0.25">
      <c r="A1373" s="339"/>
      <c r="B1373" s="270"/>
      <c r="C1373" s="271"/>
      <c r="D1373" s="456"/>
      <c r="E1373" s="362"/>
      <c r="F1373" s="272"/>
      <c r="G1373" s="460"/>
      <c r="H1373" s="272"/>
      <c r="I1373" s="399"/>
      <c r="J1373" s="241" t="b">
        <f>Age_Sex_PY[[#This Row],[Total Spending After Applying Truncation at the Member Level]]+Age_Sex_PY[[#This Row],[Total Dollars Excluded from Spending After Applying Truncation at the Member Level]]=Age_Sex_PY[[#This Row],[Total Spending before Truncation is Applied]]</f>
        <v>1</v>
      </c>
    </row>
    <row r="1374" spans="1:10" x14ac:dyDescent="0.25">
      <c r="A1374" s="342"/>
      <c r="B1374" s="4"/>
      <c r="C1374" s="16"/>
      <c r="D1374" s="457"/>
      <c r="E1374" s="363"/>
      <c r="F1374" s="273"/>
      <c r="G1374" s="226"/>
      <c r="H1374" s="273"/>
      <c r="I1374" s="400"/>
      <c r="J1374" s="243" t="b">
        <f>Age_Sex_PY[[#This Row],[Total Spending After Applying Truncation at the Member Level]]+Age_Sex_PY[[#This Row],[Total Dollars Excluded from Spending After Applying Truncation at the Member Level]]=Age_Sex_PY[[#This Row],[Total Spending before Truncation is Applied]]</f>
        <v>1</v>
      </c>
    </row>
    <row r="1375" spans="1:10" x14ac:dyDescent="0.25">
      <c r="A1375" s="339"/>
      <c r="B1375" s="270"/>
      <c r="C1375" s="271"/>
      <c r="D1375" s="456"/>
      <c r="E1375" s="362"/>
      <c r="F1375" s="272"/>
      <c r="G1375" s="460"/>
      <c r="H1375" s="272"/>
      <c r="I1375" s="399"/>
      <c r="J1375" s="241" t="b">
        <f>Age_Sex_PY[[#This Row],[Total Spending After Applying Truncation at the Member Level]]+Age_Sex_PY[[#This Row],[Total Dollars Excluded from Spending After Applying Truncation at the Member Level]]=Age_Sex_PY[[#This Row],[Total Spending before Truncation is Applied]]</f>
        <v>1</v>
      </c>
    </row>
    <row r="1376" spans="1:10" x14ac:dyDescent="0.25">
      <c r="A1376" s="342"/>
      <c r="B1376" s="4"/>
      <c r="C1376" s="16"/>
      <c r="D1376" s="457"/>
      <c r="E1376" s="363"/>
      <c r="F1376" s="273"/>
      <c r="G1376" s="226"/>
      <c r="H1376" s="273"/>
      <c r="I1376" s="400"/>
      <c r="J1376" s="243" t="b">
        <f>Age_Sex_PY[[#This Row],[Total Spending After Applying Truncation at the Member Level]]+Age_Sex_PY[[#This Row],[Total Dollars Excluded from Spending After Applying Truncation at the Member Level]]=Age_Sex_PY[[#This Row],[Total Spending before Truncation is Applied]]</f>
        <v>1</v>
      </c>
    </row>
    <row r="1377" spans="1:10" x14ac:dyDescent="0.25">
      <c r="A1377" s="339"/>
      <c r="B1377" s="270"/>
      <c r="C1377" s="271"/>
      <c r="D1377" s="456"/>
      <c r="E1377" s="362"/>
      <c r="F1377" s="272"/>
      <c r="G1377" s="460"/>
      <c r="H1377" s="272"/>
      <c r="I1377" s="399"/>
      <c r="J1377" s="241" t="b">
        <f>Age_Sex_PY[[#This Row],[Total Spending After Applying Truncation at the Member Level]]+Age_Sex_PY[[#This Row],[Total Dollars Excluded from Spending After Applying Truncation at the Member Level]]=Age_Sex_PY[[#This Row],[Total Spending before Truncation is Applied]]</f>
        <v>1</v>
      </c>
    </row>
    <row r="1378" spans="1:10" x14ac:dyDescent="0.25">
      <c r="A1378" s="342"/>
      <c r="B1378" s="4"/>
      <c r="C1378" s="16"/>
      <c r="D1378" s="457"/>
      <c r="E1378" s="363"/>
      <c r="F1378" s="273"/>
      <c r="G1378" s="226"/>
      <c r="H1378" s="273"/>
      <c r="I1378" s="400"/>
      <c r="J1378" s="243" t="b">
        <f>Age_Sex_PY[[#This Row],[Total Spending After Applying Truncation at the Member Level]]+Age_Sex_PY[[#This Row],[Total Dollars Excluded from Spending After Applying Truncation at the Member Level]]=Age_Sex_PY[[#This Row],[Total Spending before Truncation is Applied]]</f>
        <v>1</v>
      </c>
    </row>
    <row r="1379" spans="1:10" x14ac:dyDescent="0.25">
      <c r="A1379" s="339"/>
      <c r="B1379" s="270"/>
      <c r="C1379" s="271"/>
      <c r="D1379" s="456"/>
      <c r="E1379" s="362"/>
      <c r="F1379" s="272"/>
      <c r="G1379" s="460"/>
      <c r="H1379" s="272"/>
      <c r="I1379" s="399"/>
      <c r="J1379" s="241" t="b">
        <f>Age_Sex_PY[[#This Row],[Total Spending After Applying Truncation at the Member Level]]+Age_Sex_PY[[#This Row],[Total Dollars Excluded from Spending After Applying Truncation at the Member Level]]=Age_Sex_PY[[#This Row],[Total Spending before Truncation is Applied]]</f>
        <v>1</v>
      </c>
    </row>
    <row r="1380" spans="1:10" x14ac:dyDescent="0.25">
      <c r="A1380" s="342"/>
      <c r="B1380" s="4"/>
      <c r="C1380" s="16"/>
      <c r="D1380" s="457"/>
      <c r="E1380" s="363"/>
      <c r="F1380" s="273"/>
      <c r="G1380" s="226"/>
      <c r="H1380" s="273"/>
      <c r="I1380" s="400"/>
      <c r="J1380" s="243" t="b">
        <f>Age_Sex_PY[[#This Row],[Total Spending After Applying Truncation at the Member Level]]+Age_Sex_PY[[#This Row],[Total Dollars Excluded from Spending After Applying Truncation at the Member Level]]=Age_Sex_PY[[#This Row],[Total Spending before Truncation is Applied]]</f>
        <v>1</v>
      </c>
    </row>
    <row r="1381" spans="1:10" x14ac:dyDescent="0.25">
      <c r="A1381" s="339"/>
      <c r="B1381" s="270"/>
      <c r="C1381" s="271"/>
      <c r="D1381" s="456"/>
      <c r="E1381" s="362"/>
      <c r="F1381" s="272"/>
      <c r="G1381" s="460"/>
      <c r="H1381" s="272"/>
      <c r="I1381" s="399"/>
      <c r="J1381" s="241" t="b">
        <f>Age_Sex_PY[[#This Row],[Total Spending After Applying Truncation at the Member Level]]+Age_Sex_PY[[#This Row],[Total Dollars Excluded from Spending After Applying Truncation at the Member Level]]=Age_Sex_PY[[#This Row],[Total Spending before Truncation is Applied]]</f>
        <v>1</v>
      </c>
    </row>
    <row r="1382" spans="1:10" x14ac:dyDescent="0.25">
      <c r="A1382" s="342"/>
      <c r="B1382" s="4"/>
      <c r="C1382" s="16"/>
      <c r="D1382" s="457"/>
      <c r="E1382" s="363"/>
      <c r="F1382" s="273"/>
      <c r="G1382" s="226"/>
      <c r="H1382" s="273"/>
      <c r="I1382" s="400"/>
      <c r="J1382" s="243" t="b">
        <f>Age_Sex_PY[[#This Row],[Total Spending After Applying Truncation at the Member Level]]+Age_Sex_PY[[#This Row],[Total Dollars Excluded from Spending After Applying Truncation at the Member Level]]=Age_Sex_PY[[#This Row],[Total Spending before Truncation is Applied]]</f>
        <v>1</v>
      </c>
    </row>
    <row r="1383" spans="1:10" x14ac:dyDescent="0.25">
      <c r="A1383" s="339"/>
      <c r="B1383" s="270"/>
      <c r="C1383" s="271"/>
      <c r="D1383" s="456"/>
      <c r="E1383" s="362"/>
      <c r="F1383" s="272"/>
      <c r="G1383" s="460"/>
      <c r="H1383" s="272"/>
      <c r="I1383" s="399"/>
      <c r="J1383" s="241" t="b">
        <f>Age_Sex_PY[[#This Row],[Total Spending After Applying Truncation at the Member Level]]+Age_Sex_PY[[#This Row],[Total Dollars Excluded from Spending After Applying Truncation at the Member Level]]=Age_Sex_PY[[#This Row],[Total Spending before Truncation is Applied]]</f>
        <v>1</v>
      </c>
    </row>
    <row r="1384" spans="1:10" x14ac:dyDescent="0.25">
      <c r="A1384" s="342"/>
      <c r="B1384" s="4"/>
      <c r="C1384" s="16"/>
      <c r="D1384" s="457"/>
      <c r="E1384" s="363"/>
      <c r="F1384" s="273"/>
      <c r="G1384" s="226"/>
      <c r="H1384" s="273"/>
      <c r="I1384" s="400"/>
      <c r="J1384" s="243" t="b">
        <f>Age_Sex_PY[[#This Row],[Total Spending After Applying Truncation at the Member Level]]+Age_Sex_PY[[#This Row],[Total Dollars Excluded from Spending After Applying Truncation at the Member Level]]=Age_Sex_PY[[#This Row],[Total Spending before Truncation is Applied]]</f>
        <v>1</v>
      </c>
    </row>
    <row r="1385" spans="1:10" x14ac:dyDescent="0.25">
      <c r="A1385" s="339"/>
      <c r="B1385" s="270"/>
      <c r="C1385" s="271"/>
      <c r="D1385" s="456"/>
      <c r="E1385" s="362"/>
      <c r="F1385" s="272"/>
      <c r="G1385" s="460"/>
      <c r="H1385" s="272"/>
      <c r="I1385" s="399"/>
      <c r="J1385" s="241" t="b">
        <f>Age_Sex_PY[[#This Row],[Total Spending After Applying Truncation at the Member Level]]+Age_Sex_PY[[#This Row],[Total Dollars Excluded from Spending After Applying Truncation at the Member Level]]=Age_Sex_PY[[#This Row],[Total Spending before Truncation is Applied]]</f>
        <v>1</v>
      </c>
    </row>
    <row r="1386" spans="1:10" x14ac:dyDescent="0.25">
      <c r="A1386" s="342"/>
      <c r="B1386" s="4"/>
      <c r="C1386" s="16"/>
      <c r="D1386" s="457"/>
      <c r="E1386" s="363"/>
      <c r="F1386" s="273"/>
      <c r="G1386" s="226"/>
      <c r="H1386" s="273"/>
      <c r="I1386" s="400"/>
      <c r="J1386" s="243" t="b">
        <f>Age_Sex_PY[[#This Row],[Total Spending After Applying Truncation at the Member Level]]+Age_Sex_PY[[#This Row],[Total Dollars Excluded from Spending After Applying Truncation at the Member Level]]=Age_Sex_PY[[#This Row],[Total Spending before Truncation is Applied]]</f>
        <v>1</v>
      </c>
    </row>
    <row r="1387" spans="1:10" x14ac:dyDescent="0.25">
      <c r="A1387" s="339"/>
      <c r="B1387" s="270"/>
      <c r="C1387" s="271"/>
      <c r="D1387" s="456"/>
      <c r="E1387" s="362"/>
      <c r="F1387" s="272"/>
      <c r="G1387" s="460"/>
      <c r="H1387" s="272"/>
      <c r="I1387" s="399"/>
      <c r="J1387" s="241" t="b">
        <f>Age_Sex_PY[[#This Row],[Total Spending After Applying Truncation at the Member Level]]+Age_Sex_PY[[#This Row],[Total Dollars Excluded from Spending After Applying Truncation at the Member Level]]=Age_Sex_PY[[#This Row],[Total Spending before Truncation is Applied]]</f>
        <v>1</v>
      </c>
    </row>
    <row r="1388" spans="1:10" x14ac:dyDescent="0.25">
      <c r="A1388" s="342"/>
      <c r="B1388" s="4"/>
      <c r="C1388" s="16"/>
      <c r="D1388" s="457"/>
      <c r="E1388" s="363"/>
      <c r="F1388" s="273"/>
      <c r="G1388" s="226"/>
      <c r="H1388" s="273"/>
      <c r="I1388" s="400"/>
      <c r="J1388" s="243" t="b">
        <f>Age_Sex_PY[[#This Row],[Total Spending After Applying Truncation at the Member Level]]+Age_Sex_PY[[#This Row],[Total Dollars Excluded from Spending After Applying Truncation at the Member Level]]=Age_Sex_PY[[#This Row],[Total Spending before Truncation is Applied]]</f>
        <v>1</v>
      </c>
    </row>
    <row r="1389" spans="1:10" x14ac:dyDescent="0.25">
      <c r="A1389" s="339"/>
      <c r="B1389" s="270"/>
      <c r="C1389" s="271"/>
      <c r="D1389" s="456"/>
      <c r="E1389" s="362"/>
      <c r="F1389" s="272"/>
      <c r="G1389" s="460"/>
      <c r="H1389" s="272"/>
      <c r="I1389" s="399"/>
      <c r="J1389" s="241" t="b">
        <f>Age_Sex_PY[[#This Row],[Total Spending After Applying Truncation at the Member Level]]+Age_Sex_PY[[#This Row],[Total Dollars Excluded from Spending After Applying Truncation at the Member Level]]=Age_Sex_PY[[#This Row],[Total Spending before Truncation is Applied]]</f>
        <v>1</v>
      </c>
    </row>
    <row r="1390" spans="1:10" x14ac:dyDescent="0.25">
      <c r="A1390" s="342"/>
      <c r="B1390" s="4"/>
      <c r="C1390" s="16"/>
      <c r="D1390" s="457"/>
      <c r="E1390" s="363"/>
      <c r="F1390" s="273"/>
      <c r="G1390" s="226"/>
      <c r="H1390" s="273"/>
      <c r="I1390" s="400"/>
      <c r="J1390" s="243" t="b">
        <f>Age_Sex_PY[[#This Row],[Total Spending After Applying Truncation at the Member Level]]+Age_Sex_PY[[#This Row],[Total Dollars Excluded from Spending After Applying Truncation at the Member Level]]=Age_Sex_PY[[#This Row],[Total Spending before Truncation is Applied]]</f>
        <v>1</v>
      </c>
    </row>
    <row r="1391" spans="1:10" x14ac:dyDescent="0.25">
      <c r="A1391" s="339"/>
      <c r="B1391" s="270"/>
      <c r="C1391" s="271"/>
      <c r="D1391" s="456"/>
      <c r="E1391" s="362"/>
      <c r="F1391" s="272"/>
      <c r="G1391" s="460"/>
      <c r="H1391" s="272"/>
      <c r="I1391" s="399"/>
      <c r="J1391" s="241" t="b">
        <f>Age_Sex_PY[[#This Row],[Total Spending After Applying Truncation at the Member Level]]+Age_Sex_PY[[#This Row],[Total Dollars Excluded from Spending After Applying Truncation at the Member Level]]=Age_Sex_PY[[#This Row],[Total Spending before Truncation is Applied]]</f>
        <v>1</v>
      </c>
    </row>
    <row r="1392" spans="1:10" x14ac:dyDescent="0.25">
      <c r="A1392" s="342"/>
      <c r="B1392" s="4"/>
      <c r="C1392" s="16"/>
      <c r="D1392" s="457"/>
      <c r="E1392" s="363"/>
      <c r="F1392" s="273"/>
      <c r="G1392" s="226"/>
      <c r="H1392" s="273"/>
      <c r="I1392" s="400"/>
      <c r="J1392" s="243" t="b">
        <f>Age_Sex_PY[[#This Row],[Total Spending After Applying Truncation at the Member Level]]+Age_Sex_PY[[#This Row],[Total Dollars Excluded from Spending After Applying Truncation at the Member Level]]=Age_Sex_PY[[#This Row],[Total Spending before Truncation is Applied]]</f>
        <v>1</v>
      </c>
    </row>
    <row r="1393" spans="1:10" x14ac:dyDescent="0.25">
      <c r="A1393" s="339"/>
      <c r="B1393" s="270"/>
      <c r="C1393" s="271"/>
      <c r="D1393" s="456"/>
      <c r="E1393" s="362"/>
      <c r="F1393" s="272"/>
      <c r="G1393" s="460"/>
      <c r="H1393" s="272"/>
      <c r="I1393" s="399"/>
      <c r="J1393" s="241" t="b">
        <f>Age_Sex_PY[[#This Row],[Total Spending After Applying Truncation at the Member Level]]+Age_Sex_PY[[#This Row],[Total Dollars Excluded from Spending After Applying Truncation at the Member Level]]=Age_Sex_PY[[#This Row],[Total Spending before Truncation is Applied]]</f>
        <v>1</v>
      </c>
    </row>
    <row r="1394" spans="1:10" x14ac:dyDescent="0.25">
      <c r="A1394" s="342"/>
      <c r="B1394" s="4"/>
      <c r="C1394" s="16"/>
      <c r="D1394" s="457"/>
      <c r="E1394" s="363"/>
      <c r="F1394" s="273"/>
      <c r="G1394" s="226"/>
      <c r="H1394" s="273"/>
      <c r="I1394" s="400"/>
      <c r="J1394" s="243" t="b">
        <f>Age_Sex_PY[[#This Row],[Total Spending After Applying Truncation at the Member Level]]+Age_Sex_PY[[#This Row],[Total Dollars Excluded from Spending After Applying Truncation at the Member Level]]=Age_Sex_PY[[#This Row],[Total Spending before Truncation is Applied]]</f>
        <v>1</v>
      </c>
    </row>
    <row r="1395" spans="1:10" x14ac:dyDescent="0.25">
      <c r="A1395" s="339"/>
      <c r="B1395" s="270"/>
      <c r="C1395" s="271"/>
      <c r="D1395" s="456"/>
      <c r="E1395" s="362"/>
      <c r="F1395" s="272"/>
      <c r="G1395" s="460"/>
      <c r="H1395" s="272"/>
      <c r="I1395" s="399"/>
      <c r="J1395" s="241" t="b">
        <f>Age_Sex_PY[[#This Row],[Total Spending After Applying Truncation at the Member Level]]+Age_Sex_PY[[#This Row],[Total Dollars Excluded from Spending After Applying Truncation at the Member Level]]=Age_Sex_PY[[#This Row],[Total Spending before Truncation is Applied]]</f>
        <v>1</v>
      </c>
    </row>
    <row r="1396" spans="1:10" x14ac:dyDescent="0.25">
      <c r="A1396" s="342"/>
      <c r="B1396" s="4"/>
      <c r="C1396" s="16"/>
      <c r="D1396" s="457"/>
      <c r="E1396" s="363"/>
      <c r="F1396" s="273"/>
      <c r="G1396" s="226"/>
      <c r="H1396" s="273"/>
      <c r="I1396" s="400"/>
      <c r="J1396" s="243" t="b">
        <f>Age_Sex_PY[[#This Row],[Total Spending After Applying Truncation at the Member Level]]+Age_Sex_PY[[#This Row],[Total Dollars Excluded from Spending After Applying Truncation at the Member Level]]=Age_Sex_PY[[#This Row],[Total Spending before Truncation is Applied]]</f>
        <v>1</v>
      </c>
    </row>
    <row r="1397" spans="1:10" x14ac:dyDescent="0.25">
      <c r="A1397" s="339"/>
      <c r="B1397" s="270"/>
      <c r="C1397" s="271"/>
      <c r="D1397" s="456"/>
      <c r="E1397" s="362"/>
      <c r="F1397" s="272"/>
      <c r="G1397" s="460"/>
      <c r="H1397" s="272"/>
      <c r="I1397" s="399"/>
      <c r="J1397" s="241" t="b">
        <f>Age_Sex_PY[[#This Row],[Total Spending After Applying Truncation at the Member Level]]+Age_Sex_PY[[#This Row],[Total Dollars Excluded from Spending After Applying Truncation at the Member Level]]=Age_Sex_PY[[#This Row],[Total Spending before Truncation is Applied]]</f>
        <v>1</v>
      </c>
    </row>
    <row r="1398" spans="1:10" x14ac:dyDescent="0.25">
      <c r="A1398" s="342"/>
      <c r="B1398" s="4"/>
      <c r="C1398" s="16"/>
      <c r="D1398" s="457"/>
      <c r="E1398" s="363"/>
      <c r="F1398" s="273"/>
      <c r="G1398" s="226"/>
      <c r="H1398" s="273"/>
      <c r="I1398" s="400"/>
      <c r="J1398" s="243" t="b">
        <f>Age_Sex_PY[[#This Row],[Total Spending After Applying Truncation at the Member Level]]+Age_Sex_PY[[#This Row],[Total Dollars Excluded from Spending After Applying Truncation at the Member Level]]=Age_Sex_PY[[#This Row],[Total Spending before Truncation is Applied]]</f>
        <v>1</v>
      </c>
    </row>
    <row r="1399" spans="1:10" x14ac:dyDescent="0.25">
      <c r="A1399" s="339"/>
      <c r="B1399" s="270"/>
      <c r="C1399" s="271"/>
      <c r="D1399" s="456"/>
      <c r="E1399" s="362"/>
      <c r="F1399" s="272"/>
      <c r="G1399" s="460"/>
      <c r="H1399" s="272"/>
      <c r="I1399" s="399"/>
      <c r="J1399" s="241" t="b">
        <f>Age_Sex_PY[[#This Row],[Total Spending After Applying Truncation at the Member Level]]+Age_Sex_PY[[#This Row],[Total Dollars Excluded from Spending After Applying Truncation at the Member Level]]=Age_Sex_PY[[#This Row],[Total Spending before Truncation is Applied]]</f>
        <v>1</v>
      </c>
    </row>
    <row r="1400" spans="1:10" x14ac:dyDescent="0.25">
      <c r="A1400" s="342"/>
      <c r="B1400" s="4"/>
      <c r="C1400" s="16"/>
      <c r="D1400" s="457"/>
      <c r="E1400" s="363"/>
      <c r="F1400" s="273"/>
      <c r="G1400" s="226"/>
      <c r="H1400" s="273"/>
      <c r="I1400" s="400"/>
      <c r="J1400" s="243" t="b">
        <f>Age_Sex_PY[[#This Row],[Total Spending After Applying Truncation at the Member Level]]+Age_Sex_PY[[#This Row],[Total Dollars Excluded from Spending After Applying Truncation at the Member Level]]=Age_Sex_PY[[#This Row],[Total Spending before Truncation is Applied]]</f>
        <v>1</v>
      </c>
    </row>
    <row r="1401" spans="1:10" x14ac:dyDescent="0.25">
      <c r="A1401" s="339"/>
      <c r="B1401" s="270"/>
      <c r="C1401" s="271"/>
      <c r="D1401" s="456"/>
      <c r="E1401" s="362"/>
      <c r="F1401" s="272"/>
      <c r="G1401" s="460"/>
      <c r="H1401" s="272"/>
      <c r="I1401" s="399"/>
      <c r="J1401" s="241" t="b">
        <f>Age_Sex_PY[[#This Row],[Total Spending After Applying Truncation at the Member Level]]+Age_Sex_PY[[#This Row],[Total Dollars Excluded from Spending After Applying Truncation at the Member Level]]=Age_Sex_PY[[#This Row],[Total Spending before Truncation is Applied]]</f>
        <v>1</v>
      </c>
    </row>
    <row r="1402" spans="1:10" x14ac:dyDescent="0.25">
      <c r="A1402" s="342"/>
      <c r="B1402" s="4"/>
      <c r="C1402" s="16"/>
      <c r="D1402" s="457"/>
      <c r="E1402" s="363"/>
      <c r="F1402" s="273"/>
      <c r="G1402" s="226"/>
      <c r="H1402" s="273"/>
      <c r="I1402" s="400"/>
      <c r="J1402" s="243" t="b">
        <f>Age_Sex_PY[[#This Row],[Total Spending After Applying Truncation at the Member Level]]+Age_Sex_PY[[#This Row],[Total Dollars Excluded from Spending After Applying Truncation at the Member Level]]=Age_Sex_PY[[#This Row],[Total Spending before Truncation is Applied]]</f>
        <v>1</v>
      </c>
    </row>
    <row r="1403" spans="1:10" x14ac:dyDescent="0.25">
      <c r="A1403" s="339"/>
      <c r="B1403" s="270"/>
      <c r="C1403" s="271"/>
      <c r="D1403" s="456"/>
      <c r="E1403" s="362"/>
      <c r="F1403" s="272"/>
      <c r="G1403" s="460"/>
      <c r="H1403" s="272"/>
      <c r="I1403" s="399"/>
      <c r="J1403" s="241" t="b">
        <f>Age_Sex_PY[[#This Row],[Total Spending After Applying Truncation at the Member Level]]+Age_Sex_PY[[#This Row],[Total Dollars Excluded from Spending After Applying Truncation at the Member Level]]=Age_Sex_PY[[#This Row],[Total Spending before Truncation is Applied]]</f>
        <v>1</v>
      </c>
    </row>
    <row r="1404" spans="1:10" x14ac:dyDescent="0.25">
      <c r="A1404" s="342"/>
      <c r="B1404" s="4"/>
      <c r="C1404" s="16"/>
      <c r="D1404" s="457"/>
      <c r="E1404" s="363"/>
      <c r="F1404" s="273"/>
      <c r="G1404" s="226"/>
      <c r="H1404" s="273"/>
      <c r="I1404" s="400"/>
      <c r="J1404" s="243" t="b">
        <f>Age_Sex_PY[[#This Row],[Total Spending After Applying Truncation at the Member Level]]+Age_Sex_PY[[#This Row],[Total Dollars Excluded from Spending After Applying Truncation at the Member Level]]=Age_Sex_PY[[#This Row],[Total Spending before Truncation is Applied]]</f>
        <v>1</v>
      </c>
    </row>
    <row r="1405" spans="1:10" x14ac:dyDescent="0.25">
      <c r="A1405" s="339"/>
      <c r="B1405" s="270"/>
      <c r="C1405" s="271"/>
      <c r="D1405" s="456"/>
      <c r="E1405" s="362"/>
      <c r="F1405" s="272"/>
      <c r="G1405" s="460"/>
      <c r="H1405" s="272"/>
      <c r="I1405" s="399"/>
      <c r="J1405" s="241" t="b">
        <f>Age_Sex_PY[[#This Row],[Total Spending After Applying Truncation at the Member Level]]+Age_Sex_PY[[#This Row],[Total Dollars Excluded from Spending After Applying Truncation at the Member Level]]=Age_Sex_PY[[#This Row],[Total Spending before Truncation is Applied]]</f>
        <v>1</v>
      </c>
    </row>
    <row r="1406" spans="1:10" x14ac:dyDescent="0.25">
      <c r="A1406" s="342"/>
      <c r="B1406" s="4"/>
      <c r="C1406" s="16"/>
      <c r="D1406" s="457"/>
      <c r="E1406" s="363"/>
      <c r="F1406" s="273"/>
      <c r="G1406" s="226"/>
      <c r="H1406" s="273"/>
      <c r="I1406" s="400"/>
      <c r="J1406" s="243" t="b">
        <f>Age_Sex_PY[[#This Row],[Total Spending After Applying Truncation at the Member Level]]+Age_Sex_PY[[#This Row],[Total Dollars Excluded from Spending After Applying Truncation at the Member Level]]=Age_Sex_PY[[#This Row],[Total Spending before Truncation is Applied]]</f>
        <v>1</v>
      </c>
    </row>
    <row r="1407" spans="1:10" x14ac:dyDescent="0.25">
      <c r="A1407" s="339"/>
      <c r="B1407" s="270"/>
      <c r="C1407" s="271"/>
      <c r="D1407" s="456"/>
      <c r="E1407" s="362"/>
      <c r="F1407" s="272"/>
      <c r="G1407" s="460"/>
      <c r="H1407" s="272"/>
      <c r="I1407" s="399"/>
      <c r="J1407" s="241" t="b">
        <f>Age_Sex_PY[[#This Row],[Total Spending After Applying Truncation at the Member Level]]+Age_Sex_PY[[#This Row],[Total Dollars Excluded from Spending After Applying Truncation at the Member Level]]=Age_Sex_PY[[#This Row],[Total Spending before Truncation is Applied]]</f>
        <v>1</v>
      </c>
    </row>
    <row r="1408" spans="1:10" x14ac:dyDescent="0.25">
      <c r="A1408" s="342"/>
      <c r="B1408" s="4"/>
      <c r="C1408" s="16"/>
      <c r="D1408" s="457"/>
      <c r="E1408" s="363"/>
      <c r="F1408" s="273"/>
      <c r="G1408" s="226"/>
      <c r="H1408" s="273"/>
      <c r="I1408" s="400"/>
      <c r="J1408" s="243" t="b">
        <f>Age_Sex_PY[[#This Row],[Total Spending After Applying Truncation at the Member Level]]+Age_Sex_PY[[#This Row],[Total Dollars Excluded from Spending After Applying Truncation at the Member Level]]=Age_Sex_PY[[#This Row],[Total Spending before Truncation is Applied]]</f>
        <v>1</v>
      </c>
    </row>
    <row r="1409" spans="1:10" x14ac:dyDescent="0.25">
      <c r="A1409" s="339"/>
      <c r="B1409" s="270"/>
      <c r="C1409" s="271"/>
      <c r="D1409" s="456"/>
      <c r="E1409" s="362"/>
      <c r="F1409" s="272"/>
      <c r="G1409" s="460"/>
      <c r="H1409" s="272"/>
      <c r="I1409" s="399"/>
      <c r="J1409" s="241" t="b">
        <f>Age_Sex_PY[[#This Row],[Total Spending After Applying Truncation at the Member Level]]+Age_Sex_PY[[#This Row],[Total Dollars Excluded from Spending After Applying Truncation at the Member Level]]=Age_Sex_PY[[#This Row],[Total Spending before Truncation is Applied]]</f>
        <v>1</v>
      </c>
    </row>
    <row r="1410" spans="1:10" x14ac:dyDescent="0.25">
      <c r="A1410" s="342"/>
      <c r="B1410" s="4"/>
      <c r="C1410" s="16"/>
      <c r="D1410" s="457"/>
      <c r="E1410" s="363"/>
      <c r="F1410" s="273"/>
      <c r="G1410" s="226"/>
      <c r="H1410" s="273"/>
      <c r="I1410" s="400"/>
      <c r="J1410" s="243" t="b">
        <f>Age_Sex_PY[[#This Row],[Total Spending After Applying Truncation at the Member Level]]+Age_Sex_PY[[#This Row],[Total Dollars Excluded from Spending After Applying Truncation at the Member Level]]=Age_Sex_PY[[#This Row],[Total Spending before Truncation is Applied]]</f>
        <v>1</v>
      </c>
    </row>
    <row r="1411" spans="1:10" x14ac:dyDescent="0.25">
      <c r="A1411" s="339"/>
      <c r="B1411" s="270"/>
      <c r="C1411" s="271"/>
      <c r="D1411" s="456"/>
      <c r="E1411" s="362"/>
      <c r="F1411" s="272"/>
      <c r="G1411" s="460"/>
      <c r="H1411" s="272"/>
      <c r="I1411" s="399"/>
      <c r="J1411" s="241" t="b">
        <f>Age_Sex_PY[[#This Row],[Total Spending After Applying Truncation at the Member Level]]+Age_Sex_PY[[#This Row],[Total Dollars Excluded from Spending After Applying Truncation at the Member Level]]=Age_Sex_PY[[#This Row],[Total Spending before Truncation is Applied]]</f>
        <v>1</v>
      </c>
    </row>
    <row r="1412" spans="1:10" x14ac:dyDescent="0.25">
      <c r="A1412" s="342"/>
      <c r="B1412" s="4"/>
      <c r="C1412" s="16"/>
      <c r="D1412" s="457"/>
      <c r="E1412" s="363"/>
      <c r="F1412" s="273"/>
      <c r="G1412" s="226"/>
      <c r="H1412" s="273"/>
      <c r="I1412" s="400"/>
      <c r="J1412" s="243" t="b">
        <f>Age_Sex_PY[[#This Row],[Total Spending After Applying Truncation at the Member Level]]+Age_Sex_PY[[#This Row],[Total Dollars Excluded from Spending After Applying Truncation at the Member Level]]=Age_Sex_PY[[#This Row],[Total Spending before Truncation is Applied]]</f>
        <v>1</v>
      </c>
    </row>
    <row r="1413" spans="1:10" x14ac:dyDescent="0.25">
      <c r="A1413" s="339"/>
      <c r="B1413" s="270"/>
      <c r="C1413" s="271"/>
      <c r="D1413" s="456"/>
      <c r="E1413" s="362"/>
      <c r="F1413" s="272"/>
      <c r="G1413" s="460"/>
      <c r="H1413" s="272"/>
      <c r="I1413" s="399"/>
      <c r="J1413" s="241" t="b">
        <f>Age_Sex_PY[[#This Row],[Total Spending After Applying Truncation at the Member Level]]+Age_Sex_PY[[#This Row],[Total Dollars Excluded from Spending After Applying Truncation at the Member Level]]=Age_Sex_PY[[#This Row],[Total Spending before Truncation is Applied]]</f>
        <v>1</v>
      </c>
    </row>
    <row r="1414" spans="1:10" x14ac:dyDescent="0.25">
      <c r="A1414" s="342"/>
      <c r="B1414" s="4"/>
      <c r="C1414" s="16"/>
      <c r="D1414" s="457"/>
      <c r="E1414" s="363"/>
      <c r="F1414" s="273"/>
      <c r="G1414" s="226"/>
      <c r="H1414" s="273"/>
      <c r="I1414" s="400"/>
      <c r="J1414" s="243" t="b">
        <f>Age_Sex_PY[[#This Row],[Total Spending After Applying Truncation at the Member Level]]+Age_Sex_PY[[#This Row],[Total Dollars Excluded from Spending After Applying Truncation at the Member Level]]=Age_Sex_PY[[#This Row],[Total Spending before Truncation is Applied]]</f>
        <v>1</v>
      </c>
    </row>
    <row r="1415" spans="1:10" x14ac:dyDescent="0.25">
      <c r="A1415" s="339"/>
      <c r="B1415" s="270"/>
      <c r="C1415" s="271"/>
      <c r="D1415" s="456"/>
      <c r="E1415" s="362"/>
      <c r="F1415" s="272"/>
      <c r="G1415" s="460"/>
      <c r="H1415" s="272"/>
      <c r="I1415" s="399"/>
      <c r="J1415" s="241" t="b">
        <f>Age_Sex_PY[[#This Row],[Total Spending After Applying Truncation at the Member Level]]+Age_Sex_PY[[#This Row],[Total Dollars Excluded from Spending After Applying Truncation at the Member Level]]=Age_Sex_PY[[#This Row],[Total Spending before Truncation is Applied]]</f>
        <v>1</v>
      </c>
    </row>
    <row r="1416" spans="1:10" x14ac:dyDescent="0.25">
      <c r="A1416" s="342"/>
      <c r="B1416" s="4"/>
      <c r="C1416" s="16"/>
      <c r="D1416" s="457"/>
      <c r="E1416" s="363"/>
      <c r="F1416" s="273"/>
      <c r="G1416" s="226"/>
      <c r="H1416" s="273"/>
      <c r="I1416" s="400"/>
      <c r="J1416" s="243" t="b">
        <f>Age_Sex_PY[[#This Row],[Total Spending After Applying Truncation at the Member Level]]+Age_Sex_PY[[#This Row],[Total Dollars Excluded from Spending After Applying Truncation at the Member Level]]=Age_Sex_PY[[#This Row],[Total Spending before Truncation is Applied]]</f>
        <v>1</v>
      </c>
    </row>
    <row r="1417" spans="1:10" x14ac:dyDescent="0.25">
      <c r="A1417" s="339"/>
      <c r="B1417" s="270"/>
      <c r="C1417" s="271"/>
      <c r="D1417" s="456"/>
      <c r="E1417" s="362"/>
      <c r="F1417" s="272"/>
      <c r="G1417" s="460"/>
      <c r="H1417" s="272"/>
      <c r="I1417" s="399"/>
      <c r="J1417" s="241" t="b">
        <f>Age_Sex_PY[[#This Row],[Total Spending After Applying Truncation at the Member Level]]+Age_Sex_PY[[#This Row],[Total Dollars Excluded from Spending After Applying Truncation at the Member Level]]=Age_Sex_PY[[#This Row],[Total Spending before Truncation is Applied]]</f>
        <v>1</v>
      </c>
    </row>
    <row r="1418" spans="1:10" x14ac:dyDescent="0.25">
      <c r="A1418" s="342"/>
      <c r="B1418" s="4"/>
      <c r="C1418" s="16"/>
      <c r="D1418" s="457"/>
      <c r="E1418" s="363"/>
      <c r="F1418" s="273"/>
      <c r="G1418" s="226"/>
      <c r="H1418" s="273"/>
      <c r="I1418" s="400"/>
      <c r="J1418" s="243" t="b">
        <f>Age_Sex_PY[[#This Row],[Total Spending After Applying Truncation at the Member Level]]+Age_Sex_PY[[#This Row],[Total Dollars Excluded from Spending After Applying Truncation at the Member Level]]=Age_Sex_PY[[#This Row],[Total Spending before Truncation is Applied]]</f>
        <v>1</v>
      </c>
    </row>
    <row r="1419" spans="1:10" x14ac:dyDescent="0.25">
      <c r="A1419" s="339"/>
      <c r="B1419" s="270"/>
      <c r="C1419" s="271"/>
      <c r="D1419" s="456"/>
      <c r="E1419" s="362"/>
      <c r="F1419" s="272"/>
      <c r="G1419" s="460"/>
      <c r="H1419" s="272"/>
      <c r="I1419" s="399"/>
      <c r="J1419" s="241" t="b">
        <f>Age_Sex_PY[[#This Row],[Total Spending After Applying Truncation at the Member Level]]+Age_Sex_PY[[#This Row],[Total Dollars Excluded from Spending After Applying Truncation at the Member Level]]=Age_Sex_PY[[#This Row],[Total Spending before Truncation is Applied]]</f>
        <v>1</v>
      </c>
    </row>
    <row r="1420" spans="1:10" x14ac:dyDescent="0.25">
      <c r="A1420" s="342"/>
      <c r="B1420" s="4"/>
      <c r="C1420" s="16"/>
      <c r="D1420" s="457"/>
      <c r="E1420" s="363"/>
      <c r="F1420" s="273"/>
      <c r="G1420" s="226"/>
      <c r="H1420" s="273"/>
      <c r="I1420" s="400"/>
      <c r="J1420" s="243" t="b">
        <f>Age_Sex_PY[[#This Row],[Total Spending After Applying Truncation at the Member Level]]+Age_Sex_PY[[#This Row],[Total Dollars Excluded from Spending After Applying Truncation at the Member Level]]=Age_Sex_PY[[#This Row],[Total Spending before Truncation is Applied]]</f>
        <v>1</v>
      </c>
    </row>
    <row r="1421" spans="1:10" x14ac:dyDescent="0.25">
      <c r="A1421" s="339"/>
      <c r="B1421" s="270"/>
      <c r="C1421" s="271"/>
      <c r="D1421" s="456"/>
      <c r="E1421" s="362"/>
      <c r="F1421" s="272"/>
      <c r="G1421" s="460"/>
      <c r="H1421" s="272"/>
      <c r="I1421" s="399"/>
      <c r="J1421" s="241" t="b">
        <f>Age_Sex_PY[[#This Row],[Total Spending After Applying Truncation at the Member Level]]+Age_Sex_PY[[#This Row],[Total Dollars Excluded from Spending After Applying Truncation at the Member Level]]=Age_Sex_PY[[#This Row],[Total Spending before Truncation is Applied]]</f>
        <v>1</v>
      </c>
    </row>
    <row r="1422" spans="1:10" x14ac:dyDescent="0.25">
      <c r="A1422" s="342"/>
      <c r="B1422" s="4"/>
      <c r="C1422" s="16"/>
      <c r="D1422" s="457"/>
      <c r="E1422" s="363"/>
      <c r="F1422" s="273"/>
      <c r="G1422" s="226"/>
      <c r="H1422" s="273"/>
      <c r="I1422" s="400"/>
      <c r="J1422" s="243" t="b">
        <f>Age_Sex_PY[[#This Row],[Total Spending After Applying Truncation at the Member Level]]+Age_Sex_PY[[#This Row],[Total Dollars Excluded from Spending After Applying Truncation at the Member Level]]=Age_Sex_PY[[#This Row],[Total Spending before Truncation is Applied]]</f>
        <v>1</v>
      </c>
    </row>
    <row r="1423" spans="1:10" x14ac:dyDescent="0.25">
      <c r="A1423" s="339"/>
      <c r="B1423" s="270"/>
      <c r="C1423" s="271"/>
      <c r="D1423" s="456"/>
      <c r="E1423" s="362"/>
      <c r="F1423" s="272"/>
      <c r="G1423" s="460"/>
      <c r="H1423" s="272"/>
      <c r="I1423" s="399"/>
      <c r="J1423" s="241" t="b">
        <f>Age_Sex_PY[[#This Row],[Total Spending After Applying Truncation at the Member Level]]+Age_Sex_PY[[#This Row],[Total Dollars Excluded from Spending After Applying Truncation at the Member Level]]=Age_Sex_PY[[#This Row],[Total Spending before Truncation is Applied]]</f>
        <v>1</v>
      </c>
    </row>
    <row r="1424" spans="1:10" x14ac:dyDescent="0.25">
      <c r="A1424" s="342"/>
      <c r="B1424" s="4"/>
      <c r="C1424" s="16"/>
      <c r="D1424" s="457"/>
      <c r="E1424" s="363"/>
      <c r="F1424" s="273"/>
      <c r="G1424" s="226"/>
      <c r="H1424" s="273"/>
      <c r="I1424" s="400"/>
      <c r="J1424" s="243" t="b">
        <f>Age_Sex_PY[[#This Row],[Total Spending After Applying Truncation at the Member Level]]+Age_Sex_PY[[#This Row],[Total Dollars Excluded from Spending After Applying Truncation at the Member Level]]=Age_Sex_PY[[#This Row],[Total Spending before Truncation is Applied]]</f>
        <v>1</v>
      </c>
    </row>
    <row r="1425" spans="1:10" x14ac:dyDescent="0.25">
      <c r="A1425" s="339"/>
      <c r="B1425" s="270"/>
      <c r="C1425" s="271"/>
      <c r="D1425" s="456"/>
      <c r="E1425" s="362"/>
      <c r="F1425" s="272"/>
      <c r="G1425" s="460"/>
      <c r="H1425" s="272"/>
      <c r="I1425" s="399"/>
      <c r="J1425" s="241" t="b">
        <f>Age_Sex_PY[[#This Row],[Total Spending After Applying Truncation at the Member Level]]+Age_Sex_PY[[#This Row],[Total Dollars Excluded from Spending After Applying Truncation at the Member Level]]=Age_Sex_PY[[#This Row],[Total Spending before Truncation is Applied]]</f>
        <v>1</v>
      </c>
    </row>
    <row r="1426" spans="1:10" x14ac:dyDescent="0.25">
      <c r="A1426" s="342"/>
      <c r="B1426" s="4"/>
      <c r="C1426" s="16"/>
      <c r="D1426" s="457"/>
      <c r="E1426" s="363"/>
      <c r="F1426" s="273"/>
      <c r="G1426" s="226"/>
      <c r="H1426" s="273"/>
      <c r="I1426" s="400"/>
      <c r="J1426" s="243" t="b">
        <f>Age_Sex_PY[[#This Row],[Total Spending After Applying Truncation at the Member Level]]+Age_Sex_PY[[#This Row],[Total Dollars Excluded from Spending After Applying Truncation at the Member Level]]=Age_Sex_PY[[#This Row],[Total Spending before Truncation is Applied]]</f>
        <v>1</v>
      </c>
    </row>
    <row r="1427" spans="1:10" x14ac:dyDescent="0.25">
      <c r="A1427" s="339"/>
      <c r="B1427" s="270"/>
      <c r="C1427" s="271"/>
      <c r="D1427" s="456"/>
      <c r="E1427" s="362"/>
      <c r="F1427" s="272"/>
      <c r="G1427" s="460"/>
      <c r="H1427" s="272"/>
      <c r="I1427" s="399"/>
      <c r="J1427" s="241" t="b">
        <f>Age_Sex_PY[[#This Row],[Total Spending After Applying Truncation at the Member Level]]+Age_Sex_PY[[#This Row],[Total Dollars Excluded from Spending After Applying Truncation at the Member Level]]=Age_Sex_PY[[#This Row],[Total Spending before Truncation is Applied]]</f>
        <v>1</v>
      </c>
    </row>
    <row r="1428" spans="1:10" x14ac:dyDescent="0.25">
      <c r="A1428" s="342"/>
      <c r="B1428" s="4"/>
      <c r="C1428" s="16"/>
      <c r="D1428" s="457"/>
      <c r="E1428" s="363"/>
      <c r="F1428" s="273"/>
      <c r="G1428" s="226"/>
      <c r="H1428" s="273"/>
      <c r="I1428" s="400"/>
      <c r="J1428" s="243" t="b">
        <f>Age_Sex_PY[[#This Row],[Total Spending After Applying Truncation at the Member Level]]+Age_Sex_PY[[#This Row],[Total Dollars Excluded from Spending After Applying Truncation at the Member Level]]=Age_Sex_PY[[#This Row],[Total Spending before Truncation is Applied]]</f>
        <v>1</v>
      </c>
    </row>
    <row r="1429" spans="1:10" x14ac:dyDescent="0.25">
      <c r="A1429" s="339"/>
      <c r="B1429" s="270"/>
      <c r="C1429" s="271"/>
      <c r="D1429" s="456"/>
      <c r="E1429" s="362"/>
      <c r="F1429" s="272"/>
      <c r="G1429" s="460"/>
      <c r="H1429" s="272"/>
      <c r="I1429" s="399"/>
      <c r="J1429" s="241" t="b">
        <f>Age_Sex_PY[[#This Row],[Total Spending After Applying Truncation at the Member Level]]+Age_Sex_PY[[#This Row],[Total Dollars Excluded from Spending After Applying Truncation at the Member Level]]=Age_Sex_PY[[#This Row],[Total Spending before Truncation is Applied]]</f>
        <v>1</v>
      </c>
    </row>
    <row r="1430" spans="1:10" x14ac:dyDescent="0.25">
      <c r="A1430" s="342"/>
      <c r="B1430" s="4"/>
      <c r="C1430" s="16"/>
      <c r="D1430" s="457"/>
      <c r="E1430" s="363"/>
      <c r="F1430" s="273"/>
      <c r="G1430" s="226"/>
      <c r="H1430" s="273"/>
      <c r="I1430" s="400"/>
      <c r="J1430" s="243" t="b">
        <f>Age_Sex_PY[[#This Row],[Total Spending After Applying Truncation at the Member Level]]+Age_Sex_PY[[#This Row],[Total Dollars Excluded from Spending After Applying Truncation at the Member Level]]=Age_Sex_PY[[#This Row],[Total Spending before Truncation is Applied]]</f>
        <v>1</v>
      </c>
    </row>
    <row r="1431" spans="1:10" x14ac:dyDescent="0.25">
      <c r="A1431" s="339"/>
      <c r="B1431" s="270"/>
      <c r="C1431" s="271"/>
      <c r="D1431" s="456"/>
      <c r="E1431" s="362"/>
      <c r="F1431" s="272"/>
      <c r="G1431" s="460"/>
      <c r="H1431" s="272"/>
      <c r="I1431" s="399"/>
      <c r="J1431" s="241" t="b">
        <f>Age_Sex_PY[[#This Row],[Total Spending After Applying Truncation at the Member Level]]+Age_Sex_PY[[#This Row],[Total Dollars Excluded from Spending After Applying Truncation at the Member Level]]=Age_Sex_PY[[#This Row],[Total Spending before Truncation is Applied]]</f>
        <v>1</v>
      </c>
    </row>
    <row r="1432" spans="1:10" x14ac:dyDescent="0.25">
      <c r="A1432" s="342"/>
      <c r="B1432" s="4"/>
      <c r="C1432" s="16"/>
      <c r="D1432" s="457"/>
      <c r="E1432" s="363"/>
      <c r="F1432" s="273"/>
      <c r="G1432" s="226"/>
      <c r="H1432" s="273"/>
      <c r="I1432" s="400"/>
      <c r="J1432" s="243" t="b">
        <f>Age_Sex_PY[[#This Row],[Total Spending After Applying Truncation at the Member Level]]+Age_Sex_PY[[#This Row],[Total Dollars Excluded from Spending After Applying Truncation at the Member Level]]=Age_Sex_PY[[#This Row],[Total Spending before Truncation is Applied]]</f>
        <v>1</v>
      </c>
    </row>
    <row r="1433" spans="1:10" x14ac:dyDescent="0.25">
      <c r="A1433" s="339"/>
      <c r="B1433" s="270"/>
      <c r="C1433" s="271"/>
      <c r="D1433" s="456"/>
      <c r="E1433" s="362"/>
      <c r="F1433" s="272"/>
      <c r="G1433" s="460"/>
      <c r="H1433" s="272"/>
      <c r="I1433" s="399"/>
      <c r="J1433" s="241" t="b">
        <f>Age_Sex_PY[[#This Row],[Total Spending After Applying Truncation at the Member Level]]+Age_Sex_PY[[#This Row],[Total Dollars Excluded from Spending After Applying Truncation at the Member Level]]=Age_Sex_PY[[#This Row],[Total Spending before Truncation is Applied]]</f>
        <v>1</v>
      </c>
    </row>
    <row r="1434" spans="1:10" x14ac:dyDescent="0.25">
      <c r="A1434" s="342"/>
      <c r="B1434" s="4"/>
      <c r="C1434" s="16"/>
      <c r="D1434" s="457"/>
      <c r="E1434" s="363"/>
      <c r="F1434" s="273"/>
      <c r="G1434" s="226"/>
      <c r="H1434" s="273"/>
      <c r="I1434" s="400"/>
      <c r="J1434" s="243" t="b">
        <f>Age_Sex_PY[[#This Row],[Total Spending After Applying Truncation at the Member Level]]+Age_Sex_PY[[#This Row],[Total Dollars Excluded from Spending After Applying Truncation at the Member Level]]=Age_Sex_PY[[#This Row],[Total Spending before Truncation is Applied]]</f>
        <v>1</v>
      </c>
    </row>
    <row r="1435" spans="1:10" x14ac:dyDescent="0.25">
      <c r="A1435" s="339"/>
      <c r="B1435" s="270"/>
      <c r="C1435" s="271"/>
      <c r="D1435" s="456"/>
      <c r="E1435" s="362"/>
      <c r="F1435" s="272"/>
      <c r="G1435" s="460"/>
      <c r="H1435" s="272"/>
      <c r="I1435" s="399"/>
      <c r="J1435" s="241" t="b">
        <f>Age_Sex_PY[[#This Row],[Total Spending After Applying Truncation at the Member Level]]+Age_Sex_PY[[#This Row],[Total Dollars Excluded from Spending After Applying Truncation at the Member Level]]=Age_Sex_PY[[#This Row],[Total Spending before Truncation is Applied]]</f>
        <v>1</v>
      </c>
    </row>
    <row r="1436" spans="1:10" x14ac:dyDescent="0.25">
      <c r="A1436" s="342"/>
      <c r="B1436" s="4"/>
      <c r="C1436" s="16"/>
      <c r="D1436" s="457"/>
      <c r="E1436" s="363"/>
      <c r="F1436" s="273"/>
      <c r="G1436" s="226"/>
      <c r="H1436" s="273"/>
      <c r="I1436" s="400"/>
      <c r="J1436" s="243" t="b">
        <f>Age_Sex_PY[[#This Row],[Total Spending After Applying Truncation at the Member Level]]+Age_Sex_PY[[#This Row],[Total Dollars Excluded from Spending After Applying Truncation at the Member Level]]=Age_Sex_PY[[#This Row],[Total Spending before Truncation is Applied]]</f>
        <v>1</v>
      </c>
    </row>
    <row r="1437" spans="1:10" x14ac:dyDescent="0.25">
      <c r="A1437" s="339"/>
      <c r="B1437" s="270"/>
      <c r="C1437" s="271"/>
      <c r="D1437" s="456"/>
      <c r="E1437" s="362"/>
      <c r="F1437" s="272"/>
      <c r="G1437" s="460"/>
      <c r="H1437" s="272"/>
      <c r="I1437" s="399"/>
      <c r="J1437" s="241" t="b">
        <f>Age_Sex_PY[[#This Row],[Total Spending After Applying Truncation at the Member Level]]+Age_Sex_PY[[#This Row],[Total Dollars Excluded from Spending After Applying Truncation at the Member Level]]=Age_Sex_PY[[#This Row],[Total Spending before Truncation is Applied]]</f>
        <v>1</v>
      </c>
    </row>
    <row r="1438" spans="1:10" x14ac:dyDescent="0.25">
      <c r="A1438" s="342"/>
      <c r="B1438" s="4"/>
      <c r="C1438" s="16"/>
      <c r="D1438" s="457"/>
      <c r="E1438" s="363"/>
      <c r="F1438" s="273"/>
      <c r="G1438" s="226"/>
      <c r="H1438" s="273"/>
      <c r="I1438" s="400"/>
      <c r="J1438" s="243" t="b">
        <f>Age_Sex_PY[[#This Row],[Total Spending After Applying Truncation at the Member Level]]+Age_Sex_PY[[#This Row],[Total Dollars Excluded from Spending After Applying Truncation at the Member Level]]=Age_Sex_PY[[#This Row],[Total Spending before Truncation is Applied]]</f>
        <v>1</v>
      </c>
    </row>
    <row r="1439" spans="1:10" x14ac:dyDescent="0.25">
      <c r="A1439" s="339"/>
      <c r="B1439" s="270"/>
      <c r="C1439" s="271"/>
      <c r="D1439" s="456"/>
      <c r="E1439" s="362"/>
      <c r="F1439" s="272"/>
      <c r="G1439" s="460"/>
      <c r="H1439" s="272"/>
      <c r="I1439" s="399"/>
      <c r="J1439" s="241" t="b">
        <f>Age_Sex_PY[[#This Row],[Total Spending After Applying Truncation at the Member Level]]+Age_Sex_PY[[#This Row],[Total Dollars Excluded from Spending After Applying Truncation at the Member Level]]=Age_Sex_PY[[#This Row],[Total Spending before Truncation is Applied]]</f>
        <v>1</v>
      </c>
    </row>
    <row r="1440" spans="1:10" x14ac:dyDescent="0.25">
      <c r="A1440" s="342"/>
      <c r="B1440" s="4"/>
      <c r="C1440" s="16"/>
      <c r="D1440" s="457"/>
      <c r="E1440" s="363"/>
      <c r="F1440" s="273"/>
      <c r="G1440" s="226"/>
      <c r="H1440" s="273"/>
      <c r="I1440" s="400"/>
      <c r="J1440" s="243" t="b">
        <f>Age_Sex_PY[[#This Row],[Total Spending After Applying Truncation at the Member Level]]+Age_Sex_PY[[#This Row],[Total Dollars Excluded from Spending After Applying Truncation at the Member Level]]=Age_Sex_PY[[#This Row],[Total Spending before Truncation is Applied]]</f>
        <v>1</v>
      </c>
    </row>
    <row r="1441" spans="1:10" x14ac:dyDescent="0.25">
      <c r="A1441" s="339"/>
      <c r="B1441" s="270"/>
      <c r="C1441" s="271"/>
      <c r="D1441" s="456"/>
      <c r="E1441" s="362"/>
      <c r="F1441" s="272"/>
      <c r="G1441" s="460"/>
      <c r="H1441" s="272"/>
      <c r="I1441" s="399"/>
      <c r="J1441" s="241" t="b">
        <f>Age_Sex_PY[[#This Row],[Total Spending After Applying Truncation at the Member Level]]+Age_Sex_PY[[#This Row],[Total Dollars Excluded from Spending After Applying Truncation at the Member Level]]=Age_Sex_PY[[#This Row],[Total Spending before Truncation is Applied]]</f>
        <v>1</v>
      </c>
    </row>
    <row r="1442" spans="1:10" x14ac:dyDescent="0.25">
      <c r="A1442" s="342"/>
      <c r="B1442" s="4"/>
      <c r="C1442" s="16"/>
      <c r="D1442" s="457"/>
      <c r="E1442" s="363"/>
      <c r="F1442" s="273"/>
      <c r="G1442" s="226"/>
      <c r="H1442" s="273"/>
      <c r="I1442" s="400"/>
      <c r="J1442" s="243" t="b">
        <f>Age_Sex_PY[[#This Row],[Total Spending After Applying Truncation at the Member Level]]+Age_Sex_PY[[#This Row],[Total Dollars Excluded from Spending After Applying Truncation at the Member Level]]=Age_Sex_PY[[#This Row],[Total Spending before Truncation is Applied]]</f>
        <v>1</v>
      </c>
    </row>
    <row r="1443" spans="1:10" x14ac:dyDescent="0.25">
      <c r="A1443" s="339"/>
      <c r="B1443" s="270"/>
      <c r="C1443" s="271"/>
      <c r="D1443" s="456"/>
      <c r="E1443" s="362"/>
      <c r="F1443" s="272"/>
      <c r="G1443" s="460"/>
      <c r="H1443" s="272"/>
      <c r="I1443" s="399"/>
      <c r="J1443" s="241" t="b">
        <f>Age_Sex_PY[[#This Row],[Total Spending After Applying Truncation at the Member Level]]+Age_Sex_PY[[#This Row],[Total Dollars Excluded from Spending After Applying Truncation at the Member Level]]=Age_Sex_PY[[#This Row],[Total Spending before Truncation is Applied]]</f>
        <v>1</v>
      </c>
    </row>
    <row r="1444" spans="1:10" x14ac:dyDescent="0.25">
      <c r="A1444" s="342"/>
      <c r="B1444" s="4"/>
      <c r="C1444" s="16"/>
      <c r="D1444" s="457"/>
      <c r="E1444" s="363"/>
      <c r="F1444" s="273"/>
      <c r="G1444" s="226"/>
      <c r="H1444" s="273"/>
      <c r="I1444" s="400"/>
      <c r="J1444" s="243" t="b">
        <f>Age_Sex_PY[[#This Row],[Total Spending After Applying Truncation at the Member Level]]+Age_Sex_PY[[#This Row],[Total Dollars Excluded from Spending After Applying Truncation at the Member Level]]=Age_Sex_PY[[#This Row],[Total Spending before Truncation is Applied]]</f>
        <v>1</v>
      </c>
    </row>
    <row r="1445" spans="1:10" x14ac:dyDescent="0.25">
      <c r="A1445" s="339"/>
      <c r="B1445" s="270"/>
      <c r="C1445" s="271"/>
      <c r="D1445" s="456"/>
      <c r="E1445" s="362"/>
      <c r="F1445" s="272"/>
      <c r="G1445" s="460"/>
      <c r="H1445" s="272"/>
      <c r="I1445" s="399"/>
      <c r="J1445" s="241" t="b">
        <f>Age_Sex_PY[[#This Row],[Total Spending After Applying Truncation at the Member Level]]+Age_Sex_PY[[#This Row],[Total Dollars Excluded from Spending After Applying Truncation at the Member Level]]=Age_Sex_PY[[#This Row],[Total Spending before Truncation is Applied]]</f>
        <v>1</v>
      </c>
    </row>
    <row r="1446" spans="1:10" x14ac:dyDescent="0.25">
      <c r="A1446" s="342"/>
      <c r="B1446" s="4"/>
      <c r="C1446" s="16"/>
      <c r="D1446" s="457"/>
      <c r="E1446" s="363"/>
      <c r="F1446" s="273"/>
      <c r="G1446" s="226"/>
      <c r="H1446" s="273"/>
      <c r="I1446" s="400"/>
      <c r="J1446" s="243" t="b">
        <f>Age_Sex_PY[[#This Row],[Total Spending After Applying Truncation at the Member Level]]+Age_Sex_PY[[#This Row],[Total Dollars Excluded from Spending After Applying Truncation at the Member Level]]=Age_Sex_PY[[#This Row],[Total Spending before Truncation is Applied]]</f>
        <v>1</v>
      </c>
    </row>
    <row r="1447" spans="1:10" x14ac:dyDescent="0.25">
      <c r="A1447" s="339"/>
      <c r="B1447" s="270"/>
      <c r="C1447" s="271"/>
      <c r="D1447" s="456"/>
      <c r="E1447" s="362"/>
      <c r="F1447" s="272"/>
      <c r="G1447" s="460"/>
      <c r="H1447" s="272"/>
      <c r="I1447" s="399"/>
      <c r="J1447" s="241" t="b">
        <f>Age_Sex_PY[[#This Row],[Total Spending After Applying Truncation at the Member Level]]+Age_Sex_PY[[#This Row],[Total Dollars Excluded from Spending After Applying Truncation at the Member Level]]=Age_Sex_PY[[#This Row],[Total Spending before Truncation is Applied]]</f>
        <v>1</v>
      </c>
    </row>
    <row r="1448" spans="1:10" x14ac:dyDescent="0.25">
      <c r="A1448" s="342"/>
      <c r="B1448" s="4"/>
      <c r="C1448" s="16"/>
      <c r="D1448" s="457"/>
      <c r="E1448" s="363"/>
      <c r="F1448" s="273"/>
      <c r="G1448" s="226"/>
      <c r="H1448" s="273"/>
      <c r="I1448" s="400"/>
      <c r="J1448" s="243" t="b">
        <f>Age_Sex_PY[[#This Row],[Total Spending After Applying Truncation at the Member Level]]+Age_Sex_PY[[#This Row],[Total Dollars Excluded from Spending After Applying Truncation at the Member Level]]=Age_Sex_PY[[#This Row],[Total Spending before Truncation is Applied]]</f>
        <v>1</v>
      </c>
    </row>
    <row r="1449" spans="1:10" x14ac:dyDescent="0.25">
      <c r="A1449" s="339"/>
      <c r="B1449" s="270"/>
      <c r="C1449" s="271"/>
      <c r="D1449" s="456"/>
      <c r="E1449" s="362"/>
      <c r="F1449" s="272"/>
      <c r="G1449" s="460"/>
      <c r="H1449" s="272"/>
      <c r="I1449" s="399"/>
      <c r="J1449" s="241" t="b">
        <f>Age_Sex_PY[[#This Row],[Total Spending After Applying Truncation at the Member Level]]+Age_Sex_PY[[#This Row],[Total Dollars Excluded from Spending After Applying Truncation at the Member Level]]=Age_Sex_PY[[#This Row],[Total Spending before Truncation is Applied]]</f>
        <v>1</v>
      </c>
    </row>
    <row r="1450" spans="1:10" x14ac:dyDescent="0.25">
      <c r="A1450" s="342"/>
      <c r="B1450" s="4"/>
      <c r="C1450" s="16"/>
      <c r="D1450" s="457"/>
      <c r="E1450" s="363"/>
      <c r="F1450" s="273"/>
      <c r="G1450" s="226"/>
      <c r="H1450" s="273"/>
      <c r="I1450" s="400"/>
      <c r="J1450" s="243" t="b">
        <f>Age_Sex_PY[[#This Row],[Total Spending After Applying Truncation at the Member Level]]+Age_Sex_PY[[#This Row],[Total Dollars Excluded from Spending After Applying Truncation at the Member Level]]=Age_Sex_PY[[#This Row],[Total Spending before Truncation is Applied]]</f>
        <v>1</v>
      </c>
    </row>
    <row r="1451" spans="1:10" x14ac:dyDescent="0.25">
      <c r="A1451" s="339"/>
      <c r="B1451" s="270"/>
      <c r="C1451" s="271"/>
      <c r="D1451" s="456"/>
      <c r="E1451" s="362"/>
      <c r="F1451" s="272"/>
      <c r="G1451" s="460"/>
      <c r="H1451" s="272"/>
      <c r="I1451" s="399"/>
      <c r="J1451" s="241" t="b">
        <f>Age_Sex_PY[[#This Row],[Total Spending After Applying Truncation at the Member Level]]+Age_Sex_PY[[#This Row],[Total Dollars Excluded from Spending After Applying Truncation at the Member Level]]=Age_Sex_PY[[#This Row],[Total Spending before Truncation is Applied]]</f>
        <v>1</v>
      </c>
    </row>
    <row r="1452" spans="1:10" x14ac:dyDescent="0.25">
      <c r="A1452" s="342"/>
      <c r="B1452" s="4"/>
      <c r="C1452" s="16"/>
      <c r="D1452" s="457"/>
      <c r="E1452" s="363"/>
      <c r="F1452" s="273"/>
      <c r="G1452" s="226"/>
      <c r="H1452" s="273"/>
      <c r="I1452" s="400"/>
      <c r="J1452" s="243" t="b">
        <f>Age_Sex_PY[[#This Row],[Total Spending After Applying Truncation at the Member Level]]+Age_Sex_PY[[#This Row],[Total Dollars Excluded from Spending After Applying Truncation at the Member Level]]=Age_Sex_PY[[#This Row],[Total Spending before Truncation is Applied]]</f>
        <v>1</v>
      </c>
    </row>
    <row r="1453" spans="1:10" x14ac:dyDescent="0.25">
      <c r="A1453" s="339"/>
      <c r="B1453" s="270"/>
      <c r="C1453" s="271"/>
      <c r="D1453" s="456"/>
      <c r="E1453" s="362"/>
      <c r="F1453" s="272"/>
      <c r="G1453" s="460"/>
      <c r="H1453" s="272"/>
      <c r="I1453" s="399"/>
      <c r="J1453" s="241" t="b">
        <f>Age_Sex_PY[[#This Row],[Total Spending After Applying Truncation at the Member Level]]+Age_Sex_PY[[#This Row],[Total Dollars Excluded from Spending After Applying Truncation at the Member Level]]=Age_Sex_PY[[#This Row],[Total Spending before Truncation is Applied]]</f>
        <v>1</v>
      </c>
    </row>
    <row r="1454" spans="1:10" x14ac:dyDescent="0.25">
      <c r="A1454" s="342"/>
      <c r="B1454" s="4"/>
      <c r="C1454" s="16"/>
      <c r="D1454" s="457"/>
      <c r="E1454" s="363"/>
      <c r="F1454" s="273"/>
      <c r="G1454" s="226"/>
      <c r="H1454" s="273"/>
      <c r="I1454" s="400"/>
      <c r="J1454" s="243" t="b">
        <f>Age_Sex_PY[[#This Row],[Total Spending After Applying Truncation at the Member Level]]+Age_Sex_PY[[#This Row],[Total Dollars Excluded from Spending After Applying Truncation at the Member Level]]=Age_Sex_PY[[#This Row],[Total Spending before Truncation is Applied]]</f>
        <v>1</v>
      </c>
    </row>
    <row r="1455" spans="1:10" x14ac:dyDescent="0.25">
      <c r="A1455" s="339"/>
      <c r="B1455" s="270"/>
      <c r="C1455" s="271"/>
      <c r="D1455" s="456"/>
      <c r="E1455" s="362"/>
      <c r="F1455" s="272"/>
      <c r="G1455" s="460"/>
      <c r="H1455" s="272"/>
      <c r="I1455" s="399"/>
      <c r="J1455" s="241" t="b">
        <f>Age_Sex_PY[[#This Row],[Total Spending After Applying Truncation at the Member Level]]+Age_Sex_PY[[#This Row],[Total Dollars Excluded from Spending After Applying Truncation at the Member Level]]=Age_Sex_PY[[#This Row],[Total Spending before Truncation is Applied]]</f>
        <v>1</v>
      </c>
    </row>
    <row r="1456" spans="1:10" x14ac:dyDescent="0.25">
      <c r="A1456" s="342"/>
      <c r="B1456" s="4"/>
      <c r="C1456" s="16"/>
      <c r="D1456" s="457"/>
      <c r="E1456" s="363"/>
      <c r="F1456" s="273"/>
      <c r="G1456" s="226"/>
      <c r="H1456" s="273"/>
      <c r="I1456" s="400"/>
      <c r="J1456" s="243" t="b">
        <f>Age_Sex_PY[[#This Row],[Total Spending After Applying Truncation at the Member Level]]+Age_Sex_PY[[#This Row],[Total Dollars Excluded from Spending After Applying Truncation at the Member Level]]=Age_Sex_PY[[#This Row],[Total Spending before Truncation is Applied]]</f>
        <v>1</v>
      </c>
    </row>
    <row r="1457" spans="1:10" x14ac:dyDescent="0.25">
      <c r="A1457" s="339"/>
      <c r="B1457" s="270"/>
      <c r="C1457" s="271"/>
      <c r="D1457" s="456"/>
      <c r="E1457" s="362"/>
      <c r="F1457" s="272"/>
      <c r="G1457" s="460"/>
      <c r="H1457" s="272"/>
      <c r="I1457" s="399"/>
      <c r="J1457" s="241" t="b">
        <f>Age_Sex_PY[[#This Row],[Total Spending After Applying Truncation at the Member Level]]+Age_Sex_PY[[#This Row],[Total Dollars Excluded from Spending After Applying Truncation at the Member Level]]=Age_Sex_PY[[#This Row],[Total Spending before Truncation is Applied]]</f>
        <v>1</v>
      </c>
    </row>
    <row r="1458" spans="1:10" x14ac:dyDescent="0.25">
      <c r="A1458" s="342"/>
      <c r="B1458" s="4"/>
      <c r="C1458" s="16"/>
      <c r="D1458" s="457"/>
      <c r="E1458" s="363"/>
      <c r="F1458" s="273"/>
      <c r="G1458" s="226"/>
      <c r="H1458" s="273"/>
      <c r="I1458" s="400"/>
      <c r="J1458" s="243" t="b">
        <f>Age_Sex_PY[[#This Row],[Total Spending After Applying Truncation at the Member Level]]+Age_Sex_PY[[#This Row],[Total Dollars Excluded from Spending After Applying Truncation at the Member Level]]=Age_Sex_PY[[#This Row],[Total Spending before Truncation is Applied]]</f>
        <v>1</v>
      </c>
    </row>
    <row r="1459" spans="1:10" x14ac:dyDescent="0.25">
      <c r="A1459" s="339"/>
      <c r="B1459" s="270"/>
      <c r="C1459" s="271"/>
      <c r="D1459" s="456"/>
      <c r="E1459" s="362"/>
      <c r="F1459" s="272"/>
      <c r="G1459" s="460"/>
      <c r="H1459" s="272"/>
      <c r="I1459" s="399"/>
      <c r="J1459" s="241" t="b">
        <f>Age_Sex_PY[[#This Row],[Total Spending After Applying Truncation at the Member Level]]+Age_Sex_PY[[#This Row],[Total Dollars Excluded from Spending After Applying Truncation at the Member Level]]=Age_Sex_PY[[#This Row],[Total Spending before Truncation is Applied]]</f>
        <v>1</v>
      </c>
    </row>
    <row r="1460" spans="1:10" x14ac:dyDescent="0.25">
      <c r="A1460" s="342"/>
      <c r="B1460" s="4"/>
      <c r="C1460" s="16"/>
      <c r="D1460" s="457"/>
      <c r="E1460" s="363"/>
      <c r="F1460" s="273"/>
      <c r="G1460" s="226"/>
      <c r="H1460" s="273"/>
      <c r="I1460" s="400"/>
      <c r="J1460" s="243" t="b">
        <f>Age_Sex_PY[[#This Row],[Total Spending After Applying Truncation at the Member Level]]+Age_Sex_PY[[#This Row],[Total Dollars Excluded from Spending After Applying Truncation at the Member Level]]=Age_Sex_PY[[#This Row],[Total Spending before Truncation is Applied]]</f>
        <v>1</v>
      </c>
    </row>
    <row r="1461" spans="1:10" x14ac:dyDescent="0.25">
      <c r="A1461" s="339"/>
      <c r="B1461" s="270"/>
      <c r="C1461" s="271"/>
      <c r="D1461" s="456"/>
      <c r="E1461" s="362"/>
      <c r="F1461" s="272"/>
      <c r="G1461" s="460"/>
      <c r="H1461" s="272"/>
      <c r="I1461" s="399"/>
      <c r="J1461" s="241" t="b">
        <f>Age_Sex_PY[[#This Row],[Total Spending After Applying Truncation at the Member Level]]+Age_Sex_PY[[#This Row],[Total Dollars Excluded from Spending After Applying Truncation at the Member Level]]=Age_Sex_PY[[#This Row],[Total Spending before Truncation is Applied]]</f>
        <v>1</v>
      </c>
    </row>
    <row r="1462" spans="1:10" x14ac:dyDescent="0.25">
      <c r="A1462" s="342"/>
      <c r="B1462" s="4"/>
      <c r="C1462" s="16"/>
      <c r="D1462" s="457"/>
      <c r="E1462" s="363"/>
      <c r="F1462" s="273"/>
      <c r="G1462" s="226"/>
      <c r="H1462" s="273"/>
      <c r="I1462" s="400"/>
      <c r="J1462" s="243" t="b">
        <f>Age_Sex_PY[[#This Row],[Total Spending After Applying Truncation at the Member Level]]+Age_Sex_PY[[#This Row],[Total Dollars Excluded from Spending After Applying Truncation at the Member Level]]=Age_Sex_PY[[#This Row],[Total Spending before Truncation is Applied]]</f>
        <v>1</v>
      </c>
    </row>
    <row r="1463" spans="1:10" x14ac:dyDescent="0.25">
      <c r="A1463" s="339"/>
      <c r="B1463" s="270"/>
      <c r="C1463" s="271"/>
      <c r="D1463" s="456"/>
      <c r="E1463" s="362"/>
      <c r="F1463" s="272"/>
      <c r="G1463" s="460"/>
      <c r="H1463" s="272"/>
      <c r="I1463" s="399"/>
      <c r="J1463" s="241" t="b">
        <f>Age_Sex_PY[[#This Row],[Total Spending After Applying Truncation at the Member Level]]+Age_Sex_PY[[#This Row],[Total Dollars Excluded from Spending After Applying Truncation at the Member Level]]=Age_Sex_PY[[#This Row],[Total Spending before Truncation is Applied]]</f>
        <v>1</v>
      </c>
    </row>
    <row r="1464" spans="1:10" x14ac:dyDescent="0.25">
      <c r="A1464" s="342"/>
      <c r="B1464" s="4"/>
      <c r="C1464" s="16"/>
      <c r="D1464" s="457"/>
      <c r="E1464" s="363"/>
      <c r="F1464" s="273"/>
      <c r="G1464" s="226"/>
      <c r="H1464" s="273"/>
      <c r="I1464" s="400"/>
      <c r="J1464" s="243" t="b">
        <f>Age_Sex_PY[[#This Row],[Total Spending After Applying Truncation at the Member Level]]+Age_Sex_PY[[#This Row],[Total Dollars Excluded from Spending After Applying Truncation at the Member Level]]=Age_Sex_PY[[#This Row],[Total Spending before Truncation is Applied]]</f>
        <v>1</v>
      </c>
    </row>
    <row r="1465" spans="1:10" x14ac:dyDescent="0.25">
      <c r="A1465" s="339"/>
      <c r="B1465" s="270"/>
      <c r="C1465" s="271"/>
      <c r="D1465" s="456"/>
      <c r="E1465" s="362"/>
      <c r="F1465" s="272"/>
      <c r="G1465" s="460"/>
      <c r="H1465" s="272"/>
      <c r="I1465" s="399"/>
      <c r="J1465" s="241" t="b">
        <f>Age_Sex_PY[[#This Row],[Total Spending After Applying Truncation at the Member Level]]+Age_Sex_PY[[#This Row],[Total Dollars Excluded from Spending After Applying Truncation at the Member Level]]=Age_Sex_PY[[#This Row],[Total Spending before Truncation is Applied]]</f>
        <v>1</v>
      </c>
    </row>
    <row r="1466" spans="1:10" x14ac:dyDescent="0.25">
      <c r="A1466" s="342"/>
      <c r="B1466" s="4"/>
      <c r="C1466" s="16"/>
      <c r="D1466" s="457"/>
      <c r="E1466" s="363"/>
      <c r="F1466" s="273"/>
      <c r="G1466" s="226"/>
      <c r="H1466" s="273"/>
      <c r="I1466" s="400"/>
      <c r="J1466" s="243" t="b">
        <f>Age_Sex_PY[[#This Row],[Total Spending After Applying Truncation at the Member Level]]+Age_Sex_PY[[#This Row],[Total Dollars Excluded from Spending After Applying Truncation at the Member Level]]=Age_Sex_PY[[#This Row],[Total Spending before Truncation is Applied]]</f>
        <v>1</v>
      </c>
    </row>
    <row r="1467" spans="1:10" x14ac:dyDescent="0.25">
      <c r="A1467" s="339"/>
      <c r="B1467" s="270"/>
      <c r="C1467" s="271"/>
      <c r="D1467" s="456"/>
      <c r="E1467" s="362"/>
      <c r="F1467" s="272"/>
      <c r="G1467" s="460"/>
      <c r="H1467" s="272"/>
      <c r="I1467" s="399"/>
      <c r="J1467" s="241" t="b">
        <f>Age_Sex_PY[[#This Row],[Total Spending After Applying Truncation at the Member Level]]+Age_Sex_PY[[#This Row],[Total Dollars Excluded from Spending After Applying Truncation at the Member Level]]=Age_Sex_PY[[#This Row],[Total Spending before Truncation is Applied]]</f>
        <v>1</v>
      </c>
    </row>
    <row r="1468" spans="1:10" x14ac:dyDescent="0.25">
      <c r="A1468" s="342"/>
      <c r="B1468" s="4"/>
      <c r="C1468" s="16"/>
      <c r="D1468" s="457"/>
      <c r="E1468" s="363"/>
      <c r="F1468" s="273"/>
      <c r="G1468" s="226"/>
      <c r="H1468" s="273"/>
      <c r="I1468" s="400"/>
      <c r="J1468" s="243" t="b">
        <f>Age_Sex_PY[[#This Row],[Total Spending After Applying Truncation at the Member Level]]+Age_Sex_PY[[#This Row],[Total Dollars Excluded from Spending After Applying Truncation at the Member Level]]=Age_Sex_PY[[#This Row],[Total Spending before Truncation is Applied]]</f>
        <v>1</v>
      </c>
    </row>
    <row r="1469" spans="1:10" x14ac:dyDescent="0.25">
      <c r="A1469" s="339"/>
      <c r="B1469" s="270"/>
      <c r="C1469" s="271"/>
      <c r="D1469" s="456"/>
      <c r="E1469" s="362"/>
      <c r="F1469" s="272"/>
      <c r="G1469" s="460"/>
      <c r="H1469" s="272"/>
      <c r="I1469" s="399"/>
      <c r="J1469" s="241" t="b">
        <f>Age_Sex_PY[[#This Row],[Total Spending After Applying Truncation at the Member Level]]+Age_Sex_PY[[#This Row],[Total Dollars Excluded from Spending After Applying Truncation at the Member Level]]=Age_Sex_PY[[#This Row],[Total Spending before Truncation is Applied]]</f>
        <v>1</v>
      </c>
    </row>
    <row r="1470" spans="1:10" x14ac:dyDescent="0.25">
      <c r="A1470" s="342"/>
      <c r="B1470" s="4"/>
      <c r="C1470" s="16"/>
      <c r="D1470" s="457"/>
      <c r="E1470" s="363"/>
      <c r="F1470" s="273"/>
      <c r="G1470" s="226"/>
      <c r="H1470" s="273"/>
      <c r="I1470" s="400"/>
      <c r="J1470" s="243" t="b">
        <f>Age_Sex_PY[[#This Row],[Total Spending After Applying Truncation at the Member Level]]+Age_Sex_PY[[#This Row],[Total Dollars Excluded from Spending After Applying Truncation at the Member Level]]=Age_Sex_PY[[#This Row],[Total Spending before Truncation is Applied]]</f>
        <v>1</v>
      </c>
    </row>
    <row r="1471" spans="1:10" x14ac:dyDescent="0.25">
      <c r="A1471" s="339"/>
      <c r="B1471" s="270"/>
      <c r="C1471" s="271"/>
      <c r="D1471" s="456"/>
      <c r="E1471" s="362"/>
      <c r="F1471" s="272"/>
      <c r="G1471" s="460"/>
      <c r="H1471" s="272"/>
      <c r="I1471" s="399"/>
      <c r="J1471" s="241" t="b">
        <f>Age_Sex_PY[[#This Row],[Total Spending After Applying Truncation at the Member Level]]+Age_Sex_PY[[#This Row],[Total Dollars Excluded from Spending After Applying Truncation at the Member Level]]=Age_Sex_PY[[#This Row],[Total Spending before Truncation is Applied]]</f>
        <v>1</v>
      </c>
    </row>
    <row r="1472" spans="1:10" x14ac:dyDescent="0.25">
      <c r="A1472" s="342"/>
      <c r="B1472" s="4"/>
      <c r="C1472" s="16"/>
      <c r="D1472" s="457"/>
      <c r="E1472" s="363"/>
      <c r="F1472" s="273"/>
      <c r="G1472" s="226"/>
      <c r="H1472" s="273"/>
      <c r="I1472" s="400"/>
      <c r="J1472" s="243" t="b">
        <f>Age_Sex_PY[[#This Row],[Total Spending After Applying Truncation at the Member Level]]+Age_Sex_PY[[#This Row],[Total Dollars Excluded from Spending After Applying Truncation at the Member Level]]=Age_Sex_PY[[#This Row],[Total Spending before Truncation is Applied]]</f>
        <v>1</v>
      </c>
    </row>
    <row r="1473" spans="1:10" x14ac:dyDescent="0.25">
      <c r="A1473" s="339"/>
      <c r="B1473" s="270"/>
      <c r="C1473" s="271"/>
      <c r="D1473" s="456"/>
      <c r="E1473" s="362"/>
      <c r="F1473" s="272"/>
      <c r="G1473" s="460"/>
      <c r="H1473" s="272"/>
      <c r="I1473" s="399"/>
      <c r="J1473" s="241" t="b">
        <f>Age_Sex_PY[[#This Row],[Total Spending After Applying Truncation at the Member Level]]+Age_Sex_PY[[#This Row],[Total Dollars Excluded from Spending After Applying Truncation at the Member Level]]=Age_Sex_PY[[#This Row],[Total Spending before Truncation is Applied]]</f>
        <v>1</v>
      </c>
    </row>
    <row r="1474" spans="1:10" x14ac:dyDescent="0.25">
      <c r="A1474" s="342"/>
      <c r="B1474" s="4"/>
      <c r="C1474" s="16"/>
      <c r="D1474" s="457"/>
      <c r="E1474" s="363"/>
      <c r="F1474" s="273"/>
      <c r="G1474" s="226"/>
      <c r="H1474" s="273"/>
      <c r="I1474" s="400"/>
      <c r="J1474" s="243" t="b">
        <f>Age_Sex_PY[[#This Row],[Total Spending After Applying Truncation at the Member Level]]+Age_Sex_PY[[#This Row],[Total Dollars Excluded from Spending After Applying Truncation at the Member Level]]=Age_Sex_PY[[#This Row],[Total Spending before Truncation is Applied]]</f>
        <v>1</v>
      </c>
    </row>
    <row r="1475" spans="1:10" x14ac:dyDescent="0.25">
      <c r="A1475" s="339"/>
      <c r="B1475" s="270"/>
      <c r="C1475" s="271"/>
      <c r="D1475" s="456"/>
      <c r="E1475" s="362"/>
      <c r="F1475" s="272"/>
      <c r="G1475" s="460"/>
      <c r="H1475" s="272"/>
      <c r="I1475" s="399"/>
      <c r="J1475" s="241" t="b">
        <f>Age_Sex_PY[[#This Row],[Total Spending After Applying Truncation at the Member Level]]+Age_Sex_PY[[#This Row],[Total Dollars Excluded from Spending After Applying Truncation at the Member Level]]=Age_Sex_PY[[#This Row],[Total Spending before Truncation is Applied]]</f>
        <v>1</v>
      </c>
    </row>
    <row r="1476" spans="1:10" x14ac:dyDescent="0.25">
      <c r="A1476" s="342"/>
      <c r="B1476" s="4"/>
      <c r="C1476" s="16"/>
      <c r="D1476" s="457"/>
      <c r="E1476" s="363"/>
      <c r="F1476" s="273"/>
      <c r="G1476" s="226"/>
      <c r="H1476" s="273"/>
      <c r="I1476" s="400"/>
      <c r="J1476" s="243" t="b">
        <f>Age_Sex_PY[[#This Row],[Total Spending After Applying Truncation at the Member Level]]+Age_Sex_PY[[#This Row],[Total Dollars Excluded from Spending After Applying Truncation at the Member Level]]=Age_Sex_PY[[#This Row],[Total Spending before Truncation is Applied]]</f>
        <v>1</v>
      </c>
    </row>
    <row r="1477" spans="1:10" x14ac:dyDescent="0.25">
      <c r="A1477" s="339"/>
      <c r="B1477" s="270"/>
      <c r="C1477" s="271"/>
      <c r="D1477" s="456"/>
      <c r="E1477" s="362"/>
      <c r="F1477" s="272"/>
      <c r="G1477" s="460"/>
      <c r="H1477" s="272"/>
      <c r="I1477" s="399"/>
      <c r="J1477" s="241" t="b">
        <f>Age_Sex_PY[[#This Row],[Total Spending After Applying Truncation at the Member Level]]+Age_Sex_PY[[#This Row],[Total Dollars Excluded from Spending After Applying Truncation at the Member Level]]=Age_Sex_PY[[#This Row],[Total Spending before Truncation is Applied]]</f>
        <v>1</v>
      </c>
    </row>
    <row r="1478" spans="1:10" x14ac:dyDescent="0.25">
      <c r="A1478" s="342"/>
      <c r="B1478" s="4"/>
      <c r="C1478" s="16"/>
      <c r="D1478" s="457"/>
      <c r="E1478" s="363"/>
      <c r="F1478" s="273"/>
      <c r="G1478" s="226"/>
      <c r="H1478" s="273"/>
      <c r="I1478" s="400"/>
      <c r="J1478" s="243" t="b">
        <f>Age_Sex_PY[[#This Row],[Total Spending After Applying Truncation at the Member Level]]+Age_Sex_PY[[#This Row],[Total Dollars Excluded from Spending After Applying Truncation at the Member Level]]=Age_Sex_PY[[#This Row],[Total Spending before Truncation is Applied]]</f>
        <v>1</v>
      </c>
    </row>
    <row r="1479" spans="1:10" x14ac:dyDescent="0.25">
      <c r="A1479" s="339"/>
      <c r="B1479" s="270"/>
      <c r="C1479" s="271"/>
      <c r="D1479" s="456"/>
      <c r="E1479" s="362"/>
      <c r="F1479" s="272"/>
      <c r="G1479" s="460"/>
      <c r="H1479" s="272"/>
      <c r="I1479" s="399"/>
      <c r="J1479" s="241" t="b">
        <f>Age_Sex_PY[[#This Row],[Total Spending After Applying Truncation at the Member Level]]+Age_Sex_PY[[#This Row],[Total Dollars Excluded from Spending After Applying Truncation at the Member Level]]=Age_Sex_PY[[#This Row],[Total Spending before Truncation is Applied]]</f>
        <v>1</v>
      </c>
    </row>
    <row r="1480" spans="1:10" x14ac:dyDescent="0.25">
      <c r="A1480" s="342"/>
      <c r="B1480" s="4"/>
      <c r="C1480" s="16"/>
      <c r="D1480" s="457"/>
      <c r="E1480" s="363"/>
      <c r="F1480" s="273"/>
      <c r="G1480" s="226"/>
      <c r="H1480" s="273"/>
      <c r="I1480" s="400"/>
      <c r="J1480" s="243" t="b">
        <f>Age_Sex_PY[[#This Row],[Total Spending After Applying Truncation at the Member Level]]+Age_Sex_PY[[#This Row],[Total Dollars Excluded from Spending After Applying Truncation at the Member Level]]=Age_Sex_PY[[#This Row],[Total Spending before Truncation is Applied]]</f>
        <v>1</v>
      </c>
    </row>
    <row r="1481" spans="1:10" x14ac:dyDescent="0.25">
      <c r="A1481" s="339"/>
      <c r="B1481" s="270"/>
      <c r="C1481" s="271"/>
      <c r="D1481" s="456"/>
      <c r="E1481" s="362"/>
      <c r="F1481" s="272"/>
      <c r="G1481" s="460"/>
      <c r="H1481" s="272"/>
      <c r="I1481" s="399"/>
      <c r="J1481" s="241" t="b">
        <f>Age_Sex_PY[[#This Row],[Total Spending After Applying Truncation at the Member Level]]+Age_Sex_PY[[#This Row],[Total Dollars Excluded from Spending After Applying Truncation at the Member Level]]=Age_Sex_PY[[#This Row],[Total Spending before Truncation is Applied]]</f>
        <v>1</v>
      </c>
    </row>
    <row r="1482" spans="1:10" x14ac:dyDescent="0.25">
      <c r="A1482" s="342"/>
      <c r="B1482" s="4"/>
      <c r="C1482" s="16"/>
      <c r="D1482" s="457"/>
      <c r="E1482" s="363"/>
      <c r="F1482" s="273"/>
      <c r="G1482" s="226"/>
      <c r="H1482" s="273"/>
      <c r="I1482" s="400"/>
      <c r="J1482" s="243" t="b">
        <f>Age_Sex_PY[[#This Row],[Total Spending After Applying Truncation at the Member Level]]+Age_Sex_PY[[#This Row],[Total Dollars Excluded from Spending After Applying Truncation at the Member Level]]=Age_Sex_PY[[#This Row],[Total Spending before Truncation is Applied]]</f>
        <v>1</v>
      </c>
    </row>
    <row r="1483" spans="1:10" x14ac:dyDescent="0.25">
      <c r="A1483" s="339"/>
      <c r="B1483" s="270"/>
      <c r="C1483" s="271"/>
      <c r="D1483" s="456"/>
      <c r="E1483" s="362"/>
      <c r="F1483" s="272"/>
      <c r="G1483" s="460"/>
      <c r="H1483" s="272"/>
      <c r="I1483" s="399"/>
      <c r="J1483" s="241" t="b">
        <f>Age_Sex_PY[[#This Row],[Total Spending After Applying Truncation at the Member Level]]+Age_Sex_PY[[#This Row],[Total Dollars Excluded from Spending After Applying Truncation at the Member Level]]=Age_Sex_PY[[#This Row],[Total Spending before Truncation is Applied]]</f>
        <v>1</v>
      </c>
    </row>
    <row r="1484" spans="1:10" x14ac:dyDescent="0.25">
      <c r="A1484" s="342"/>
      <c r="B1484" s="4"/>
      <c r="C1484" s="16"/>
      <c r="D1484" s="457"/>
      <c r="E1484" s="363"/>
      <c r="F1484" s="273"/>
      <c r="G1484" s="226"/>
      <c r="H1484" s="273"/>
      <c r="I1484" s="400"/>
      <c r="J1484" s="243" t="b">
        <f>Age_Sex_PY[[#This Row],[Total Spending After Applying Truncation at the Member Level]]+Age_Sex_PY[[#This Row],[Total Dollars Excluded from Spending After Applying Truncation at the Member Level]]=Age_Sex_PY[[#This Row],[Total Spending before Truncation is Applied]]</f>
        <v>1</v>
      </c>
    </row>
    <row r="1485" spans="1:10" x14ac:dyDescent="0.25">
      <c r="A1485" s="339"/>
      <c r="B1485" s="270"/>
      <c r="C1485" s="271"/>
      <c r="D1485" s="456"/>
      <c r="E1485" s="362"/>
      <c r="F1485" s="272"/>
      <c r="G1485" s="460"/>
      <c r="H1485" s="272"/>
      <c r="I1485" s="399"/>
      <c r="J1485" s="241" t="b">
        <f>Age_Sex_PY[[#This Row],[Total Spending After Applying Truncation at the Member Level]]+Age_Sex_PY[[#This Row],[Total Dollars Excluded from Spending After Applying Truncation at the Member Level]]=Age_Sex_PY[[#This Row],[Total Spending before Truncation is Applied]]</f>
        <v>1</v>
      </c>
    </row>
    <row r="1486" spans="1:10" x14ac:dyDescent="0.25">
      <c r="A1486" s="342"/>
      <c r="B1486" s="4"/>
      <c r="C1486" s="16"/>
      <c r="D1486" s="457"/>
      <c r="E1486" s="363"/>
      <c r="F1486" s="273"/>
      <c r="G1486" s="226"/>
      <c r="H1486" s="273"/>
      <c r="I1486" s="400"/>
      <c r="J1486" s="243" t="b">
        <f>Age_Sex_PY[[#This Row],[Total Spending After Applying Truncation at the Member Level]]+Age_Sex_PY[[#This Row],[Total Dollars Excluded from Spending After Applying Truncation at the Member Level]]=Age_Sex_PY[[#This Row],[Total Spending before Truncation is Applied]]</f>
        <v>1</v>
      </c>
    </row>
    <row r="1487" spans="1:10" x14ac:dyDescent="0.25">
      <c r="A1487" s="339"/>
      <c r="B1487" s="270"/>
      <c r="C1487" s="271"/>
      <c r="D1487" s="456"/>
      <c r="E1487" s="362"/>
      <c r="F1487" s="272"/>
      <c r="G1487" s="460"/>
      <c r="H1487" s="272"/>
      <c r="I1487" s="399"/>
      <c r="J1487" s="241" t="b">
        <f>Age_Sex_PY[[#This Row],[Total Spending After Applying Truncation at the Member Level]]+Age_Sex_PY[[#This Row],[Total Dollars Excluded from Spending After Applying Truncation at the Member Level]]=Age_Sex_PY[[#This Row],[Total Spending before Truncation is Applied]]</f>
        <v>1</v>
      </c>
    </row>
    <row r="1488" spans="1:10" x14ac:dyDescent="0.25">
      <c r="A1488" s="342"/>
      <c r="B1488" s="4"/>
      <c r="C1488" s="16"/>
      <c r="D1488" s="457"/>
      <c r="E1488" s="363"/>
      <c r="F1488" s="273"/>
      <c r="G1488" s="226"/>
      <c r="H1488" s="273"/>
      <c r="I1488" s="400"/>
      <c r="J1488" s="243" t="b">
        <f>Age_Sex_PY[[#This Row],[Total Spending After Applying Truncation at the Member Level]]+Age_Sex_PY[[#This Row],[Total Dollars Excluded from Spending After Applying Truncation at the Member Level]]=Age_Sex_PY[[#This Row],[Total Spending before Truncation is Applied]]</f>
        <v>1</v>
      </c>
    </row>
    <row r="1489" spans="1:10" x14ac:dyDescent="0.25">
      <c r="A1489" s="339"/>
      <c r="B1489" s="270"/>
      <c r="C1489" s="271"/>
      <c r="D1489" s="456"/>
      <c r="E1489" s="362"/>
      <c r="F1489" s="272"/>
      <c r="G1489" s="460"/>
      <c r="H1489" s="272"/>
      <c r="I1489" s="399"/>
      <c r="J1489" s="241" t="b">
        <f>Age_Sex_PY[[#This Row],[Total Spending After Applying Truncation at the Member Level]]+Age_Sex_PY[[#This Row],[Total Dollars Excluded from Spending After Applying Truncation at the Member Level]]=Age_Sex_PY[[#This Row],[Total Spending before Truncation is Applied]]</f>
        <v>1</v>
      </c>
    </row>
    <row r="1490" spans="1:10" x14ac:dyDescent="0.25">
      <c r="A1490" s="342"/>
      <c r="B1490" s="4"/>
      <c r="C1490" s="16"/>
      <c r="D1490" s="457"/>
      <c r="E1490" s="363"/>
      <c r="F1490" s="273"/>
      <c r="G1490" s="226"/>
      <c r="H1490" s="273"/>
      <c r="I1490" s="400"/>
      <c r="J1490" s="243" t="b">
        <f>Age_Sex_PY[[#This Row],[Total Spending After Applying Truncation at the Member Level]]+Age_Sex_PY[[#This Row],[Total Dollars Excluded from Spending After Applying Truncation at the Member Level]]=Age_Sex_PY[[#This Row],[Total Spending before Truncation is Applied]]</f>
        <v>1</v>
      </c>
    </row>
    <row r="1491" spans="1:10" x14ac:dyDescent="0.25">
      <c r="A1491" s="339"/>
      <c r="B1491" s="270"/>
      <c r="C1491" s="271"/>
      <c r="D1491" s="456"/>
      <c r="E1491" s="362"/>
      <c r="F1491" s="272"/>
      <c r="G1491" s="460"/>
      <c r="H1491" s="272"/>
      <c r="I1491" s="399"/>
      <c r="J1491" s="241" t="b">
        <f>Age_Sex_PY[[#This Row],[Total Spending After Applying Truncation at the Member Level]]+Age_Sex_PY[[#This Row],[Total Dollars Excluded from Spending After Applying Truncation at the Member Level]]=Age_Sex_PY[[#This Row],[Total Spending before Truncation is Applied]]</f>
        <v>1</v>
      </c>
    </row>
    <row r="1492" spans="1:10" x14ac:dyDescent="0.25">
      <c r="A1492" s="342"/>
      <c r="B1492" s="4"/>
      <c r="C1492" s="16"/>
      <c r="D1492" s="457"/>
      <c r="E1492" s="363"/>
      <c r="F1492" s="273"/>
      <c r="G1492" s="226"/>
      <c r="H1492" s="273"/>
      <c r="I1492" s="400"/>
      <c r="J1492" s="243" t="b">
        <f>Age_Sex_PY[[#This Row],[Total Spending After Applying Truncation at the Member Level]]+Age_Sex_PY[[#This Row],[Total Dollars Excluded from Spending After Applying Truncation at the Member Level]]=Age_Sex_PY[[#This Row],[Total Spending before Truncation is Applied]]</f>
        <v>1</v>
      </c>
    </row>
    <row r="1493" spans="1:10" x14ac:dyDescent="0.25">
      <c r="A1493" s="339"/>
      <c r="B1493" s="270"/>
      <c r="C1493" s="271"/>
      <c r="D1493" s="456"/>
      <c r="E1493" s="362"/>
      <c r="F1493" s="272"/>
      <c r="G1493" s="460"/>
      <c r="H1493" s="272"/>
      <c r="I1493" s="399"/>
      <c r="J1493" s="241" t="b">
        <f>Age_Sex_PY[[#This Row],[Total Spending After Applying Truncation at the Member Level]]+Age_Sex_PY[[#This Row],[Total Dollars Excluded from Spending After Applying Truncation at the Member Level]]=Age_Sex_PY[[#This Row],[Total Spending before Truncation is Applied]]</f>
        <v>1</v>
      </c>
    </row>
    <row r="1494" spans="1:10" x14ac:dyDescent="0.25">
      <c r="A1494" s="342"/>
      <c r="B1494" s="4"/>
      <c r="C1494" s="16"/>
      <c r="D1494" s="457"/>
      <c r="E1494" s="363"/>
      <c r="F1494" s="273"/>
      <c r="G1494" s="226"/>
      <c r="H1494" s="273"/>
      <c r="I1494" s="400"/>
      <c r="J1494" s="243" t="b">
        <f>Age_Sex_PY[[#This Row],[Total Spending After Applying Truncation at the Member Level]]+Age_Sex_PY[[#This Row],[Total Dollars Excluded from Spending After Applying Truncation at the Member Level]]=Age_Sex_PY[[#This Row],[Total Spending before Truncation is Applied]]</f>
        <v>1</v>
      </c>
    </row>
    <row r="1495" spans="1:10" x14ac:dyDescent="0.25">
      <c r="A1495" s="339"/>
      <c r="B1495" s="270"/>
      <c r="C1495" s="271"/>
      <c r="D1495" s="456"/>
      <c r="E1495" s="362"/>
      <c r="F1495" s="272"/>
      <c r="G1495" s="460"/>
      <c r="H1495" s="272"/>
      <c r="I1495" s="399"/>
      <c r="J1495" s="241" t="b">
        <f>Age_Sex_PY[[#This Row],[Total Spending After Applying Truncation at the Member Level]]+Age_Sex_PY[[#This Row],[Total Dollars Excluded from Spending After Applying Truncation at the Member Level]]=Age_Sex_PY[[#This Row],[Total Spending before Truncation is Applied]]</f>
        <v>1</v>
      </c>
    </row>
    <row r="1496" spans="1:10" x14ac:dyDescent="0.25">
      <c r="A1496" s="342"/>
      <c r="B1496" s="4"/>
      <c r="C1496" s="16"/>
      <c r="D1496" s="457"/>
      <c r="E1496" s="363"/>
      <c r="F1496" s="273"/>
      <c r="G1496" s="226"/>
      <c r="H1496" s="273"/>
      <c r="I1496" s="400"/>
      <c r="J1496" s="243" t="b">
        <f>Age_Sex_PY[[#This Row],[Total Spending After Applying Truncation at the Member Level]]+Age_Sex_PY[[#This Row],[Total Dollars Excluded from Spending After Applying Truncation at the Member Level]]=Age_Sex_PY[[#This Row],[Total Spending before Truncation is Applied]]</f>
        <v>1</v>
      </c>
    </row>
    <row r="1497" spans="1:10" x14ac:dyDescent="0.25">
      <c r="A1497" s="339"/>
      <c r="B1497" s="270"/>
      <c r="C1497" s="271"/>
      <c r="D1497" s="456"/>
      <c r="E1497" s="362"/>
      <c r="F1497" s="272"/>
      <c r="G1497" s="460"/>
      <c r="H1497" s="272"/>
      <c r="I1497" s="399"/>
      <c r="J1497" s="241" t="b">
        <f>Age_Sex_PY[[#This Row],[Total Spending After Applying Truncation at the Member Level]]+Age_Sex_PY[[#This Row],[Total Dollars Excluded from Spending After Applying Truncation at the Member Level]]=Age_Sex_PY[[#This Row],[Total Spending before Truncation is Applied]]</f>
        <v>1</v>
      </c>
    </row>
    <row r="1498" spans="1:10" x14ac:dyDescent="0.25">
      <c r="A1498" s="342"/>
      <c r="B1498" s="4"/>
      <c r="C1498" s="16"/>
      <c r="D1498" s="457"/>
      <c r="E1498" s="363"/>
      <c r="F1498" s="273"/>
      <c r="G1498" s="226"/>
      <c r="H1498" s="273"/>
      <c r="I1498" s="400"/>
      <c r="J1498" s="243" t="b">
        <f>Age_Sex_PY[[#This Row],[Total Spending After Applying Truncation at the Member Level]]+Age_Sex_PY[[#This Row],[Total Dollars Excluded from Spending After Applying Truncation at the Member Level]]=Age_Sex_PY[[#This Row],[Total Spending before Truncation is Applied]]</f>
        <v>1</v>
      </c>
    </row>
    <row r="1499" spans="1:10" x14ac:dyDescent="0.25">
      <c r="A1499" s="339"/>
      <c r="B1499" s="270"/>
      <c r="C1499" s="271"/>
      <c r="D1499" s="456"/>
      <c r="E1499" s="362"/>
      <c r="F1499" s="272"/>
      <c r="G1499" s="460"/>
      <c r="H1499" s="272"/>
      <c r="I1499" s="399"/>
      <c r="J1499" s="241" t="b">
        <f>Age_Sex_PY[[#This Row],[Total Spending After Applying Truncation at the Member Level]]+Age_Sex_PY[[#This Row],[Total Dollars Excluded from Spending After Applying Truncation at the Member Level]]=Age_Sex_PY[[#This Row],[Total Spending before Truncation is Applied]]</f>
        <v>1</v>
      </c>
    </row>
    <row r="1500" spans="1:10" x14ac:dyDescent="0.25">
      <c r="A1500" s="342"/>
      <c r="B1500" s="4"/>
      <c r="C1500" s="16"/>
      <c r="D1500" s="457"/>
      <c r="E1500" s="363"/>
      <c r="F1500" s="273"/>
      <c r="G1500" s="226"/>
      <c r="H1500" s="273"/>
      <c r="I1500" s="400"/>
      <c r="J1500" s="243" t="b">
        <f>Age_Sex_PY[[#This Row],[Total Spending After Applying Truncation at the Member Level]]+Age_Sex_PY[[#This Row],[Total Dollars Excluded from Spending After Applying Truncation at the Member Level]]=Age_Sex_PY[[#This Row],[Total Spending before Truncation is Applied]]</f>
        <v>1</v>
      </c>
    </row>
    <row r="1501" spans="1:10" x14ac:dyDescent="0.25">
      <c r="A1501" s="339"/>
      <c r="B1501" s="270"/>
      <c r="C1501" s="271"/>
      <c r="D1501" s="456"/>
      <c r="E1501" s="362"/>
      <c r="F1501" s="272"/>
      <c r="G1501" s="460"/>
      <c r="H1501" s="272"/>
      <c r="I1501" s="399"/>
      <c r="J1501" s="241" t="b">
        <f>Age_Sex_PY[[#This Row],[Total Spending After Applying Truncation at the Member Level]]+Age_Sex_PY[[#This Row],[Total Dollars Excluded from Spending After Applying Truncation at the Member Level]]=Age_Sex_PY[[#This Row],[Total Spending before Truncation is Applied]]</f>
        <v>1</v>
      </c>
    </row>
    <row r="1502" spans="1:10" x14ac:dyDescent="0.25">
      <c r="A1502" s="342"/>
      <c r="B1502" s="4"/>
      <c r="C1502" s="16"/>
      <c r="D1502" s="457"/>
      <c r="E1502" s="363"/>
      <c r="F1502" s="273"/>
      <c r="G1502" s="226"/>
      <c r="H1502" s="273"/>
      <c r="I1502" s="400"/>
      <c r="J1502" s="243" t="b">
        <f>Age_Sex_PY[[#This Row],[Total Spending After Applying Truncation at the Member Level]]+Age_Sex_PY[[#This Row],[Total Dollars Excluded from Spending After Applying Truncation at the Member Level]]=Age_Sex_PY[[#This Row],[Total Spending before Truncation is Applied]]</f>
        <v>1</v>
      </c>
    </row>
    <row r="1503" spans="1:10" x14ac:dyDescent="0.25">
      <c r="A1503" s="339"/>
      <c r="B1503" s="270"/>
      <c r="C1503" s="271"/>
      <c r="D1503" s="456"/>
      <c r="E1503" s="362"/>
      <c r="F1503" s="272"/>
      <c r="G1503" s="460"/>
      <c r="H1503" s="272"/>
      <c r="I1503" s="399"/>
      <c r="J1503" s="241" t="b">
        <f>Age_Sex_PY[[#This Row],[Total Spending After Applying Truncation at the Member Level]]+Age_Sex_PY[[#This Row],[Total Dollars Excluded from Spending After Applying Truncation at the Member Level]]=Age_Sex_PY[[#This Row],[Total Spending before Truncation is Applied]]</f>
        <v>1</v>
      </c>
    </row>
    <row r="1504" spans="1:10" x14ac:dyDescent="0.25">
      <c r="A1504" s="342"/>
      <c r="B1504" s="4"/>
      <c r="C1504" s="16"/>
      <c r="D1504" s="457"/>
      <c r="E1504" s="363"/>
      <c r="F1504" s="273"/>
      <c r="G1504" s="226"/>
      <c r="H1504" s="273"/>
      <c r="I1504" s="400"/>
      <c r="J1504" s="243" t="b">
        <f>Age_Sex_PY[[#This Row],[Total Spending After Applying Truncation at the Member Level]]+Age_Sex_PY[[#This Row],[Total Dollars Excluded from Spending After Applying Truncation at the Member Level]]=Age_Sex_PY[[#This Row],[Total Spending before Truncation is Applied]]</f>
        <v>1</v>
      </c>
    </row>
    <row r="1505" spans="1:10" x14ac:dyDescent="0.25">
      <c r="A1505" s="339"/>
      <c r="B1505" s="270"/>
      <c r="C1505" s="271"/>
      <c r="D1505" s="456"/>
      <c r="E1505" s="362"/>
      <c r="F1505" s="272"/>
      <c r="G1505" s="460"/>
      <c r="H1505" s="272"/>
      <c r="I1505" s="399"/>
      <c r="J1505" s="241" t="b">
        <f>Age_Sex_PY[[#This Row],[Total Spending After Applying Truncation at the Member Level]]+Age_Sex_PY[[#This Row],[Total Dollars Excluded from Spending After Applying Truncation at the Member Level]]=Age_Sex_PY[[#This Row],[Total Spending before Truncation is Applied]]</f>
        <v>1</v>
      </c>
    </row>
    <row r="1506" spans="1:10" x14ac:dyDescent="0.25">
      <c r="A1506" s="342"/>
      <c r="B1506" s="4"/>
      <c r="C1506" s="16"/>
      <c r="D1506" s="457"/>
      <c r="E1506" s="363"/>
      <c r="F1506" s="273"/>
      <c r="G1506" s="226"/>
      <c r="H1506" s="273"/>
      <c r="I1506" s="400"/>
      <c r="J1506" s="243" t="b">
        <f>Age_Sex_PY[[#This Row],[Total Spending After Applying Truncation at the Member Level]]+Age_Sex_PY[[#This Row],[Total Dollars Excluded from Spending After Applying Truncation at the Member Level]]=Age_Sex_PY[[#This Row],[Total Spending before Truncation is Applied]]</f>
        <v>1</v>
      </c>
    </row>
    <row r="1507" spans="1:10" x14ac:dyDescent="0.25">
      <c r="A1507" s="339"/>
      <c r="B1507" s="270"/>
      <c r="C1507" s="271"/>
      <c r="D1507" s="456"/>
      <c r="E1507" s="362"/>
      <c r="F1507" s="272"/>
      <c r="G1507" s="460"/>
      <c r="H1507" s="272"/>
      <c r="I1507" s="399"/>
      <c r="J1507" s="241" t="b">
        <f>Age_Sex_PY[[#This Row],[Total Spending After Applying Truncation at the Member Level]]+Age_Sex_PY[[#This Row],[Total Dollars Excluded from Spending After Applying Truncation at the Member Level]]=Age_Sex_PY[[#This Row],[Total Spending before Truncation is Applied]]</f>
        <v>1</v>
      </c>
    </row>
    <row r="1508" spans="1:10" x14ac:dyDescent="0.25">
      <c r="A1508" s="342"/>
      <c r="B1508" s="4"/>
      <c r="C1508" s="16"/>
      <c r="D1508" s="457"/>
      <c r="E1508" s="363"/>
      <c r="F1508" s="273"/>
      <c r="G1508" s="226"/>
      <c r="H1508" s="273"/>
      <c r="I1508" s="400"/>
      <c r="J1508" s="243" t="b">
        <f>Age_Sex_PY[[#This Row],[Total Spending After Applying Truncation at the Member Level]]+Age_Sex_PY[[#This Row],[Total Dollars Excluded from Spending After Applying Truncation at the Member Level]]=Age_Sex_PY[[#This Row],[Total Spending before Truncation is Applied]]</f>
        <v>1</v>
      </c>
    </row>
    <row r="1509" spans="1:10" x14ac:dyDescent="0.25">
      <c r="A1509" s="339"/>
      <c r="B1509" s="270"/>
      <c r="C1509" s="271"/>
      <c r="D1509" s="456"/>
      <c r="E1509" s="362"/>
      <c r="F1509" s="272"/>
      <c r="G1509" s="460"/>
      <c r="H1509" s="272"/>
      <c r="I1509" s="399"/>
      <c r="J1509" s="241" t="b">
        <f>Age_Sex_PY[[#This Row],[Total Spending After Applying Truncation at the Member Level]]+Age_Sex_PY[[#This Row],[Total Dollars Excluded from Spending After Applying Truncation at the Member Level]]=Age_Sex_PY[[#This Row],[Total Spending before Truncation is Applied]]</f>
        <v>1</v>
      </c>
    </row>
    <row r="1510" spans="1:10" x14ac:dyDescent="0.25">
      <c r="A1510" s="342"/>
      <c r="B1510" s="4"/>
      <c r="C1510" s="16"/>
      <c r="D1510" s="457"/>
      <c r="E1510" s="363"/>
      <c r="F1510" s="273"/>
      <c r="G1510" s="226"/>
      <c r="H1510" s="273"/>
      <c r="I1510" s="400"/>
      <c r="J1510" s="243" t="b">
        <f>Age_Sex_PY[[#This Row],[Total Spending After Applying Truncation at the Member Level]]+Age_Sex_PY[[#This Row],[Total Dollars Excluded from Spending After Applying Truncation at the Member Level]]=Age_Sex_PY[[#This Row],[Total Spending before Truncation is Applied]]</f>
        <v>1</v>
      </c>
    </row>
    <row r="1511" spans="1:10" x14ac:dyDescent="0.25">
      <c r="A1511" s="339"/>
      <c r="B1511" s="270"/>
      <c r="C1511" s="271"/>
      <c r="D1511" s="456"/>
      <c r="E1511" s="362"/>
      <c r="F1511" s="272"/>
      <c r="G1511" s="460"/>
      <c r="H1511" s="272"/>
      <c r="I1511" s="399"/>
      <c r="J1511" s="241" t="b">
        <f>Age_Sex_PY[[#This Row],[Total Spending After Applying Truncation at the Member Level]]+Age_Sex_PY[[#This Row],[Total Dollars Excluded from Spending After Applying Truncation at the Member Level]]=Age_Sex_PY[[#This Row],[Total Spending before Truncation is Applied]]</f>
        <v>1</v>
      </c>
    </row>
    <row r="1512" spans="1:10" x14ac:dyDescent="0.25">
      <c r="A1512" s="342"/>
      <c r="B1512" s="4"/>
      <c r="C1512" s="16"/>
      <c r="D1512" s="457"/>
      <c r="E1512" s="363"/>
      <c r="F1512" s="273"/>
      <c r="G1512" s="226"/>
      <c r="H1512" s="273"/>
      <c r="I1512" s="400"/>
      <c r="J1512" s="243" t="b">
        <f>Age_Sex_PY[[#This Row],[Total Spending After Applying Truncation at the Member Level]]+Age_Sex_PY[[#This Row],[Total Dollars Excluded from Spending After Applying Truncation at the Member Level]]=Age_Sex_PY[[#This Row],[Total Spending before Truncation is Applied]]</f>
        <v>1</v>
      </c>
    </row>
    <row r="1513" spans="1:10" x14ac:dyDescent="0.25">
      <c r="A1513" s="339"/>
      <c r="B1513" s="270"/>
      <c r="C1513" s="271"/>
      <c r="D1513" s="456"/>
      <c r="E1513" s="362"/>
      <c r="F1513" s="272"/>
      <c r="G1513" s="460"/>
      <c r="H1513" s="272"/>
      <c r="I1513" s="399"/>
      <c r="J1513" s="241" t="b">
        <f>Age_Sex_PY[[#This Row],[Total Spending After Applying Truncation at the Member Level]]+Age_Sex_PY[[#This Row],[Total Dollars Excluded from Spending After Applying Truncation at the Member Level]]=Age_Sex_PY[[#This Row],[Total Spending before Truncation is Applied]]</f>
        <v>1</v>
      </c>
    </row>
    <row r="1514" spans="1:10" x14ac:dyDescent="0.25">
      <c r="A1514" s="342"/>
      <c r="B1514" s="4"/>
      <c r="C1514" s="16"/>
      <c r="D1514" s="457"/>
      <c r="E1514" s="363"/>
      <c r="F1514" s="273"/>
      <c r="G1514" s="226"/>
      <c r="H1514" s="273"/>
      <c r="I1514" s="400"/>
      <c r="J1514" s="243" t="b">
        <f>Age_Sex_PY[[#This Row],[Total Spending After Applying Truncation at the Member Level]]+Age_Sex_PY[[#This Row],[Total Dollars Excluded from Spending After Applying Truncation at the Member Level]]=Age_Sex_PY[[#This Row],[Total Spending before Truncation is Applied]]</f>
        <v>1</v>
      </c>
    </row>
    <row r="1515" spans="1:10" x14ac:dyDescent="0.25">
      <c r="A1515" s="339"/>
      <c r="B1515" s="270"/>
      <c r="C1515" s="271"/>
      <c r="D1515" s="456"/>
      <c r="E1515" s="362"/>
      <c r="F1515" s="272"/>
      <c r="G1515" s="460"/>
      <c r="H1515" s="272"/>
      <c r="I1515" s="399"/>
      <c r="J1515" s="241" t="b">
        <f>Age_Sex_PY[[#This Row],[Total Spending After Applying Truncation at the Member Level]]+Age_Sex_PY[[#This Row],[Total Dollars Excluded from Spending After Applying Truncation at the Member Level]]=Age_Sex_PY[[#This Row],[Total Spending before Truncation is Applied]]</f>
        <v>1</v>
      </c>
    </row>
    <row r="1516" spans="1:10" x14ac:dyDescent="0.25">
      <c r="A1516" s="342"/>
      <c r="B1516" s="4"/>
      <c r="C1516" s="16"/>
      <c r="D1516" s="457"/>
      <c r="E1516" s="363"/>
      <c r="F1516" s="273"/>
      <c r="G1516" s="226"/>
      <c r="H1516" s="273"/>
      <c r="I1516" s="400"/>
      <c r="J1516" s="243" t="b">
        <f>Age_Sex_PY[[#This Row],[Total Spending After Applying Truncation at the Member Level]]+Age_Sex_PY[[#This Row],[Total Dollars Excluded from Spending After Applying Truncation at the Member Level]]=Age_Sex_PY[[#This Row],[Total Spending before Truncation is Applied]]</f>
        <v>1</v>
      </c>
    </row>
    <row r="1517" spans="1:10" x14ac:dyDescent="0.25">
      <c r="A1517" s="339"/>
      <c r="B1517" s="270"/>
      <c r="C1517" s="271"/>
      <c r="D1517" s="456"/>
      <c r="E1517" s="362"/>
      <c r="F1517" s="272"/>
      <c r="G1517" s="460"/>
      <c r="H1517" s="272"/>
      <c r="I1517" s="399"/>
      <c r="J1517" s="241" t="b">
        <f>Age_Sex_PY[[#This Row],[Total Spending After Applying Truncation at the Member Level]]+Age_Sex_PY[[#This Row],[Total Dollars Excluded from Spending After Applying Truncation at the Member Level]]=Age_Sex_PY[[#This Row],[Total Spending before Truncation is Applied]]</f>
        <v>1</v>
      </c>
    </row>
    <row r="1518" spans="1:10" x14ac:dyDescent="0.25">
      <c r="A1518" s="342"/>
      <c r="B1518" s="4"/>
      <c r="C1518" s="16"/>
      <c r="D1518" s="457"/>
      <c r="E1518" s="363"/>
      <c r="F1518" s="273"/>
      <c r="G1518" s="226"/>
      <c r="H1518" s="273"/>
      <c r="I1518" s="400"/>
      <c r="J1518" s="243" t="b">
        <f>Age_Sex_PY[[#This Row],[Total Spending After Applying Truncation at the Member Level]]+Age_Sex_PY[[#This Row],[Total Dollars Excluded from Spending After Applying Truncation at the Member Level]]=Age_Sex_PY[[#This Row],[Total Spending before Truncation is Applied]]</f>
        <v>1</v>
      </c>
    </row>
    <row r="1519" spans="1:10" x14ac:dyDescent="0.25">
      <c r="A1519" s="339"/>
      <c r="B1519" s="270"/>
      <c r="C1519" s="271"/>
      <c r="D1519" s="456"/>
      <c r="E1519" s="362"/>
      <c r="F1519" s="272"/>
      <c r="G1519" s="460"/>
      <c r="H1519" s="272"/>
      <c r="I1519" s="399"/>
      <c r="J1519" s="241" t="b">
        <f>Age_Sex_PY[[#This Row],[Total Spending After Applying Truncation at the Member Level]]+Age_Sex_PY[[#This Row],[Total Dollars Excluded from Spending After Applying Truncation at the Member Level]]=Age_Sex_PY[[#This Row],[Total Spending before Truncation is Applied]]</f>
        <v>1</v>
      </c>
    </row>
    <row r="1520" spans="1:10" x14ac:dyDescent="0.25">
      <c r="A1520" s="342"/>
      <c r="B1520" s="4"/>
      <c r="C1520" s="16"/>
      <c r="D1520" s="457"/>
      <c r="E1520" s="363"/>
      <c r="F1520" s="273"/>
      <c r="G1520" s="226"/>
      <c r="H1520" s="273"/>
      <c r="I1520" s="400"/>
      <c r="J1520" s="243" t="b">
        <f>Age_Sex_PY[[#This Row],[Total Spending After Applying Truncation at the Member Level]]+Age_Sex_PY[[#This Row],[Total Dollars Excluded from Spending After Applying Truncation at the Member Level]]=Age_Sex_PY[[#This Row],[Total Spending before Truncation is Applied]]</f>
        <v>1</v>
      </c>
    </row>
    <row r="1521" spans="1:10" x14ac:dyDescent="0.25">
      <c r="A1521" s="339"/>
      <c r="B1521" s="270"/>
      <c r="C1521" s="271"/>
      <c r="D1521" s="456"/>
      <c r="E1521" s="362"/>
      <c r="F1521" s="272"/>
      <c r="G1521" s="460"/>
      <c r="H1521" s="272"/>
      <c r="I1521" s="399"/>
      <c r="J1521" s="241" t="b">
        <f>Age_Sex_PY[[#This Row],[Total Spending After Applying Truncation at the Member Level]]+Age_Sex_PY[[#This Row],[Total Dollars Excluded from Spending After Applying Truncation at the Member Level]]=Age_Sex_PY[[#This Row],[Total Spending before Truncation is Applied]]</f>
        <v>1</v>
      </c>
    </row>
    <row r="1522" spans="1:10" x14ac:dyDescent="0.25">
      <c r="A1522" s="342"/>
      <c r="B1522" s="4"/>
      <c r="C1522" s="16"/>
      <c r="D1522" s="457"/>
      <c r="E1522" s="363"/>
      <c r="F1522" s="273"/>
      <c r="G1522" s="226"/>
      <c r="H1522" s="273"/>
      <c r="I1522" s="400"/>
      <c r="J1522" s="243" t="b">
        <f>Age_Sex_PY[[#This Row],[Total Spending After Applying Truncation at the Member Level]]+Age_Sex_PY[[#This Row],[Total Dollars Excluded from Spending After Applying Truncation at the Member Level]]=Age_Sex_PY[[#This Row],[Total Spending before Truncation is Applied]]</f>
        <v>1</v>
      </c>
    </row>
    <row r="1523" spans="1:10" x14ac:dyDescent="0.25">
      <c r="A1523" s="339"/>
      <c r="B1523" s="270"/>
      <c r="C1523" s="271"/>
      <c r="D1523" s="456"/>
      <c r="E1523" s="362"/>
      <c r="F1523" s="272"/>
      <c r="G1523" s="460"/>
      <c r="H1523" s="272"/>
      <c r="I1523" s="399"/>
      <c r="J1523" s="241" t="b">
        <f>Age_Sex_PY[[#This Row],[Total Spending After Applying Truncation at the Member Level]]+Age_Sex_PY[[#This Row],[Total Dollars Excluded from Spending After Applying Truncation at the Member Level]]=Age_Sex_PY[[#This Row],[Total Spending before Truncation is Applied]]</f>
        <v>1</v>
      </c>
    </row>
    <row r="1524" spans="1:10" x14ac:dyDescent="0.25">
      <c r="A1524" s="342"/>
      <c r="B1524" s="4"/>
      <c r="C1524" s="16"/>
      <c r="D1524" s="457"/>
      <c r="E1524" s="363"/>
      <c r="F1524" s="273"/>
      <c r="G1524" s="226"/>
      <c r="H1524" s="273"/>
      <c r="I1524" s="400"/>
      <c r="J1524" s="243" t="b">
        <f>Age_Sex_PY[[#This Row],[Total Spending After Applying Truncation at the Member Level]]+Age_Sex_PY[[#This Row],[Total Dollars Excluded from Spending After Applying Truncation at the Member Level]]=Age_Sex_PY[[#This Row],[Total Spending before Truncation is Applied]]</f>
        <v>1</v>
      </c>
    </row>
    <row r="1525" spans="1:10" x14ac:dyDescent="0.25">
      <c r="A1525" s="339"/>
      <c r="B1525" s="270"/>
      <c r="C1525" s="271"/>
      <c r="D1525" s="456"/>
      <c r="E1525" s="362"/>
      <c r="F1525" s="272"/>
      <c r="G1525" s="460"/>
      <c r="H1525" s="272"/>
      <c r="I1525" s="399"/>
      <c r="J1525" s="241" t="b">
        <f>Age_Sex_PY[[#This Row],[Total Spending After Applying Truncation at the Member Level]]+Age_Sex_PY[[#This Row],[Total Dollars Excluded from Spending After Applying Truncation at the Member Level]]=Age_Sex_PY[[#This Row],[Total Spending before Truncation is Applied]]</f>
        <v>1</v>
      </c>
    </row>
    <row r="1526" spans="1:10" x14ac:dyDescent="0.25">
      <c r="A1526" s="342"/>
      <c r="B1526" s="4"/>
      <c r="C1526" s="16"/>
      <c r="D1526" s="457"/>
      <c r="E1526" s="363"/>
      <c r="F1526" s="273"/>
      <c r="G1526" s="226"/>
      <c r="H1526" s="273"/>
      <c r="I1526" s="400"/>
      <c r="J1526" s="243" t="b">
        <f>Age_Sex_PY[[#This Row],[Total Spending After Applying Truncation at the Member Level]]+Age_Sex_PY[[#This Row],[Total Dollars Excluded from Spending After Applying Truncation at the Member Level]]=Age_Sex_PY[[#This Row],[Total Spending before Truncation is Applied]]</f>
        <v>1</v>
      </c>
    </row>
    <row r="1527" spans="1:10" x14ac:dyDescent="0.25">
      <c r="A1527" s="339"/>
      <c r="B1527" s="270"/>
      <c r="C1527" s="271"/>
      <c r="D1527" s="456"/>
      <c r="E1527" s="362"/>
      <c r="F1527" s="272"/>
      <c r="G1527" s="460"/>
      <c r="H1527" s="272"/>
      <c r="I1527" s="399"/>
      <c r="J1527" s="241" t="b">
        <f>Age_Sex_PY[[#This Row],[Total Spending After Applying Truncation at the Member Level]]+Age_Sex_PY[[#This Row],[Total Dollars Excluded from Spending After Applying Truncation at the Member Level]]=Age_Sex_PY[[#This Row],[Total Spending before Truncation is Applied]]</f>
        <v>1</v>
      </c>
    </row>
    <row r="1528" spans="1:10" x14ac:dyDescent="0.25">
      <c r="A1528" s="342"/>
      <c r="B1528" s="4"/>
      <c r="C1528" s="16"/>
      <c r="D1528" s="457"/>
      <c r="E1528" s="363"/>
      <c r="F1528" s="273"/>
      <c r="G1528" s="226"/>
      <c r="H1528" s="273"/>
      <c r="I1528" s="400"/>
      <c r="J1528" s="243" t="b">
        <f>Age_Sex_PY[[#This Row],[Total Spending After Applying Truncation at the Member Level]]+Age_Sex_PY[[#This Row],[Total Dollars Excluded from Spending After Applying Truncation at the Member Level]]=Age_Sex_PY[[#This Row],[Total Spending before Truncation is Applied]]</f>
        <v>1</v>
      </c>
    </row>
    <row r="1529" spans="1:10" x14ac:dyDescent="0.25">
      <c r="A1529" s="339"/>
      <c r="B1529" s="270"/>
      <c r="C1529" s="271"/>
      <c r="D1529" s="456"/>
      <c r="E1529" s="362"/>
      <c r="F1529" s="272"/>
      <c r="G1529" s="460"/>
      <c r="H1529" s="272"/>
      <c r="I1529" s="399"/>
      <c r="J1529" s="241" t="b">
        <f>Age_Sex_PY[[#This Row],[Total Spending After Applying Truncation at the Member Level]]+Age_Sex_PY[[#This Row],[Total Dollars Excluded from Spending After Applying Truncation at the Member Level]]=Age_Sex_PY[[#This Row],[Total Spending before Truncation is Applied]]</f>
        <v>1</v>
      </c>
    </row>
    <row r="1530" spans="1:10" x14ac:dyDescent="0.25">
      <c r="A1530" s="342"/>
      <c r="B1530" s="4"/>
      <c r="C1530" s="16"/>
      <c r="D1530" s="457"/>
      <c r="E1530" s="363"/>
      <c r="F1530" s="273"/>
      <c r="G1530" s="226"/>
      <c r="H1530" s="273"/>
      <c r="I1530" s="400"/>
      <c r="J1530" s="243" t="b">
        <f>Age_Sex_PY[[#This Row],[Total Spending After Applying Truncation at the Member Level]]+Age_Sex_PY[[#This Row],[Total Dollars Excluded from Spending After Applying Truncation at the Member Level]]=Age_Sex_PY[[#This Row],[Total Spending before Truncation is Applied]]</f>
        <v>1</v>
      </c>
    </row>
    <row r="1531" spans="1:10" x14ac:dyDescent="0.25">
      <c r="A1531" s="339"/>
      <c r="B1531" s="270"/>
      <c r="C1531" s="271"/>
      <c r="D1531" s="456"/>
      <c r="E1531" s="362"/>
      <c r="F1531" s="272"/>
      <c r="G1531" s="460"/>
      <c r="H1531" s="272"/>
      <c r="I1531" s="399"/>
      <c r="J1531" s="241" t="b">
        <f>Age_Sex_PY[[#This Row],[Total Spending After Applying Truncation at the Member Level]]+Age_Sex_PY[[#This Row],[Total Dollars Excluded from Spending After Applying Truncation at the Member Level]]=Age_Sex_PY[[#This Row],[Total Spending before Truncation is Applied]]</f>
        <v>1</v>
      </c>
    </row>
    <row r="1532" spans="1:10" x14ac:dyDescent="0.25">
      <c r="A1532" s="342"/>
      <c r="B1532" s="4"/>
      <c r="C1532" s="16"/>
      <c r="D1532" s="457"/>
      <c r="E1532" s="363"/>
      <c r="F1532" s="273"/>
      <c r="G1532" s="226"/>
      <c r="H1532" s="273"/>
      <c r="I1532" s="400"/>
      <c r="J1532" s="243" t="b">
        <f>Age_Sex_PY[[#This Row],[Total Spending After Applying Truncation at the Member Level]]+Age_Sex_PY[[#This Row],[Total Dollars Excluded from Spending After Applying Truncation at the Member Level]]=Age_Sex_PY[[#This Row],[Total Spending before Truncation is Applied]]</f>
        <v>1</v>
      </c>
    </row>
    <row r="1533" spans="1:10" x14ac:dyDescent="0.25">
      <c r="A1533" s="339"/>
      <c r="B1533" s="270"/>
      <c r="C1533" s="271"/>
      <c r="D1533" s="456"/>
      <c r="E1533" s="362"/>
      <c r="F1533" s="272"/>
      <c r="G1533" s="460"/>
      <c r="H1533" s="272"/>
      <c r="I1533" s="399"/>
      <c r="J1533" s="241" t="b">
        <f>Age_Sex_PY[[#This Row],[Total Spending After Applying Truncation at the Member Level]]+Age_Sex_PY[[#This Row],[Total Dollars Excluded from Spending After Applying Truncation at the Member Level]]=Age_Sex_PY[[#This Row],[Total Spending before Truncation is Applied]]</f>
        <v>1</v>
      </c>
    </row>
    <row r="1534" spans="1:10" x14ac:dyDescent="0.25">
      <c r="A1534" s="342"/>
      <c r="B1534" s="4"/>
      <c r="C1534" s="16"/>
      <c r="D1534" s="457"/>
      <c r="E1534" s="363"/>
      <c r="F1534" s="273"/>
      <c r="G1534" s="226"/>
      <c r="H1534" s="273"/>
      <c r="I1534" s="400"/>
      <c r="J1534" s="243" t="b">
        <f>Age_Sex_PY[[#This Row],[Total Spending After Applying Truncation at the Member Level]]+Age_Sex_PY[[#This Row],[Total Dollars Excluded from Spending After Applying Truncation at the Member Level]]=Age_Sex_PY[[#This Row],[Total Spending before Truncation is Applied]]</f>
        <v>1</v>
      </c>
    </row>
    <row r="1535" spans="1:10" x14ac:dyDescent="0.25">
      <c r="A1535" s="339"/>
      <c r="B1535" s="270"/>
      <c r="C1535" s="271"/>
      <c r="D1535" s="456"/>
      <c r="E1535" s="362"/>
      <c r="F1535" s="272"/>
      <c r="G1535" s="460"/>
      <c r="H1535" s="272"/>
      <c r="I1535" s="399"/>
      <c r="J1535" s="241" t="b">
        <f>Age_Sex_PY[[#This Row],[Total Spending After Applying Truncation at the Member Level]]+Age_Sex_PY[[#This Row],[Total Dollars Excluded from Spending After Applying Truncation at the Member Level]]=Age_Sex_PY[[#This Row],[Total Spending before Truncation is Applied]]</f>
        <v>1</v>
      </c>
    </row>
    <row r="1536" spans="1:10" x14ac:dyDescent="0.25">
      <c r="A1536" s="342"/>
      <c r="B1536" s="4"/>
      <c r="C1536" s="16"/>
      <c r="D1536" s="457"/>
      <c r="E1536" s="363"/>
      <c r="F1536" s="273"/>
      <c r="G1536" s="226"/>
      <c r="H1536" s="273"/>
      <c r="I1536" s="400"/>
      <c r="J1536" s="243" t="b">
        <f>Age_Sex_PY[[#This Row],[Total Spending After Applying Truncation at the Member Level]]+Age_Sex_PY[[#This Row],[Total Dollars Excluded from Spending After Applying Truncation at the Member Level]]=Age_Sex_PY[[#This Row],[Total Spending before Truncation is Applied]]</f>
        <v>1</v>
      </c>
    </row>
    <row r="1537" spans="1:10" x14ac:dyDescent="0.25">
      <c r="A1537" s="339"/>
      <c r="B1537" s="270"/>
      <c r="C1537" s="271"/>
      <c r="D1537" s="456"/>
      <c r="E1537" s="362"/>
      <c r="F1537" s="272"/>
      <c r="G1537" s="460"/>
      <c r="H1537" s="272"/>
      <c r="I1537" s="399"/>
      <c r="J1537" s="241" t="b">
        <f>Age_Sex_PY[[#This Row],[Total Spending After Applying Truncation at the Member Level]]+Age_Sex_PY[[#This Row],[Total Dollars Excluded from Spending After Applying Truncation at the Member Level]]=Age_Sex_PY[[#This Row],[Total Spending before Truncation is Applied]]</f>
        <v>1</v>
      </c>
    </row>
    <row r="1538" spans="1:10" x14ac:dyDescent="0.25">
      <c r="A1538" s="342"/>
      <c r="B1538" s="4"/>
      <c r="C1538" s="16"/>
      <c r="D1538" s="457"/>
      <c r="E1538" s="363"/>
      <c r="F1538" s="273"/>
      <c r="G1538" s="226"/>
      <c r="H1538" s="273"/>
      <c r="I1538" s="400"/>
      <c r="J1538" s="243" t="b">
        <f>Age_Sex_PY[[#This Row],[Total Spending After Applying Truncation at the Member Level]]+Age_Sex_PY[[#This Row],[Total Dollars Excluded from Spending After Applying Truncation at the Member Level]]=Age_Sex_PY[[#This Row],[Total Spending before Truncation is Applied]]</f>
        <v>1</v>
      </c>
    </row>
    <row r="1539" spans="1:10" x14ac:dyDescent="0.25">
      <c r="A1539" s="339"/>
      <c r="B1539" s="270"/>
      <c r="C1539" s="271"/>
      <c r="D1539" s="456"/>
      <c r="E1539" s="362"/>
      <c r="F1539" s="272"/>
      <c r="G1539" s="460"/>
      <c r="H1539" s="272"/>
      <c r="I1539" s="399"/>
      <c r="J1539" s="241" t="b">
        <f>Age_Sex_PY[[#This Row],[Total Spending After Applying Truncation at the Member Level]]+Age_Sex_PY[[#This Row],[Total Dollars Excluded from Spending After Applying Truncation at the Member Level]]=Age_Sex_PY[[#This Row],[Total Spending before Truncation is Applied]]</f>
        <v>1</v>
      </c>
    </row>
    <row r="1540" spans="1:10" x14ac:dyDescent="0.25">
      <c r="A1540" s="342"/>
      <c r="B1540" s="4"/>
      <c r="C1540" s="16"/>
      <c r="D1540" s="457"/>
      <c r="E1540" s="363"/>
      <c r="F1540" s="273"/>
      <c r="G1540" s="226"/>
      <c r="H1540" s="273"/>
      <c r="I1540" s="400"/>
      <c r="J1540" s="243" t="b">
        <f>Age_Sex_PY[[#This Row],[Total Spending After Applying Truncation at the Member Level]]+Age_Sex_PY[[#This Row],[Total Dollars Excluded from Spending After Applying Truncation at the Member Level]]=Age_Sex_PY[[#This Row],[Total Spending before Truncation is Applied]]</f>
        <v>1</v>
      </c>
    </row>
    <row r="1541" spans="1:10" x14ac:dyDescent="0.25">
      <c r="A1541" s="339"/>
      <c r="B1541" s="270"/>
      <c r="C1541" s="271"/>
      <c r="D1541" s="456"/>
      <c r="E1541" s="362"/>
      <c r="F1541" s="272"/>
      <c r="G1541" s="460"/>
      <c r="H1541" s="272"/>
      <c r="I1541" s="399"/>
      <c r="J1541" s="241" t="b">
        <f>Age_Sex_PY[[#This Row],[Total Spending After Applying Truncation at the Member Level]]+Age_Sex_PY[[#This Row],[Total Dollars Excluded from Spending After Applying Truncation at the Member Level]]=Age_Sex_PY[[#This Row],[Total Spending before Truncation is Applied]]</f>
        <v>1</v>
      </c>
    </row>
    <row r="1542" spans="1:10" x14ac:dyDescent="0.25">
      <c r="A1542" s="342"/>
      <c r="B1542" s="4"/>
      <c r="C1542" s="16"/>
      <c r="D1542" s="457"/>
      <c r="E1542" s="363"/>
      <c r="F1542" s="273"/>
      <c r="G1542" s="226"/>
      <c r="H1542" s="273"/>
      <c r="I1542" s="400"/>
      <c r="J1542" s="243" t="b">
        <f>Age_Sex_PY[[#This Row],[Total Spending After Applying Truncation at the Member Level]]+Age_Sex_PY[[#This Row],[Total Dollars Excluded from Spending After Applying Truncation at the Member Level]]=Age_Sex_PY[[#This Row],[Total Spending before Truncation is Applied]]</f>
        <v>1</v>
      </c>
    </row>
    <row r="1543" spans="1:10" x14ac:dyDescent="0.25">
      <c r="A1543" s="339"/>
      <c r="B1543" s="270"/>
      <c r="C1543" s="271"/>
      <c r="D1543" s="456"/>
      <c r="E1543" s="362"/>
      <c r="F1543" s="272"/>
      <c r="G1543" s="460"/>
      <c r="H1543" s="272"/>
      <c r="I1543" s="399"/>
      <c r="J1543" s="241" t="b">
        <f>Age_Sex_PY[[#This Row],[Total Spending After Applying Truncation at the Member Level]]+Age_Sex_PY[[#This Row],[Total Dollars Excluded from Spending After Applying Truncation at the Member Level]]=Age_Sex_PY[[#This Row],[Total Spending before Truncation is Applied]]</f>
        <v>1</v>
      </c>
    </row>
    <row r="1544" spans="1:10" x14ac:dyDescent="0.25">
      <c r="A1544" s="342"/>
      <c r="B1544" s="4"/>
      <c r="C1544" s="16"/>
      <c r="D1544" s="457"/>
      <c r="E1544" s="363"/>
      <c r="F1544" s="273"/>
      <c r="G1544" s="226"/>
      <c r="H1544" s="273"/>
      <c r="I1544" s="400"/>
      <c r="J1544" s="243" t="b">
        <f>Age_Sex_PY[[#This Row],[Total Spending After Applying Truncation at the Member Level]]+Age_Sex_PY[[#This Row],[Total Dollars Excluded from Spending After Applying Truncation at the Member Level]]=Age_Sex_PY[[#This Row],[Total Spending before Truncation is Applied]]</f>
        <v>1</v>
      </c>
    </row>
    <row r="1545" spans="1:10" x14ac:dyDescent="0.25">
      <c r="A1545" s="339"/>
      <c r="B1545" s="270"/>
      <c r="C1545" s="271"/>
      <c r="D1545" s="456"/>
      <c r="E1545" s="362"/>
      <c r="F1545" s="272"/>
      <c r="G1545" s="460"/>
      <c r="H1545" s="272"/>
      <c r="I1545" s="399"/>
      <c r="J1545" s="241" t="b">
        <f>Age_Sex_PY[[#This Row],[Total Spending After Applying Truncation at the Member Level]]+Age_Sex_PY[[#This Row],[Total Dollars Excluded from Spending After Applying Truncation at the Member Level]]=Age_Sex_PY[[#This Row],[Total Spending before Truncation is Applied]]</f>
        <v>1</v>
      </c>
    </row>
    <row r="1546" spans="1:10" x14ac:dyDescent="0.25">
      <c r="A1546" s="342"/>
      <c r="B1546" s="4"/>
      <c r="C1546" s="16"/>
      <c r="D1546" s="457"/>
      <c r="E1546" s="363"/>
      <c r="F1546" s="273"/>
      <c r="G1546" s="226"/>
      <c r="H1546" s="273"/>
      <c r="I1546" s="400"/>
      <c r="J1546" s="243" t="b">
        <f>Age_Sex_PY[[#This Row],[Total Spending After Applying Truncation at the Member Level]]+Age_Sex_PY[[#This Row],[Total Dollars Excluded from Spending After Applying Truncation at the Member Level]]=Age_Sex_PY[[#This Row],[Total Spending before Truncation is Applied]]</f>
        <v>1</v>
      </c>
    </row>
    <row r="1547" spans="1:10" x14ac:dyDescent="0.25">
      <c r="A1547" s="339"/>
      <c r="B1547" s="270"/>
      <c r="C1547" s="271"/>
      <c r="D1547" s="456"/>
      <c r="E1547" s="362"/>
      <c r="F1547" s="272"/>
      <c r="G1547" s="460"/>
      <c r="H1547" s="272"/>
      <c r="I1547" s="399"/>
      <c r="J1547" s="241" t="b">
        <f>Age_Sex_PY[[#This Row],[Total Spending After Applying Truncation at the Member Level]]+Age_Sex_PY[[#This Row],[Total Dollars Excluded from Spending After Applying Truncation at the Member Level]]=Age_Sex_PY[[#This Row],[Total Spending before Truncation is Applied]]</f>
        <v>1</v>
      </c>
    </row>
    <row r="1548" spans="1:10" x14ac:dyDescent="0.25">
      <c r="A1548" s="342"/>
      <c r="B1548" s="4"/>
      <c r="C1548" s="16"/>
      <c r="D1548" s="457"/>
      <c r="E1548" s="363"/>
      <c r="F1548" s="273"/>
      <c r="G1548" s="226"/>
      <c r="H1548" s="273"/>
      <c r="I1548" s="400"/>
      <c r="J1548" s="243" t="b">
        <f>Age_Sex_PY[[#This Row],[Total Spending After Applying Truncation at the Member Level]]+Age_Sex_PY[[#This Row],[Total Dollars Excluded from Spending After Applying Truncation at the Member Level]]=Age_Sex_PY[[#This Row],[Total Spending before Truncation is Applied]]</f>
        <v>1</v>
      </c>
    </row>
    <row r="1549" spans="1:10" x14ac:dyDescent="0.25">
      <c r="A1549" s="339"/>
      <c r="B1549" s="270"/>
      <c r="C1549" s="271"/>
      <c r="D1549" s="456"/>
      <c r="E1549" s="362"/>
      <c r="F1549" s="272"/>
      <c r="G1549" s="460"/>
      <c r="H1549" s="272"/>
      <c r="I1549" s="399"/>
      <c r="J1549" s="241" t="b">
        <f>Age_Sex_PY[[#This Row],[Total Spending After Applying Truncation at the Member Level]]+Age_Sex_PY[[#This Row],[Total Dollars Excluded from Spending After Applying Truncation at the Member Level]]=Age_Sex_PY[[#This Row],[Total Spending before Truncation is Applied]]</f>
        <v>1</v>
      </c>
    </row>
    <row r="1550" spans="1:10" x14ac:dyDescent="0.25">
      <c r="A1550" s="342"/>
      <c r="B1550" s="4"/>
      <c r="C1550" s="16"/>
      <c r="D1550" s="457"/>
      <c r="E1550" s="363"/>
      <c r="F1550" s="273"/>
      <c r="G1550" s="226"/>
      <c r="H1550" s="273"/>
      <c r="I1550" s="400"/>
      <c r="J1550" s="243" t="b">
        <f>Age_Sex_PY[[#This Row],[Total Spending After Applying Truncation at the Member Level]]+Age_Sex_PY[[#This Row],[Total Dollars Excluded from Spending After Applying Truncation at the Member Level]]=Age_Sex_PY[[#This Row],[Total Spending before Truncation is Applied]]</f>
        <v>1</v>
      </c>
    </row>
    <row r="1551" spans="1:10" x14ac:dyDescent="0.25">
      <c r="A1551" s="339"/>
      <c r="B1551" s="270"/>
      <c r="C1551" s="271"/>
      <c r="D1551" s="456"/>
      <c r="E1551" s="362"/>
      <c r="F1551" s="272"/>
      <c r="G1551" s="460"/>
      <c r="H1551" s="272"/>
      <c r="I1551" s="399"/>
      <c r="J1551" s="241" t="b">
        <f>Age_Sex_PY[[#This Row],[Total Spending After Applying Truncation at the Member Level]]+Age_Sex_PY[[#This Row],[Total Dollars Excluded from Spending After Applying Truncation at the Member Level]]=Age_Sex_PY[[#This Row],[Total Spending before Truncation is Applied]]</f>
        <v>1</v>
      </c>
    </row>
    <row r="1552" spans="1:10" x14ac:dyDescent="0.25">
      <c r="A1552" s="342"/>
      <c r="B1552" s="4"/>
      <c r="C1552" s="16"/>
      <c r="D1552" s="457"/>
      <c r="E1552" s="363"/>
      <c r="F1552" s="273"/>
      <c r="G1552" s="226"/>
      <c r="H1552" s="273"/>
      <c r="I1552" s="400"/>
      <c r="J1552" s="243" t="b">
        <f>Age_Sex_PY[[#This Row],[Total Spending After Applying Truncation at the Member Level]]+Age_Sex_PY[[#This Row],[Total Dollars Excluded from Spending After Applying Truncation at the Member Level]]=Age_Sex_PY[[#This Row],[Total Spending before Truncation is Applied]]</f>
        <v>1</v>
      </c>
    </row>
    <row r="1553" spans="1:10" x14ac:dyDescent="0.25">
      <c r="A1553" s="339"/>
      <c r="B1553" s="270"/>
      <c r="C1553" s="271"/>
      <c r="D1553" s="456"/>
      <c r="E1553" s="362"/>
      <c r="F1553" s="272"/>
      <c r="G1553" s="460"/>
      <c r="H1553" s="272"/>
      <c r="I1553" s="399"/>
      <c r="J1553" s="241" t="b">
        <f>Age_Sex_PY[[#This Row],[Total Spending After Applying Truncation at the Member Level]]+Age_Sex_PY[[#This Row],[Total Dollars Excluded from Spending After Applying Truncation at the Member Level]]=Age_Sex_PY[[#This Row],[Total Spending before Truncation is Applied]]</f>
        <v>1</v>
      </c>
    </row>
    <row r="1554" spans="1:10" x14ac:dyDescent="0.25">
      <c r="A1554" s="342"/>
      <c r="B1554" s="4"/>
      <c r="C1554" s="16"/>
      <c r="D1554" s="457"/>
      <c r="E1554" s="363"/>
      <c r="F1554" s="273"/>
      <c r="G1554" s="226"/>
      <c r="H1554" s="273"/>
      <c r="I1554" s="400"/>
      <c r="J1554" s="243" t="b">
        <f>Age_Sex_PY[[#This Row],[Total Spending After Applying Truncation at the Member Level]]+Age_Sex_PY[[#This Row],[Total Dollars Excluded from Spending After Applying Truncation at the Member Level]]=Age_Sex_PY[[#This Row],[Total Spending before Truncation is Applied]]</f>
        <v>1</v>
      </c>
    </row>
    <row r="1555" spans="1:10" x14ac:dyDescent="0.25">
      <c r="A1555" s="339"/>
      <c r="B1555" s="270"/>
      <c r="C1555" s="271"/>
      <c r="D1555" s="456"/>
      <c r="E1555" s="362"/>
      <c r="F1555" s="272"/>
      <c r="G1555" s="460"/>
      <c r="H1555" s="272"/>
      <c r="I1555" s="399"/>
      <c r="J1555" s="241" t="b">
        <f>Age_Sex_PY[[#This Row],[Total Spending After Applying Truncation at the Member Level]]+Age_Sex_PY[[#This Row],[Total Dollars Excluded from Spending After Applying Truncation at the Member Level]]=Age_Sex_PY[[#This Row],[Total Spending before Truncation is Applied]]</f>
        <v>1</v>
      </c>
    </row>
    <row r="1556" spans="1:10" x14ac:dyDescent="0.25">
      <c r="A1556" s="342"/>
      <c r="B1556" s="4"/>
      <c r="C1556" s="16"/>
      <c r="D1556" s="457"/>
      <c r="E1556" s="363"/>
      <c r="F1556" s="273"/>
      <c r="G1556" s="226"/>
      <c r="H1556" s="273"/>
      <c r="I1556" s="400"/>
      <c r="J1556" s="243" t="b">
        <f>Age_Sex_PY[[#This Row],[Total Spending After Applying Truncation at the Member Level]]+Age_Sex_PY[[#This Row],[Total Dollars Excluded from Spending After Applying Truncation at the Member Level]]=Age_Sex_PY[[#This Row],[Total Spending before Truncation is Applied]]</f>
        <v>1</v>
      </c>
    </row>
    <row r="1557" spans="1:10" x14ac:dyDescent="0.25">
      <c r="A1557" s="339"/>
      <c r="B1557" s="270"/>
      <c r="C1557" s="271"/>
      <c r="D1557" s="456"/>
      <c r="E1557" s="362"/>
      <c r="F1557" s="272"/>
      <c r="G1557" s="460"/>
      <c r="H1557" s="272"/>
      <c r="I1557" s="399"/>
      <c r="J1557" s="241" t="b">
        <f>Age_Sex_PY[[#This Row],[Total Spending After Applying Truncation at the Member Level]]+Age_Sex_PY[[#This Row],[Total Dollars Excluded from Spending After Applying Truncation at the Member Level]]=Age_Sex_PY[[#This Row],[Total Spending before Truncation is Applied]]</f>
        <v>1</v>
      </c>
    </row>
    <row r="1558" spans="1:10" x14ac:dyDescent="0.25">
      <c r="A1558" s="342"/>
      <c r="B1558" s="4"/>
      <c r="C1558" s="16"/>
      <c r="D1558" s="457"/>
      <c r="E1558" s="363"/>
      <c r="F1558" s="273"/>
      <c r="G1558" s="226"/>
      <c r="H1558" s="273"/>
      <c r="I1558" s="400"/>
      <c r="J1558" s="243" t="b">
        <f>Age_Sex_PY[[#This Row],[Total Spending After Applying Truncation at the Member Level]]+Age_Sex_PY[[#This Row],[Total Dollars Excluded from Spending After Applying Truncation at the Member Level]]=Age_Sex_PY[[#This Row],[Total Spending before Truncation is Applied]]</f>
        <v>1</v>
      </c>
    </row>
    <row r="1559" spans="1:10" x14ac:dyDescent="0.25">
      <c r="A1559" s="339"/>
      <c r="B1559" s="270"/>
      <c r="C1559" s="271"/>
      <c r="D1559" s="456"/>
      <c r="E1559" s="362"/>
      <c r="F1559" s="272"/>
      <c r="G1559" s="460"/>
      <c r="H1559" s="272"/>
      <c r="I1559" s="399"/>
      <c r="J1559" s="241" t="b">
        <f>Age_Sex_PY[[#This Row],[Total Spending After Applying Truncation at the Member Level]]+Age_Sex_PY[[#This Row],[Total Dollars Excluded from Spending After Applying Truncation at the Member Level]]=Age_Sex_PY[[#This Row],[Total Spending before Truncation is Applied]]</f>
        <v>1</v>
      </c>
    </row>
    <row r="1560" spans="1:10" x14ac:dyDescent="0.25">
      <c r="A1560" s="342"/>
      <c r="B1560" s="4"/>
      <c r="C1560" s="16"/>
      <c r="D1560" s="457"/>
      <c r="E1560" s="363"/>
      <c r="F1560" s="273"/>
      <c r="G1560" s="226"/>
      <c r="H1560" s="273"/>
      <c r="I1560" s="400"/>
      <c r="J1560" s="243" t="b">
        <f>Age_Sex_PY[[#This Row],[Total Spending After Applying Truncation at the Member Level]]+Age_Sex_PY[[#This Row],[Total Dollars Excluded from Spending After Applying Truncation at the Member Level]]=Age_Sex_PY[[#This Row],[Total Spending before Truncation is Applied]]</f>
        <v>1</v>
      </c>
    </row>
    <row r="1561" spans="1:10" x14ac:dyDescent="0.25">
      <c r="A1561" s="339"/>
      <c r="B1561" s="270"/>
      <c r="C1561" s="271"/>
      <c r="D1561" s="456"/>
      <c r="E1561" s="362"/>
      <c r="F1561" s="272"/>
      <c r="G1561" s="460"/>
      <c r="H1561" s="272"/>
      <c r="I1561" s="399"/>
      <c r="J1561" s="241" t="b">
        <f>Age_Sex_PY[[#This Row],[Total Spending After Applying Truncation at the Member Level]]+Age_Sex_PY[[#This Row],[Total Dollars Excluded from Spending After Applying Truncation at the Member Level]]=Age_Sex_PY[[#This Row],[Total Spending before Truncation is Applied]]</f>
        <v>1</v>
      </c>
    </row>
    <row r="1562" spans="1:10" x14ac:dyDescent="0.25">
      <c r="A1562" s="342"/>
      <c r="B1562" s="4"/>
      <c r="C1562" s="16"/>
      <c r="D1562" s="457"/>
      <c r="E1562" s="363"/>
      <c r="F1562" s="273"/>
      <c r="G1562" s="226"/>
      <c r="H1562" s="273"/>
      <c r="I1562" s="400"/>
      <c r="J1562" s="243" t="b">
        <f>Age_Sex_PY[[#This Row],[Total Spending After Applying Truncation at the Member Level]]+Age_Sex_PY[[#This Row],[Total Dollars Excluded from Spending After Applying Truncation at the Member Level]]=Age_Sex_PY[[#This Row],[Total Spending before Truncation is Applied]]</f>
        <v>1</v>
      </c>
    </row>
    <row r="1563" spans="1:10" x14ac:dyDescent="0.25">
      <c r="A1563" s="339"/>
      <c r="B1563" s="270"/>
      <c r="C1563" s="271"/>
      <c r="D1563" s="456"/>
      <c r="E1563" s="362"/>
      <c r="F1563" s="272"/>
      <c r="G1563" s="460"/>
      <c r="H1563" s="272"/>
      <c r="I1563" s="399"/>
      <c r="J1563" s="241" t="b">
        <f>Age_Sex_PY[[#This Row],[Total Spending After Applying Truncation at the Member Level]]+Age_Sex_PY[[#This Row],[Total Dollars Excluded from Spending After Applying Truncation at the Member Level]]=Age_Sex_PY[[#This Row],[Total Spending before Truncation is Applied]]</f>
        <v>1</v>
      </c>
    </row>
    <row r="1564" spans="1:10" x14ac:dyDescent="0.25">
      <c r="A1564" s="342"/>
      <c r="B1564" s="4"/>
      <c r="C1564" s="16"/>
      <c r="D1564" s="457"/>
      <c r="E1564" s="363"/>
      <c r="F1564" s="273"/>
      <c r="G1564" s="226"/>
      <c r="H1564" s="273"/>
      <c r="I1564" s="400"/>
      <c r="J1564" s="243" t="b">
        <f>Age_Sex_PY[[#This Row],[Total Spending After Applying Truncation at the Member Level]]+Age_Sex_PY[[#This Row],[Total Dollars Excluded from Spending After Applying Truncation at the Member Level]]=Age_Sex_PY[[#This Row],[Total Spending before Truncation is Applied]]</f>
        <v>1</v>
      </c>
    </row>
    <row r="1565" spans="1:10" x14ac:dyDescent="0.25">
      <c r="A1565" s="339"/>
      <c r="B1565" s="270"/>
      <c r="C1565" s="271"/>
      <c r="D1565" s="456"/>
      <c r="E1565" s="362"/>
      <c r="F1565" s="272"/>
      <c r="G1565" s="460"/>
      <c r="H1565" s="272"/>
      <c r="I1565" s="399"/>
      <c r="J1565" s="241" t="b">
        <f>Age_Sex_PY[[#This Row],[Total Spending After Applying Truncation at the Member Level]]+Age_Sex_PY[[#This Row],[Total Dollars Excluded from Spending After Applying Truncation at the Member Level]]=Age_Sex_PY[[#This Row],[Total Spending before Truncation is Applied]]</f>
        <v>1</v>
      </c>
    </row>
    <row r="1566" spans="1:10" x14ac:dyDescent="0.25">
      <c r="A1566" s="342"/>
      <c r="B1566" s="4"/>
      <c r="C1566" s="16"/>
      <c r="D1566" s="457"/>
      <c r="E1566" s="363"/>
      <c r="F1566" s="273"/>
      <c r="G1566" s="226"/>
      <c r="H1566" s="273"/>
      <c r="I1566" s="400"/>
      <c r="J1566" s="243" t="b">
        <f>Age_Sex_PY[[#This Row],[Total Spending After Applying Truncation at the Member Level]]+Age_Sex_PY[[#This Row],[Total Dollars Excluded from Spending After Applying Truncation at the Member Level]]=Age_Sex_PY[[#This Row],[Total Spending before Truncation is Applied]]</f>
        <v>1</v>
      </c>
    </row>
    <row r="1567" spans="1:10" x14ac:dyDescent="0.25">
      <c r="A1567" s="339"/>
      <c r="B1567" s="270"/>
      <c r="C1567" s="271"/>
      <c r="D1567" s="456"/>
      <c r="E1567" s="362"/>
      <c r="F1567" s="272"/>
      <c r="G1567" s="460"/>
      <c r="H1567" s="272"/>
      <c r="I1567" s="399"/>
      <c r="J1567" s="241" t="b">
        <f>Age_Sex_PY[[#This Row],[Total Spending After Applying Truncation at the Member Level]]+Age_Sex_PY[[#This Row],[Total Dollars Excluded from Spending After Applying Truncation at the Member Level]]=Age_Sex_PY[[#This Row],[Total Spending before Truncation is Applied]]</f>
        <v>1</v>
      </c>
    </row>
    <row r="1568" spans="1:10" x14ac:dyDescent="0.25">
      <c r="A1568" s="342"/>
      <c r="B1568" s="4"/>
      <c r="C1568" s="16"/>
      <c r="D1568" s="457"/>
      <c r="E1568" s="363"/>
      <c r="F1568" s="273"/>
      <c r="G1568" s="226"/>
      <c r="H1568" s="273"/>
      <c r="I1568" s="400"/>
      <c r="J1568" s="243" t="b">
        <f>Age_Sex_PY[[#This Row],[Total Spending After Applying Truncation at the Member Level]]+Age_Sex_PY[[#This Row],[Total Dollars Excluded from Spending After Applying Truncation at the Member Level]]=Age_Sex_PY[[#This Row],[Total Spending before Truncation is Applied]]</f>
        <v>1</v>
      </c>
    </row>
    <row r="1569" spans="1:10" x14ac:dyDescent="0.25">
      <c r="A1569" s="339"/>
      <c r="B1569" s="270"/>
      <c r="C1569" s="271"/>
      <c r="D1569" s="456"/>
      <c r="E1569" s="362"/>
      <c r="F1569" s="272"/>
      <c r="G1569" s="460"/>
      <c r="H1569" s="272"/>
      <c r="I1569" s="399"/>
      <c r="J1569" s="241" t="b">
        <f>Age_Sex_PY[[#This Row],[Total Spending After Applying Truncation at the Member Level]]+Age_Sex_PY[[#This Row],[Total Dollars Excluded from Spending After Applying Truncation at the Member Level]]=Age_Sex_PY[[#This Row],[Total Spending before Truncation is Applied]]</f>
        <v>1</v>
      </c>
    </row>
    <row r="1570" spans="1:10" x14ac:dyDescent="0.25">
      <c r="A1570" s="342"/>
      <c r="B1570" s="4"/>
      <c r="C1570" s="16"/>
      <c r="D1570" s="457"/>
      <c r="E1570" s="363"/>
      <c r="F1570" s="273"/>
      <c r="G1570" s="226"/>
      <c r="H1570" s="273"/>
      <c r="I1570" s="400"/>
      <c r="J1570" s="243" t="b">
        <f>Age_Sex_PY[[#This Row],[Total Spending After Applying Truncation at the Member Level]]+Age_Sex_PY[[#This Row],[Total Dollars Excluded from Spending After Applying Truncation at the Member Level]]=Age_Sex_PY[[#This Row],[Total Spending before Truncation is Applied]]</f>
        <v>1</v>
      </c>
    </row>
    <row r="1571" spans="1:10" x14ac:dyDescent="0.25">
      <c r="A1571" s="339"/>
      <c r="B1571" s="270"/>
      <c r="C1571" s="271"/>
      <c r="D1571" s="456"/>
      <c r="E1571" s="362"/>
      <c r="F1571" s="272"/>
      <c r="G1571" s="460"/>
      <c r="H1571" s="272"/>
      <c r="I1571" s="399"/>
      <c r="J1571" s="241" t="b">
        <f>Age_Sex_PY[[#This Row],[Total Spending After Applying Truncation at the Member Level]]+Age_Sex_PY[[#This Row],[Total Dollars Excluded from Spending After Applying Truncation at the Member Level]]=Age_Sex_PY[[#This Row],[Total Spending before Truncation is Applied]]</f>
        <v>1</v>
      </c>
    </row>
    <row r="1572" spans="1:10" x14ac:dyDescent="0.25">
      <c r="A1572" s="342"/>
      <c r="B1572" s="4"/>
      <c r="C1572" s="16"/>
      <c r="D1572" s="457"/>
      <c r="E1572" s="363"/>
      <c r="F1572" s="273"/>
      <c r="G1572" s="226"/>
      <c r="H1572" s="273"/>
      <c r="I1572" s="400"/>
      <c r="J1572" s="243" t="b">
        <f>Age_Sex_PY[[#This Row],[Total Spending After Applying Truncation at the Member Level]]+Age_Sex_PY[[#This Row],[Total Dollars Excluded from Spending After Applying Truncation at the Member Level]]=Age_Sex_PY[[#This Row],[Total Spending before Truncation is Applied]]</f>
        <v>1</v>
      </c>
    </row>
    <row r="1573" spans="1:10" x14ac:dyDescent="0.25">
      <c r="A1573" s="339"/>
      <c r="B1573" s="270"/>
      <c r="C1573" s="271"/>
      <c r="D1573" s="456"/>
      <c r="E1573" s="362"/>
      <c r="F1573" s="272"/>
      <c r="G1573" s="460"/>
      <c r="H1573" s="272"/>
      <c r="I1573" s="399"/>
      <c r="J1573" s="241" t="b">
        <f>Age_Sex_PY[[#This Row],[Total Spending After Applying Truncation at the Member Level]]+Age_Sex_PY[[#This Row],[Total Dollars Excluded from Spending After Applying Truncation at the Member Level]]=Age_Sex_PY[[#This Row],[Total Spending before Truncation is Applied]]</f>
        <v>1</v>
      </c>
    </row>
    <row r="1574" spans="1:10" x14ac:dyDescent="0.25">
      <c r="A1574" s="342"/>
      <c r="B1574" s="4"/>
      <c r="C1574" s="16"/>
      <c r="D1574" s="457"/>
      <c r="E1574" s="363"/>
      <c r="F1574" s="273"/>
      <c r="G1574" s="226"/>
      <c r="H1574" s="273"/>
      <c r="I1574" s="400"/>
      <c r="J1574" s="243" t="b">
        <f>Age_Sex_PY[[#This Row],[Total Spending After Applying Truncation at the Member Level]]+Age_Sex_PY[[#This Row],[Total Dollars Excluded from Spending After Applying Truncation at the Member Level]]=Age_Sex_PY[[#This Row],[Total Spending before Truncation is Applied]]</f>
        <v>1</v>
      </c>
    </row>
    <row r="1575" spans="1:10" x14ac:dyDescent="0.25">
      <c r="A1575" s="339"/>
      <c r="B1575" s="270"/>
      <c r="C1575" s="271"/>
      <c r="D1575" s="456"/>
      <c r="E1575" s="362"/>
      <c r="F1575" s="272"/>
      <c r="G1575" s="460"/>
      <c r="H1575" s="272"/>
      <c r="I1575" s="399"/>
      <c r="J1575" s="241" t="b">
        <f>Age_Sex_PY[[#This Row],[Total Spending After Applying Truncation at the Member Level]]+Age_Sex_PY[[#This Row],[Total Dollars Excluded from Spending After Applying Truncation at the Member Level]]=Age_Sex_PY[[#This Row],[Total Spending before Truncation is Applied]]</f>
        <v>1</v>
      </c>
    </row>
    <row r="1576" spans="1:10" x14ac:dyDescent="0.25">
      <c r="A1576" s="342"/>
      <c r="B1576" s="4"/>
      <c r="C1576" s="16"/>
      <c r="D1576" s="457"/>
      <c r="E1576" s="363"/>
      <c r="F1576" s="273"/>
      <c r="G1576" s="226"/>
      <c r="H1576" s="273"/>
      <c r="I1576" s="400"/>
      <c r="J1576" s="243" t="b">
        <f>Age_Sex_PY[[#This Row],[Total Spending After Applying Truncation at the Member Level]]+Age_Sex_PY[[#This Row],[Total Dollars Excluded from Spending After Applying Truncation at the Member Level]]=Age_Sex_PY[[#This Row],[Total Spending before Truncation is Applied]]</f>
        <v>1</v>
      </c>
    </row>
    <row r="1577" spans="1:10" x14ac:dyDescent="0.25">
      <c r="A1577" s="339"/>
      <c r="B1577" s="270"/>
      <c r="C1577" s="271"/>
      <c r="D1577" s="456"/>
      <c r="E1577" s="362"/>
      <c r="F1577" s="272"/>
      <c r="G1577" s="460"/>
      <c r="H1577" s="272"/>
      <c r="I1577" s="399"/>
      <c r="J1577" s="241" t="b">
        <f>Age_Sex_PY[[#This Row],[Total Spending After Applying Truncation at the Member Level]]+Age_Sex_PY[[#This Row],[Total Dollars Excluded from Spending After Applying Truncation at the Member Level]]=Age_Sex_PY[[#This Row],[Total Spending before Truncation is Applied]]</f>
        <v>1</v>
      </c>
    </row>
    <row r="1578" spans="1:10" x14ac:dyDescent="0.25">
      <c r="A1578" s="342"/>
      <c r="B1578" s="4"/>
      <c r="C1578" s="16"/>
      <c r="D1578" s="457"/>
      <c r="E1578" s="363"/>
      <c r="F1578" s="273"/>
      <c r="G1578" s="226"/>
      <c r="H1578" s="273"/>
      <c r="I1578" s="400"/>
      <c r="J1578" s="243" t="b">
        <f>Age_Sex_PY[[#This Row],[Total Spending After Applying Truncation at the Member Level]]+Age_Sex_PY[[#This Row],[Total Dollars Excluded from Spending After Applying Truncation at the Member Level]]=Age_Sex_PY[[#This Row],[Total Spending before Truncation is Applied]]</f>
        <v>1</v>
      </c>
    </row>
    <row r="1579" spans="1:10" x14ac:dyDescent="0.25">
      <c r="A1579" s="339"/>
      <c r="B1579" s="270"/>
      <c r="C1579" s="271"/>
      <c r="D1579" s="456"/>
      <c r="E1579" s="362"/>
      <c r="F1579" s="272"/>
      <c r="G1579" s="460"/>
      <c r="H1579" s="272"/>
      <c r="I1579" s="399"/>
      <c r="J1579" s="241" t="b">
        <f>Age_Sex_PY[[#This Row],[Total Spending After Applying Truncation at the Member Level]]+Age_Sex_PY[[#This Row],[Total Dollars Excluded from Spending After Applying Truncation at the Member Level]]=Age_Sex_PY[[#This Row],[Total Spending before Truncation is Applied]]</f>
        <v>1</v>
      </c>
    </row>
    <row r="1580" spans="1:10" x14ac:dyDescent="0.25">
      <c r="A1580" s="342"/>
      <c r="B1580" s="4"/>
      <c r="C1580" s="16"/>
      <c r="D1580" s="457"/>
      <c r="E1580" s="363"/>
      <c r="F1580" s="273"/>
      <c r="G1580" s="226"/>
      <c r="H1580" s="273"/>
      <c r="I1580" s="400"/>
      <c r="J1580" s="243" t="b">
        <f>Age_Sex_PY[[#This Row],[Total Spending After Applying Truncation at the Member Level]]+Age_Sex_PY[[#This Row],[Total Dollars Excluded from Spending After Applying Truncation at the Member Level]]=Age_Sex_PY[[#This Row],[Total Spending before Truncation is Applied]]</f>
        <v>1</v>
      </c>
    </row>
    <row r="1581" spans="1:10" x14ac:dyDescent="0.25">
      <c r="A1581" s="339"/>
      <c r="B1581" s="270"/>
      <c r="C1581" s="271"/>
      <c r="D1581" s="456"/>
      <c r="E1581" s="362"/>
      <c r="F1581" s="272"/>
      <c r="G1581" s="460"/>
      <c r="H1581" s="272"/>
      <c r="I1581" s="399"/>
      <c r="J1581" s="241" t="b">
        <f>Age_Sex_PY[[#This Row],[Total Spending After Applying Truncation at the Member Level]]+Age_Sex_PY[[#This Row],[Total Dollars Excluded from Spending After Applying Truncation at the Member Level]]=Age_Sex_PY[[#This Row],[Total Spending before Truncation is Applied]]</f>
        <v>1</v>
      </c>
    </row>
    <row r="1582" spans="1:10" x14ac:dyDescent="0.25">
      <c r="A1582" s="342"/>
      <c r="B1582" s="4"/>
      <c r="C1582" s="16"/>
      <c r="D1582" s="457"/>
      <c r="E1582" s="363"/>
      <c r="F1582" s="273"/>
      <c r="G1582" s="226"/>
      <c r="H1582" s="273"/>
      <c r="I1582" s="400"/>
      <c r="J1582" s="243" t="b">
        <f>Age_Sex_PY[[#This Row],[Total Spending After Applying Truncation at the Member Level]]+Age_Sex_PY[[#This Row],[Total Dollars Excluded from Spending After Applying Truncation at the Member Level]]=Age_Sex_PY[[#This Row],[Total Spending before Truncation is Applied]]</f>
        <v>1</v>
      </c>
    </row>
    <row r="1583" spans="1:10" x14ac:dyDescent="0.25">
      <c r="A1583" s="339"/>
      <c r="B1583" s="270"/>
      <c r="C1583" s="271"/>
      <c r="D1583" s="456"/>
      <c r="E1583" s="362"/>
      <c r="F1583" s="272"/>
      <c r="G1583" s="460"/>
      <c r="H1583" s="272"/>
      <c r="I1583" s="399"/>
      <c r="J1583" s="241" t="b">
        <f>Age_Sex_PY[[#This Row],[Total Spending After Applying Truncation at the Member Level]]+Age_Sex_PY[[#This Row],[Total Dollars Excluded from Spending After Applying Truncation at the Member Level]]=Age_Sex_PY[[#This Row],[Total Spending before Truncation is Applied]]</f>
        <v>1</v>
      </c>
    </row>
    <row r="1584" spans="1:10" x14ac:dyDescent="0.25">
      <c r="A1584" s="342"/>
      <c r="B1584" s="4"/>
      <c r="C1584" s="16"/>
      <c r="D1584" s="457"/>
      <c r="E1584" s="363"/>
      <c r="F1584" s="273"/>
      <c r="G1584" s="226"/>
      <c r="H1584" s="273"/>
      <c r="I1584" s="400"/>
      <c r="J1584" s="243" t="b">
        <f>Age_Sex_PY[[#This Row],[Total Spending After Applying Truncation at the Member Level]]+Age_Sex_PY[[#This Row],[Total Dollars Excluded from Spending After Applying Truncation at the Member Level]]=Age_Sex_PY[[#This Row],[Total Spending before Truncation is Applied]]</f>
        <v>1</v>
      </c>
    </row>
    <row r="1585" spans="1:10" x14ac:dyDescent="0.25">
      <c r="A1585" s="339"/>
      <c r="B1585" s="270"/>
      <c r="C1585" s="271"/>
      <c r="D1585" s="456"/>
      <c r="E1585" s="362"/>
      <c r="F1585" s="272"/>
      <c r="G1585" s="460"/>
      <c r="H1585" s="272"/>
      <c r="I1585" s="399"/>
      <c r="J1585" s="241" t="b">
        <f>Age_Sex_PY[[#This Row],[Total Spending After Applying Truncation at the Member Level]]+Age_Sex_PY[[#This Row],[Total Dollars Excluded from Spending After Applying Truncation at the Member Level]]=Age_Sex_PY[[#This Row],[Total Spending before Truncation is Applied]]</f>
        <v>1</v>
      </c>
    </row>
    <row r="1586" spans="1:10" x14ac:dyDescent="0.25">
      <c r="A1586" s="342"/>
      <c r="B1586" s="4"/>
      <c r="C1586" s="16"/>
      <c r="D1586" s="457"/>
      <c r="E1586" s="363"/>
      <c r="F1586" s="273"/>
      <c r="G1586" s="226"/>
      <c r="H1586" s="273"/>
      <c r="I1586" s="400"/>
      <c r="J1586" s="243" t="b">
        <f>Age_Sex_PY[[#This Row],[Total Spending After Applying Truncation at the Member Level]]+Age_Sex_PY[[#This Row],[Total Dollars Excluded from Spending After Applying Truncation at the Member Level]]=Age_Sex_PY[[#This Row],[Total Spending before Truncation is Applied]]</f>
        <v>1</v>
      </c>
    </row>
    <row r="1587" spans="1:10" x14ac:dyDescent="0.25">
      <c r="A1587" s="339"/>
      <c r="B1587" s="270"/>
      <c r="C1587" s="271"/>
      <c r="D1587" s="456"/>
      <c r="E1587" s="362"/>
      <c r="F1587" s="272"/>
      <c r="G1587" s="460"/>
      <c r="H1587" s="272"/>
      <c r="I1587" s="399"/>
      <c r="J1587" s="241" t="b">
        <f>Age_Sex_PY[[#This Row],[Total Spending After Applying Truncation at the Member Level]]+Age_Sex_PY[[#This Row],[Total Dollars Excluded from Spending After Applying Truncation at the Member Level]]=Age_Sex_PY[[#This Row],[Total Spending before Truncation is Applied]]</f>
        <v>1</v>
      </c>
    </row>
    <row r="1588" spans="1:10" x14ac:dyDescent="0.25">
      <c r="A1588" s="342"/>
      <c r="B1588" s="4"/>
      <c r="C1588" s="16"/>
      <c r="D1588" s="457"/>
      <c r="E1588" s="363"/>
      <c r="F1588" s="273"/>
      <c r="G1588" s="226"/>
      <c r="H1588" s="273"/>
      <c r="I1588" s="400"/>
      <c r="J1588" s="243" t="b">
        <f>Age_Sex_PY[[#This Row],[Total Spending After Applying Truncation at the Member Level]]+Age_Sex_PY[[#This Row],[Total Dollars Excluded from Spending After Applying Truncation at the Member Level]]=Age_Sex_PY[[#This Row],[Total Spending before Truncation is Applied]]</f>
        <v>1</v>
      </c>
    </row>
    <row r="1589" spans="1:10" x14ac:dyDescent="0.25">
      <c r="A1589" s="339"/>
      <c r="B1589" s="270"/>
      <c r="C1589" s="271"/>
      <c r="D1589" s="456"/>
      <c r="E1589" s="362"/>
      <c r="F1589" s="272"/>
      <c r="G1589" s="460"/>
      <c r="H1589" s="272"/>
      <c r="I1589" s="399"/>
      <c r="J1589" s="241" t="b">
        <f>Age_Sex_PY[[#This Row],[Total Spending After Applying Truncation at the Member Level]]+Age_Sex_PY[[#This Row],[Total Dollars Excluded from Spending After Applying Truncation at the Member Level]]=Age_Sex_PY[[#This Row],[Total Spending before Truncation is Applied]]</f>
        <v>1</v>
      </c>
    </row>
    <row r="1590" spans="1:10" x14ac:dyDescent="0.25">
      <c r="A1590" s="342"/>
      <c r="B1590" s="4"/>
      <c r="C1590" s="16"/>
      <c r="D1590" s="457"/>
      <c r="E1590" s="363"/>
      <c r="F1590" s="273"/>
      <c r="G1590" s="226"/>
      <c r="H1590" s="273"/>
      <c r="I1590" s="400"/>
      <c r="J1590" s="243" t="b">
        <f>Age_Sex_PY[[#This Row],[Total Spending After Applying Truncation at the Member Level]]+Age_Sex_PY[[#This Row],[Total Dollars Excluded from Spending After Applying Truncation at the Member Level]]=Age_Sex_PY[[#This Row],[Total Spending before Truncation is Applied]]</f>
        <v>1</v>
      </c>
    </row>
    <row r="1591" spans="1:10" x14ac:dyDescent="0.25">
      <c r="A1591" s="339"/>
      <c r="B1591" s="270"/>
      <c r="C1591" s="271"/>
      <c r="D1591" s="456"/>
      <c r="E1591" s="362"/>
      <c r="F1591" s="272"/>
      <c r="G1591" s="460"/>
      <c r="H1591" s="272"/>
      <c r="I1591" s="399"/>
      <c r="J1591" s="241" t="b">
        <f>Age_Sex_PY[[#This Row],[Total Spending After Applying Truncation at the Member Level]]+Age_Sex_PY[[#This Row],[Total Dollars Excluded from Spending After Applying Truncation at the Member Level]]=Age_Sex_PY[[#This Row],[Total Spending before Truncation is Applied]]</f>
        <v>1</v>
      </c>
    </row>
    <row r="1592" spans="1:10" x14ac:dyDescent="0.25">
      <c r="A1592" s="342"/>
      <c r="B1592" s="4"/>
      <c r="C1592" s="16"/>
      <c r="D1592" s="457"/>
      <c r="E1592" s="363"/>
      <c r="F1592" s="273"/>
      <c r="G1592" s="226"/>
      <c r="H1592" s="273"/>
      <c r="I1592" s="400"/>
      <c r="J1592" s="243" t="b">
        <f>Age_Sex_PY[[#This Row],[Total Spending After Applying Truncation at the Member Level]]+Age_Sex_PY[[#This Row],[Total Dollars Excluded from Spending After Applying Truncation at the Member Level]]=Age_Sex_PY[[#This Row],[Total Spending before Truncation is Applied]]</f>
        <v>1</v>
      </c>
    </row>
    <row r="1593" spans="1:10" x14ac:dyDescent="0.25">
      <c r="A1593" s="339"/>
      <c r="B1593" s="270"/>
      <c r="C1593" s="271"/>
      <c r="D1593" s="456"/>
      <c r="E1593" s="362"/>
      <c r="F1593" s="272"/>
      <c r="G1593" s="460"/>
      <c r="H1593" s="272"/>
      <c r="I1593" s="399"/>
      <c r="J1593" s="241" t="b">
        <f>Age_Sex_PY[[#This Row],[Total Spending After Applying Truncation at the Member Level]]+Age_Sex_PY[[#This Row],[Total Dollars Excluded from Spending After Applying Truncation at the Member Level]]=Age_Sex_PY[[#This Row],[Total Spending before Truncation is Applied]]</f>
        <v>1</v>
      </c>
    </row>
    <row r="1594" spans="1:10" x14ac:dyDescent="0.25">
      <c r="A1594" s="342"/>
      <c r="B1594" s="4"/>
      <c r="C1594" s="16"/>
      <c r="D1594" s="457"/>
      <c r="E1594" s="363"/>
      <c r="F1594" s="273"/>
      <c r="G1594" s="226"/>
      <c r="H1594" s="273"/>
      <c r="I1594" s="400"/>
      <c r="J1594" s="243" t="b">
        <f>Age_Sex_PY[[#This Row],[Total Spending After Applying Truncation at the Member Level]]+Age_Sex_PY[[#This Row],[Total Dollars Excluded from Spending After Applying Truncation at the Member Level]]=Age_Sex_PY[[#This Row],[Total Spending before Truncation is Applied]]</f>
        <v>1</v>
      </c>
    </row>
    <row r="1595" spans="1:10" x14ac:dyDescent="0.25">
      <c r="A1595" s="339"/>
      <c r="B1595" s="270"/>
      <c r="C1595" s="271"/>
      <c r="D1595" s="456"/>
      <c r="E1595" s="362"/>
      <c r="F1595" s="272"/>
      <c r="G1595" s="460"/>
      <c r="H1595" s="272"/>
      <c r="I1595" s="399"/>
      <c r="J1595" s="241" t="b">
        <f>Age_Sex_PY[[#This Row],[Total Spending After Applying Truncation at the Member Level]]+Age_Sex_PY[[#This Row],[Total Dollars Excluded from Spending After Applying Truncation at the Member Level]]=Age_Sex_PY[[#This Row],[Total Spending before Truncation is Applied]]</f>
        <v>1</v>
      </c>
    </row>
    <row r="1596" spans="1:10" x14ac:dyDescent="0.25">
      <c r="A1596" s="342"/>
      <c r="B1596" s="4"/>
      <c r="C1596" s="16"/>
      <c r="D1596" s="457"/>
      <c r="E1596" s="363"/>
      <c r="F1596" s="273"/>
      <c r="G1596" s="226"/>
      <c r="H1596" s="273"/>
      <c r="I1596" s="400"/>
      <c r="J1596" s="243" t="b">
        <f>Age_Sex_PY[[#This Row],[Total Spending After Applying Truncation at the Member Level]]+Age_Sex_PY[[#This Row],[Total Dollars Excluded from Spending After Applying Truncation at the Member Level]]=Age_Sex_PY[[#This Row],[Total Spending before Truncation is Applied]]</f>
        <v>1</v>
      </c>
    </row>
    <row r="1597" spans="1:10" x14ac:dyDescent="0.25">
      <c r="A1597" s="339"/>
      <c r="B1597" s="270"/>
      <c r="C1597" s="271"/>
      <c r="D1597" s="456"/>
      <c r="E1597" s="362"/>
      <c r="F1597" s="272"/>
      <c r="G1597" s="460"/>
      <c r="H1597" s="272"/>
      <c r="I1597" s="399"/>
      <c r="J1597" s="241" t="b">
        <f>Age_Sex_PY[[#This Row],[Total Spending After Applying Truncation at the Member Level]]+Age_Sex_PY[[#This Row],[Total Dollars Excluded from Spending After Applying Truncation at the Member Level]]=Age_Sex_PY[[#This Row],[Total Spending before Truncation is Applied]]</f>
        <v>1</v>
      </c>
    </row>
    <row r="1598" spans="1:10" x14ac:dyDescent="0.25">
      <c r="A1598" s="342"/>
      <c r="B1598" s="4"/>
      <c r="C1598" s="16"/>
      <c r="D1598" s="457"/>
      <c r="E1598" s="363"/>
      <c r="F1598" s="273"/>
      <c r="G1598" s="226"/>
      <c r="H1598" s="273"/>
      <c r="I1598" s="400"/>
      <c r="J1598" s="243" t="b">
        <f>Age_Sex_PY[[#This Row],[Total Spending After Applying Truncation at the Member Level]]+Age_Sex_PY[[#This Row],[Total Dollars Excluded from Spending After Applying Truncation at the Member Level]]=Age_Sex_PY[[#This Row],[Total Spending before Truncation is Applied]]</f>
        <v>1</v>
      </c>
    </row>
    <row r="1599" spans="1:10" x14ac:dyDescent="0.25">
      <c r="A1599" s="339"/>
      <c r="B1599" s="270"/>
      <c r="C1599" s="271"/>
      <c r="D1599" s="456"/>
      <c r="E1599" s="362"/>
      <c r="F1599" s="272"/>
      <c r="G1599" s="460"/>
      <c r="H1599" s="272"/>
      <c r="I1599" s="399"/>
      <c r="J1599" s="241" t="b">
        <f>Age_Sex_PY[[#This Row],[Total Spending After Applying Truncation at the Member Level]]+Age_Sex_PY[[#This Row],[Total Dollars Excluded from Spending After Applying Truncation at the Member Level]]=Age_Sex_PY[[#This Row],[Total Spending before Truncation is Applied]]</f>
        <v>1</v>
      </c>
    </row>
    <row r="1600" spans="1:10" x14ac:dyDescent="0.25">
      <c r="A1600" s="342"/>
      <c r="B1600" s="4"/>
      <c r="C1600" s="16"/>
      <c r="D1600" s="457"/>
      <c r="E1600" s="363"/>
      <c r="F1600" s="273"/>
      <c r="G1600" s="226"/>
      <c r="H1600" s="273"/>
      <c r="I1600" s="400"/>
      <c r="J1600" s="243" t="b">
        <f>Age_Sex_PY[[#This Row],[Total Spending After Applying Truncation at the Member Level]]+Age_Sex_PY[[#This Row],[Total Dollars Excluded from Spending After Applying Truncation at the Member Level]]=Age_Sex_PY[[#This Row],[Total Spending before Truncation is Applied]]</f>
        <v>1</v>
      </c>
    </row>
    <row r="1601" spans="1:10" x14ac:dyDescent="0.25">
      <c r="A1601" s="339"/>
      <c r="B1601" s="270"/>
      <c r="C1601" s="271"/>
      <c r="D1601" s="456"/>
      <c r="E1601" s="362"/>
      <c r="F1601" s="272"/>
      <c r="G1601" s="460"/>
      <c r="H1601" s="272"/>
      <c r="I1601" s="399"/>
      <c r="J1601" s="241" t="b">
        <f>Age_Sex_PY[[#This Row],[Total Spending After Applying Truncation at the Member Level]]+Age_Sex_PY[[#This Row],[Total Dollars Excluded from Spending After Applying Truncation at the Member Level]]=Age_Sex_PY[[#This Row],[Total Spending before Truncation is Applied]]</f>
        <v>1</v>
      </c>
    </row>
    <row r="1602" spans="1:10" x14ac:dyDescent="0.25">
      <c r="A1602" s="342"/>
      <c r="B1602" s="4"/>
      <c r="C1602" s="16"/>
      <c r="D1602" s="457"/>
      <c r="E1602" s="363"/>
      <c r="F1602" s="273"/>
      <c r="G1602" s="226"/>
      <c r="H1602" s="273"/>
      <c r="I1602" s="400"/>
      <c r="J1602" s="243" t="b">
        <f>Age_Sex_PY[[#This Row],[Total Spending After Applying Truncation at the Member Level]]+Age_Sex_PY[[#This Row],[Total Dollars Excluded from Spending After Applying Truncation at the Member Level]]=Age_Sex_PY[[#This Row],[Total Spending before Truncation is Applied]]</f>
        <v>1</v>
      </c>
    </row>
    <row r="1603" spans="1:10" x14ac:dyDescent="0.25">
      <c r="A1603" s="339"/>
      <c r="B1603" s="270"/>
      <c r="C1603" s="271"/>
      <c r="D1603" s="456"/>
      <c r="E1603" s="362"/>
      <c r="F1603" s="272"/>
      <c r="G1603" s="460"/>
      <c r="H1603" s="272"/>
      <c r="I1603" s="399"/>
      <c r="J1603" s="241" t="b">
        <f>Age_Sex_PY[[#This Row],[Total Spending After Applying Truncation at the Member Level]]+Age_Sex_PY[[#This Row],[Total Dollars Excluded from Spending After Applying Truncation at the Member Level]]=Age_Sex_PY[[#This Row],[Total Spending before Truncation is Applied]]</f>
        <v>1</v>
      </c>
    </row>
    <row r="1604" spans="1:10" x14ac:dyDescent="0.25">
      <c r="A1604" s="342"/>
      <c r="B1604" s="4"/>
      <c r="C1604" s="16"/>
      <c r="D1604" s="457"/>
      <c r="E1604" s="363"/>
      <c r="F1604" s="273"/>
      <c r="G1604" s="226"/>
      <c r="H1604" s="273"/>
      <c r="I1604" s="400"/>
      <c r="J1604" s="243" t="b">
        <f>Age_Sex_PY[[#This Row],[Total Spending After Applying Truncation at the Member Level]]+Age_Sex_PY[[#This Row],[Total Dollars Excluded from Spending After Applying Truncation at the Member Level]]=Age_Sex_PY[[#This Row],[Total Spending before Truncation is Applied]]</f>
        <v>1</v>
      </c>
    </row>
    <row r="1605" spans="1:10" x14ac:dyDescent="0.25">
      <c r="A1605" s="339"/>
      <c r="B1605" s="270"/>
      <c r="C1605" s="271"/>
      <c r="D1605" s="456"/>
      <c r="E1605" s="362"/>
      <c r="F1605" s="272"/>
      <c r="G1605" s="460"/>
      <c r="H1605" s="272"/>
      <c r="I1605" s="399"/>
      <c r="J1605" s="241" t="b">
        <f>Age_Sex_PY[[#This Row],[Total Spending After Applying Truncation at the Member Level]]+Age_Sex_PY[[#This Row],[Total Dollars Excluded from Spending After Applying Truncation at the Member Level]]=Age_Sex_PY[[#This Row],[Total Spending before Truncation is Applied]]</f>
        <v>1</v>
      </c>
    </row>
    <row r="1606" spans="1:10" x14ac:dyDescent="0.25">
      <c r="A1606" s="342"/>
      <c r="B1606" s="4"/>
      <c r="C1606" s="16"/>
      <c r="D1606" s="457"/>
      <c r="E1606" s="363"/>
      <c r="F1606" s="273"/>
      <c r="G1606" s="226"/>
      <c r="H1606" s="273"/>
      <c r="I1606" s="400"/>
      <c r="J1606" s="243" t="b">
        <f>Age_Sex_PY[[#This Row],[Total Spending After Applying Truncation at the Member Level]]+Age_Sex_PY[[#This Row],[Total Dollars Excluded from Spending After Applying Truncation at the Member Level]]=Age_Sex_PY[[#This Row],[Total Spending before Truncation is Applied]]</f>
        <v>1</v>
      </c>
    </row>
    <row r="1607" spans="1:10" x14ac:dyDescent="0.25">
      <c r="A1607" s="339"/>
      <c r="B1607" s="270"/>
      <c r="C1607" s="271"/>
      <c r="D1607" s="456"/>
      <c r="E1607" s="362"/>
      <c r="F1607" s="272"/>
      <c r="G1607" s="460"/>
      <c r="H1607" s="272"/>
      <c r="I1607" s="399"/>
      <c r="J1607" s="241" t="b">
        <f>Age_Sex_PY[[#This Row],[Total Spending After Applying Truncation at the Member Level]]+Age_Sex_PY[[#This Row],[Total Dollars Excluded from Spending After Applying Truncation at the Member Level]]=Age_Sex_PY[[#This Row],[Total Spending before Truncation is Applied]]</f>
        <v>1</v>
      </c>
    </row>
    <row r="1608" spans="1:10" x14ac:dyDescent="0.25">
      <c r="A1608" s="342"/>
      <c r="B1608" s="4"/>
      <c r="C1608" s="16"/>
      <c r="D1608" s="457"/>
      <c r="E1608" s="363"/>
      <c r="F1608" s="273"/>
      <c r="G1608" s="226"/>
      <c r="H1608" s="273"/>
      <c r="I1608" s="400"/>
      <c r="J1608" s="243" t="b">
        <f>Age_Sex_PY[[#This Row],[Total Spending After Applying Truncation at the Member Level]]+Age_Sex_PY[[#This Row],[Total Dollars Excluded from Spending After Applying Truncation at the Member Level]]=Age_Sex_PY[[#This Row],[Total Spending before Truncation is Applied]]</f>
        <v>1</v>
      </c>
    </row>
    <row r="1609" spans="1:10" x14ac:dyDescent="0.25">
      <c r="A1609" s="339"/>
      <c r="B1609" s="270"/>
      <c r="C1609" s="271"/>
      <c r="D1609" s="456"/>
      <c r="E1609" s="362"/>
      <c r="F1609" s="272"/>
      <c r="G1609" s="460"/>
      <c r="H1609" s="272"/>
      <c r="I1609" s="399"/>
      <c r="J1609" s="241" t="b">
        <f>Age_Sex_PY[[#This Row],[Total Spending After Applying Truncation at the Member Level]]+Age_Sex_PY[[#This Row],[Total Dollars Excluded from Spending After Applying Truncation at the Member Level]]=Age_Sex_PY[[#This Row],[Total Spending before Truncation is Applied]]</f>
        <v>1</v>
      </c>
    </row>
    <row r="1610" spans="1:10" x14ac:dyDescent="0.25">
      <c r="A1610" s="342"/>
      <c r="B1610" s="4"/>
      <c r="C1610" s="16"/>
      <c r="D1610" s="457"/>
      <c r="E1610" s="363"/>
      <c r="F1610" s="273"/>
      <c r="G1610" s="226"/>
      <c r="H1610" s="273"/>
      <c r="I1610" s="400"/>
      <c r="J1610" s="243" t="b">
        <f>Age_Sex_PY[[#This Row],[Total Spending After Applying Truncation at the Member Level]]+Age_Sex_PY[[#This Row],[Total Dollars Excluded from Spending After Applying Truncation at the Member Level]]=Age_Sex_PY[[#This Row],[Total Spending before Truncation is Applied]]</f>
        <v>1</v>
      </c>
    </row>
    <row r="1611" spans="1:10" x14ac:dyDescent="0.25">
      <c r="A1611" s="339"/>
      <c r="B1611" s="270"/>
      <c r="C1611" s="271"/>
      <c r="D1611" s="456"/>
      <c r="E1611" s="362"/>
      <c r="F1611" s="272"/>
      <c r="G1611" s="460"/>
      <c r="H1611" s="272"/>
      <c r="I1611" s="399"/>
      <c r="J1611" s="241" t="b">
        <f>Age_Sex_PY[[#This Row],[Total Spending After Applying Truncation at the Member Level]]+Age_Sex_PY[[#This Row],[Total Dollars Excluded from Spending After Applying Truncation at the Member Level]]=Age_Sex_PY[[#This Row],[Total Spending before Truncation is Applied]]</f>
        <v>1</v>
      </c>
    </row>
    <row r="1612" spans="1:10" x14ac:dyDescent="0.25">
      <c r="A1612" s="342"/>
      <c r="B1612" s="4"/>
      <c r="C1612" s="16"/>
      <c r="D1612" s="457"/>
      <c r="E1612" s="363"/>
      <c r="F1612" s="273"/>
      <c r="G1612" s="226"/>
      <c r="H1612" s="273"/>
      <c r="I1612" s="400"/>
      <c r="J1612" s="243" t="b">
        <f>Age_Sex_PY[[#This Row],[Total Spending After Applying Truncation at the Member Level]]+Age_Sex_PY[[#This Row],[Total Dollars Excluded from Spending After Applying Truncation at the Member Level]]=Age_Sex_PY[[#This Row],[Total Spending before Truncation is Applied]]</f>
        <v>1</v>
      </c>
    </row>
    <row r="1613" spans="1:10" x14ac:dyDescent="0.25">
      <c r="A1613" s="339"/>
      <c r="B1613" s="270"/>
      <c r="C1613" s="271"/>
      <c r="D1613" s="456"/>
      <c r="E1613" s="362"/>
      <c r="F1613" s="272"/>
      <c r="G1613" s="460"/>
      <c r="H1613" s="272"/>
      <c r="I1613" s="399"/>
      <c r="J1613" s="241" t="b">
        <f>Age_Sex_PY[[#This Row],[Total Spending After Applying Truncation at the Member Level]]+Age_Sex_PY[[#This Row],[Total Dollars Excluded from Spending After Applying Truncation at the Member Level]]=Age_Sex_PY[[#This Row],[Total Spending before Truncation is Applied]]</f>
        <v>1</v>
      </c>
    </row>
    <row r="1614" spans="1:10" x14ac:dyDescent="0.25">
      <c r="A1614" s="342"/>
      <c r="B1614" s="4"/>
      <c r="C1614" s="16"/>
      <c r="D1614" s="457"/>
      <c r="E1614" s="363"/>
      <c r="F1614" s="273"/>
      <c r="G1614" s="226"/>
      <c r="H1614" s="273"/>
      <c r="I1614" s="400"/>
      <c r="J1614" s="243" t="b">
        <f>Age_Sex_PY[[#This Row],[Total Spending After Applying Truncation at the Member Level]]+Age_Sex_PY[[#This Row],[Total Dollars Excluded from Spending After Applying Truncation at the Member Level]]=Age_Sex_PY[[#This Row],[Total Spending before Truncation is Applied]]</f>
        <v>1</v>
      </c>
    </row>
    <row r="1615" spans="1:10" x14ac:dyDescent="0.25">
      <c r="A1615" s="339"/>
      <c r="B1615" s="270"/>
      <c r="C1615" s="271"/>
      <c r="D1615" s="456"/>
      <c r="E1615" s="362"/>
      <c r="F1615" s="272"/>
      <c r="G1615" s="460"/>
      <c r="H1615" s="272"/>
      <c r="I1615" s="399"/>
      <c r="J1615" s="241" t="b">
        <f>Age_Sex_PY[[#This Row],[Total Spending After Applying Truncation at the Member Level]]+Age_Sex_PY[[#This Row],[Total Dollars Excluded from Spending After Applying Truncation at the Member Level]]=Age_Sex_PY[[#This Row],[Total Spending before Truncation is Applied]]</f>
        <v>1</v>
      </c>
    </row>
    <row r="1616" spans="1:10" x14ac:dyDescent="0.25">
      <c r="A1616" s="342"/>
      <c r="B1616" s="4"/>
      <c r="C1616" s="16"/>
      <c r="D1616" s="457"/>
      <c r="E1616" s="363"/>
      <c r="F1616" s="273"/>
      <c r="G1616" s="226"/>
      <c r="H1616" s="273"/>
      <c r="I1616" s="400"/>
      <c r="J1616" s="243" t="b">
        <f>Age_Sex_PY[[#This Row],[Total Spending After Applying Truncation at the Member Level]]+Age_Sex_PY[[#This Row],[Total Dollars Excluded from Spending After Applying Truncation at the Member Level]]=Age_Sex_PY[[#This Row],[Total Spending before Truncation is Applied]]</f>
        <v>1</v>
      </c>
    </row>
    <row r="1617" spans="1:10" x14ac:dyDescent="0.25">
      <c r="A1617" s="339"/>
      <c r="B1617" s="270"/>
      <c r="C1617" s="271"/>
      <c r="D1617" s="456"/>
      <c r="E1617" s="362"/>
      <c r="F1617" s="272"/>
      <c r="G1617" s="460"/>
      <c r="H1617" s="272"/>
      <c r="I1617" s="399"/>
      <c r="J1617" s="241" t="b">
        <f>Age_Sex_PY[[#This Row],[Total Spending After Applying Truncation at the Member Level]]+Age_Sex_PY[[#This Row],[Total Dollars Excluded from Spending After Applying Truncation at the Member Level]]=Age_Sex_PY[[#This Row],[Total Spending before Truncation is Applied]]</f>
        <v>1</v>
      </c>
    </row>
    <row r="1618" spans="1:10" x14ac:dyDescent="0.25">
      <c r="A1618" s="342"/>
      <c r="B1618" s="4"/>
      <c r="C1618" s="16"/>
      <c r="D1618" s="457"/>
      <c r="E1618" s="363"/>
      <c r="F1618" s="273"/>
      <c r="G1618" s="226"/>
      <c r="H1618" s="273"/>
      <c r="I1618" s="400"/>
      <c r="J1618" s="243" t="b">
        <f>Age_Sex_PY[[#This Row],[Total Spending After Applying Truncation at the Member Level]]+Age_Sex_PY[[#This Row],[Total Dollars Excluded from Spending After Applying Truncation at the Member Level]]=Age_Sex_PY[[#This Row],[Total Spending before Truncation is Applied]]</f>
        <v>1</v>
      </c>
    </row>
    <row r="1619" spans="1:10" x14ac:dyDescent="0.25">
      <c r="A1619" s="339"/>
      <c r="B1619" s="270"/>
      <c r="C1619" s="271"/>
      <c r="D1619" s="456"/>
      <c r="E1619" s="362"/>
      <c r="F1619" s="272"/>
      <c r="G1619" s="460"/>
      <c r="H1619" s="272"/>
      <c r="I1619" s="399"/>
      <c r="J1619" s="241" t="b">
        <f>Age_Sex_PY[[#This Row],[Total Spending After Applying Truncation at the Member Level]]+Age_Sex_PY[[#This Row],[Total Dollars Excluded from Spending After Applying Truncation at the Member Level]]=Age_Sex_PY[[#This Row],[Total Spending before Truncation is Applied]]</f>
        <v>1</v>
      </c>
    </row>
    <row r="1620" spans="1:10" x14ac:dyDescent="0.25">
      <c r="A1620" s="342"/>
      <c r="B1620" s="4"/>
      <c r="C1620" s="16"/>
      <c r="D1620" s="457"/>
      <c r="E1620" s="363"/>
      <c r="F1620" s="273"/>
      <c r="G1620" s="226"/>
      <c r="H1620" s="273"/>
      <c r="I1620" s="400"/>
      <c r="J1620" s="243" t="b">
        <f>Age_Sex_PY[[#This Row],[Total Spending After Applying Truncation at the Member Level]]+Age_Sex_PY[[#This Row],[Total Dollars Excluded from Spending After Applying Truncation at the Member Level]]=Age_Sex_PY[[#This Row],[Total Spending before Truncation is Applied]]</f>
        <v>1</v>
      </c>
    </row>
    <row r="1621" spans="1:10" x14ac:dyDescent="0.25">
      <c r="A1621" s="339"/>
      <c r="B1621" s="270"/>
      <c r="C1621" s="271"/>
      <c r="D1621" s="456"/>
      <c r="E1621" s="362"/>
      <c r="F1621" s="272"/>
      <c r="G1621" s="460"/>
      <c r="H1621" s="272"/>
      <c r="I1621" s="399"/>
      <c r="J1621" s="241" t="b">
        <f>Age_Sex_PY[[#This Row],[Total Spending After Applying Truncation at the Member Level]]+Age_Sex_PY[[#This Row],[Total Dollars Excluded from Spending After Applying Truncation at the Member Level]]=Age_Sex_PY[[#This Row],[Total Spending before Truncation is Applied]]</f>
        <v>1</v>
      </c>
    </row>
    <row r="1622" spans="1:10" x14ac:dyDescent="0.25">
      <c r="A1622" s="342"/>
      <c r="B1622" s="4"/>
      <c r="C1622" s="16"/>
      <c r="D1622" s="457"/>
      <c r="E1622" s="363"/>
      <c r="F1622" s="273"/>
      <c r="G1622" s="226"/>
      <c r="H1622" s="273"/>
      <c r="I1622" s="400"/>
      <c r="J1622" s="243" t="b">
        <f>Age_Sex_PY[[#This Row],[Total Spending After Applying Truncation at the Member Level]]+Age_Sex_PY[[#This Row],[Total Dollars Excluded from Spending After Applying Truncation at the Member Level]]=Age_Sex_PY[[#This Row],[Total Spending before Truncation is Applied]]</f>
        <v>1</v>
      </c>
    </row>
    <row r="1623" spans="1:10" x14ac:dyDescent="0.25">
      <c r="A1623" s="339"/>
      <c r="B1623" s="270"/>
      <c r="C1623" s="271"/>
      <c r="D1623" s="456"/>
      <c r="E1623" s="362"/>
      <c r="F1623" s="272"/>
      <c r="G1623" s="460"/>
      <c r="H1623" s="272"/>
      <c r="I1623" s="399"/>
      <c r="J1623" s="241" t="b">
        <f>Age_Sex_PY[[#This Row],[Total Spending After Applying Truncation at the Member Level]]+Age_Sex_PY[[#This Row],[Total Dollars Excluded from Spending After Applying Truncation at the Member Level]]=Age_Sex_PY[[#This Row],[Total Spending before Truncation is Applied]]</f>
        <v>1</v>
      </c>
    </row>
    <row r="1624" spans="1:10" x14ac:dyDescent="0.25">
      <c r="A1624" s="342"/>
      <c r="B1624" s="4"/>
      <c r="C1624" s="16"/>
      <c r="D1624" s="457"/>
      <c r="E1624" s="363"/>
      <c r="F1624" s="273"/>
      <c r="G1624" s="226"/>
      <c r="H1624" s="273"/>
      <c r="I1624" s="400"/>
      <c r="J1624" s="243" t="b">
        <f>Age_Sex_PY[[#This Row],[Total Spending After Applying Truncation at the Member Level]]+Age_Sex_PY[[#This Row],[Total Dollars Excluded from Spending After Applying Truncation at the Member Level]]=Age_Sex_PY[[#This Row],[Total Spending before Truncation is Applied]]</f>
        <v>1</v>
      </c>
    </row>
    <row r="1625" spans="1:10" x14ac:dyDescent="0.25">
      <c r="A1625" s="339"/>
      <c r="B1625" s="270"/>
      <c r="C1625" s="271"/>
      <c r="D1625" s="456"/>
      <c r="E1625" s="362"/>
      <c r="F1625" s="272"/>
      <c r="G1625" s="460"/>
      <c r="H1625" s="272"/>
      <c r="I1625" s="399"/>
      <c r="J1625" s="241" t="b">
        <f>Age_Sex_PY[[#This Row],[Total Spending After Applying Truncation at the Member Level]]+Age_Sex_PY[[#This Row],[Total Dollars Excluded from Spending After Applying Truncation at the Member Level]]=Age_Sex_PY[[#This Row],[Total Spending before Truncation is Applied]]</f>
        <v>1</v>
      </c>
    </row>
    <row r="1626" spans="1:10" x14ac:dyDescent="0.25">
      <c r="A1626" s="342"/>
      <c r="B1626" s="4"/>
      <c r="C1626" s="16"/>
      <c r="D1626" s="457"/>
      <c r="E1626" s="363"/>
      <c r="F1626" s="273"/>
      <c r="G1626" s="226"/>
      <c r="H1626" s="273"/>
      <c r="I1626" s="400"/>
      <c r="J1626" s="243" t="b">
        <f>Age_Sex_PY[[#This Row],[Total Spending After Applying Truncation at the Member Level]]+Age_Sex_PY[[#This Row],[Total Dollars Excluded from Spending After Applying Truncation at the Member Level]]=Age_Sex_PY[[#This Row],[Total Spending before Truncation is Applied]]</f>
        <v>1</v>
      </c>
    </row>
    <row r="1627" spans="1:10" x14ac:dyDescent="0.25">
      <c r="A1627" s="339"/>
      <c r="B1627" s="270"/>
      <c r="C1627" s="271"/>
      <c r="D1627" s="456"/>
      <c r="E1627" s="362"/>
      <c r="F1627" s="272"/>
      <c r="G1627" s="460"/>
      <c r="H1627" s="272"/>
      <c r="I1627" s="399"/>
      <c r="J1627" s="241" t="b">
        <f>Age_Sex_PY[[#This Row],[Total Spending After Applying Truncation at the Member Level]]+Age_Sex_PY[[#This Row],[Total Dollars Excluded from Spending After Applying Truncation at the Member Level]]=Age_Sex_PY[[#This Row],[Total Spending before Truncation is Applied]]</f>
        <v>1</v>
      </c>
    </row>
    <row r="1628" spans="1:10" x14ac:dyDescent="0.25">
      <c r="A1628" s="342"/>
      <c r="B1628" s="4"/>
      <c r="C1628" s="16"/>
      <c r="D1628" s="457"/>
      <c r="E1628" s="363"/>
      <c r="F1628" s="273"/>
      <c r="G1628" s="226"/>
      <c r="H1628" s="273"/>
      <c r="I1628" s="400"/>
      <c r="J1628" s="243" t="b">
        <f>Age_Sex_PY[[#This Row],[Total Spending After Applying Truncation at the Member Level]]+Age_Sex_PY[[#This Row],[Total Dollars Excluded from Spending After Applying Truncation at the Member Level]]=Age_Sex_PY[[#This Row],[Total Spending before Truncation is Applied]]</f>
        <v>1</v>
      </c>
    </row>
    <row r="1629" spans="1:10" x14ac:dyDescent="0.25">
      <c r="A1629" s="339"/>
      <c r="B1629" s="270"/>
      <c r="C1629" s="271"/>
      <c r="D1629" s="456"/>
      <c r="E1629" s="362"/>
      <c r="F1629" s="272"/>
      <c r="G1629" s="460"/>
      <c r="H1629" s="272"/>
      <c r="I1629" s="399"/>
      <c r="J1629" s="241" t="b">
        <f>Age_Sex_PY[[#This Row],[Total Spending After Applying Truncation at the Member Level]]+Age_Sex_PY[[#This Row],[Total Dollars Excluded from Spending After Applying Truncation at the Member Level]]=Age_Sex_PY[[#This Row],[Total Spending before Truncation is Applied]]</f>
        <v>1</v>
      </c>
    </row>
    <row r="1630" spans="1:10" x14ac:dyDescent="0.25">
      <c r="A1630" s="342"/>
      <c r="B1630" s="4"/>
      <c r="C1630" s="16"/>
      <c r="D1630" s="457"/>
      <c r="E1630" s="363"/>
      <c r="F1630" s="273"/>
      <c r="G1630" s="226"/>
      <c r="H1630" s="273"/>
      <c r="I1630" s="400"/>
      <c r="J1630" s="243" t="b">
        <f>Age_Sex_PY[[#This Row],[Total Spending After Applying Truncation at the Member Level]]+Age_Sex_PY[[#This Row],[Total Dollars Excluded from Spending After Applying Truncation at the Member Level]]=Age_Sex_PY[[#This Row],[Total Spending before Truncation is Applied]]</f>
        <v>1</v>
      </c>
    </row>
    <row r="1631" spans="1:10" x14ac:dyDescent="0.25">
      <c r="A1631" s="339"/>
      <c r="B1631" s="270"/>
      <c r="C1631" s="271"/>
      <c r="D1631" s="456"/>
      <c r="E1631" s="362"/>
      <c r="F1631" s="272"/>
      <c r="G1631" s="460"/>
      <c r="H1631" s="272"/>
      <c r="I1631" s="399"/>
      <c r="J1631" s="241" t="b">
        <f>Age_Sex_PY[[#This Row],[Total Spending After Applying Truncation at the Member Level]]+Age_Sex_PY[[#This Row],[Total Dollars Excluded from Spending After Applying Truncation at the Member Level]]=Age_Sex_PY[[#This Row],[Total Spending before Truncation is Applied]]</f>
        <v>1</v>
      </c>
    </row>
    <row r="1632" spans="1:10" x14ac:dyDescent="0.25">
      <c r="A1632" s="342"/>
      <c r="B1632" s="4"/>
      <c r="C1632" s="16"/>
      <c r="D1632" s="457"/>
      <c r="E1632" s="363"/>
      <c r="F1632" s="273"/>
      <c r="G1632" s="226"/>
      <c r="H1632" s="273"/>
      <c r="I1632" s="400"/>
      <c r="J1632" s="243" t="b">
        <f>Age_Sex_PY[[#This Row],[Total Spending After Applying Truncation at the Member Level]]+Age_Sex_PY[[#This Row],[Total Dollars Excluded from Spending After Applying Truncation at the Member Level]]=Age_Sex_PY[[#This Row],[Total Spending before Truncation is Applied]]</f>
        <v>1</v>
      </c>
    </row>
    <row r="1633" spans="1:10" x14ac:dyDescent="0.25">
      <c r="A1633" s="339"/>
      <c r="B1633" s="270"/>
      <c r="C1633" s="271"/>
      <c r="D1633" s="456"/>
      <c r="E1633" s="362"/>
      <c r="F1633" s="272"/>
      <c r="G1633" s="460"/>
      <c r="H1633" s="272"/>
      <c r="I1633" s="399"/>
      <c r="J1633" s="241" t="b">
        <f>Age_Sex_PY[[#This Row],[Total Spending After Applying Truncation at the Member Level]]+Age_Sex_PY[[#This Row],[Total Dollars Excluded from Spending After Applying Truncation at the Member Level]]=Age_Sex_PY[[#This Row],[Total Spending before Truncation is Applied]]</f>
        <v>1</v>
      </c>
    </row>
    <row r="1634" spans="1:10" x14ac:dyDescent="0.25">
      <c r="A1634" s="342"/>
      <c r="B1634" s="4"/>
      <c r="C1634" s="16"/>
      <c r="D1634" s="457"/>
      <c r="E1634" s="363"/>
      <c r="F1634" s="273"/>
      <c r="G1634" s="226"/>
      <c r="H1634" s="273"/>
      <c r="I1634" s="400"/>
      <c r="J1634" s="243" t="b">
        <f>Age_Sex_PY[[#This Row],[Total Spending After Applying Truncation at the Member Level]]+Age_Sex_PY[[#This Row],[Total Dollars Excluded from Spending After Applying Truncation at the Member Level]]=Age_Sex_PY[[#This Row],[Total Spending before Truncation is Applied]]</f>
        <v>1</v>
      </c>
    </row>
    <row r="1635" spans="1:10" x14ac:dyDescent="0.25">
      <c r="A1635" s="339"/>
      <c r="B1635" s="270"/>
      <c r="C1635" s="271"/>
      <c r="D1635" s="456"/>
      <c r="E1635" s="362"/>
      <c r="F1635" s="272"/>
      <c r="G1635" s="460"/>
      <c r="H1635" s="272"/>
      <c r="I1635" s="399"/>
      <c r="J1635" s="241" t="b">
        <f>Age_Sex_PY[[#This Row],[Total Spending After Applying Truncation at the Member Level]]+Age_Sex_PY[[#This Row],[Total Dollars Excluded from Spending After Applying Truncation at the Member Level]]=Age_Sex_PY[[#This Row],[Total Spending before Truncation is Applied]]</f>
        <v>1</v>
      </c>
    </row>
    <row r="1636" spans="1:10" x14ac:dyDescent="0.25">
      <c r="A1636" s="342"/>
      <c r="B1636" s="4"/>
      <c r="C1636" s="16"/>
      <c r="D1636" s="457"/>
      <c r="E1636" s="363"/>
      <c r="F1636" s="273"/>
      <c r="G1636" s="226"/>
      <c r="H1636" s="273"/>
      <c r="I1636" s="400"/>
      <c r="J1636" s="243" t="b">
        <f>Age_Sex_PY[[#This Row],[Total Spending After Applying Truncation at the Member Level]]+Age_Sex_PY[[#This Row],[Total Dollars Excluded from Spending After Applying Truncation at the Member Level]]=Age_Sex_PY[[#This Row],[Total Spending before Truncation is Applied]]</f>
        <v>1</v>
      </c>
    </row>
    <row r="1637" spans="1:10" x14ac:dyDescent="0.25">
      <c r="A1637" s="339"/>
      <c r="B1637" s="270"/>
      <c r="C1637" s="271"/>
      <c r="D1637" s="456"/>
      <c r="E1637" s="362"/>
      <c r="F1637" s="272"/>
      <c r="G1637" s="460"/>
      <c r="H1637" s="272"/>
      <c r="I1637" s="399"/>
      <c r="J1637" s="241" t="b">
        <f>Age_Sex_PY[[#This Row],[Total Spending After Applying Truncation at the Member Level]]+Age_Sex_PY[[#This Row],[Total Dollars Excluded from Spending After Applying Truncation at the Member Level]]=Age_Sex_PY[[#This Row],[Total Spending before Truncation is Applied]]</f>
        <v>1</v>
      </c>
    </row>
    <row r="1638" spans="1:10" x14ac:dyDescent="0.25">
      <c r="A1638" s="342"/>
      <c r="B1638" s="4"/>
      <c r="C1638" s="16"/>
      <c r="D1638" s="457"/>
      <c r="E1638" s="363"/>
      <c r="F1638" s="273"/>
      <c r="G1638" s="226"/>
      <c r="H1638" s="273"/>
      <c r="I1638" s="400"/>
      <c r="J1638" s="243" t="b">
        <f>Age_Sex_PY[[#This Row],[Total Spending After Applying Truncation at the Member Level]]+Age_Sex_PY[[#This Row],[Total Dollars Excluded from Spending After Applying Truncation at the Member Level]]=Age_Sex_PY[[#This Row],[Total Spending before Truncation is Applied]]</f>
        <v>1</v>
      </c>
    </row>
    <row r="1639" spans="1:10" x14ac:dyDescent="0.25">
      <c r="A1639" s="339"/>
      <c r="B1639" s="270"/>
      <c r="C1639" s="271"/>
      <c r="D1639" s="456"/>
      <c r="E1639" s="362"/>
      <c r="F1639" s="272"/>
      <c r="G1639" s="460"/>
      <c r="H1639" s="272"/>
      <c r="I1639" s="399"/>
      <c r="J1639" s="241" t="b">
        <f>Age_Sex_PY[[#This Row],[Total Spending After Applying Truncation at the Member Level]]+Age_Sex_PY[[#This Row],[Total Dollars Excluded from Spending After Applying Truncation at the Member Level]]=Age_Sex_PY[[#This Row],[Total Spending before Truncation is Applied]]</f>
        <v>1</v>
      </c>
    </row>
    <row r="1640" spans="1:10" x14ac:dyDescent="0.25">
      <c r="A1640" s="342"/>
      <c r="B1640" s="4"/>
      <c r="C1640" s="16"/>
      <c r="D1640" s="457"/>
      <c r="E1640" s="363"/>
      <c r="F1640" s="273"/>
      <c r="G1640" s="226"/>
      <c r="H1640" s="273"/>
      <c r="I1640" s="400"/>
      <c r="J1640" s="243" t="b">
        <f>Age_Sex_PY[[#This Row],[Total Spending After Applying Truncation at the Member Level]]+Age_Sex_PY[[#This Row],[Total Dollars Excluded from Spending After Applying Truncation at the Member Level]]=Age_Sex_PY[[#This Row],[Total Spending before Truncation is Applied]]</f>
        <v>1</v>
      </c>
    </row>
    <row r="1641" spans="1:10" x14ac:dyDescent="0.25">
      <c r="A1641" s="339"/>
      <c r="B1641" s="270"/>
      <c r="C1641" s="271"/>
      <c r="D1641" s="456"/>
      <c r="E1641" s="362"/>
      <c r="F1641" s="272"/>
      <c r="G1641" s="460"/>
      <c r="H1641" s="272"/>
      <c r="I1641" s="399"/>
      <c r="J1641" s="241" t="b">
        <f>Age_Sex_PY[[#This Row],[Total Spending After Applying Truncation at the Member Level]]+Age_Sex_PY[[#This Row],[Total Dollars Excluded from Spending After Applying Truncation at the Member Level]]=Age_Sex_PY[[#This Row],[Total Spending before Truncation is Applied]]</f>
        <v>1</v>
      </c>
    </row>
    <row r="1642" spans="1:10" x14ac:dyDescent="0.25">
      <c r="A1642" s="342"/>
      <c r="B1642" s="4"/>
      <c r="C1642" s="16"/>
      <c r="D1642" s="457"/>
      <c r="E1642" s="363"/>
      <c r="F1642" s="273"/>
      <c r="G1642" s="226"/>
      <c r="H1642" s="273"/>
      <c r="I1642" s="400"/>
      <c r="J1642" s="243" t="b">
        <f>Age_Sex_PY[[#This Row],[Total Spending After Applying Truncation at the Member Level]]+Age_Sex_PY[[#This Row],[Total Dollars Excluded from Spending After Applying Truncation at the Member Level]]=Age_Sex_PY[[#This Row],[Total Spending before Truncation is Applied]]</f>
        <v>1</v>
      </c>
    </row>
    <row r="1643" spans="1:10" x14ac:dyDescent="0.25">
      <c r="A1643" s="339"/>
      <c r="B1643" s="270"/>
      <c r="C1643" s="271"/>
      <c r="D1643" s="456"/>
      <c r="E1643" s="362"/>
      <c r="F1643" s="272"/>
      <c r="G1643" s="460"/>
      <c r="H1643" s="272"/>
      <c r="I1643" s="399"/>
      <c r="J1643" s="241" t="b">
        <f>Age_Sex_PY[[#This Row],[Total Spending After Applying Truncation at the Member Level]]+Age_Sex_PY[[#This Row],[Total Dollars Excluded from Spending After Applying Truncation at the Member Level]]=Age_Sex_PY[[#This Row],[Total Spending before Truncation is Applied]]</f>
        <v>1</v>
      </c>
    </row>
    <row r="1644" spans="1:10" x14ac:dyDescent="0.25">
      <c r="A1644" s="342"/>
      <c r="B1644" s="4"/>
      <c r="C1644" s="16"/>
      <c r="D1644" s="457"/>
      <c r="E1644" s="363"/>
      <c r="F1644" s="273"/>
      <c r="G1644" s="226"/>
      <c r="H1644" s="273"/>
      <c r="I1644" s="400"/>
      <c r="J1644" s="243" t="b">
        <f>Age_Sex_PY[[#This Row],[Total Spending After Applying Truncation at the Member Level]]+Age_Sex_PY[[#This Row],[Total Dollars Excluded from Spending After Applying Truncation at the Member Level]]=Age_Sex_PY[[#This Row],[Total Spending before Truncation is Applied]]</f>
        <v>1</v>
      </c>
    </row>
    <row r="1645" spans="1:10" x14ac:dyDescent="0.25">
      <c r="A1645" s="339"/>
      <c r="B1645" s="270"/>
      <c r="C1645" s="271"/>
      <c r="D1645" s="456"/>
      <c r="E1645" s="362"/>
      <c r="F1645" s="272"/>
      <c r="G1645" s="460"/>
      <c r="H1645" s="272"/>
      <c r="I1645" s="399"/>
      <c r="J1645" s="241" t="b">
        <f>Age_Sex_PY[[#This Row],[Total Spending After Applying Truncation at the Member Level]]+Age_Sex_PY[[#This Row],[Total Dollars Excluded from Spending After Applying Truncation at the Member Level]]=Age_Sex_PY[[#This Row],[Total Spending before Truncation is Applied]]</f>
        <v>1</v>
      </c>
    </row>
    <row r="1646" spans="1:10" x14ac:dyDescent="0.25">
      <c r="A1646" s="342"/>
      <c r="B1646" s="4"/>
      <c r="C1646" s="16"/>
      <c r="D1646" s="457"/>
      <c r="E1646" s="363"/>
      <c r="F1646" s="273"/>
      <c r="G1646" s="226"/>
      <c r="H1646" s="273"/>
      <c r="I1646" s="400"/>
      <c r="J1646" s="243" t="b">
        <f>Age_Sex_PY[[#This Row],[Total Spending After Applying Truncation at the Member Level]]+Age_Sex_PY[[#This Row],[Total Dollars Excluded from Spending After Applying Truncation at the Member Level]]=Age_Sex_PY[[#This Row],[Total Spending before Truncation is Applied]]</f>
        <v>1</v>
      </c>
    </row>
    <row r="1647" spans="1:10" x14ac:dyDescent="0.25">
      <c r="A1647" s="339"/>
      <c r="B1647" s="270"/>
      <c r="C1647" s="271"/>
      <c r="D1647" s="456"/>
      <c r="E1647" s="362"/>
      <c r="F1647" s="272"/>
      <c r="G1647" s="460"/>
      <c r="H1647" s="272"/>
      <c r="I1647" s="399"/>
      <c r="J1647" s="241" t="b">
        <f>Age_Sex_PY[[#This Row],[Total Spending After Applying Truncation at the Member Level]]+Age_Sex_PY[[#This Row],[Total Dollars Excluded from Spending After Applying Truncation at the Member Level]]=Age_Sex_PY[[#This Row],[Total Spending before Truncation is Applied]]</f>
        <v>1</v>
      </c>
    </row>
    <row r="1648" spans="1:10" x14ac:dyDescent="0.25">
      <c r="A1648" s="342"/>
      <c r="B1648" s="4"/>
      <c r="C1648" s="16"/>
      <c r="D1648" s="457"/>
      <c r="E1648" s="363"/>
      <c r="F1648" s="273"/>
      <c r="G1648" s="226"/>
      <c r="H1648" s="273"/>
      <c r="I1648" s="400"/>
      <c r="J1648" s="243" t="b">
        <f>Age_Sex_PY[[#This Row],[Total Spending After Applying Truncation at the Member Level]]+Age_Sex_PY[[#This Row],[Total Dollars Excluded from Spending After Applying Truncation at the Member Level]]=Age_Sex_PY[[#This Row],[Total Spending before Truncation is Applied]]</f>
        <v>1</v>
      </c>
    </row>
    <row r="1649" spans="1:10" x14ac:dyDescent="0.25">
      <c r="A1649" s="339"/>
      <c r="B1649" s="270"/>
      <c r="C1649" s="271"/>
      <c r="D1649" s="456"/>
      <c r="E1649" s="362"/>
      <c r="F1649" s="272"/>
      <c r="G1649" s="460"/>
      <c r="H1649" s="272"/>
      <c r="I1649" s="399"/>
      <c r="J1649" s="241" t="b">
        <f>Age_Sex_PY[[#This Row],[Total Spending After Applying Truncation at the Member Level]]+Age_Sex_PY[[#This Row],[Total Dollars Excluded from Spending After Applying Truncation at the Member Level]]=Age_Sex_PY[[#This Row],[Total Spending before Truncation is Applied]]</f>
        <v>1</v>
      </c>
    </row>
    <row r="1650" spans="1:10" x14ac:dyDescent="0.25">
      <c r="A1650" s="342"/>
      <c r="B1650" s="4"/>
      <c r="C1650" s="16"/>
      <c r="D1650" s="457"/>
      <c r="E1650" s="363"/>
      <c r="F1650" s="273"/>
      <c r="G1650" s="226"/>
      <c r="H1650" s="273"/>
      <c r="I1650" s="400"/>
      <c r="J1650" s="243" t="b">
        <f>Age_Sex_PY[[#This Row],[Total Spending After Applying Truncation at the Member Level]]+Age_Sex_PY[[#This Row],[Total Dollars Excluded from Spending After Applying Truncation at the Member Level]]=Age_Sex_PY[[#This Row],[Total Spending before Truncation is Applied]]</f>
        <v>1</v>
      </c>
    </row>
    <row r="1651" spans="1:10" x14ac:dyDescent="0.25">
      <c r="A1651" s="339"/>
      <c r="B1651" s="270"/>
      <c r="C1651" s="271"/>
      <c r="D1651" s="456"/>
      <c r="E1651" s="362"/>
      <c r="F1651" s="272"/>
      <c r="G1651" s="460"/>
      <c r="H1651" s="272"/>
      <c r="I1651" s="399"/>
      <c r="J1651" s="241" t="b">
        <f>Age_Sex_PY[[#This Row],[Total Spending After Applying Truncation at the Member Level]]+Age_Sex_PY[[#This Row],[Total Dollars Excluded from Spending After Applying Truncation at the Member Level]]=Age_Sex_PY[[#This Row],[Total Spending before Truncation is Applied]]</f>
        <v>1</v>
      </c>
    </row>
    <row r="1652" spans="1:10" x14ac:dyDescent="0.25">
      <c r="A1652" s="342"/>
      <c r="B1652" s="4"/>
      <c r="C1652" s="16"/>
      <c r="D1652" s="457"/>
      <c r="E1652" s="363"/>
      <c r="F1652" s="273"/>
      <c r="G1652" s="226"/>
      <c r="H1652" s="273"/>
      <c r="I1652" s="400"/>
      <c r="J1652" s="243" t="b">
        <f>Age_Sex_PY[[#This Row],[Total Spending After Applying Truncation at the Member Level]]+Age_Sex_PY[[#This Row],[Total Dollars Excluded from Spending After Applying Truncation at the Member Level]]=Age_Sex_PY[[#This Row],[Total Spending before Truncation is Applied]]</f>
        <v>1</v>
      </c>
    </row>
    <row r="1653" spans="1:10" x14ac:dyDescent="0.25">
      <c r="A1653" s="339"/>
      <c r="B1653" s="270"/>
      <c r="C1653" s="271"/>
      <c r="D1653" s="456"/>
      <c r="E1653" s="362"/>
      <c r="F1653" s="272"/>
      <c r="G1653" s="460"/>
      <c r="H1653" s="272"/>
      <c r="I1653" s="399"/>
      <c r="J1653" s="241" t="b">
        <f>Age_Sex_PY[[#This Row],[Total Spending After Applying Truncation at the Member Level]]+Age_Sex_PY[[#This Row],[Total Dollars Excluded from Spending After Applying Truncation at the Member Level]]=Age_Sex_PY[[#This Row],[Total Spending before Truncation is Applied]]</f>
        <v>1</v>
      </c>
    </row>
    <row r="1654" spans="1:10" x14ac:dyDescent="0.25">
      <c r="A1654" s="342"/>
      <c r="B1654" s="4"/>
      <c r="C1654" s="16"/>
      <c r="D1654" s="457"/>
      <c r="E1654" s="363"/>
      <c r="F1654" s="273"/>
      <c r="G1654" s="226"/>
      <c r="H1654" s="273"/>
      <c r="I1654" s="400"/>
      <c r="J1654" s="243" t="b">
        <f>Age_Sex_PY[[#This Row],[Total Spending After Applying Truncation at the Member Level]]+Age_Sex_PY[[#This Row],[Total Dollars Excluded from Spending After Applying Truncation at the Member Level]]=Age_Sex_PY[[#This Row],[Total Spending before Truncation is Applied]]</f>
        <v>1</v>
      </c>
    </row>
    <row r="1655" spans="1:10" x14ac:dyDescent="0.25">
      <c r="A1655" s="339"/>
      <c r="B1655" s="270"/>
      <c r="C1655" s="271"/>
      <c r="D1655" s="456"/>
      <c r="E1655" s="362"/>
      <c r="F1655" s="272"/>
      <c r="G1655" s="460"/>
      <c r="H1655" s="272"/>
      <c r="I1655" s="399"/>
      <c r="J1655" s="241" t="b">
        <f>Age_Sex_PY[[#This Row],[Total Spending After Applying Truncation at the Member Level]]+Age_Sex_PY[[#This Row],[Total Dollars Excluded from Spending After Applying Truncation at the Member Level]]=Age_Sex_PY[[#This Row],[Total Spending before Truncation is Applied]]</f>
        <v>1</v>
      </c>
    </row>
    <row r="1656" spans="1:10" x14ac:dyDescent="0.25">
      <c r="A1656" s="342"/>
      <c r="B1656" s="4"/>
      <c r="C1656" s="16"/>
      <c r="D1656" s="457"/>
      <c r="E1656" s="363"/>
      <c r="F1656" s="273"/>
      <c r="G1656" s="226"/>
      <c r="H1656" s="273"/>
      <c r="I1656" s="400"/>
      <c r="J1656" s="243" t="b">
        <f>Age_Sex_PY[[#This Row],[Total Spending After Applying Truncation at the Member Level]]+Age_Sex_PY[[#This Row],[Total Dollars Excluded from Spending After Applying Truncation at the Member Level]]=Age_Sex_PY[[#This Row],[Total Spending before Truncation is Applied]]</f>
        <v>1</v>
      </c>
    </row>
    <row r="1657" spans="1:10" x14ac:dyDescent="0.25">
      <c r="A1657" s="339"/>
      <c r="B1657" s="270"/>
      <c r="C1657" s="271"/>
      <c r="D1657" s="456"/>
      <c r="E1657" s="362"/>
      <c r="F1657" s="272"/>
      <c r="G1657" s="460"/>
      <c r="H1657" s="272"/>
      <c r="I1657" s="399"/>
      <c r="J1657" s="241" t="b">
        <f>Age_Sex_PY[[#This Row],[Total Spending After Applying Truncation at the Member Level]]+Age_Sex_PY[[#This Row],[Total Dollars Excluded from Spending After Applying Truncation at the Member Level]]=Age_Sex_PY[[#This Row],[Total Spending before Truncation is Applied]]</f>
        <v>1</v>
      </c>
    </row>
    <row r="1658" spans="1:10" x14ac:dyDescent="0.25">
      <c r="A1658" s="342"/>
      <c r="B1658" s="4"/>
      <c r="C1658" s="16"/>
      <c r="D1658" s="457"/>
      <c r="E1658" s="363"/>
      <c r="F1658" s="273"/>
      <c r="G1658" s="226"/>
      <c r="H1658" s="273"/>
      <c r="I1658" s="400"/>
      <c r="J1658" s="243" t="b">
        <f>Age_Sex_PY[[#This Row],[Total Spending After Applying Truncation at the Member Level]]+Age_Sex_PY[[#This Row],[Total Dollars Excluded from Spending After Applying Truncation at the Member Level]]=Age_Sex_PY[[#This Row],[Total Spending before Truncation is Applied]]</f>
        <v>1</v>
      </c>
    </row>
    <row r="1659" spans="1:10" x14ac:dyDescent="0.25">
      <c r="A1659" s="339"/>
      <c r="B1659" s="270"/>
      <c r="C1659" s="271"/>
      <c r="D1659" s="456"/>
      <c r="E1659" s="362"/>
      <c r="F1659" s="272"/>
      <c r="G1659" s="460"/>
      <c r="H1659" s="272"/>
      <c r="I1659" s="399"/>
      <c r="J1659" s="241" t="b">
        <f>Age_Sex_PY[[#This Row],[Total Spending After Applying Truncation at the Member Level]]+Age_Sex_PY[[#This Row],[Total Dollars Excluded from Spending After Applying Truncation at the Member Level]]=Age_Sex_PY[[#This Row],[Total Spending before Truncation is Applied]]</f>
        <v>1</v>
      </c>
    </row>
    <row r="1660" spans="1:10" x14ac:dyDescent="0.25">
      <c r="A1660" s="342"/>
      <c r="B1660" s="4"/>
      <c r="C1660" s="16"/>
      <c r="D1660" s="457"/>
      <c r="E1660" s="363"/>
      <c r="F1660" s="273"/>
      <c r="G1660" s="226"/>
      <c r="H1660" s="273"/>
      <c r="I1660" s="400"/>
      <c r="J1660" s="243" t="b">
        <f>Age_Sex_PY[[#This Row],[Total Spending After Applying Truncation at the Member Level]]+Age_Sex_PY[[#This Row],[Total Dollars Excluded from Spending After Applying Truncation at the Member Level]]=Age_Sex_PY[[#This Row],[Total Spending before Truncation is Applied]]</f>
        <v>1</v>
      </c>
    </row>
    <row r="1661" spans="1:10" x14ac:dyDescent="0.25">
      <c r="A1661" s="339"/>
      <c r="B1661" s="270"/>
      <c r="C1661" s="271"/>
      <c r="D1661" s="456"/>
      <c r="E1661" s="362"/>
      <c r="F1661" s="272"/>
      <c r="G1661" s="460"/>
      <c r="H1661" s="272"/>
      <c r="I1661" s="399"/>
      <c r="J1661" s="241" t="b">
        <f>Age_Sex_PY[[#This Row],[Total Spending After Applying Truncation at the Member Level]]+Age_Sex_PY[[#This Row],[Total Dollars Excluded from Spending After Applying Truncation at the Member Level]]=Age_Sex_PY[[#This Row],[Total Spending before Truncation is Applied]]</f>
        <v>1</v>
      </c>
    </row>
    <row r="1662" spans="1:10" x14ac:dyDescent="0.25">
      <c r="A1662" s="342"/>
      <c r="B1662" s="4"/>
      <c r="C1662" s="16"/>
      <c r="D1662" s="457"/>
      <c r="E1662" s="363"/>
      <c r="F1662" s="273"/>
      <c r="G1662" s="226"/>
      <c r="H1662" s="273"/>
      <c r="I1662" s="400"/>
      <c r="J1662" s="243" t="b">
        <f>Age_Sex_PY[[#This Row],[Total Spending After Applying Truncation at the Member Level]]+Age_Sex_PY[[#This Row],[Total Dollars Excluded from Spending After Applying Truncation at the Member Level]]=Age_Sex_PY[[#This Row],[Total Spending before Truncation is Applied]]</f>
        <v>1</v>
      </c>
    </row>
    <row r="1663" spans="1:10" x14ac:dyDescent="0.25">
      <c r="A1663" s="339"/>
      <c r="B1663" s="270"/>
      <c r="C1663" s="271"/>
      <c r="D1663" s="456"/>
      <c r="E1663" s="362"/>
      <c r="F1663" s="272"/>
      <c r="G1663" s="460"/>
      <c r="H1663" s="272"/>
      <c r="I1663" s="399"/>
      <c r="J1663" s="241" t="b">
        <f>Age_Sex_PY[[#This Row],[Total Spending After Applying Truncation at the Member Level]]+Age_Sex_PY[[#This Row],[Total Dollars Excluded from Spending After Applying Truncation at the Member Level]]=Age_Sex_PY[[#This Row],[Total Spending before Truncation is Applied]]</f>
        <v>1</v>
      </c>
    </row>
    <row r="1664" spans="1:10" x14ac:dyDescent="0.25">
      <c r="A1664" s="342"/>
      <c r="B1664" s="4"/>
      <c r="C1664" s="16"/>
      <c r="D1664" s="457"/>
      <c r="E1664" s="363"/>
      <c r="F1664" s="273"/>
      <c r="G1664" s="226"/>
      <c r="H1664" s="273"/>
      <c r="I1664" s="400"/>
      <c r="J1664" s="243" t="b">
        <f>Age_Sex_PY[[#This Row],[Total Spending After Applying Truncation at the Member Level]]+Age_Sex_PY[[#This Row],[Total Dollars Excluded from Spending After Applying Truncation at the Member Level]]=Age_Sex_PY[[#This Row],[Total Spending before Truncation is Applied]]</f>
        <v>1</v>
      </c>
    </row>
    <row r="1665" spans="1:10" x14ac:dyDescent="0.25">
      <c r="A1665" s="339"/>
      <c r="B1665" s="270"/>
      <c r="C1665" s="271"/>
      <c r="D1665" s="456"/>
      <c r="E1665" s="362"/>
      <c r="F1665" s="272"/>
      <c r="G1665" s="460"/>
      <c r="H1665" s="272"/>
      <c r="I1665" s="399"/>
      <c r="J1665" s="241" t="b">
        <f>Age_Sex_PY[[#This Row],[Total Spending After Applying Truncation at the Member Level]]+Age_Sex_PY[[#This Row],[Total Dollars Excluded from Spending After Applying Truncation at the Member Level]]=Age_Sex_PY[[#This Row],[Total Spending before Truncation is Applied]]</f>
        <v>1</v>
      </c>
    </row>
    <row r="1666" spans="1:10" x14ac:dyDescent="0.25">
      <c r="A1666" s="342"/>
      <c r="B1666" s="4"/>
      <c r="C1666" s="16"/>
      <c r="D1666" s="457"/>
      <c r="E1666" s="363"/>
      <c r="F1666" s="273"/>
      <c r="G1666" s="226"/>
      <c r="H1666" s="273"/>
      <c r="I1666" s="400"/>
      <c r="J1666" s="243" t="b">
        <f>Age_Sex_PY[[#This Row],[Total Spending After Applying Truncation at the Member Level]]+Age_Sex_PY[[#This Row],[Total Dollars Excluded from Spending After Applying Truncation at the Member Level]]=Age_Sex_PY[[#This Row],[Total Spending before Truncation is Applied]]</f>
        <v>1</v>
      </c>
    </row>
    <row r="1667" spans="1:10" x14ac:dyDescent="0.25">
      <c r="A1667" s="339"/>
      <c r="B1667" s="270"/>
      <c r="C1667" s="271"/>
      <c r="D1667" s="456"/>
      <c r="E1667" s="362"/>
      <c r="F1667" s="272"/>
      <c r="G1667" s="460"/>
      <c r="H1667" s="272"/>
      <c r="I1667" s="399"/>
      <c r="J1667" s="241" t="b">
        <f>Age_Sex_PY[[#This Row],[Total Spending After Applying Truncation at the Member Level]]+Age_Sex_PY[[#This Row],[Total Dollars Excluded from Spending After Applying Truncation at the Member Level]]=Age_Sex_PY[[#This Row],[Total Spending before Truncation is Applied]]</f>
        <v>1</v>
      </c>
    </row>
    <row r="1668" spans="1:10" x14ac:dyDescent="0.25">
      <c r="A1668" s="342"/>
      <c r="B1668" s="4"/>
      <c r="C1668" s="16"/>
      <c r="D1668" s="457"/>
      <c r="E1668" s="363"/>
      <c r="F1668" s="273"/>
      <c r="G1668" s="226"/>
      <c r="H1668" s="273"/>
      <c r="I1668" s="400"/>
      <c r="J1668" s="243" t="b">
        <f>Age_Sex_PY[[#This Row],[Total Spending After Applying Truncation at the Member Level]]+Age_Sex_PY[[#This Row],[Total Dollars Excluded from Spending After Applying Truncation at the Member Level]]=Age_Sex_PY[[#This Row],[Total Spending before Truncation is Applied]]</f>
        <v>1</v>
      </c>
    </row>
    <row r="1669" spans="1:10" x14ac:dyDescent="0.25">
      <c r="A1669" s="339"/>
      <c r="B1669" s="270"/>
      <c r="C1669" s="271"/>
      <c r="D1669" s="456"/>
      <c r="E1669" s="362"/>
      <c r="F1669" s="272"/>
      <c r="G1669" s="460"/>
      <c r="H1669" s="272"/>
      <c r="I1669" s="399"/>
      <c r="J1669" s="241" t="b">
        <f>Age_Sex_PY[[#This Row],[Total Spending After Applying Truncation at the Member Level]]+Age_Sex_PY[[#This Row],[Total Dollars Excluded from Spending After Applying Truncation at the Member Level]]=Age_Sex_PY[[#This Row],[Total Spending before Truncation is Applied]]</f>
        <v>1</v>
      </c>
    </row>
    <row r="1670" spans="1:10" x14ac:dyDescent="0.25">
      <c r="A1670" s="342"/>
      <c r="B1670" s="4"/>
      <c r="C1670" s="16"/>
      <c r="D1670" s="457"/>
      <c r="E1670" s="363"/>
      <c r="F1670" s="273"/>
      <c r="G1670" s="226"/>
      <c r="H1670" s="273"/>
      <c r="I1670" s="400"/>
      <c r="J1670" s="243" t="b">
        <f>Age_Sex_PY[[#This Row],[Total Spending After Applying Truncation at the Member Level]]+Age_Sex_PY[[#This Row],[Total Dollars Excluded from Spending After Applying Truncation at the Member Level]]=Age_Sex_PY[[#This Row],[Total Spending before Truncation is Applied]]</f>
        <v>1</v>
      </c>
    </row>
    <row r="1671" spans="1:10" x14ac:dyDescent="0.25">
      <c r="A1671" s="339"/>
      <c r="B1671" s="270"/>
      <c r="C1671" s="271"/>
      <c r="D1671" s="456"/>
      <c r="E1671" s="362"/>
      <c r="F1671" s="272"/>
      <c r="G1671" s="460"/>
      <c r="H1671" s="272"/>
      <c r="I1671" s="399"/>
      <c r="J1671" s="241" t="b">
        <f>Age_Sex_PY[[#This Row],[Total Spending After Applying Truncation at the Member Level]]+Age_Sex_PY[[#This Row],[Total Dollars Excluded from Spending After Applying Truncation at the Member Level]]=Age_Sex_PY[[#This Row],[Total Spending before Truncation is Applied]]</f>
        <v>1</v>
      </c>
    </row>
    <row r="1672" spans="1:10" x14ac:dyDescent="0.25">
      <c r="A1672" s="342"/>
      <c r="B1672" s="4"/>
      <c r="C1672" s="16"/>
      <c r="D1672" s="457"/>
      <c r="E1672" s="363"/>
      <c r="F1672" s="273"/>
      <c r="G1672" s="226"/>
      <c r="H1672" s="273"/>
      <c r="I1672" s="400"/>
      <c r="J1672" s="243" t="b">
        <f>Age_Sex_PY[[#This Row],[Total Spending After Applying Truncation at the Member Level]]+Age_Sex_PY[[#This Row],[Total Dollars Excluded from Spending After Applying Truncation at the Member Level]]=Age_Sex_PY[[#This Row],[Total Spending before Truncation is Applied]]</f>
        <v>1</v>
      </c>
    </row>
    <row r="1673" spans="1:10" x14ac:dyDescent="0.25">
      <c r="A1673" s="339"/>
      <c r="B1673" s="270"/>
      <c r="C1673" s="271"/>
      <c r="D1673" s="456"/>
      <c r="E1673" s="362"/>
      <c r="F1673" s="272"/>
      <c r="G1673" s="460"/>
      <c r="H1673" s="272"/>
      <c r="I1673" s="399"/>
      <c r="J1673" s="241" t="b">
        <f>Age_Sex_PY[[#This Row],[Total Spending After Applying Truncation at the Member Level]]+Age_Sex_PY[[#This Row],[Total Dollars Excluded from Spending After Applying Truncation at the Member Level]]=Age_Sex_PY[[#This Row],[Total Spending before Truncation is Applied]]</f>
        <v>1</v>
      </c>
    </row>
    <row r="1674" spans="1:10" x14ac:dyDescent="0.25">
      <c r="A1674" s="342"/>
      <c r="B1674" s="4"/>
      <c r="C1674" s="16"/>
      <c r="D1674" s="457"/>
      <c r="E1674" s="363"/>
      <c r="F1674" s="273"/>
      <c r="G1674" s="226"/>
      <c r="H1674" s="273"/>
      <c r="I1674" s="400"/>
      <c r="J1674" s="243" t="b">
        <f>Age_Sex_PY[[#This Row],[Total Spending After Applying Truncation at the Member Level]]+Age_Sex_PY[[#This Row],[Total Dollars Excluded from Spending After Applying Truncation at the Member Level]]=Age_Sex_PY[[#This Row],[Total Spending before Truncation is Applied]]</f>
        <v>1</v>
      </c>
    </row>
    <row r="1675" spans="1:10" x14ac:dyDescent="0.25">
      <c r="A1675" s="339"/>
      <c r="B1675" s="270"/>
      <c r="C1675" s="271"/>
      <c r="D1675" s="456"/>
      <c r="E1675" s="362"/>
      <c r="F1675" s="272"/>
      <c r="G1675" s="460"/>
      <c r="H1675" s="272"/>
      <c r="I1675" s="399"/>
      <c r="J1675" s="241" t="b">
        <f>Age_Sex_PY[[#This Row],[Total Spending After Applying Truncation at the Member Level]]+Age_Sex_PY[[#This Row],[Total Dollars Excluded from Spending After Applying Truncation at the Member Level]]=Age_Sex_PY[[#This Row],[Total Spending before Truncation is Applied]]</f>
        <v>1</v>
      </c>
    </row>
    <row r="1676" spans="1:10" x14ac:dyDescent="0.25">
      <c r="A1676" s="342"/>
      <c r="B1676" s="4"/>
      <c r="C1676" s="16"/>
      <c r="D1676" s="457"/>
      <c r="E1676" s="363"/>
      <c r="F1676" s="273"/>
      <c r="G1676" s="226"/>
      <c r="H1676" s="273"/>
      <c r="I1676" s="400"/>
      <c r="J1676" s="243" t="b">
        <f>Age_Sex_PY[[#This Row],[Total Spending After Applying Truncation at the Member Level]]+Age_Sex_PY[[#This Row],[Total Dollars Excluded from Spending After Applying Truncation at the Member Level]]=Age_Sex_PY[[#This Row],[Total Spending before Truncation is Applied]]</f>
        <v>1</v>
      </c>
    </row>
    <row r="1677" spans="1:10" x14ac:dyDescent="0.25">
      <c r="A1677" s="339"/>
      <c r="B1677" s="270"/>
      <c r="C1677" s="271"/>
      <c r="D1677" s="456"/>
      <c r="E1677" s="362"/>
      <c r="F1677" s="272"/>
      <c r="G1677" s="460"/>
      <c r="H1677" s="272"/>
      <c r="I1677" s="399"/>
      <c r="J1677" s="241" t="b">
        <f>Age_Sex_PY[[#This Row],[Total Spending After Applying Truncation at the Member Level]]+Age_Sex_PY[[#This Row],[Total Dollars Excluded from Spending After Applying Truncation at the Member Level]]=Age_Sex_PY[[#This Row],[Total Spending before Truncation is Applied]]</f>
        <v>1</v>
      </c>
    </row>
    <row r="1678" spans="1:10" x14ac:dyDescent="0.25">
      <c r="A1678" s="342"/>
      <c r="B1678" s="4"/>
      <c r="C1678" s="16"/>
      <c r="D1678" s="457"/>
      <c r="E1678" s="363"/>
      <c r="F1678" s="273"/>
      <c r="G1678" s="226"/>
      <c r="H1678" s="273"/>
      <c r="I1678" s="400"/>
      <c r="J1678" s="243" t="b">
        <f>Age_Sex_PY[[#This Row],[Total Spending After Applying Truncation at the Member Level]]+Age_Sex_PY[[#This Row],[Total Dollars Excluded from Spending After Applying Truncation at the Member Level]]=Age_Sex_PY[[#This Row],[Total Spending before Truncation is Applied]]</f>
        <v>1</v>
      </c>
    </row>
    <row r="1679" spans="1:10" x14ac:dyDescent="0.25">
      <c r="A1679" s="339"/>
      <c r="B1679" s="270"/>
      <c r="C1679" s="271"/>
      <c r="D1679" s="456"/>
      <c r="E1679" s="362"/>
      <c r="F1679" s="272"/>
      <c r="G1679" s="460"/>
      <c r="H1679" s="272"/>
      <c r="I1679" s="399"/>
      <c r="J1679" s="241" t="b">
        <f>Age_Sex_PY[[#This Row],[Total Spending After Applying Truncation at the Member Level]]+Age_Sex_PY[[#This Row],[Total Dollars Excluded from Spending After Applying Truncation at the Member Level]]=Age_Sex_PY[[#This Row],[Total Spending before Truncation is Applied]]</f>
        <v>1</v>
      </c>
    </row>
    <row r="1680" spans="1:10" x14ac:dyDescent="0.25">
      <c r="A1680" s="342"/>
      <c r="B1680" s="4"/>
      <c r="C1680" s="16"/>
      <c r="D1680" s="457"/>
      <c r="E1680" s="363"/>
      <c r="F1680" s="273"/>
      <c r="G1680" s="226"/>
      <c r="H1680" s="273"/>
      <c r="I1680" s="400"/>
      <c r="J1680" s="243" t="b">
        <f>Age_Sex_PY[[#This Row],[Total Spending After Applying Truncation at the Member Level]]+Age_Sex_PY[[#This Row],[Total Dollars Excluded from Spending After Applying Truncation at the Member Level]]=Age_Sex_PY[[#This Row],[Total Spending before Truncation is Applied]]</f>
        <v>1</v>
      </c>
    </row>
    <row r="1681" spans="1:10" x14ac:dyDescent="0.25">
      <c r="A1681" s="339"/>
      <c r="B1681" s="270"/>
      <c r="C1681" s="271"/>
      <c r="D1681" s="456"/>
      <c r="E1681" s="362"/>
      <c r="F1681" s="272"/>
      <c r="G1681" s="460"/>
      <c r="H1681" s="272"/>
      <c r="I1681" s="399"/>
      <c r="J1681" s="241" t="b">
        <f>Age_Sex_PY[[#This Row],[Total Spending After Applying Truncation at the Member Level]]+Age_Sex_PY[[#This Row],[Total Dollars Excluded from Spending After Applying Truncation at the Member Level]]=Age_Sex_PY[[#This Row],[Total Spending before Truncation is Applied]]</f>
        <v>1</v>
      </c>
    </row>
    <row r="1682" spans="1:10" x14ac:dyDescent="0.25">
      <c r="A1682" s="342"/>
      <c r="B1682" s="4"/>
      <c r="C1682" s="16"/>
      <c r="D1682" s="457"/>
      <c r="E1682" s="363"/>
      <c r="F1682" s="273"/>
      <c r="G1682" s="226"/>
      <c r="H1682" s="273"/>
      <c r="I1682" s="400"/>
      <c r="J1682" s="243" t="b">
        <f>Age_Sex_PY[[#This Row],[Total Spending After Applying Truncation at the Member Level]]+Age_Sex_PY[[#This Row],[Total Dollars Excluded from Spending After Applying Truncation at the Member Level]]=Age_Sex_PY[[#This Row],[Total Spending before Truncation is Applied]]</f>
        <v>1</v>
      </c>
    </row>
    <row r="1683" spans="1:10" x14ac:dyDescent="0.25">
      <c r="A1683" s="339"/>
      <c r="B1683" s="270"/>
      <c r="C1683" s="271"/>
      <c r="D1683" s="456"/>
      <c r="E1683" s="362"/>
      <c r="F1683" s="272"/>
      <c r="G1683" s="460"/>
      <c r="H1683" s="272"/>
      <c r="I1683" s="399"/>
      <c r="J1683" s="241" t="b">
        <f>Age_Sex_PY[[#This Row],[Total Spending After Applying Truncation at the Member Level]]+Age_Sex_PY[[#This Row],[Total Dollars Excluded from Spending After Applying Truncation at the Member Level]]=Age_Sex_PY[[#This Row],[Total Spending before Truncation is Applied]]</f>
        <v>1</v>
      </c>
    </row>
    <row r="1684" spans="1:10" x14ac:dyDescent="0.25">
      <c r="A1684" s="342"/>
      <c r="B1684" s="4"/>
      <c r="C1684" s="16"/>
      <c r="D1684" s="457"/>
      <c r="E1684" s="363"/>
      <c r="F1684" s="273"/>
      <c r="G1684" s="226"/>
      <c r="H1684" s="273"/>
      <c r="I1684" s="400"/>
      <c r="J1684" s="243" t="b">
        <f>Age_Sex_PY[[#This Row],[Total Spending After Applying Truncation at the Member Level]]+Age_Sex_PY[[#This Row],[Total Dollars Excluded from Spending After Applying Truncation at the Member Level]]=Age_Sex_PY[[#This Row],[Total Spending before Truncation is Applied]]</f>
        <v>1</v>
      </c>
    </row>
    <row r="1685" spans="1:10" x14ac:dyDescent="0.25">
      <c r="A1685" s="339"/>
      <c r="B1685" s="270"/>
      <c r="C1685" s="271"/>
      <c r="D1685" s="456"/>
      <c r="E1685" s="362"/>
      <c r="F1685" s="272"/>
      <c r="G1685" s="460"/>
      <c r="H1685" s="272"/>
      <c r="I1685" s="399"/>
      <c r="J1685" s="241" t="b">
        <f>Age_Sex_PY[[#This Row],[Total Spending After Applying Truncation at the Member Level]]+Age_Sex_PY[[#This Row],[Total Dollars Excluded from Spending After Applying Truncation at the Member Level]]=Age_Sex_PY[[#This Row],[Total Spending before Truncation is Applied]]</f>
        <v>1</v>
      </c>
    </row>
    <row r="1686" spans="1:10" x14ac:dyDescent="0.25">
      <c r="A1686" s="342"/>
      <c r="B1686" s="4"/>
      <c r="C1686" s="16"/>
      <c r="D1686" s="457"/>
      <c r="E1686" s="363"/>
      <c r="F1686" s="273"/>
      <c r="G1686" s="226"/>
      <c r="H1686" s="273"/>
      <c r="I1686" s="400"/>
      <c r="J1686" s="243" t="b">
        <f>Age_Sex_PY[[#This Row],[Total Spending After Applying Truncation at the Member Level]]+Age_Sex_PY[[#This Row],[Total Dollars Excluded from Spending After Applying Truncation at the Member Level]]=Age_Sex_PY[[#This Row],[Total Spending before Truncation is Applied]]</f>
        <v>1</v>
      </c>
    </row>
    <row r="1687" spans="1:10" x14ac:dyDescent="0.25">
      <c r="A1687" s="339"/>
      <c r="B1687" s="270"/>
      <c r="C1687" s="271"/>
      <c r="D1687" s="456"/>
      <c r="E1687" s="362"/>
      <c r="F1687" s="272"/>
      <c r="G1687" s="460"/>
      <c r="H1687" s="272"/>
      <c r="I1687" s="399"/>
      <c r="J1687" s="241" t="b">
        <f>Age_Sex_PY[[#This Row],[Total Spending After Applying Truncation at the Member Level]]+Age_Sex_PY[[#This Row],[Total Dollars Excluded from Spending After Applying Truncation at the Member Level]]=Age_Sex_PY[[#This Row],[Total Spending before Truncation is Applied]]</f>
        <v>1</v>
      </c>
    </row>
    <row r="1688" spans="1:10" x14ac:dyDescent="0.25">
      <c r="A1688" s="342"/>
      <c r="B1688" s="4"/>
      <c r="C1688" s="16"/>
      <c r="D1688" s="457"/>
      <c r="E1688" s="363"/>
      <c r="F1688" s="273"/>
      <c r="G1688" s="226"/>
      <c r="H1688" s="273"/>
      <c r="I1688" s="400"/>
      <c r="J1688" s="243" t="b">
        <f>Age_Sex_PY[[#This Row],[Total Spending After Applying Truncation at the Member Level]]+Age_Sex_PY[[#This Row],[Total Dollars Excluded from Spending After Applying Truncation at the Member Level]]=Age_Sex_PY[[#This Row],[Total Spending before Truncation is Applied]]</f>
        <v>1</v>
      </c>
    </row>
    <row r="1689" spans="1:10" x14ac:dyDescent="0.25">
      <c r="A1689" s="339"/>
      <c r="B1689" s="270"/>
      <c r="C1689" s="271"/>
      <c r="D1689" s="456"/>
      <c r="E1689" s="362"/>
      <c r="F1689" s="272"/>
      <c r="G1689" s="460"/>
      <c r="H1689" s="272"/>
      <c r="I1689" s="399"/>
      <c r="J1689" s="241" t="b">
        <f>Age_Sex_PY[[#This Row],[Total Spending After Applying Truncation at the Member Level]]+Age_Sex_PY[[#This Row],[Total Dollars Excluded from Spending After Applying Truncation at the Member Level]]=Age_Sex_PY[[#This Row],[Total Spending before Truncation is Applied]]</f>
        <v>1</v>
      </c>
    </row>
    <row r="1690" spans="1:10" x14ac:dyDescent="0.25">
      <c r="A1690" s="342"/>
      <c r="B1690" s="4"/>
      <c r="C1690" s="16"/>
      <c r="D1690" s="457"/>
      <c r="E1690" s="363"/>
      <c r="F1690" s="273"/>
      <c r="G1690" s="226"/>
      <c r="H1690" s="273"/>
      <c r="I1690" s="400"/>
      <c r="J1690" s="243" t="b">
        <f>Age_Sex_PY[[#This Row],[Total Spending After Applying Truncation at the Member Level]]+Age_Sex_PY[[#This Row],[Total Dollars Excluded from Spending After Applying Truncation at the Member Level]]=Age_Sex_PY[[#This Row],[Total Spending before Truncation is Applied]]</f>
        <v>1</v>
      </c>
    </row>
    <row r="1691" spans="1:10" x14ac:dyDescent="0.25">
      <c r="A1691" s="339"/>
      <c r="B1691" s="270"/>
      <c r="C1691" s="271"/>
      <c r="D1691" s="456"/>
      <c r="E1691" s="362"/>
      <c r="F1691" s="272"/>
      <c r="G1691" s="460"/>
      <c r="H1691" s="272"/>
      <c r="I1691" s="399"/>
      <c r="J1691" s="241" t="b">
        <f>Age_Sex_PY[[#This Row],[Total Spending After Applying Truncation at the Member Level]]+Age_Sex_PY[[#This Row],[Total Dollars Excluded from Spending After Applying Truncation at the Member Level]]=Age_Sex_PY[[#This Row],[Total Spending before Truncation is Applied]]</f>
        <v>1</v>
      </c>
    </row>
    <row r="1692" spans="1:10" x14ac:dyDescent="0.25">
      <c r="A1692" s="342"/>
      <c r="B1692" s="4"/>
      <c r="C1692" s="16"/>
      <c r="D1692" s="457"/>
      <c r="E1692" s="363"/>
      <c r="F1692" s="273"/>
      <c r="G1692" s="226"/>
      <c r="H1692" s="273"/>
      <c r="I1692" s="400"/>
      <c r="J1692" s="243" t="b">
        <f>Age_Sex_PY[[#This Row],[Total Spending After Applying Truncation at the Member Level]]+Age_Sex_PY[[#This Row],[Total Dollars Excluded from Spending After Applying Truncation at the Member Level]]=Age_Sex_PY[[#This Row],[Total Spending before Truncation is Applied]]</f>
        <v>1</v>
      </c>
    </row>
    <row r="1693" spans="1:10" x14ac:dyDescent="0.25">
      <c r="A1693" s="339"/>
      <c r="B1693" s="270"/>
      <c r="C1693" s="271"/>
      <c r="D1693" s="456"/>
      <c r="E1693" s="362"/>
      <c r="F1693" s="272"/>
      <c r="G1693" s="460"/>
      <c r="H1693" s="272"/>
      <c r="I1693" s="399"/>
      <c r="J1693" s="241" t="b">
        <f>Age_Sex_PY[[#This Row],[Total Spending After Applying Truncation at the Member Level]]+Age_Sex_PY[[#This Row],[Total Dollars Excluded from Spending After Applying Truncation at the Member Level]]=Age_Sex_PY[[#This Row],[Total Spending before Truncation is Applied]]</f>
        <v>1</v>
      </c>
    </row>
    <row r="1694" spans="1:10" x14ac:dyDescent="0.25">
      <c r="A1694" s="342"/>
      <c r="B1694" s="4"/>
      <c r="C1694" s="16"/>
      <c r="D1694" s="457"/>
      <c r="E1694" s="363"/>
      <c r="F1694" s="273"/>
      <c r="G1694" s="226"/>
      <c r="H1694" s="273"/>
      <c r="I1694" s="400"/>
      <c r="J1694" s="243" t="b">
        <f>Age_Sex_PY[[#This Row],[Total Spending After Applying Truncation at the Member Level]]+Age_Sex_PY[[#This Row],[Total Dollars Excluded from Spending After Applying Truncation at the Member Level]]=Age_Sex_PY[[#This Row],[Total Spending before Truncation is Applied]]</f>
        <v>1</v>
      </c>
    </row>
    <row r="1695" spans="1:10" x14ac:dyDescent="0.25">
      <c r="A1695" s="339"/>
      <c r="B1695" s="270"/>
      <c r="C1695" s="271"/>
      <c r="D1695" s="456"/>
      <c r="E1695" s="362"/>
      <c r="F1695" s="272"/>
      <c r="G1695" s="460"/>
      <c r="H1695" s="272"/>
      <c r="I1695" s="399"/>
      <c r="J1695" s="241" t="b">
        <f>Age_Sex_PY[[#This Row],[Total Spending After Applying Truncation at the Member Level]]+Age_Sex_PY[[#This Row],[Total Dollars Excluded from Spending After Applying Truncation at the Member Level]]=Age_Sex_PY[[#This Row],[Total Spending before Truncation is Applied]]</f>
        <v>1</v>
      </c>
    </row>
    <row r="1696" spans="1:10" x14ac:dyDescent="0.25">
      <c r="A1696" s="342"/>
      <c r="B1696" s="4"/>
      <c r="C1696" s="16"/>
      <c r="D1696" s="457"/>
      <c r="E1696" s="363"/>
      <c r="F1696" s="273"/>
      <c r="G1696" s="226"/>
      <c r="H1696" s="273"/>
      <c r="I1696" s="400"/>
      <c r="J1696" s="243" t="b">
        <f>Age_Sex_PY[[#This Row],[Total Spending After Applying Truncation at the Member Level]]+Age_Sex_PY[[#This Row],[Total Dollars Excluded from Spending After Applying Truncation at the Member Level]]=Age_Sex_PY[[#This Row],[Total Spending before Truncation is Applied]]</f>
        <v>1</v>
      </c>
    </row>
    <row r="1697" spans="1:10" x14ac:dyDescent="0.25">
      <c r="A1697" s="339"/>
      <c r="B1697" s="270"/>
      <c r="C1697" s="271"/>
      <c r="D1697" s="456"/>
      <c r="E1697" s="362"/>
      <c r="F1697" s="272"/>
      <c r="G1697" s="460"/>
      <c r="H1697" s="272"/>
      <c r="I1697" s="399"/>
      <c r="J1697" s="241" t="b">
        <f>Age_Sex_PY[[#This Row],[Total Spending After Applying Truncation at the Member Level]]+Age_Sex_PY[[#This Row],[Total Dollars Excluded from Spending After Applying Truncation at the Member Level]]=Age_Sex_PY[[#This Row],[Total Spending before Truncation is Applied]]</f>
        <v>1</v>
      </c>
    </row>
    <row r="1698" spans="1:10" x14ac:dyDescent="0.25">
      <c r="A1698" s="342"/>
      <c r="B1698" s="4"/>
      <c r="C1698" s="16"/>
      <c r="D1698" s="457"/>
      <c r="E1698" s="363"/>
      <c r="F1698" s="273"/>
      <c r="G1698" s="226"/>
      <c r="H1698" s="273"/>
      <c r="I1698" s="400"/>
      <c r="J1698" s="243" t="b">
        <f>Age_Sex_PY[[#This Row],[Total Spending After Applying Truncation at the Member Level]]+Age_Sex_PY[[#This Row],[Total Dollars Excluded from Spending After Applying Truncation at the Member Level]]=Age_Sex_PY[[#This Row],[Total Spending before Truncation is Applied]]</f>
        <v>1</v>
      </c>
    </row>
    <row r="1699" spans="1:10" x14ac:dyDescent="0.25">
      <c r="A1699" s="339"/>
      <c r="B1699" s="270"/>
      <c r="C1699" s="271"/>
      <c r="D1699" s="456"/>
      <c r="E1699" s="362"/>
      <c r="F1699" s="272"/>
      <c r="G1699" s="460"/>
      <c r="H1699" s="272"/>
      <c r="I1699" s="399"/>
      <c r="J1699" s="241" t="b">
        <f>Age_Sex_PY[[#This Row],[Total Spending After Applying Truncation at the Member Level]]+Age_Sex_PY[[#This Row],[Total Dollars Excluded from Spending After Applying Truncation at the Member Level]]=Age_Sex_PY[[#This Row],[Total Spending before Truncation is Applied]]</f>
        <v>1</v>
      </c>
    </row>
    <row r="1700" spans="1:10" x14ac:dyDescent="0.25">
      <c r="A1700" s="342"/>
      <c r="B1700" s="4"/>
      <c r="C1700" s="16"/>
      <c r="D1700" s="457"/>
      <c r="E1700" s="363"/>
      <c r="F1700" s="273"/>
      <c r="G1700" s="226"/>
      <c r="H1700" s="273"/>
      <c r="I1700" s="400"/>
      <c r="J1700" s="243" t="b">
        <f>Age_Sex_PY[[#This Row],[Total Spending After Applying Truncation at the Member Level]]+Age_Sex_PY[[#This Row],[Total Dollars Excluded from Spending After Applying Truncation at the Member Level]]=Age_Sex_PY[[#This Row],[Total Spending before Truncation is Applied]]</f>
        <v>1</v>
      </c>
    </row>
    <row r="1701" spans="1:10" x14ac:dyDescent="0.25">
      <c r="A1701" s="339"/>
      <c r="B1701" s="270"/>
      <c r="C1701" s="271"/>
      <c r="D1701" s="456"/>
      <c r="E1701" s="362"/>
      <c r="F1701" s="272"/>
      <c r="G1701" s="460"/>
      <c r="H1701" s="272"/>
      <c r="I1701" s="399"/>
      <c r="J1701" s="241" t="b">
        <f>Age_Sex_PY[[#This Row],[Total Spending After Applying Truncation at the Member Level]]+Age_Sex_PY[[#This Row],[Total Dollars Excluded from Spending After Applying Truncation at the Member Level]]=Age_Sex_PY[[#This Row],[Total Spending before Truncation is Applied]]</f>
        <v>1</v>
      </c>
    </row>
    <row r="1702" spans="1:10" x14ac:dyDescent="0.25">
      <c r="A1702" s="342"/>
      <c r="B1702" s="4"/>
      <c r="C1702" s="16"/>
      <c r="D1702" s="457"/>
      <c r="E1702" s="363"/>
      <c r="F1702" s="273"/>
      <c r="G1702" s="226"/>
      <c r="H1702" s="273"/>
      <c r="I1702" s="400"/>
      <c r="J1702" s="243" t="b">
        <f>Age_Sex_PY[[#This Row],[Total Spending After Applying Truncation at the Member Level]]+Age_Sex_PY[[#This Row],[Total Dollars Excluded from Spending After Applying Truncation at the Member Level]]=Age_Sex_PY[[#This Row],[Total Spending before Truncation is Applied]]</f>
        <v>1</v>
      </c>
    </row>
    <row r="1703" spans="1:10" x14ac:dyDescent="0.25">
      <c r="A1703" s="339"/>
      <c r="B1703" s="270"/>
      <c r="C1703" s="271"/>
      <c r="D1703" s="456"/>
      <c r="E1703" s="362"/>
      <c r="F1703" s="272"/>
      <c r="G1703" s="460"/>
      <c r="H1703" s="272"/>
      <c r="I1703" s="399"/>
      <c r="J1703" s="241" t="b">
        <f>Age_Sex_PY[[#This Row],[Total Spending After Applying Truncation at the Member Level]]+Age_Sex_PY[[#This Row],[Total Dollars Excluded from Spending After Applying Truncation at the Member Level]]=Age_Sex_PY[[#This Row],[Total Spending before Truncation is Applied]]</f>
        <v>1</v>
      </c>
    </row>
    <row r="1704" spans="1:10" x14ac:dyDescent="0.25">
      <c r="A1704" s="342"/>
      <c r="B1704" s="4"/>
      <c r="C1704" s="16"/>
      <c r="D1704" s="457"/>
      <c r="E1704" s="363"/>
      <c r="F1704" s="273"/>
      <c r="G1704" s="226"/>
      <c r="H1704" s="273"/>
      <c r="I1704" s="400"/>
      <c r="J1704" s="243" t="b">
        <f>Age_Sex_PY[[#This Row],[Total Spending After Applying Truncation at the Member Level]]+Age_Sex_PY[[#This Row],[Total Dollars Excluded from Spending After Applying Truncation at the Member Level]]=Age_Sex_PY[[#This Row],[Total Spending before Truncation is Applied]]</f>
        <v>1</v>
      </c>
    </row>
    <row r="1705" spans="1:10" x14ac:dyDescent="0.25">
      <c r="A1705" s="339"/>
      <c r="B1705" s="270"/>
      <c r="C1705" s="271"/>
      <c r="D1705" s="456"/>
      <c r="E1705" s="362"/>
      <c r="F1705" s="272"/>
      <c r="G1705" s="460"/>
      <c r="H1705" s="272"/>
      <c r="I1705" s="399"/>
      <c r="J1705" s="241" t="b">
        <f>Age_Sex_PY[[#This Row],[Total Spending After Applying Truncation at the Member Level]]+Age_Sex_PY[[#This Row],[Total Dollars Excluded from Spending After Applying Truncation at the Member Level]]=Age_Sex_PY[[#This Row],[Total Spending before Truncation is Applied]]</f>
        <v>1</v>
      </c>
    </row>
    <row r="1706" spans="1:10" x14ac:dyDescent="0.25">
      <c r="A1706" s="342"/>
      <c r="B1706" s="4"/>
      <c r="C1706" s="16"/>
      <c r="D1706" s="457"/>
      <c r="E1706" s="363"/>
      <c r="F1706" s="273"/>
      <c r="G1706" s="226"/>
      <c r="H1706" s="273"/>
      <c r="I1706" s="400"/>
      <c r="J1706" s="243" t="b">
        <f>Age_Sex_PY[[#This Row],[Total Spending After Applying Truncation at the Member Level]]+Age_Sex_PY[[#This Row],[Total Dollars Excluded from Spending After Applying Truncation at the Member Level]]=Age_Sex_PY[[#This Row],[Total Spending before Truncation is Applied]]</f>
        <v>1</v>
      </c>
    </row>
    <row r="1707" spans="1:10" x14ac:dyDescent="0.25">
      <c r="A1707" s="339"/>
      <c r="B1707" s="270"/>
      <c r="C1707" s="271"/>
      <c r="D1707" s="456"/>
      <c r="E1707" s="362"/>
      <c r="F1707" s="272"/>
      <c r="G1707" s="460"/>
      <c r="H1707" s="272"/>
      <c r="I1707" s="399"/>
      <c r="J1707" s="241" t="b">
        <f>Age_Sex_PY[[#This Row],[Total Spending After Applying Truncation at the Member Level]]+Age_Sex_PY[[#This Row],[Total Dollars Excluded from Spending After Applying Truncation at the Member Level]]=Age_Sex_PY[[#This Row],[Total Spending before Truncation is Applied]]</f>
        <v>1</v>
      </c>
    </row>
    <row r="1708" spans="1:10" x14ac:dyDescent="0.25">
      <c r="A1708" s="342"/>
      <c r="B1708" s="4"/>
      <c r="C1708" s="16"/>
      <c r="D1708" s="457"/>
      <c r="E1708" s="363"/>
      <c r="F1708" s="273"/>
      <c r="G1708" s="226"/>
      <c r="H1708" s="273"/>
      <c r="I1708" s="400"/>
      <c r="J1708" s="243" t="b">
        <f>Age_Sex_PY[[#This Row],[Total Spending After Applying Truncation at the Member Level]]+Age_Sex_PY[[#This Row],[Total Dollars Excluded from Spending After Applying Truncation at the Member Level]]=Age_Sex_PY[[#This Row],[Total Spending before Truncation is Applied]]</f>
        <v>1</v>
      </c>
    </row>
    <row r="1709" spans="1:10" x14ac:dyDescent="0.25">
      <c r="A1709" s="339"/>
      <c r="B1709" s="270"/>
      <c r="C1709" s="271"/>
      <c r="D1709" s="456"/>
      <c r="E1709" s="362"/>
      <c r="F1709" s="272"/>
      <c r="G1709" s="460"/>
      <c r="H1709" s="272"/>
      <c r="I1709" s="399"/>
      <c r="J1709" s="241" t="b">
        <f>Age_Sex_PY[[#This Row],[Total Spending After Applying Truncation at the Member Level]]+Age_Sex_PY[[#This Row],[Total Dollars Excluded from Spending After Applying Truncation at the Member Level]]=Age_Sex_PY[[#This Row],[Total Spending before Truncation is Applied]]</f>
        <v>1</v>
      </c>
    </row>
    <row r="1710" spans="1:10" x14ac:dyDescent="0.25">
      <c r="A1710" s="342"/>
      <c r="B1710" s="4"/>
      <c r="C1710" s="16"/>
      <c r="D1710" s="457"/>
      <c r="E1710" s="363"/>
      <c r="F1710" s="273"/>
      <c r="G1710" s="226"/>
      <c r="H1710" s="273"/>
      <c r="I1710" s="400"/>
      <c r="J1710" s="243" t="b">
        <f>Age_Sex_PY[[#This Row],[Total Spending After Applying Truncation at the Member Level]]+Age_Sex_PY[[#This Row],[Total Dollars Excluded from Spending After Applying Truncation at the Member Level]]=Age_Sex_PY[[#This Row],[Total Spending before Truncation is Applied]]</f>
        <v>1</v>
      </c>
    </row>
    <row r="1711" spans="1:10" x14ac:dyDescent="0.25">
      <c r="A1711" s="339"/>
      <c r="B1711" s="270"/>
      <c r="C1711" s="271"/>
      <c r="D1711" s="456"/>
      <c r="E1711" s="362"/>
      <c r="F1711" s="272"/>
      <c r="G1711" s="460"/>
      <c r="H1711" s="272"/>
      <c r="I1711" s="399"/>
      <c r="J1711" s="241" t="b">
        <f>Age_Sex_PY[[#This Row],[Total Spending After Applying Truncation at the Member Level]]+Age_Sex_PY[[#This Row],[Total Dollars Excluded from Spending After Applying Truncation at the Member Level]]=Age_Sex_PY[[#This Row],[Total Spending before Truncation is Applied]]</f>
        <v>1</v>
      </c>
    </row>
    <row r="1712" spans="1:10" x14ac:dyDescent="0.25">
      <c r="A1712" s="342"/>
      <c r="B1712" s="4"/>
      <c r="C1712" s="16"/>
      <c r="D1712" s="457"/>
      <c r="E1712" s="363"/>
      <c r="F1712" s="273"/>
      <c r="G1712" s="226"/>
      <c r="H1712" s="273"/>
      <c r="I1712" s="400"/>
      <c r="J1712" s="243" t="b">
        <f>Age_Sex_PY[[#This Row],[Total Spending After Applying Truncation at the Member Level]]+Age_Sex_PY[[#This Row],[Total Dollars Excluded from Spending After Applying Truncation at the Member Level]]=Age_Sex_PY[[#This Row],[Total Spending before Truncation is Applied]]</f>
        <v>1</v>
      </c>
    </row>
    <row r="1713" spans="1:10" x14ac:dyDescent="0.25">
      <c r="A1713" s="339"/>
      <c r="B1713" s="270"/>
      <c r="C1713" s="271"/>
      <c r="D1713" s="456"/>
      <c r="E1713" s="362"/>
      <c r="F1713" s="272"/>
      <c r="G1713" s="460"/>
      <c r="H1713" s="272"/>
      <c r="I1713" s="399"/>
      <c r="J1713" s="241" t="b">
        <f>Age_Sex_PY[[#This Row],[Total Spending After Applying Truncation at the Member Level]]+Age_Sex_PY[[#This Row],[Total Dollars Excluded from Spending After Applying Truncation at the Member Level]]=Age_Sex_PY[[#This Row],[Total Spending before Truncation is Applied]]</f>
        <v>1</v>
      </c>
    </row>
    <row r="1714" spans="1:10" x14ac:dyDescent="0.25">
      <c r="A1714" s="342"/>
      <c r="B1714" s="4"/>
      <c r="C1714" s="16"/>
      <c r="D1714" s="457"/>
      <c r="E1714" s="363"/>
      <c r="F1714" s="273"/>
      <c r="G1714" s="226"/>
      <c r="H1714" s="273"/>
      <c r="I1714" s="400"/>
      <c r="J1714" s="243" t="b">
        <f>Age_Sex_PY[[#This Row],[Total Spending After Applying Truncation at the Member Level]]+Age_Sex_PY[[#This Row],[Total Dollars Excluded from Spending After Applying Truncation at the Member Level]]=Age_Sex_PY[[#This Row],[Total Spending before Truncation is Applied]]</f>
        <v>1</v>
      </c>
    </row>
    <row r="1715" spans="1:10" x14ac:dyDescent="0.25">
      <c r="A1715" s="339"/>
      <c r="B1715" s="270"/>
      <c r="C1715" s="271"/>
      <c r="D1715" s="456"/>
      <c r="E1715" s="362"/>
      <c r="F1715" s="272"/>
      <c r="G1715" s="460"/>
      <c r="H1715" s="272"/>
      <c r="I1715" s="399"/>
      <c r="J1715" s="241" t="b">
        <f>Age_Sex_PY[[#This Row],[Total Spending After Applying Truncation at the Member Level]]+Age_Sex_PY[[#This Row],[Total Dollars Excluded from Spending After Applying Truncation at the Member Level]]=Age_Sex_PY[[#This Row],[Total Spending before Truncation is Applied]]</f>
        <v>1</v>
      </c>
    </row>
    <row r="1716" spans="1:10" x14ac:dyDescent="0.25">
      <c r="A1716" s="342"/>
      <c r="B1716" s="4"/>
      <c r="C1716" s="16"/>
      <c r="D1716" s="457"/>
      <c r="E1716" s="363"/>
      <c r="F1716" s="273"/>
      <c r="G1716" s="226"/>
      <c r="H1716" s="273"/>
      <c r="I1716" s="400"/>
      <c r="J1716" s="243" t="b">
        <f>Age_Sex_PY[[#This Row],[Total Spending After Applying Truncation at the Member Level]]+Age_Sex_PY[[#This Row],[Total Dollars Excluded from Spending After Applying Truncation at the Member Level]]=Age_Sex_PY[[#This Row],[Total Spending before Truncation is Applied]]</f>
        <v>1</v>
      </c>
    </row>
    <row r="1717" spans="1:10" x14ac:dyDescent="0.25">
      <c r="A1717" s="339"/>
      <c r="B1717" s="270"/>
      <c r="C1717" s="271"/>
      <c r="D1717" s="456"/>
      <c r="E1717" s="362"/>
      <c r="F1717" s="272"/>
      <c r="G1717" s="460"/>
      <c r="H1717" s="272"/>
      <c r="I1717" s="399"/>
      <c r="J1717" s="241" t="b">
        <f>Age_Sex_PY[[#This Row],[Total Spending After Applying Truncation at the Member Level]]+Age_Sex_PY[[#This Row],[Total Dollars Excluded from Spending After Applying Truncation at the Member Level]]=Age_Sex_PY[[#This Row],[Total Spending before Truncation is Applied]]</f>
        <v>1</v>
      </c>
    </row>
    <row r="1718" spans="1:10" x14ac:dyDescent="0.25">
      <c r="A1718" s="342"/>
      <c r="B1718" s="4"/>
      <c r="C1718" s="16"/>
      <c r="D1718" s="457"/>
      <c r="E1718" s="363"/>
      <c r="F1718" s="273"/>
      <c r="G1718" s="226"/>
      <c r="H1718" s="273"/>
      <c r="I1718" s="400"/>
      <c r="J1718" s="243" t="b">
        <f>Age_Sex_PY[[#This Row],[Total Spending After Applying Truncation at the Member Level]]+Age_Sex_PY[[#This Row],[Total Dollars Excluded from Spending After Applying Truncation at the Member Level]]=Age_Sex_PY[[#This Row],[Total Spending before Truncation is Applied]]</f>
        <v>1</v>
      </c>
    </row>
    <row r="1719" spans="1:10" x14ac:dyDescent="0.25">
      <c r="A1719" s="339"/>
      <c r="B1719" s="270"/>
      <c r="C1719" s="271"/>
      <c r="D1719" s="456"/>
      <c r="E1719" s="362"/>
      <c r="F1719" s="272"/>
      <c r="G1719" s="460"/>
      <c r="H1719" s="272"/>
      <c r="I1719" s="399"/>
      <c r="J1719" s="241" t="b">
        <f>Age_Sex_PY[[#This Row],[Total Spending After Applying Truncation at the Member Level]]+Age_Sex_PY[[#This Row],[Total Dollars Excluded from Spending After Applying Truncation at the Member Level]]=Age_Sex_PY[[#This Row],[Total Spending before Truncation is Applied]]</f>
        <v>1</v>
      </c>
    </row>
    <row r="1720" spans="1:10" x14ac:dyDescent="0.25">
      <c r="A1720" s="342"/>
      <c r="B1720" s="4"/>
      <c r="C1720" s="16"/>
      <c r="D1720" s="457"/>
      <c r="E1720" s="363"/>
      <c r="F1720" s="273"/>
      <c r="G1720" s="226"/>
      <c r="H1720" s="273"/>
      <c r="I1720" s="400"/>
      <c r="J1720" s="243" t="b">
        <f>Age_Sex_PY[[#This Row],[Total Spending After Applying Truncation at the Member Level]]+Age_Sex_PY[[#This Row],[Total Dollars Excluded from Spending After Applying Truncation at the Member Level]]=Age_Sex_PY[[#This Row],[Total Spending before Truncation is Applied]]</f>
        <v>1</v>
      </c>
    </row>
    <row r="1721" spans="1:10" x14ac:dyDescent="0.25">
      <c r="A1721" s="339"/>
      <c r="B1721" s="270"/>
      <c r="C1721" s="271"/>
      <c r="D1721" s="456"/>
      <c r="E1721" s="362"/>
      <c r="F1721" s="272"/>
      <c r="G1721" s="460"/>
      <c r="H1721" s="272"/>
      <c r="I1721" s="399"/>
      <c r="J1721" s="241" t="b">
        <f>Age_Sex_PY[[#This Row],[Total Spending After Applying Truncation at the Member Level]]+Age_Sex_PY[[#This Row],[Total Dollars Excluded from Spending After Applying Truncation at the Member Level]]=Age_Sex_PY[[#This Row],[Total Spending before Truncation is Applied]]</f>
        <v>1</v>
      </c>
    </row>
    <row r="1722" spans="1:10" x14ac:dyDescent="0.25">
      <c r="A1722" s="342"/>
      <c r="B1722" s="4"/>
      <c r="C1722" s="16"/>
      <c r="D1722" s="457"/>
      <c r="E1722" s="363"/>
      <c r="F1722" s="273"/>
      <c r="G1722" s="226"/>
      <c r="H1722" s="273"/>
      <c r="I1722" s="400"/>
      <c r="J1722" s="243" t="b">
        <f>Age_Sex_PY[[#This Row],[Total Spending After Applying Truncation at the Member Level]]+Age_Sex_PY[[#This Row],[Total Dollars Excluded from Spending After Applying Truncation at the Member Level]]=Age_Sex_PY[[#This Row],[Total Spending before Truncation is Applied]]</f>
        <v>1</v>
      </c>
    </row>
    <row r="1723" spans="1:10" x14ac:dyDescent="0.25">
      <c r="A1723" s="339"/>
      <c r="B1723" s="270"/>
      <c r="C1723" s="271"/>
      <c r="D1723" s="456"/>
      <c r="E1723" s="362"/>
      <c r="F1723" s="272"/>
      <c r="G1723" s="460"/>
      <c r="H1723" s="272"/>
      <c r="I1723" s="399"/>
      <c r="J1723" s="241" t="b">
        <f>Age_Sex_PY[[#This Row],[Total Spending After Applying Truncation at the Member Level]]+Age_Sex_PY[[#This Row],[Total Dollars Excluded from Spending After Applying Truncation at the Member Level]]=Age_Sex_PY[[#This Row],[Total Spending before Truncation is Applied]]</f>
        <v>1</v>
      </c>
    </row>
    <row r="1724" spans="1:10" x14ac:dyDescent="0.25">
      <c r="A1724" s="342"/>
      <c r="B1724" s="4"/>
      <c r="C1724" s="16"/>
      <c r="D1724" s="457"/>
      <c r="E1724" s="363"/>
      <c r="F1724" s="273"/>
      <c r="G1724" s="226"/>
      <c r="H1724" s="273"/>
      <c r="I1724" s="400"/>
      <c r="J1724" s="243" t="b">
        <f>Age_Sex_PY[[#This Row],[Total Spending After Applying Truncation at the Member Level]]+Age_Sex_PY[[#This Row],[Total Dollars Excluded from Spending After Applying Truncation at the Member Level]]=Age_Sex_PY[[#This Row],[Total Spending before Truncation is Applied]]</f>
        <v>1</v>
      </c>
    </row>
    <row r="1725" spans="1:10" x14ac:dyDescent="0.25">
      <c r="A1725" s="339"/>
      <c r="B1725" s="270"/>
      <c r="C1725" s="271"/>
      <c r="D1725" s="456"/>
      <c r="E1725" s="362"/>
      <c r="F1725" s="272"/>
      <c r="G1725" s="460"/>
      <c r="H1725" s="272"/>
      <c r="I1725" s="399"/>
      <c r="J1725" s="241" t="b">
        <f>Age_Sex_PY[[#This Row],[Total Spending After Applying Truncation at the Member Level]]+Age_Sex_PY[[#This Row],[Total Dollars Excluded from Spending After Applying Truncation at the Member Level]]=Age_Sex_PY[[#This Row],[Total Spending before Truncation is Applied]]</f>
        <v>1</v>
      </c>
    </row>
    <row r="1726" spans="1:10" x14ac:dyDescent="0.25">
      <c r="A1726" s="342"/>
      <c r="B1726" s="4"/>
      <c r="C1726" s="16"/>
      <c r="D1726" s="457"/>
      <c r="E1726" s="363"/>
      <c r="F1726" s="273"/>
      <c r="G1726" s="226"/>
      <c r="H1726" s="273"/>
      <c r="I1726" s="400"/>
      <c r="J1726" s="243" t="b">
        <f>Age_Sex_PY[[#This Row],[Total Spending After Applying Truncation at the Member Level]]+Age_Sex_PY[[#This Row],[Total Dollars Excluded from Spending After Applying Truncation at the Member Level]]=Age_Sex_PY[[#This Row],[Total Spending before Truncation is Applied]]</f>
        <v>1</v>
      </c>
    </row>
    <row r="1727" spans="1:10" x14ac:dyDescent="0.25">
      <c r="A1727" s="339"/>
      <c r="B1727" s="270"/>
      <c r="C1727" s="271"/>
      <c r="D1727" s="456"/>
      <c r="E1727" s="362"/>
      <c r="F1727" s="272"/>
      <c r="G1727" s="460"/>
      <c r="H1727" s="272"/>
      <c r="I1727" s="399"/>
      <c r="J1727" s="241" t="b">
        <f>Age_Sex_PY[[#This Row],[Total Spending After Applying Truncation at the Member Level]]+Age_Sex_PY[[#This Row],[Total Dollars Excluded from Spending After Applying Truncation at the Member Level]]=Age_Sex_PY[[#This Row],[Total Spending before Truncation is Applied]]</f>
        <v>1</v>
      </c>
    </row>
    <row r="1728" spans="1:10" x14ac:dyDescent="0.25">
      <c r="A1728" s="342"/>
      <c r="B1728" s="4"/>
      <c r="C1728" s="16"/>
      <c r="D1728" s="457"/>
      <c r="E1728" s="363"/>
      <c r="F1728" s="273"/>
      <c r="G1728" s="226"/>
      <c r="H1728" s="273"/>
      <c r="I1728" s="400"/>
      <c r="J1728" s="243" t="b">
        <f>Age_Sex_PY[[#This Row],[Total Spending After Applying Truncation at the Member Level]]+Age_Sex_PY[[#This Row],[Total Dollars Excluded from Spending After Applying Truncation at the Member Level]]=Age_Sex_PY[[#This Row],[Total Spending before Truncation is Applied]]</f>
        <v>1</v>
      </c>
    </row>
    <row r="1729" spans="1:10" x14ac:dyDescent="0.25">
      <c r="A1729" s="339"/>
      <c r="B1729" s="270"/>
      <c r="C1729" s="271"/>
      <c r="D1729" s="456"/>
      <c r="E1729" s="362"/>
      <c r="F1729" s="272"/>
      <c r="G1729" s="460"/>
      <c r="H1729" s="272"/>
      <c r="I1729" s="399"/>
      <c r="J1729" s="241" t="b">
        <f>Age_Sex_PY[[#This Row],[Total Spending After Applying Truncation at the Member Level]]+Age_Sex_PY[[#This Row],[Total Dollars Excluded from Spending After Applying Truncation at the Member Level]]=Age_Sex_PY[[#This Row],[Total Spending before Truncation is Applied]]</f>
        <v>1</v>
      </c>
    </row>
    <row r="1730" spans="1:10" x14ac:dyDescent="0.25">
      <c r="A1730" s="342"/>
      <c r="B1730" s="4"/>
      <c r="C1730" s="16"/>
      <c r="D1730" s="457"/>
      <c r="E1730" s="363"/>
      <c r="F1730" s="273"/>
      <c r="G1730" s="226"/>
      <c r="H1730" s="273"/>
      <c r="I1730" s="400"/>
      <c r="J1730" s="243" t="b">
        <f>Age_Sex_PY[[#This Row],[Total Spending After Applying Truncation at the Member Level]]+Age_Sex_PY[[#This Row],[Total Dollars Excluded from Spending After Applying Truncation at the Member Level]]=Age_Sex_PY[[#This Row],[Total Spending before Truncation is Applied]]</f>
        <v>1</v>
      </c>
    </row>
    <row r="1731" spans="1:10" x14ac:dyDescent="0.25">
      <c r="A1731" s="339"/>
      <c r="B1731" s="270"/>
      <c r="C1731" s="271"/>
      <c r="D1731" s="456"/>
      <c r="E1731" s="362"/>
      <c r="F1731" s="272"/>
      <c r="G1731" s="460"/>
      <c r="H1731" s="272"/>
      <c r="I1731" s="399"/>
      <c r="J1731" s="241" t="b">
        <f>Age_Sex_PY[[#This Row],[Total Spending After Applying Truncation at the Member Level]]+Age_Sex_PY[[#This Row],[Total Dollars Excluded from Spending After Applying Truncation at the Member Level]]=Age_Sex_PY[[#This Row],[Total Spending before Truncation is Applied]]</f>
        <v>1</v>
      </c>
    </row>
    <row r="1732" spans="1:10" x14ac:dyDescent="0.25">
      <c r="A1732" s="342"/>
      <c r="B1732" s="4"/>
      <c r="C1732" s="16"/>
      <c r="D1732" s="457"/>
      <c r="E1732" s="363"/>
      <c r="F1732" s="273"/>
      <c r="G1732" s="226"/>
      <c r="H1732" s="273"/>
      <c r="I1732" s="400"/>
      <c r="J1732" s="243" t="b">
        <f>Age_Sex_PY[[#This Row],[Total Spending After Applying Truncation at the Member Level]]+Age_Sex_PY[[#This Row],[Total Dollars Excluded from Spending After Applying Truncation at the Member Level]]=Age_Sex_PY[[#This Row],[Total Spending before Truncation is Applied]]</f>
        <v>1</v>
      </c>
    </row>
    <row r="1733" spans="1:10" x14ac:dyDescent="0.25">
      <c r="A1733" s="339"/>
      <c r="B1733" s="270"/>
      <c r="C1733" s="271"/>
      <c r="D1733" s="456"/>
      <c r="E1733" s="362"/>
      <c r="F1733" s="272"/>
      <c r="G1733" s="460"/>
      <c r="H1733" s="272"/>
      <c r="I1733" s="399"/>
      <c r="J1733" s="241" t="b">
        <f>Age_Sex_PY[[#This Row],[Total Spending After Applying Truncation at the Member Level]]+Age_Sex_PY[[#This Row],[Total Dollars Excluded from Spending After Applying Truncation at the Member Level]]=Age_Sex_PY[[#This Row],[Total Spending before Truncation is Applied]]</f>
        <v>1</v>
      </c>
    </row>
    <row r="1734" spans="1:10" x14ac:dyDescent="0.25">
      <c r="A1734" s="342"/>
      <c r="B1734" s="4"/>
      <c r="C1734" s="16"/>
      <c r="D1734" s="457"/>
      <c r="E1734" s="363"/>
      <c r="F1734" s="273"/>
      <c r="G1734" s="226"/>
      <c r="H1734" s="273"/>
      <c r="I1734" s="400"/>
      <c r="J1734" s="243" t="b">
        <f>Age_Sex_PY[[#This Row],[Total Spending After Applying Truncation at the Member Level]]+Age_Sex_PY[[#This Row],[Total Dollars Excluded from Spending After Applying Truncation at the Member Level]]=Age_Sex_PY[[#This Row],[Total Spending before Truncation is Applied]]</f>
        <v>1</v>
      </c>
    </row>
    <row r="1735" spans="1:10" x14ac:dyDescent="0.25">
      <c r="A1735" s="339"/>
      <c r="B1735" s="270"/>
      <c r="C1735" s="271"/>
      <c r="D1735" s="456"/>
      <c r="E1735" s="362"/>
      <c r="F1735" s="272"/>
      <c r="G1735" s="460"/>
      <c r="H1735" s="272"/>
      <c r="I1735" s="399"/>
      <c r="J1735" s="241" t="b">
        <f>Age_Sex_PY[[#This Row],[Total Spending After Applying Truncation at the Member Level]]+Age_Sex_PY[[#This Row],[Total Dollars Excluded from Spending After Applying Truncation at the Member Level]]=Age_Sex_PY[[#This Row],[Total Spending before Truncation is Applied]]</f>
        <v>1</v>
      </c>
    </row>
    <row r="1736" spans="1:10" x14ac:dyDescent="0.25">
      <c r="A1736" s="342"/>
      <c r="B1736" s="4"/>
      <c r="C1736" s="16"/>
      <c r="D1736" s="457"/>
      <c r="E1736" s="363"/>
      <c r="F1736" s="273"/>
      <c r="G1736" s="226"/>
      <c r="H1736" s="273"/>
      <c r="I1736" s="400"/>
      <c r="J1736" s="243" t="b">
        <f>Age_Sex_PY[[#This Row],[Total Spending After Applying Truncation at the Member Level]]+Age_Sex_PY[[#This Row],[Total Dollars Excluded from Spending After Applying Truncation at the Member Level]]=Age_Sex_PY[[#This Row],[Total Spending before Truncation is Applied]]</f>
        <v>1</v>
      </c>
    </row>
    <row r="1737" spans="1:10" x14ac:dyDescent="0.25">
      <c r="A1737" s="339"/>
      <c r="B1737" s="270"/>
      <c r="C1737" s="271"/>
      <c r="D1737" s="456"/>
      <c r="E1737" s="362"/>
      <c r="F1737" s="272"/>
      <c r="G1737" s="460"/>
      <c r="H1737" s="272"/>
      <c r="I1737" s="399"/>
      <c r="J1737" s="241" t="b">
        <f>Age_Sex_PY[[#This Row],[Total Spending After Applying Truncation at the Member Level]]+Age_Sex_PY[[#This Row],[Total Dollars Excluded from Spending After Applying Truncation at the Member Level]]=Age_Sex_PY[[#This Row],[Total Spending before Truncation is Applied]]</f>
        <v>1</v>
      </c>
    </row>
    <row r="1738" spans="1:10" x14ac:dyDescent="0.25">
      <c r="A1738" s="342"/>
      <c r="B1738" s="4"/>
      <c r="C1738" s="16"/>
      <c r="D1738" s="457"/>
      <c r="E1738" s="363"/>
      <c r="F1738" s="273"/>
      <c r="G1738" s="226"/>
      <c r="H1738" s="273"/>
      <c r="I1738" s="400"/>
      <c r="J1738" s="243" t="b">
        <f>Age_Sex_PY[[#This Row],[Total Spending After Applying Truncation at the Member Level]]+Age_Sex_PY[[#This Row],[Total Dollars Excluded from Spending After Applying Truncation at the Member Level]]=Age_Sex_PY[[#This Row],[Total Spending before Truncation is Applied]]</f>
        <v>1</v>
      </c>
    </row>
    <row r="1739" spans="1:10" x14ac:dyDescent="0.25">
      <c r="A1739" s="339"/>
      <c r="B1739" s="270"/>
      <c r="C1739" s="271"/>
      <c r="D1739" s="456"/>
      <c r="E1739" s="362"/>
      <c r="F1739" s="272"/>
      <c r="G1739" s="460"/>
      <c r="H1739" s="272"/>
      <c r="I1739" s="399"/>
      <c r="J1739" s="241" t="b">
        <f>Age_Sex_PY[[#This Row],[Total Spending After Applying Truncation at the Member Level]]+Age_Sex_PY[[#This Row],[Total Dollars Excluded from Spending After Applying Truncation at the Member Level]]=Age_Sex_PY[[#This Row],[Total Spending before Truncation is Applied]]</f>
        <v>1</v>
      </c>
    </row>
    <row r="1740" spans="1:10" x14ac:dyDescent="0.25">
      <c r="A1740" s="342"/>
      <c r="B1740" s="4"/>
      <c r="C1740" s="16"/>
      <c r="D1740" s="457"/>
      <c r="E1740" s="363"/>
      <c r="F1740" s="273"/>
      <c r="G1740" s="226"/>
      <c r="H1740" s="273"/>
      <c r="I1740" s="400"/>
      <c r="J1740" s="243" t="b">
        <f>Age_Sex_PY[[#This Row],[Total Spending After Applying Truncation at the Member Level]]+Age_Sex_PY[[#This Row],[Total Dollars Excluded from Spending After Applying Truncation at the Member Level]]=Age_Sex_PY[[#This Row],[Total Spending before Truncation is Applied]]</f>
        <v>1</v>
      </c>
    </row>
    <row r="1741" spans="1:10" x14ac:dyDescent="0.25">
      <c r="A1741" s="339"/>
      <c r="B1741" s="270"/>
      <c r="C1741" s="271"/>
      <c r="D1741" s="456"/>
      <c r="E1741" s="362"/>
      <c r="F1741" s="272"/>
      <c r="G1741" s="460"/>
      <c r="H1741" s="272"/>
      <c r="I1741" s="399"/>
      <c r="J1741" s="241" t="b">
        <f>Age_Sex_PY[[#This Row],[Total Spending After Applying Truncation at the Member Level]]+Age_Sex_PY[[#This Row],[Total Dollars Excluded from Spending After Applying Truncation at the Member Level]]=Age_Sex_PY[[#This Row],[Total Spending before Truncation is Applied]]</f>
        <v>1</v>
      </c>
    </row>
    <row r="1742" spans="1:10" x14ac:dyDescent="0.25">
      <c r="A1742" s="342"/>
      <c r="B1742" s="4"/>
      <c r="C1742" s="16"/>
      <c r="D1742" s="457"/>
      <c r="E1742" s="363"/>
      <c r="F1742" s="273"/>
      <c r="G1742" s="226"/>
      <c r="H1742" s="273"/>
      <c r="I1742" s="400"/>
      <c r="J1742" s="243" t="b">
        <f>Age_Sex_PY[[#This Row],[Total Spending After Applying Truncation at the Member Level]]+Age_Sex_PY[[#This Row],[Total Dollars Excluded from Spending After Applying Truncation at the Member Level]]=Age_Sex_PY[[#This Row],[Total Spending before Truncation is Applied]]</f>
        <v>1</v>
      </c>
    </row>
    <row r="1743" spans="1:10" x14ac:dyDescent="0.25">
      <c r="A1743" s="339"/>
      <c r="B1743" s="270"/>
      <c r="C1743" s="271"/>
      <c r="D1743" s="456"/>
      <c r="E1743" s="362"/>
      <c r="F1743" s="272"/>
      <c r="G1743" s="460"/>
      <c r="H1743" s="272"/>
      <c r="I1743" s="399"/>
      <c r="J1743" s="241" t="b">
        <f>Age_Sex_PY[[#This Row],[Total Spending After Applying Truncation at the Member Level]]+Age_Sex_PY[[#This Row],[Total Dollars Excluded from Spending After Applying Truncation at the Member Level]]=Age_Sex_PY[[#This Row],[Total Spending before Truncation is Applied]]</f>
        <v>1</v>
      </c>
    </row>
    <row r="1744" spans="1:10" x14ac:dyDescent="0.25">
      <c r="A1744" s="342"/>
      <c r="B1744" s="4"/>
      <c r="C1744" s="16"/>
      <c r="D1744" s="457"/>
      <c r="E1744" s="363"/>
      <c r="F1744" s="273"/>
      <c r="G1744" s="226"/>
      <c r="H1744" s="273"/>
      <c r="I1744" s="400"/>
      <c r="J1744" s="243" t="b">
        <f>Age_Sex_PY[[#This Row],[Total Spending After Applying Truncation at the Member Level]]+Age_Sex_PY[[#This Row],[Total Dollars Excluded from Spending After Applying Truncation at the Member Level]]=Age_Sex_PY[[#This Row],[Total Spending before Truncation is Applied]]</f>
        <v>1</v>
      </c>
    </row>
    <row r="1745" spans="1:10" x14ac:dyDescent="0.25">
      <c r="A1745" s="339"/>
      <c r="B1745" s="270"/>
      <c r="C1745" s="271"/>
      <c r="D1745" s="456"/>
      <c r="E1745" s="362"/>
      <c r="F1745" s="272"/>
      <c r="G1745" s="460"/>
      <c r="H1745" s="272"/>
      <c r="I1745" s="399"/>
      <c r="J1745" s="241" t="b">
        <f>Age_Sex_PY[[#This Row],[Total Spending After Applying Truncation at the Member Level]]+Age_Sex_PY[[#This Row],[Total Dollars Excluded from Spending After Applying Truncation at the Member Level]]=Age_Sex_PY[[#This Row],[Total Spending before Truncation is Applied]]</f>
        <v>1</v>
      </c>
    </row>
    <row r="1746" spans="1:10" x14ac:dyDescent="0.25">
      <c r="A1746" s="342"/>
      <c r="B1746" s="4"/>
      <c r="C1746" s="16"/>
      <c r="D1746" s="457"/>
      <c r="E1746" s="363"/>
      <c r="F1746" s="273"/>
      <c r="G1746" s="226"/>
      <c r="H1746" s="273"/>
      <c r="I1746" s="400"/>
      <c r="J1746" s="243" t="b">
        <f>Age_Sex_PY[[#This Row],[Total Spending After Applying Truncation at the Member Level]]+Age_Sex_PY[[#This Row],[Total Dollars Excluded from Spending After Applying Truncation at the Member Level]]=Age_Sex_PY[[#This Row],[Total Spending before Truncation is Applied]]</f>
        <v>1</v>
      </c>
    </row>
    <row r="1747" spans="1:10" x14ac:dyDescent="0.25">
      <c r="A1747" s="339"/>
      <c r="B1747" s="270"/>
      <c r="C1747" s="271"/>
      <c r="D1747" s="456"/>
      <c r="E1747" s="362"/>
      <c r="F1747" s="272"/>
      <c r="G1747" s="460"/>
      <c r="H1747" s="272"/>
      <c r="I1747" s="399"/>
      <c r="J1747" s="241" t="b">
        <f>Age_Sex_PY[[#This Row],[Total Spending After Applying Truncation at the Member Level]]+Age_Sex_PY[[#This Row],[Total Dollars Excluded from Spending After Applying Truncation at the Member Level]]=Age_Sex_PY[[#This Row],[Total Spending before Truncation is Applied]]</f>
        <v>1</v>
      </c>
    </row>
    <row r="1748" spans="1:10" x14ac:dyDescent="0.25">
      <c r="A1748" s="342"/>
      <c r="B1748" s="4"/>
      <c r="C1748" s="16"/>
      <c r="D1748" s="457"/>
      <c r="E1748" s="363"/>
      <c r="F1748" s="273"/>
      <c r="G1748" s="226"/>
      <c r="H1748" s="273"/>
      <c r="I1748" s="400"/>
      <c r="J1748" s="243" t="b">
        <f>Age_Sex_PY[[#This Row],[Total Spending After Applying Truncation at the Member Level]]+Age_Sex_PY[[#This Row],[Total Dollars Excluded from Spending After Applying Truncation at the Member Level]]=Age_Sex_PY[[#This Row],[Total Spending before Truncation is Applied]]</f>
        <v>1</v>
      </c>
    </row>
    <row r="1749" spans="1:10" x14ac:dyDescent="0.25">
      <c r="A1749" s="339"/>
      <c r="B1749" s="270"/>
      <c r="C1749" s="271"/>
      <c r="D1749" s="456"/>
      <c r="E1749" s="362"/>
      <c r="F1749" s="272"/>
      <c r="G1749" s="460"/>
      <c r="H1749" s="272"/>
      <c r="I1749" s="399"/>
      <c r="J1749" s="241" t="b">
        <f>Age_Sex_PY[[#This Row],[Total Spending After Applying Truncation at the Member Level]]+Age_Sex_PY[[#This Row],[Total Dollars Excluded from Spending After Applying Truncation at the Member Level]]=Age_Sex_PY[[#This Row],[Total Spending before Truncation is Applied]]</f>
        <v>1</v>
      </c>
    </row>
    <row r="1750" spans="1:10" x14ac:dyDescent="0.25">
      <c r="A1750" s="342"/>
      <c r="B1750" s="4"/>
      <c r="C1750" s="16"/>
      <c r="D1750" s="457"/>
      <c r="E1750" s="363"/>
      <c r="F1750" s="273"/>
      <c r="G1750" s="226"/>
      <c r="H1750" s="273"/>
      <c r="I1750" s="400"/>
      <c r="J1750" s="243" t="b">
        <f>Age_Sex_PY[[#This Row],[Total Spending After Applying Truncation at the Member Level]]+Age_Sex_PY[[#This Row],[Total Dollars Excluded from Spending After Applying Truncation at the Member Level]]=Age_Sex_PY[[#This Row],[Total Spending before Truncation is Applied]]</f>
        <v>1</v>
      </c>
    </row>
    <row r="1751" spans="1:10" x14ac:dyDescent="0.25">
      <c r="A1751" s="339"/>
      <c r="B1751" s="270"/>
      <c r="C1751" s="271"/>
      <c r="D1751" s="456"/>
      <c r="E1751" s="362"/>
      <c r="F1751" s="272"/>
      <c r="G1751" s="460"/>
      <c r="H1751" s="272"/>
      <c r="I1751" s="399"/>
      <c r="J1751" s="241" t="b">
        <f>Age_Sex_PY[[#This Row],[Total Spending After Applying Truncation at the Member Level]]+Age_Sex_PY[[#This Row],[Total Dollars Excluded from Spending After Applying Truncation at the Member Level]]=Age_Sex_PY[[#This Row],[Total Spending before Truncation is Applied]]</f>
        <v>1</v>
      </c>
    </row>
    <row r="1752" spans="1:10" x14ac:dyDescent="0.25">
      <c r="A1752" s="342"/>
      <c r="B1752" s="4"/>
      <c r="C1752" s="16"/>
      <c r="D1752" s="457"/>
      <c r="E1752" s="363"/>
      <c r="F1752" s="273"/>
      <c r="G1752" s="226"/>
      <c r="H1752" s="273"/>
      <c r="I1752" s="400"/>
      <c r="J1752" s="243" t="b">
        <f>Age_Sex_PY[[#This Row],[Total Spending After Applying Truncation at the Member Level]]+Age_Sex_PY[[#This Row],[Total Dollars Excluded from Spending After Applying Truncation at the Member Level]]=Age_Sex_PY[[#This Row],[Total Spending before Truncation is Applied]]</f>
        <v>1</v>
      </c>
    </row>
    <row r="1753" spans="1:10" x14ac:dyDescent="0.25">
      <c r="A1753" s="339"/>
      <c r="B1753" s="270"/>
      <c r="C1753" s="271"/>
      <c r="D1753" s="456"/>
      <c r="E1753" s="362"/>
      <c r="F1753" s="272"/>
      <c r="G1753" s="460"/>
      <c r="H1753" s="272"/>
      <c r="I1753" s="399"/>
      <c r="J1753" s="241" t="b">
        <f>Age_Sex_PY[[#This Row],[Total Spending After Applying Truncation at the Member Level]]+Age_Sex_PY[[#This Row],[Total Dollars Excluded from Spending After Applying Truncation at the Member Level]]=Age_Sex_PY[[#This Row],[Total Spending before Truncation is Applied]]</f>
        <v>1</v>
      </c>
    </row>
    <row r="1754" spans="1:10" x14ac:dyDescent="0.25">
      <c r="A1754" s="342"/>
      <c r="B1754" s="4"/>
      <c r="C1754" s="16"/>
      <c r="D1754" s="457"/>
      <c r="E1754" s="363"/>
      <c r="F1754" s="273"/>
      <c r="G1754" s="226"/>
      <c r="H1754" s="273"/>
      <c r="I1754" s="400"/>
      <c r="J1754" s="243" t="b">
        <f>Age_Sex_PY[[#This Row],[Total Spending After Applying Truncation at the Member Level]]+Age_Sex_PY[[#This Row],[Total Dollars Excluded from Spending After Applying Truncation at the Member Level]]=Age_Sex_PY[[#This Row],[Total Spending before Truncation is Applied]]</f>
        <v>1</v>
      </c>
    </row>
    <row r="1755" spans="1:10" x14ac:dyDescent="0.25">
      <c r="A1755" s="339"/>
      <c r="B1755" s="270"/>
      <c r="C1755" s="271"/>
      <c r="D1755" s="456"/>
      <c r="E1755" s="362"/>
      <c r="F1755" s="272"/>
      <c r="G1755" s="460"/>
      <c r="H1755" s="272"/>
      <c r="I1755" s="399"/>
      <c r="J1755" s="241" t="b">
        <f>Age_Sex_PY[[#This Row],[Total Spending After Applying Truncation at the Member Level]]+Age_Sex_PY[[#This Row],[Total Dollars Excluded from Spending After Applying Truncation at the Member Level]]=Age_Sex_PY[[#This Row],[Total Spending before Truncation is Applied]]</f>
        <v>1</v>
      </c>
    </row>
    <row r="1756" spans="1:10" x14ac:dyDescent="0.25">
      <c r="A1756" s="342"/>
      <c r="B1756" s="4"/>
      <c r="C1756" s="16"/>
      <c r="D1756" s="457"/>
      <c r="E1756" s="363"/>
      <c r="F1756" s="273"/>
      <c r="G1756" s="226"/>
      <c r="H1756" s="273"/>
      <c r="I1756" s="400"/>
      <c r="J1756" s="243" t="b">
        <f>Age_Sex_PY[[#This Row],[Total Spending After Applying Truncation at the Member Level]]+Age_Sex_PY[[#This Row],[Total Dollars Excluded from Spending After Applying Truncation at the Member Level]]=Age_Sex_PY[[#This Row],[Total Spending before Truncation is Applied]]</f>
        <v>1</v>
      </c>
    </row>
    <row r="1757" spans="1:10" x14ac:dyDescent="0.25">
      <c r="A1757" s="339"/>
      <c r="B1757" s="270"/>
      <c r="C1757" s="271"/>
      <c r="D1757" s="456"/>
      <c r="E1757" s="362"/>
      <c r="F1757" s="272"/>
      <c r="G1757" s="460"/>
      <c r="H1757" s="272"/>
      <c r="I1757" s="399"/>
      <c r="J1757" s="241" t="b">
        <f>Age_Sex_PY[[#This Row],[Total Spending After Applying Truncation at the Member Level]]+Age_Sex_PY[[#This Row],[Total Dollars Excluded from Spending After Applying Truncation at the Member Level]]=Age_Sex_PY[[#This Row],[Total Spending before Truncation is Applied]]</f>
        <v>1</v>
      </c>
    </row>
    <row r="1758" spans="1:10" x14ac:dyDescent="0.25">
      <c r="A1758" s="342"/>
      <c r="B1758" s="4"/>
      <c r="C1758" s="16"/>
      <c r="D1758" s="457"/>
      <c r="E1758" s="363"/>
      <c r="F1758" s="273"/>
      <c r="G1758" s="226"/>
      <c r="H1758" s="273"/>
      <c r="I1758" s="400"/>
      <c r="J1758" s="243" t="b">
        <f>Age_Sex_PY[[#This Row],[Total Spending After Applying Truncation at the Member Level]]+Age_Sex_PY[[#This Row],[Total Dollars Excluded from Spending After Applying Truncation at the Member Level]]=Age_Sex_PY[[#This Row],[Total Spending before Truncation is Applied]]</f>
        <v>1</v>
      </c>
    </row>
    <row r="1759" spans="1:10" x14ac:dyDescent="0.25">
      <c r="A1759" s="339"/>
      <c r="B1759" s="270"/>
      <c r="C1759" s="271"/>
      <c r="D1759" s="456"/>
      <c r="E1759" s="362"/>
      <c r="F1759" s="272"/>
      <c r="G1759" s="460"/>
      <c r="H1759" s="272"/>
      <c r="I1759" s="399"/>
      <c r="J1759" s="241" t="b">
        <f>Age_Sex_PY[[#This Row],[Total Spending After Applying Truncation at the Member Level]]+Age_Sex_PY[[#This Row],[Total Dollars Excluded from Spending After Applying Truncation at the Member Level]]=Age_Sex_PY[[#This Row],[Total Spending before Truncation is Applied]]</f>
        <v>1</v>
      </c>
    </row>
    <row r="1760" spans="1:10" x14ac:dyDescent="0.25">
      <c r="A1760" s="342"/>
      <c r="B1760" s="4"/>
      <c r="C1760" s="16"/>
      <c r="D1760" s="457"/>
      <c r="E1760" s="363"/>
      <c r="F1760" s="273"/>
      <c r="G1760" s="226"/>
      <c r="H1760" s="273"/>
      <c r="I1760" s="400"/>
      <c r="J1760" s="243" t="b">
        <f>Age_Sex_PY[[#This Row],[Total Spending After Applying Truncation at the Member Level]]+Age_Sex_PY[[#This Row],[Total Dollars Excluded from Spending After Applying Truncation at the Member Level]]=Age_Sex_PY[[#This Row],[Total Spending before Truncation is Applied]]</f>
        <v>1</v>
      </c>
    </row>
    <row r="1761" spans="1:10" x14ac:dyDescent="0.25">
      <c r="A1761" s="339"/>
      <c r="B1761" s="270"/>
      <c r="C1761" s="271"/>
      <c r="D1761" s="456"/>
      <c r="E1761" s="362"/>
      <c r="F1761" s="272"/>
      <c r="G1761" s="460"/>
      <c r="H1761" s="272"/>
      <c r="I1761" s="399"/>
      <c r="J1761" s="241" t="b">
        <f>Age_Sex_PY[[#This Row],[Total Spending After Applying Truncation at the Member Level]]+Age_Sex_PY[[#This Row],[Total Dollars Excluded from Spending After Applying Truncation at the Member Level]]=Age_Sex_PY[[#This Row],[Total Spending before Truncation is Applied]]</f>
        <v>1</v>
      </c>
    </row>
    <row r="1762" spans="1:10" x14ac:dyDescent="0.25">
      <c r="A1762" s="342"/>
      <c r="B1762" s="4"/>
      <c r="C1762" s="16"/>
      <c r="D1762" s="457"/>
      <c r="E1762" s="363"/>
      <c r="F1762" s="273"/>
      <c r="G1762" s="226"/>
      <c r="H1762" s="273"/>
      <c r="I1762" s="400"/>
      <c r="J1762" s="243" t="b">
        <f>Age_Sex_PY[[#This Row],[Total Spending After Applying Truncation at the Member Level]]+Age_Sex_PY[[#This Row],[Total Dollars Excluded from Spending After Applying Truncation at the Member Level]]=Age_Sex_PY[[#This Row],[Total Spending before Truncation is Applied]]</f>
        <v>1</v>
      </c>
    </row>
    <row r="1763" spans="1:10" x14ac:dyDescent="0.25">
      <c r="A1763" s="339"/>
      <c r="B1763" s="270"/>
      <c r="C1763" s="271"/>
      <c r="D1763" s="456"/>
      <c r="E1763" s="362"/>
      <c r="F1763" s="272"/>
      <c r="G1763" s="460"/>
      <c r="H1763" s="272"/>
      <c r="I1763" s="399"/>
      <c r="J1763" s="241" t="b">
        <f>Age_Sex_PY[[#This Row],[Total Spending After Applying Truncation at the Member Level]]+Age_Sex_PY[[#This Row],[Total Dollars Excluded from Spending After Applying Truncation at the Member Level]]=Age_Sex_PY[[#This Row],[Total Spending before Truncation is Applied]]</f>
        <v>1</v>
      </c>
    </row>
    <row r="1764" spans="1:10" x14ac:dyDescent="0.25">
      <c r="A1764" s="342"/>
      <c r="B1764" s="4"/>
      <c r="C1764" s="16"/>
      <c r="D1764" s="457"/>
      <c r="E1764" s="363"/>
      <c r="F1764" s="273"/>
      <c r="G1764" s="226"/>
      <c r="H1764" s="273"/>
      <c r="I1764" s="400"/>
      <c r="J1764" s="243" t="b">
        <f>Age_Sex_PY[[#This Row],[Total Spending After Applying Truncation at the Member Level]]+Age_Sex_PY[[#This Row],[Total Dollars Excluded from Spending After Applying Truncation at the Member Level]]=Age_Sex_PY[[#This Row],[Total Spending before Truncation is Applied]]</f>
        <v>1</v>
      </c>
    </row>
    <row r="1765" spans="1:10" x14ac:dyDescent="0.25">
      <c r="A1765" s="339"/>
      <c r="B1765" s="270"/>
      <c r="C1765" s="271"/>
      <c r="D1765" s="456"/>
      <c r="E1765" s="362"/>
      <c r="F1765" s="272"/>
      <c r="G1765" s="460"/>
      <c r="H1765" s="272"/>
      <c r="I1765" s="399"/>
      <c r="J1765" s="241" t="b">
        <f>Age_Sex_PY[[#This Row],[Total Spending After Applying Truncation at the Member Level]]+Age_Sex_PY[[#This Row],[Total Dollars Excluded from Spending After Applying Truncation at the Member Level]]=Age_Sex_PY[[#This Row],[Total Spending before Truncation is Applied]]</f>
        <v>1</v>
      </c>
    </row>
    <row r="1766" spans="1:10" x14ac:dyDescent="0.25">
      <c r="A1766" s="342"/>
      <c r="B1766" s="4"/>
      <c r="C1766" s="16"/>
      <c r="D1766" s="457"/>
      <c r="E1766" s="363"/>
      <c r="F1766" s="273"/>
      <c r="G1766" s="226"/>
      <c r="H1766" s="273"/>
      <c r="I1766" s="400"/>
      <c r="J1766" s="243" t="b">
        <f>Age_Sex_PY[[#This Row],[Total Spending After Applying Truncation at the Member Level]]+Age_Sex_PY[[#This Row],[Total Dollars Excluded from Spending After Applying Truncation at the Member Level]]=Age_Sex_PY[[#This Row],[Total Spending before Truncation is Applied]]</f>
        <v>1</v>
      </c>
    </row>
    <row r="1767" spans="1:10" x14ac:dyDescent="0.25">
      <c r="A1767" s="339"/>
      <c r="B1767" s="270"/>
      <c r="C1767" s="271"/>
      <c r="D1767" s="456"/>
      <c r="E1767" s="362"/>
      <c r="F1767" s="272"/>
      <c r="G1767" s="460"/>
      <c r="H1767" s="272"/>
      <c r="I1767" s="399"/>
      <c r="J1767" s="241" t="b">
        <f>Age_Sex_PY[[#This Row],[Total Spending After Applying Truncation at the Member Level]]+Age_Sex_PY[[#This Row],[Total Dollars Excluded from Spending After Applying Truncation at the Member Level]]=Age_Sex_PY[[#This Row],[Total Spending before Truncation is Applied]]</f>
        <v>1</v>
      </c>
    </row>
    <row r="1768" spans="1:10" x14ac:dyDescent="0.25">
      <c r="A1768" s="342"/>
      <c r="B1768" s="4"/>
      <c r="C1768" s="16"/>
      <c r="D1768" s="457"/>
      <c r="E1768" s="363"/>
      <c r="F1768" s="273"/>
      <c r="G1768" s="226"/>
      <c r="H1768" s="273"/>
      <c r="I1768" s="400"/>
      <c r="J1768" s="243" t="b">
        <f>Age_Sex_PY[[#This Row],[Total Spending After Applying Truncation at the Member Level]]+Age_Sex_PY[[#This Row],[Total Dollars Excluded from Spending After Applying Truncation at the Member Level]]=Age_Sex_PY[[#This Row],[Total Spending before Truncation is Applied]]</f>
        <v>1</v>
      </c>
    </row>
    <row r="1769" spans="1:10" x14ac:dyDescent="0.25">
      <c r="A1769" s="339"/>
      <c r="B1769" s="270"/>
      <c r="C1769" s="271"/>
      <c r="D1769" s="456"/>
      <c r="E1769" s="362"/>
      <c r="F1769" s="272"/>
      <c r="G1769" s="460"/>
      <c r="H1769" s="272"/>
      <c r="I1769" s="399"/>
      <c r="J1769" s="241" t="b">
        <f>Age_Sex_PY[[#This Row],[Total Spending After Applying Truncation at the Member Level]]+Age_Sex_PY[[#This Row],[Total Dollars Excluded from Spending After Applying Truncation at the Member Level]]=Age_Sex_PY[[#This Row],[Total Spending before Truncation is Applied]]</f>
        <v>1</v>
      </c>
    </row>
    <row r="1770" spans="1:10" x14ac:dyDescent="0.25">
      <c r="A1770" s="342"/>
      <c r="B1770" s="4"/>
      <c r="C1770" s="16"/>
      <c r="D1770" s="457"/>
      <c r="E1770" s="363"/>
      <c r="F1770" s="273"/>
      <c r="G1770" s="226"/>
      <c r="H1770" s="273"/>
      <c r="I1770" s="400"/>
      <c r="J1770" s="243" t="b">
        <f>Age_Sex_PY[[#This Row],[Total Spending After Applying Truncation at the Member Level]]+Age_Sex_PY[[#This Row],[Total Dollars Excluded from Spending After Applying Truncation at the Member Level]]=Age_Sex_PY[[#This Row],[Total Spending before Truncation is Applied]]</f>
        <v>1</v>
      </c>
    </row>
    <row r="1771" spans="1:10" x14ac:dyDescent="0.25">
      <c r="A1771" s="339"/>
      <c r="B1771" s="270"/>
      <c r="C1771" s="271"/>
      <c r="D1771" s="456"/>
      <c r="E1771" s="362"/>
      <c r="F1771" s="272"/>
      <c r="G1771" s="460"/>
      <c r="H1771" s="272"/>
      <c r="I1771" s="399"/>
      <c r="J1771" s="241" t="b">
        <f>Age_Sex_PY[[#This Row],[Total Spending After Applying Truncation at the Member Level]]+Age_Sex_PY[[#This Row],[Total Dollars Excluded from Spending After Applying Truncation at the Member Level]]=Age_Sex_PY[[#This Row],[Total Spending before Truncation is Applied]]</f>
        <v>1</v>
      </c>
    </row>
    <row r="1772" spans="1:10" x14ac:dyDescent="0.25">
      <c r="A1772" s="342"/>
      <c r="B1772" s="4"/>
      <c r="C1772" s="16"/>
      <c r="D1772" s="457"/>
      <c r="E1772" s="363"/>
      <c r="F1772" s="273"/>
      <c r="G1772" s="226"/>
      <c r="H1772" s="273"/>
      <c r="I1772" s="400"/>
      <c r="J1772" s="243" t="b">
        <f>Age_Sex_PY[[#This Row],[Total Spending After Applying Truncation at the Member Level]]+Age_Sex_PY[[#This Row],[Total Dollars Excluded from Spending After Applying Truncation at the Member Level]]=Age_Sex_PY[[#This Row],[Total Spending before Truncation is Applied]]</f>
        <v>1</v>
      </c>
    </row>
    <row r="1773" spans="1:10" x14ac:dyDescent="0.25">
      <c r="A1773" s="339"/>
      <c r="B1773" s="270"/>
      <c r="C1773" s="271"/>
      <c r="D1773" s="456"/>
      <c r="E1773" s="362"/>
      <c r="F1773" s="272"/>
      <c r="G1773" s="460"/>
      <c r="H1773" s="272"/>
      <c r="I1773" s="399"/>
      <c r="J1773" s="241" t="b">
        <f>Age_Sex_PY[[#This Row],[Total Spending After Applying Truncation at the Member Level]]+Age_Sex_PY[[#This Row],[Total Dollars Excluded from Spending After Applying Truncation at the Member Level]]=Age_Sex_PY[[#This Row],[Total Spending before Truncation is Applied]]</f>
        <v>1</v>
      </c>
    </row>
    <row r="1774" spans="1:10" x14ac:dyDescent="0.25">
      <c r="A1774" s="342"/>
      <c r="B1774" s="4"/>
      <c r="C1774" s="16"/>
      <c r="D1774" s="457"/>
      <c r="E1774" s="363"/>
      <c r="F1774" s="273"/>
      <c r="G1774" s="226"/>
      <c r="H1774" s="273"/>
      <c r="I1774" s="400"/>
      <c r="J1774" s="243" t="b">
        <f>Age_Sex_PY[[#This Row],[Total Spending After Applying Truncation at the Member Level]]+Age_Sex_PY[[#This Row],[Total Dollars Excluded from Spending After Applying Truncation at the Member Level]]=Age_Sex_PY[[#This Row],[Total Spending before Truncation is Applied]]</f>
        <v>1</v>
      </c>
    </row>
    <row r="1775" spans="1:10" x14ac:dyDescent="0.25">
      <c r="A1775" s="339"/>
      <c r="B1775" s="270"/>
      <c r="C1775" s="271"/>
      <c r="D1775" s="456"/>
      <c r="E1775" s="362"/>
      <c r="F1775" s="272"/>
      <c r="G1775" s="460"/>
      <c r="H1775" s="272"/>
      <c r="I1775" s="399"/>
      <c r="J1775" s="241" t="b">
        <f>Age_Sex_PY[[#This Row],[Total Spending After Applying Truncation at the Member Level]]+Age_Sex_PY[[#This Row],[Total Dollars Excluded from Spending After Applying Truncation at the Member Level]]=Age_Sex_PY[[#This Row],[Total Spending before Truncation is Applied]]</f>
        <v>1</v>
      </c>
    </row>
    <row r="1776" spans="1:10" x14ac:dyDescent="0.25">
      <c r="A1776" s="342"/>
      <c r="B1776" s="4"/>
      <c r="C1776" s="16"/>
      <c r="D1776" s="457"/>
      <c r="E1776" s="363"/>
      <c r="F1776" s="273"/>
      <c r="G1776" s="226"/>
      <c r="H1776" s="273"/>
      <c r="I1776" s="400"/>
      <c r="J1776" s="243" t="b">
        <f>Age_Sex_PY[[#This Row],[Total Spending After Applying Truncation at the Member Level]]+Age_Sex_PY[[#This Row],[Total Dollars Excluded from Spending After Applying Truncation at the Member Level]]=Age_Sex_PY[[#This Row],[Total Spending before Truncation is Applied]]</f>
        <v>1</v>
      </c>
    </row>
    <row r="1777" spans="1:10" x14ac:dyDescent="0.25">
      <c r="A1777" s="339"/>
      <c r="B1777" s="270"/>
      <c r="C1777" s="271"/>
      <c r="D1777" s="456"/>
      <c r="E1777" s="362"/>
      <c r="F1777" s="272"/>
      <c r="G1777" s="460"/>
      <c r="H1777" s="272"/>
      <c r="I1777" s="399"/>
      <c r="J1777" s="241" t="b">
        <f>Age_Sex_PY[[#This Row],[Total Spending After Applying Truncation at the Member Level]]+Age_Sex_PY[[#This Row],[Total Dollars Excluded from Spending After Applying Truncation at the Member Level]]=Age_Sex_PY[[#This Row],[Total Spending before Truncation is Applied]]</f>
        <v>1</v>
      </c>
    </row>
    <row r="1778" spans="1:10" x14ac:dyDescent="0.25">
      <c r="A1778" s="342"/>
      <c r="B1778" s="4"/>
      <c r="C1778" s="16"/>
      <c r="D1778" s="457"/>
      <c r="E1778" s="363"/>
      <c r="F1778" s="273"/>
      <c r="G1778" s="226"/>
      <c r="H1778" s="273"/>
      <c r="I1778" s="400"/>
      <c r="J1778" s="243" t="b">
        <f>Age_Sex_PY[[#This Row],[Total Spending After Applying Truncation at the Member Level]]+Age_Sex_PY[[#This Row],[Total Dollars Excluded from Spending After Applying Truncation at the Member Level]]=Age_Sex_PY[[#This Row],[Total Spending before Truncation is Applied]]</f>
        <v>1</v>
      </c>
    </row>
    <row r="1779" spans="1:10" x14ac:dyDescent="0.25">
      <c r="A1779" s="339"/>
      <c r="B1779" s="270"/>
      <c r="C1779" s="271"/>
      <c r="D1779" s="456"/>
      <c r="E1779" s="362"/>
      <c r="F1779" s="272"/>
      <c r="G1779" s="460"/>
      <c r="H1779" s="272"/>
      <c r="I1779" s="399"/>
      <c r="J1779" s="241" t="b">
        <f>Age_Sex_PY[[#This Row],[Total Spending After Applying Truncation at the Member Level]]+Age_Sex_PY[[#This Row],[Total Dollars Excluded from Spending After Applying Truncation at the Member Level]]=Age_Sex_PY[[#This Row],[Total Spending before Truncation is Applied]]</f>
        <v>1</v>
      </c>
    </row>
    <row r="1780" spans="1:10" x14ac:dyDescent="0.25">
      <c r="A1780" s="342"/>
      <c r="B1780" s="4"/>
      <c r="C1780" s="16"/>
      <c r="D1780" s="457"/>
      <c r="E1780" s="363"/>
      <c r="F1780" s="273"/>
      <c r="G1780" s="226"/>
      <c r="H1780" s="273"/>
      <c r="I1780" s="400"/>
      <c r="J1780" s="243" t="b">
        <f>Age_Sex_PY[[#This Row],[Total Spending After Applying Truncation at the Member Level]]+Age_Sex_PY[[#This Row],[Total Dollars Excluded from Spending After Applying Truncation at the Member Level]]=Age_Sex_PY[[#This Row],[Total Spending before Truncation is Applied]]</f>
        <v>1</v>
      </c>
    </row>
    <row r="1781" spans="1:10" x14ac:dyDescent="0.25">
      <c r="A1781" s="339"/>
      <c r="B1781" s="270"/>
      <c r="C1781" s="271"/>
      <c r="D1781" s="456"/>
      <c r="E1781" s="362"/>
      <c r="F1781" s="272"/>
      <c r="G1781" s="460"/>
      <c r="H1781" s="272"/>
      <c r="I1781" s="399"/>
      <c r="J1781" s="241" t="b">
        <f>Age_Sex_PY[[#This Row],[Total Spending After Applying Truncation at the Member Level]]+Age_Sex_PY[[#This Row],[Total Dollars Excluded from Spending After Applying Truncation at the Member Level]]=Age_Sex_PY[[#This Row],[Total Spending before Truncation is Applied]]</f>
        <v>1</v>
      </c>
    </row>
    <row r="1782" spans="1:10" x14ac:dyDescent="0.25">
      <c r="A1782" s="342"/>
      <c r="B1782" s="4"/>
      <c r="C1782" s="16"/>
      <c r="D1782" s="457"/>
      <c r="E1782" s="363"/>
      <c r="F1782" s="273"/>
      <c r="G1782" s="226"/>
      <c r="H1782" s="273"/>
      <c r="I1782" s="400"/>
      <c r="J1782" s="243" t="b">
        <f>Age_Sex_PY[[#This Row],[Total Spending After Applying Truncation at the Member Level]]+Age_Sex_PY[[#This Row],[Total Dollars Excluded from Spending After Applying Truncation at the Member Level]]=Age_Sex_PY[[#This Row],[Total Spending before Truncation is Applied]]</f>
        <v>1</v>
      </c>
    </row>
    <row r="1783" spans="1:10" x14ac:dyDescent="0.25">
      <c r="A1783" s="339"/>
      <c r="B1783" s="270"/>
      <c r="C1783" s="271"/>
      <c r="D1783" s="456"/>
      <c r="E1783" s="362"/>
      <c r="F1783" s="272"/>
      <c r="G1783" s="460"/>
      <c r="H1783" s="272"/>
      <c r="I1783" s="399"/>
      <c r="J1783" s="241" t="b">
        <f>Age_Sex_PY[[#This Row],[Total Spending After Applying Truncation at the Member Level]]+Age_Sex_PY[[#This Row],[Total Dollars Excluded from Spending After Applying Truncation at the Member Level]]=Age_Sex_PY[[#This Row],[Total Spending before Truncation is Applied]]</f>
        <v>1</v>
      </c>
    </row>
    <row r="1784" spans="1:10" x14ac:dyDescent="0.25">
      <c r="A1784" s="342"/>
      <c r="B1784" s="4"/>
      <c r="C1784" s="16"/>
      <c r="D1784" s="457"/>
      <c r="E1784" s="363"/>
      <c r="F1784" s="273"/>
      <c r="G1784" s="226"/>
      <c r="H1784" s="273"/>
      <c r="I1784" s="400"/>
      <c r="J1784" s="243" t="b">
        <f>Age_Sex_PY[[#This Row],[Total Spending After Applying Truncation at the Member Level]]+Age_Sex_PY[[#This Row],[Total Dollars Excluded from Spending After Applying Truncation at the Member Level]]=Age_Sex_PY[[#This Row],[Total Spending before Truncation is Applied]]</f>
        <v>1</v>
      </c>
    </row>
    <row r="1785" spans="1:10" x14ac:dyDescent="0.25">
      <c r="A1785" s="339"/>
      <c r="B1785" s="270"/>
      <c r="C1785" s="271"/>
      <c r="D1785" s="456"/>
      <c r="E1785" s="362"/>
      <c r="F1785" s="272"/>
      <c r="G1785" s="460"/>
      <c r="H1785" s="272"/>
      <c r="I1785" s="399"/>
      <c r="J1785" s="241" t="b">
        <f>Age_Sex_PY[[#This Row],[Total Spending After Applying Truncation at the Member Level]]+Age_Sex_PY[[#This Row],[Total Dollars Excluded from Spending After Applying Truncation at the Member Level]]=Age_Sex_PY[[#This Row],[Total Spending before Truncation is Applied]]</f>
        <v>1</v>
      </c>
    </row>
    <row r="1786" spans="1:10" x14ac:dyDescent="0.25">
      <c r="A1786" s="342"/>
      <c r="B1786" s="4"/>
      <c r="C1786" s="16"/>
      <c r="D1786" s="457"/>
      <c r="E1786" s="363"/>
      <c r="F1786" s="273"/>
      <c r="G1786" s="226"/>
      <c r="H1786" s="273"/>
      <c r="I1786" s="400"/>
      <c r="J1786" s="243" t="b">
        <f>Age_Sex_PY[[#This Row],[Total Spending After Applying Truncation at the Member Level]]+Age_Sex_PY[[#This Row],[Total Dollars Excluded from Spending After Applying Truncation at the Member Level]]=Age_Sex_PY[[#This Row],[Total Spending before Truncation is Applied]]</f>
        <v>1</v>
      </c>
    </row>
    <row r="1787" spans="1:10" x14ac:dyDescent="0.25">
      <c r="A1787" s="339"/>
      <c r="B1787" s="270"/>
      <c r="C1787" s="271"/>
      <c r="D1787" s="456"/>
      <c r="E1787" s="362"/>
      <c r="F1787" s="272"/>
      <c r="G1787" s="460"/>
      <c r="H1787" s="272"/>
      <c r="I1787" s="399"/>
      <c r="J1787" s="241" t="b">
        <f>Age_Sex_PY[[#This Row],[Total Spending After Applying Truncation at the Member Level]]+Age_Sex_PY[[#This Row],[Total Dollars Excluded from Spending After Applying Truncation at the Member Level]]=Age_Sex_PY[[#This Row],[Total Spending before Truncation is Applied]]</f>
        <v>1</v>
      </c>
    </row>
    <row r="1788" spans="1:10" x14ac:dyDescent="0.25">
      <c r="A1788" s="342"/>
      <c r="B1788" s="4"/>
      <c r="C1788" s="16"/>
      <c r="D1788" s="457"/>
      <c r="E1788" s="363"/>
      <c r="F1788" s="273"/>
      <c r="G1788" s="226"/>
      <c r="H1788" s="273"/>
      <c r="I1788" s="400"/>
      <c r="J1788" s="243" t="b">
        <f>Age_Sex_PY[[#This Row],[Total Spending After Applying Truncation at the Member Level]]+Age_Sex_PY[[#This Row],[Total Dollars Excluded from Spending After Applying Truncation at the Member Level]]=Age_Sex_PY[[#This Row],[Total Spending before Truncation is Applied]]</f>
        <v>1</v>
      </c>
    </row>
    <row r="1789" spans="1:10" x14ac:dyDescent="0.25">
      <c r="A1789" s="339"/>
      <c r="B1789" s="270"/>
      <c r="C1789" s="271"/>
      <c r="D1789" s="456"/>
      <c r="E1789" s="362"/>
      <c r="F1789" s="272"/>
      <c r="G1789" s="460"/>
      <c r="H1789" s="272"/>
      <c r="I1789" s="399"/>
      <c r="J1789" s="241" t="b">
        <f>Age_Sex_PY[[#This Row],[Total Spending After Applying Truncation at the Member Level]]+Age_Sex_PY[[#This Row],[Total Dollars Excluded from Spending After Applying Truncation at the Member Level]]=Age_Sex_PY[[#This Row],[Total Spending before Truncation is Applied]]</f>
        <v>1</v>
      </c>
    </row>
    <row r="1790" spans="1:10" x14ac:dyDescent="0.25">
      <c r="A1790" s="342"/>
      <c r="B1790" s="4"/>
      <c r="C1790" s="16"/>
      <c r="D1790" s="457"/>
      <c r="E1790" s="363"/>
      <c r="F1790" s="273"/>
      <c r="G1790" s="226"/>
      <c r="H1790" s="273"/>
      <c r="I1790" s="400"/>
      <c r="J1790" s="243" t="b">
        <f>Age_Sex_PY[[#This Row],[Total Spending After Applying Truncation at the Member Level]]+Age_Sex_PY[[#This Row],[Total Dollars Excluded from Spending After Applying Truncation at the Member Level]]=Age_Sex_PY[[#This Row],[Total Spending before Truncation is Applied]]</f>
        <v>1</v>
      </c>
    </row>
    <row r="1791" spans="1:10" x14ac:dyDescent="0.25">
      <c r="A1791" s="339"/>
      <c r="B1791" s="270"/>
      <c r="C1791" s="271"/>
      <c r="D1791" s="456"/>
      <c r="E1791" s="362"/>
      <c r="F1791" s="272"/>
      <c r="G1791" s="460"/>
      <c r="H1791" s="272"/>
      <c r="I1791" s="399"/>
      <c r="J1791" s="241" t="b">
        <f>Age_Sex_PY[[#This Row],[Total Spending After Applying Truncation at the Member Level]]+Age_Sex_PY[[#This Row],[Total Dollars Excluded from Spending After Applying Truncation at the Member Level]]=Age_Sex_PY[[#This Row],[Total Spending before Truncation is Applied]]</f>
        <v>1</v>
      </c>
    </row>
    <row r="1792" spans="1:10" x14ac:dyDescent="0.25">
      <c r="A1792" s="342"/>
      <c r="B1792" s="4"/>
      <c r="C1792" s="16"/>
      <c r="D1792" s="457"/>
      <c r="E1792" s="363"/>
      <c r="F1792" s="273"/>
      <c r="G1792" s="226"/>
      <c r="H1792" s="273"/>
      <c r="I1792" s="400"/>
      <c r="J1792" s="243" t="b">
        <f>Age_Sex_PY[[#This Row],[Total Spending After Applying Truncation at the Member Level]]+Age_Sex_PY[[#This Row],[Total Dollars Excluded from Spending After Applying Truncation at the Member Level]]=Age_Sex_PY[[#This Row],[Total Spending before Truncation is Applied]]</f>
        <v>1</v>
      </c>
    </row>
    <row r="1793" spans="1:10" x14ac:dyDescent="0.25">
      <c r="A1793" s="339"/>
      <c r="B1793" s="270"/>
      <c r="C1793" s="271"/>
      <c r="D1793" s="456"/>
      <c r="E1793" s="362"/>
      <c r="F1793" s="272"/>
      <c r="G1793" s="460"/>
      <c r="H1793" s="272"/>
      <c r="I1793" s="399"/>
      <c r="J1793" s="241" t="b">
        <f>Age_Sex_PY[[#This Row],[Total Spending After Applying Truncation at the Member Level]]+Age_Sex_PY[[#This Row],[Total Dollars Excluded from Spending After Applying Truncation at the Member Level]]=Age_Sex_PY[[#This Row],[Total Spending before Truncation is Applied]]</f>
        <v>1</v>
      </c>
    </row>
    <row r="1794" spans="1:10" x14ac:dyDescent="0.25">
      <c r="A1794" s="342"/>
      <c r="B1794" s="4"/>
      <c r="C1794" s="16"/>
      <c r="D1794" s="457"/>
      <c r="E1794" s="363"/>
      <c r="F1794" s="273"/>
      <c r="G1794" s="226"/>
      <c r="H1794" s="273"/>
      <c r="I1794" s="400"/>
      <c r="J1794" s="243" t="b">
        <f>Age_Sex_PY[[#This Row],[Total Spending After Applying Truncation at the Member Level]]+Age_Sex_PY[[#This Row],[Total Dollars Excluded from Spending After Applying Truncation at the Member Level]]=Age_Sex_PY[[#This Row],[Total Spending before Truncation is Applied]]</f>
        <v>1</v>
      </c>
    </row>
    <row r="1795" spans="1:10" x14ac:dyDescent="0.25">
      <c r="A1795" s="339"/>
      <c r="B1795" s="270"/>
      <c r="C1795" s="271"/>
      <c r="D1795" s="456"/>
      <c r="E1795" s="362"/>
      <c r="F1795" s="272"/>
      <c r="G1795" s="460"/>
      <c r="H1795" s="272"/>
      <c r="I1795" s="399"/>
      <c r="J1795" s="241" t="b">
        <f>Age_Sex_PY[[#This Row],[Total Spending After Applying Truncation at the Member Level]]+Age_Sex_PY[[#This Row],[Total Dollars Excluded from Spending After Applying Truncation at the Member Level]]=Age_Sex_PY[[#This Row],[Total Spending before Truncation is Applied]]</f>
        <v>1</v>
      </c>
    </row>
    <row r="1796" spans="1:10" x14ac:dyDescent="0.25">
      <c r="A1796" s="342"/>
      <c r="B1796" s="4"/>
      <c r="C1796" s="16"/>
      <c r="D1796" s="457"/>
      <c r="E1796" s="363"/>
      <c r="F1796" s="273"/>
      <c r="G1796" s="226"/>
      <c r="H1796" s="273"/>
      <c r="I1796" s="400"/>
      <c r="J1796" s="243" t="b">
        <f>Age_Sex_PY[[#This Row],[Total Spending After Applying Truncation at the Member Level]]+Age_Sex_PY[[#This Row],[Total Dollars Excluded from Spending After Applying Truncation at the Member Level]]=Age_Sex_PY[[#This Row],[Total Spending before Truncation is Applied]]</f>
        <v>1</v>
      </c>
    </row>
    <row r="1797" spans="1:10" x14ac:dyDescent="0.25">
      <c r="A1797" s="339"/>
      <c r="B1797" s="270"/>
      <c r="C1797" s="271"/>
      <c r="D1797" s="456"/>
      <c r="E1797" s="362"/>
      <c r="F1797" s="272"/>
      <c r="G1797" s="460"/>
      <c r="H1797" s="272"/>
      <c r="I1797" s="399"/>
      <c r="J1797" s="241" t="b">
        <f>Age_Sex_PY[[#This Row],[Total Spending After Applying Truncation at the Member Level]]+Age_Sex_PY[[#This Row],[Total Dollars Excluded from Spending After Applying Truncation at the Member Level]]=Age_Sex_PY[[#This Row],[Total Spending before Truncation is Applied]]</f>
        <v>1</v>
      </c>
    </row>
    <row r="1798" spans="1:10" x14ac:dyDescent="0.25">
      <c r="A1798" s="342"/>
      <c r="B1798" s="4"/>
      <c r="C1798" s="16"/>
      <c r="D1798" s="457"/>
      <c r="E1798" s="363"/>
      <c r="F1798" s="273"/>
      <c r="G1798" s="226"/>
      <c r="H1798" s="273"/>
      <c r="I1798" s="400"/>
      <c r="J1798" s="243" t="b">
        <f>Age_Sex_PY[[#This Row],[Total Spending After Applying Truncation at the Member Level]]+Age_Sex_PY[[#This Row],[Total Dollars Excluded from Spending After Applying Truncation at the Member Level]]=Age_Sex_PY[[#This Row],[Total Spending before Truncation is Applied]]</f>
        <v>1</v>
      </c>
    </row>
    <row r="1799" spans="1:10" x14ac:dyDescent="0.25">
      <c r="A1799" s="339"/>
      <c r="B1799" s="270"/>
      <c r="C1799" s="271"/>
      <c r="D1799" s="456"/>
      <c r="E1799" s="362"/>
      <c r="F1799" s="272"/>
      <c r="G1799" s="460"/>
      <c r="H1799" s="272"/>
      <c r="I1799" s="399"/>
      <c r="J1799" s="241" t="b">
        <f>Age_Sex_PY[[#This Row],[Total Spending After Applying Truncation at the Member Level]]+Age_Sex_PY[[#This Row],[Total Dollars Excluded from Spending After Applying Truncation at the Member Level]]=Age_Sex_PY[[#This Row],[Total Spending before Truncation is Applied]]</f>
        <v>1</v>
      </c>
    </row>
    <row r="1800" spans="1:10" x14ac:dyDescent="0.25">
      <c r="A1800" s="342"/>
      <c r="B1800" s="4"/>
      <c r="C1800" s="16"/>
      <c r="D1800" s="457"/>
      <c r="E1800" s="363"/>
      <c r="F1800" s="273"/>
      <c r="G1800" s="226"/>
      <c r="H1800" s="273"/>
      <c r="I1800" s="400"/>
      <c r="J1800" s="243" t="b">
        <f>Age_Sex_PY[[#This Row],[Total Spending After Applying Truncation at the Member Level]]+Age_Sex_PY[[#This Row],[Total Dollars Excluded from Spending After Applying Truncation at the Member Level]]=Age_Sex_PY[[#This Row],[Total Spending before Truncation is Applied]]</f>
        <v>1</v>
      </c>
    </row>
    <row r="1801" spans="1:10" x14ac:dyDescent="0.25">
      <c r="A1801" s="339"/>
      <c r="B1801" s="270"/>
      <c r="C1801" s="271"/>
      <c r="D1801" s="456"/>
      <c r="E1801" s="362"/>
      <c r="F1801" s="272"/>
      <c r="G1801" s="460"/>
      <c r="H1801" s="272"/>
      <c r="I1801" s="399"/>
      <c r="J1801" s="241" t="b">
        <f>Age_Sex_PY[[#This Row],[Total Spending After Applying Truncation at the Member Level]]+Age_Sex_PY[[#This Row],[Total Dollars Excluded from Spending After Applying Truncation at the Member Level]]=Age_Sex_PY[[#This Row],[Total Spending before Truncation is Applied]]</f>
        <v>1</v>
      </c>
    </row>
    <row r="1802" spans="1:10" x14ac:dyDescent="0.25">
      <c r="A1802" s="342"/>
      <c r="B1802" s="4"/>
      <c r="C1802" s="16"/>
      <c r="D1802" s="457"/>
      <c r="E1802" s="363"/>
      <c r="F1802" s="273"/>
      <c r="G1802" s="226"/>
      <c r="H1802" s="273"/>
      <c r="I1802" s="400"/>
      <c r="J1802" s="243" t="b">
        <f>Age_Sex_PY[[#This Row],[Total Spending After Applying Truncation at the Member Level]]+Age_Sex_PY[[#This Row],[Total Dollars Excluded from Spending After Applying Truncation at the Member Level]]=Age_Sex_PY[[#This Row],[Total Spending before Truncation is Applied]]</f>
        <v>1</v>
      </c>
    </row>
    <row r="1803" spans="1:10" x14ac:dyDescent="0.25">
      <c r="A1803" s="339"/>
      <c r="B1803" s="270"/>
      <c r="C1803" s="271"/>
      <c r="D1803" s="456"/>
      <c r="E1803" s="362"/>
      <c r="F1803" s="272"/>
      <c r="G1803" s="460"/>
      <c r="H1803" s="272"/>
      <c r="I1803" s="399"/>
      <c r="J1803" s="241" t="b">
        <f>Age_Sex_PY[[#This Row],[Total Spending After Applying Truncation at the Member Level]]+Age_Sex_PY[[#This Row],[Total Dollars Excluded from Spending After Applying Truncation at the Member Level]]=Age_Sex_PY[[#This Row],[Total Spending before Truncation is Applied]]</f>
        <v>1</v>
      </c>
    </row>
    <row r="1804" spans="1:10" x14ac:dyDescent="0.25">
      <c r="A1804" s="342"/>
      <c r="B1804" s="4"/>
      <c r="C1804" s="16"/>
      <c r="D1804" s="457"/>
      <c r="E1804" s="363"/>
      <c r="F1804" s="273"/>
      <c r="G1804" s="226"/>
      <c r="H1804" s="273"/>
      <c r="I1804" s="400"/>
      <c r="J1804" s="243" t="b">
        <f>Age_Sex_PY[[#This Row],[Total Spending After Applying Truncation at the Member Level]]+Age_Sex_PY[[#This Row],[Total Dollars Excluded from Spending After Applying Truncation at the Member Level]]=Age_Sex_PY[[#This Row],[Total Spending before Truncation is Applied]]</f>
        <v>1</v>
      </c>
    </row>
    <row r="1805" spans="1:10" x14ac:dyDescent="0.25">
      <c r="A1805" s="339"/>
      <c r="B1805" s="270"/>
      <c r="C1805" s="271"/>
      <c r="D1805" s="456"/>
      <c r="E1805" s="362"/>
      <c r="F1805" s="272"/>
      <c r="G1805" s="460"/>
      <c r="H1805" s="272"/>
      <c r="I1805" s="399"/>
      <c r="J1805" s="241" t="b">
        <f>Age_Sex_PY[[#This Row],[Total Spending After Applying Truncation at the Member Level]]+Age_Sex_PY[[#This Row],[Total Dollars Excluded from Spending After Applying Truncation at the Member Level]]=Age_Sex_PY[[#This Row],[Total Spending before Truncation is Applied]]</f>
        <v>1</v>
      </c>
    </row>
    <row r="1806" spans="1:10" x14ac:dyDescent="0.25">
      <c r="A1806" s="342"/>
      <c r="B1806" s="4"/>
      <c r="C1806" s="16"/>
      <c r="D1806" s="457"/>
      <c r="E1806" s="363"/>
      <c r="F1806" s="273"/>
      <c r="G1806" s="226"/>
      <c r="H1806" s="273"/>
      <c r="I1806" s="400"/>
      <c r="J1806" s="243" t="b">
        <f>Age_Sex_PY[[#This Row],[Total Spending After Applying Truncation at the Member Level]]+Age_Sex_PY[[#This Row],[Total Dollars Excluded from Spending After Applying Truncation at the Member Level]]=Age_Sex_PY[[#This Row],[Total Spending before Truncation is Applied]]</f>
        <v>1</v>
      </c>
    </row>
    <row r="1807" spans="1:10" x14ac:dyDescent="0.25">
      <c r="A1807" s="339"/>
      <c r="B1807" s="270"/>
      <c r="C1807" s="271"/>
      <c r="D1807" s="456"/>
      <c r="E1807" s="362"/>
      <c r="F1807" s="272"/>
      <c r="G1807" s="460"/>
      <c r="H1807" s="272"/>
      <c r="I1807" s="399"/>
      <c r="J1807" s="241" t="b">
        <f>Age_Sex_PY[[#This Row],[Total Spending After Applying Truncation at the Member Level]]+Age_Sex_PY[[#This Row],[Total Dollars Excluded from Spending After Applying Truncation at the Member Level]]=Age_Sex_PY[[#This Row],[Total Spending before Truncation is Applied]]</f>
        <v>1</v>
      </c>
    </row>
    <row r="1808" spans="1:10" x14ac:dyDescent="0.25">
      <c r="A1808" s="342"/>
      <c r="B1808" s="4"/>
      <c r="C1808" s="16"/>
      <c r="D1808" s="457"/>
      <c r="E1808" s="363"/>
      <c r="F1808" s="273"/>
      <c r="G1808" s="226"/>
      <c r="H1808" s="273"/>
      <c r="I1808" s="400"/>
      <c r="J1808" s="243" t="b">
        <f>Age_Sex_PY[[#This Row],[Total Spending After Applying Truncation at the Member Level]]+Age_Sex_PY[[#This Row],[Total Dollars Excluded from Spending After Applying Truncation at the Member Level]]=Age_Sex_PY[[#This Row],[Total Spending before Truncation is Applied]]</f>
        <v>1</v>
      </c>
    </row>
    <row r="1809" spans="1:10" x14ac:dyDescent="0.25">
      <c r="A1809" s="339"/>
      <c r="B1809" s="270"/>
      <c r="C1809" s="271"/>
      <c r="D1809" s="456"/>
      <c r="E1809" s="362"/>
      <c r="F1809" s="272"/>
      <c r="G1809" s="460"/>
      <c r="H1809" s="272"/>
      <c r="I1809" s="399"/>
      <c r="J1809" s="241" t="b">
        <f>Age_Sex_PY[[#This Row],[Total Spending After Applying Truncation at the Member Level]]+Age_Sex_PY[[#This Row],[Total Dollars Excluded from Spending After Applying Truncation at the Member Level]]=Age_Sex_PY[[#This Row],[Total Spending before Truncation is Applied]]</f>
        <v>1</v>
      </c>
    </row>
    <row r="1810" spans="1:10" x14ac:dyDescent="0.25">
      <c r="A1810" s="342"/>
      <c r="B1810" s="4"/>
      <c r="C1810" s="16"/>
      <c r="D1810" s="457"/>
      <c r="E1810" s="363"/>
      <c r="F1810" s="273"/>
      <c r="G1810" s="226"/>
      <c r="H1810" s="273"/>
      <c r="I1810" s="400"/>
      <c r="J1810" s="243" t="b">
        <f>Age_Sex_PY[[#This Row],[Total Spending After Applying Truncation at the Member Level]]+Age_Sex_PY[[#This Row],[Total Dollars Excluded from Spending After Applying Truncation at the Member Level]]=Age_Sex_PY[[#This Row],[Total Spending before Truncation is Applied]]</f>
        <v>1</v>
      </c>
    </row>
    <row r="1811" spans="1:10" x14ac:dyDescent="0.25">
      <c r="A1811" s="339"/>
      <c r="B1811" s="270"/>
      <c r="C1811" s="271"/>
      <c r="D1811" s="456"/>
      <c r="E1811" s="362"/>
      <c r="F1811" s="272"/>
      <c r="G1811" s="460"/>
      <c r="H1811" s="272"/>
      <c r="I1811" s="399"/>
      <c r="J1811" s="241" t="b">
        <f>Age_Sex_PY[[#This Row],[Total Spending After Applying Truncation at the Member Level]]+Age_Sex_PY[[#This Row],[Total Dollars Excluded from Spending After Applying Truncation at the Member Level]]=Age_Sex_PY[[#This Row],[Total Spending before Truncation is Applied]]</f>
        <v>1</v>
      </c>
    </row>
    <row r="1812" spans="1:10" x14ac:dyDescent="0.25">
      <c r="A1812" s="342"/>
      <c r="B1812" s="4"/>
      <c r="C1812" s="16"/>
      <c r="D1812" s="457"/>
      <c r="E1812" s="363"/>
      <c r="F1812" s="273"/>
      <c r="G1812" s="226"/>
      <c r="H1812" s="273"/>
      <c r="I1812" s="400"/>
      <c r="J1812" s="243" t="b">
        <f>Age_Sex_PY[[#This Row],[Total Spending After Applying Truncation at the Member Level]]+Age_Sex_PY[[#This Row],[Total Dollars Excluded from Spending After Applying Truncation at the Member Level]]=Age_Sex_PY[[#This Row],[Total Spending before Truncation is Applied]]</f>
        <v>1</v>
      </c>
    </row>
    <row r="1813" spans="1:10" x14ac:dyDescent="0.25">
      <c r="A1813" s="339"/>
      <c r="B1813" s="270"/>
      <c r="C1813" s="271"/>
      <c r="D1813" s="456"/>
      <c r="E1813" s="362"/>
      <c r="F1813" s="272"/>
      <c r="G1813" s="460"/>
      <c r="H1813" s="272"/>
      <c r="I1813" s="399"/>
      <c r="J1813" s="241" t="b">
        <f>Age_Sex_PY[[#This Row],[Total Spending After Applying Truncation at the Member Level]]+Age_Sex_PY[[#This Row],[Total Dollars Excluded from Spending After Applying Truncation at the Member Level]]=Age_Sex_PY[[#This Row],[Total Spending before Truncation is Applied]]</f>
        <v>1</v>
      </c>
    </row>
    <row r="1814" spans="1:10" x14ac:dyDescent="0.25">
      <c r="A1814" s="342"/>
      <c r="B1814" s="4"/>
      <c r="C1814" s="16"/>
      <c r="D1814" s="457"/>
      <c r="E1814" s="363"/>
      <c r="F1814" s="273"/>
      <c r="G1814" s="226"/>
      <c r="H1814" s="273"/>
      <c r="I1814" s="400"/>
      <c r="J1814" s="243" t="b">
        <f>Age_Sex_PY[[#This Row],[Total Spending After Applying Truncation at the Member Level]]+Age_Sex_PY[[#This Row],[Total Dollars Excluded from Spending After Applying Truncation at the Member Level]]=Age_Sex_PY[[#This Row],[Total Spending before Truncation is Applied]]</f>
        <v>1</v>
      </c>
    </row>
    <row r="1815" spans="1:10" x14ac:dyDescent="0.25">
      <c r="A1815" s="339"/>
      <c r="B1815" s="270"/>
      <c r="C1815" s="271"/>
      <c r="D1815" s="456"/>
      <c r="E1815" s="362"/>
      <c r="F1815" s="272"/>
      <c r="G1815" s="460"/>
      <c r="H1815" s="272"/>
      <c r="I1815" s="399"/>
      <c r="J1815" s="241" t="b">
        <f>Age_Sex_PY[[#This Row],[Total Spending After Applying Truncation at the Member Level]]+Age_Sex_PY[[#This Row],[Total Dollars Excluded from Spending After Applying Truncation at the Member Level]]=Age_Sex_PY[[#This Row],[Total Spending before Truncation is Applied]]</f>
        <v>1</v>
      </c>
    </row>
    <row r="1816" spans="1:10" x14ac:dyDescent="0.25">
      <c r="A1816" s="342"/>
      <c r="B1816" s="4"/>
      <c r="C1816" s="16"/>
      <c r="D1816" s="457"/>
      <c r="E1816" s="363"/>
      <c r="F1816" s="273"/>
      <c r="G1816" s="226"/>
      <c r="H1816" s="273"/>
      <c r="I1816" s="400"/>
      <c r="J1816" s="243" t="b">
        <f>Age_Sex_PY[[#This Row],[Total Spending After Applying Truncation at the Member Level]]+Age_Sex_PY[[#This Row],[Total Dollars Excluded from Spending After Applying Truncation at the Member Level]]=Age_Sex_PY[[#This Row],[Total Spending before Truncation is Applied]]</f>
        <v>1</v>
      </c>
    </row>
    <row r="1817" spans="1:10" x14ac:dyDescent="0.25">
      <c r="A1817" s="339"/>
      <c r="B1817" s="270"/>
      <c r="C1817" s="271"/>
      <c r="D1817" s="456"/>
      <c r="E1817" s="362"/>
      <c r="F1817" s="272"/>
      <c r="G1817" s="460"/>
      <c r="H1817" s="272"/>
      <c r="I1817" s="399"/>
      <c r="J1817" s="241" t="b">
        <f>Age_Sex_PY[[#This Row],[Total Spending After Applying Truncation at the Member Level]]+Age_Sex_PY[[#This Row],[Total Dollars Excluded from Spending After Applying Truncation at the Member Level]]=Age_Sex_PY[[#This Row],[Total Spending before Truncation is Applied]]</f>
        <v>1</v>
      </c>
    </row>
    <row r="1818" spans="1:10" x14ac:dyDescent="0.25">
      <c r="A1818" s="342"/>
      <c r="B1818" s="4"/>
      <c r="C1818" s="16"/>
      <c r="D1818" s="457"/>
      <c r="E1818" s="363"/>
      <c r="F1818" s="273"/>
      <c r="G1818" s="226"/>
      <c r="H1818" s="273"/>
      <c r="I1818" s="400"/>
      <c r="J1818" s="243" t="b">
        <f>Age_Sex_PY[[#This Row],[Total Spending After Applying Truncation at the Member Level]]+Age_Sex_PY[[#This Row],[Total Dollars Excluded from Spending After Applying Truncation at the Member Level]]=Age_Sex_PY[[#This Row],[Total Spending before Truncation is Applied]]</f>
        <v>1</v>
      </c>
    </row>
    <row r="1819" spans="1:10" x14ac:dyDescent="0.25">
      <c r="A1819" s="339"/>
      <c r="B1819" s="270"/>
      <c r="C1819" s="271"/>
      <c r="D1819" s="456"/>
      <c r="E1819" s="362"/>
      <c r="F1819" s="272"/>
      <c r="G1819" s="460"/>
      <c r="H1819" s="272"/>
      <c r="I1819" s="399"/>
      <c r="J1819" s="241" t="b">
        <f>Age_Sex_PY[[#This Row],[Total Spending After Applying Truncation at the Member Level]]+Age_Sex_PY[[#This Row],[Total Dollars Excluded from Spending After Applying Truncation at the Member Level]]=Age_Sex_PY[[#This Row],[Total Spending before Truncation is Applied]]</f>
        <v>1</v>
      </c>
    </row>
    <row r="1820" spans="1:10" x14ac:dyDescent="0.25">
      <c r="A1820" s="342"/>
      <c r="B1820" s="4"/>
      <c r="C1820" s="16"/>
      <c r="D1820" s="457"/>
      <c r="E1820" s="363"/>
      <c r="F1820" s="273"/>
      <c r="G1820" s="226"/>
      <c r="H1820" s="273"/>
      <c r="I1820" s="400"/>
      <c r="J1820" s="243" t="b">
        <f>Age_Sex_PY[[#This Row],[Total Spending After Applying Truncation at the Member Level]]+Age_Sex_PY[[#This Row],[Total Dollars Excluded from Spending After Applying Truncation at the Member Level]]=Age_Sex_PY[[#This Row],[Total Spending before Truncation is Applied]]</f>
        <v>1</v>
      </c>
    </row>
    <row r="1821" spans="1:10" x14ac:dyDescent="0.25">
      <c r="A1821" s="339"/>
      <c r="B1821" s="270"/>
      <c r="C1821" s="271"/>
      <c r="D1821" s="456"/>
      <c r="E1821" s="362"/>
      <c r="F1821" s="272"/>
      <c r="G1821" s="460"/>
      <c r="H1821" s="272"/>
      <c r="I1821" s="399"/>
      <c r="J1821" s="241" t="b">
        <f>Age_Sex_PY[[#This Row],[Total Spending After Applying Truncation at the Member Level]]+Age_Sex_PY[[#This Row],[Total Dollars Excluded from Spending After Applying Truncation at the Member Level]]=Age_Sex_PY[[#This Row],[Total Spending before Truncation is Applied]]</f>
        <v>1</v>
      </c>
    </row>
    <row r="1822" spans="1:10" x14ac:dyDescent="0.25">
      <c r="A1822" s="342"/>
      <c r="B1822" s="4"/>
      <c r="C1822" s="16"/>
      <c r="D1822" s="457"/>
      <c r="E1822" s="363"/>
      <c r="F1822" s="273"/>
      <c r="G1822" s="226"/>
      <c r="H1822" s="273"/>
      <c r="I1822" s="400"/>
      <c r="J1822" s="243" t="b">
        <f>Age_Sex_PY[[#This Row],[Total Spending After Applying Truncation at the Member Level]]+Age_Sex_PY[[#This Row],[Total Dollars Excluded from Spending After Applying Truncation at the Member Level]]=Age_Sex_PY[[#This Row],[Total Spending before Truncation is Applied]]</f>
        <v>1</v>
      </c>
    </row>
    <row r="1823" spans="1:10" x14ac:dyDescent="0.25">
      <c r="A1823" s="339"/>
      <c r="B1823" s="270"/>
      <c r="C1823" s="271"/>
      <c r="D1823" s="456"/>
      <c r="E1823" s="362"/>
      <c r="F1823" s="272"/>
      <c r="G1823" s="460"/>
      <c r="H1823" s="272"/>
      <c r="I1823" s="399"/>
      <c r="J1823" s="241" t="b">
        <f>Age_Sex_PY[[#This Row],[Total Spending After Applying Truncation at the Member Level]]+Age_Sex_PY[[#This Row],[Total Dollars Excluded from Spending After Applying Truncation at the Member Level]]=Age_Sex_PY[[#This Row],[Total Spending before Truncation is Applied]]</f>
        <v>1</v>
      </c>
    </row>
    <row r="1824" spans="1:10" x14ac:dyDescent="0.25">
      <c r="A1824" s="342"/>
      <c r="B1824" s="4"/>
      <c r="C1824" s="16"/>
      <c r="D1824" s="457"/>
      <c r="E1824" s="363"/>
      <c r="F1824" s="273"/>
      <c r="G1824" s="226"/>
      <c r="H1824" s="273"/>
      <c r="I1824" s="400"/>
      <c r="J1824" s="243" t="b">
        <f>Age_Sex_PY[[#This Row],[Total Spending After Applying Truncation at the Member Level]]+Age_Sex_PY[[#This Row],[Total Dollars Excluded from Spending After Applying Truncation at the Member Level]]=Age_Sex_PY[[#This Row],[Total Spending before Truncation is Applied]]</f>
        <v>1</v>
      </c>
    </row>
    <row r="1825" spans="1:10" x14ac:dyDescent="0.25">
      <c r="A1825" s="339"/>
      <c r="B1825" s="270"/>
      <c r="C1825" s="271"/>
      <c r="D1825" s="456"/>
      <c r="E1825" s="362"/>
      <c r="F1825" s="272"/>
      <c r="G1825" s="460"/>
      <c r="H1825" s="272"/>
      <c r="I1825" s="399"/>
      <c r="J1825" s="241" t="b">
        <f>Age_Sex_PY[[#This Row],[Total Spending After Applying Truncation at the Member Level]]+Age_Sex_PY[[#This Row],[Total Dollars Excluded from Spending After Applying Truncation at the Member Level]]=Age_Sex_PY[[#This Row],[Total Spending before Truncation is Applied]]</f>
        <v>1</v>
      </c>
    </row>
    <row r="1826" spans="1:10" x14ac:dyDescent="0.25">
      <c r="A1826" s="342"/>
      <c r="B1826" s="4"/>
      <c r="C1826" s="16"/>
      <c r="D1826" s="457"/>
      <c r="E1826" s="363"/>
      <c r="F1826" s="273"/>
      <c r="G1826" s="226"/>
      <c r="H1826" s="273"/>
      <c r="I1826" s="400"/>
      <c r="J1826" s="243" t="b">
        <f>Age_Sex_PY[[#This Row],[Total Spending After Applying Truncation at the Member Level]]+Age_Sex_PY[[#This Row],[Total Dollars Excluded from Spending After Applying Truncation at the Member Level]]=Age_Sex_PY[[#This Row],[Total Spending before Truncation is Applied]]</f>
        <v>1</v>
      </c>
    </row>
    <row r="1827" spans="1:10" x14ac:dyDescent="0.25">
      <c r="A1827" s="339"/>
      <c r="B1827" s="270"/>
      <c r="C1827" s="271"/>
      <c r="D1827" s="456"/>
      <c r="E1827" s="362"/>
      <c r="F1827" s="272"/>
      <c r="G1827" s="460"/>
      <c r="H1827" s="272"/>
      <c r="I1827" s="399"/>
      <c r="J1827" s="241" t="b">
        <f>Age_Sex_PY[[#This Row],[Total Spending After Applying Truncation at the Member Level]]+Age_Sex_PY[[#This Row],[Total Dollars Excluded from Spending After Applying Truncation at the Member Level]]=Age_Sex_PY[[#This Row],[Total Spending before Truncation is Applied]]</f>
        <v>1</v>
      </c>
    </row>
    <row r="1828" spans="1:10" x14ac:dyDescent="0.25">
      <c r="A1828" s="342"/>
      <c r="B1828" s="4"/>
      <c r="C1828" s="16"/>
      <c r="D1828" s="457"/>
      <c r="E1828" s="363"/>
      <c r="F1828" s="273"/>
      <c r="G1828" s="226"/>
      <c r="H1828" s="273"/>
      <c r="I1828" s="400"/>
      <c r="J1828" s="243" t="b">
        <f>Age_Sex_PY[[#This Row],[Total Spending After Applying Truncation at the Member Level]]+Age_Sex_PY[[#This Row],[Total Dollars Excluded from Spending After Applying Truncation at the Member Level]]=Age_Sex_PY[[#This Row],[Total Spending before Truncation is Applied]]</f>
        <v>1</v>
      </c>
    </row>
    <row r="1829" spans="1:10" x14ac:dyDescent="0.25">
      <c r="A1829" s="339"/>
      <c r="B1829" s="270"/>
      <c r="C1829" s="271"/>
      <c r="D1829" s="456"/>
      <c r="E1829" s="362"/>
      <c r="F1829" s="272"/>
      <c r="G1829" s="460"/>
      <c r="H1829" s="272"/>
      <c r="I1829" s="399"/>
      <c r="J1829" s="241" t="b">
        <f>Age_Sex_PY[[#This Row],[Total Spending After Applying Truncation at the Member Level]]+Age_Sex_PY[[#This Row],[Total Dollars Excluded from Spending After Applying Truncation at the Member Level]]=Age_Sex_PY[[#This Row],[Total Spending before Truncation is Applied]]</f>
        <v>1</v>
      </c>
    </row>
    <row r="1830" spans="1:10" x14ac:dyDescent="0.25">
      <c r="A1830" s="342"/>
      <c r="B1830" s="4"/>
      <c r="C1830" s="16"/>
      <c r="D1830" s="457"/>
      <c r="E1830" s="363"/>
      <c r="F1830" s="273"/>
      <c r="G1830" s="226"/>
      <c r="H1830" s="273"/>
      <c r="I1830" s="400"/>
      <c r="J1830" s="243" t="b">
        <f>Age_Sex_PY[[#This Row],[Total Spending After Applying Truncation at the Member Level]]+Age_Sex_PY[[#This Row],[Total Dollars Excluded from Spending After Applying Truncation at the Member Level]]=Age_Sex_PY[[#This Row],[Total Spending before Truncation is Applied]]</f>
        <v>1</v>
      </c>
    </row>
    <row r="1831" spans="1:10" x14ac:dyDescent="0.25">
      <c r="A1831" s="339"/>
      <c r="B1831" s="270"/>
      <c r="C1831" s="271"/>
      <c r="D1831" s="456"/>
      <c r="E1831" s="362"/>
      <c r="F1831" s="272"/>
      <c r="G1831" s="460"/>
      <c r="H1831" s="272"/>
      <c r="I1831" s="399"/>
      <c r="J1831" s="241" t="b">
        <f>Age_Sex_PY[[#This Row],[Total Spending After Applying Truncation at the Member Level]]+Age_Sex_PY[[#This Row],[Total Dollars Excluded from Spending After Applying Truncation at the Member Level]]=Age_Sex_PY[[#This Row],[Total Spending before Truncation is Applied]]</f>
        <v>1</v>
      </c>
    </row>
    <row r="1832" spans="1:10" x14ac:dyDescent="0.25">
      <c r="A1832" s="342"/>
      <c r="B1832" s="4"/>
      <c r="C1832" s="16"/>
      <c r="D1832" s="457"/>
      <c r="E1832" s="363"/>
      <c r="F1832" s="273"/>
      <c r="G1832" s="226"/>
      <c r="H1832" s="273"/>
      <c r="I1832" s="400"/>
      <c r="J1832" s="243" t="b">
        <f>Age_Sex_PY[[#This Row],[Total Spending After Applying Truncation at the Member Level]]+Age_Sex_PY[[#This Row],[Total Dollars Excluded from Spending After Applying Truncation at the Member Level]]=Age_Sex_PY[[#This Row],[Total Spending before Truncation is Applied]]</f>
        <v>1</v>
      </c>
    </row>
    <row r="1833" spans="1:10" x14ac:dyDescent="0.25">
      <c r="A1833" s="339"/>
      <c r="B1833" s="270"/>
      <c r="C1833" s="271"/>
      <c r="D1833" s="456"/>
      <c r="E1833" s="362"/>
      <c r="F1833" s="272"/>
      <c r="G1833" s="460"/>
      <c r="H1833" s="272"/>
      <c r="I1833" s="399"/>
      <c r="J1833" s="241" t="b">
        <f>Age_Sex_PY[[#This Row],[Total Spending After Applying Truncation at the Member Level]]+Age_Sex_PY[[#This Row],[Total Dollars Excluded from Spending After Applying Truncation at the Member Level]]=Age_Sex_PY[[#This Row],[Total Spending before Truncation is Applied]]</f>
        <v>1</v>
      </c>
    </row>
    <row r="1834" spans="1:10" x14ac:dyDescent="0.25">
      <c r="A1834" s="342"/>
      <c r="B1834" s="4"/>
      <c r="C1834" s="16"/>
      <c r="D1834" s="457"/>
      <c r="E1834" s="363"/>
      <c r="F1834" s="273"/>
      <c r="G1834" s="226"/>
      <c r="H1834" s="273"/>
      <c r="I1834" s="400"/>
      <c r="J1834" s="243" t="b">
        <f>Age_Sex_PY[[#This Row],[Total Spending After Applying Truncation at the Member Level]]+Age_Sex_PY[[#This Row],[Total Dollars Excluded from Spending After Applying Truncation at the Member Level]]=Age_Sex_PY[[#This Row],[Total Spending before Truncation is Applied]]</f>
        <v>1</v>
      </c>
    </row>
    <row r="1835" spans="1:10" x14ac:dyDescent="0.25">
      <c r="A1835" s="339"/>
      <c r="B1835" s="270"/>
      <c r="C1835" s="271"/>
      <c r="D1835" s="456"/>
      <c r="E1835" s="362"/>
      <c r="F1835" s="272"/>
      <c r="G1835" s="460"/>
      <c r="H1835" s="272"/>
      <c r="I1835" s="399"/>
      <c r="J1835" s="241" t="b">
        <f>Age_Sex_PY[[#This Row],[Total Spending After Applying Truncation at the Member Level]]+Age_Sex_PY[[#This Row],[Total Dollars Excluded from Spending After Applying Truncation at the Member Level]]=Age_Sex_PY[[#This Row],[Total Spending before Truncation is Applied]]</f>
        <v>1</v>
      </c>
    </row>
    <row r="1836" spans="1:10" x14ac:dyDescent="0.25">
      <c r="A1836" s="342"/>
      <c r="B1836" s="4"/>
      <c r="C1836" s="16"/>
      <c r="D1836" s="457"/>
      <c r="E1836" s="363"/>
      <c r="F1836" s="273"/>
      <c r="G1836" s="226"/>
      <c r="H1836" s="273"/>
      <c r="I1836" s="400"/>
      <c r="J1836" s="243" t="b">
        <f>Age_Sex_PY[[#This Row],[Total Spending After Applying Truncation at the Member Level]]+Age_Sex_PY[[#This Row],[Total Dollars Excluded from Spending After Applying Truncation at the Member Level]]=Age_Sex_PY[[#This Row],[Total Spending before Truncation is Applied]]</f>
        <v>1</v>
      </c>
    </row>
    <row r="1837" spans="1:10" x14ac:dyDescent="0.25">
      <c r="A1837" s="339"/>
      <c r="B1837" s="270"/>
      <c r="C1837" s="271"/>
      <c r="D1837" s="456"/>
      <c r="E1837" s="362"/>
      <c r="F1837" s="272"/>
      <c r="G1837" s="460"/>
      <c r="H1837" s="272"/>
      <c r="I1837" s="399"/>
      <c r="J1837" s="241" t="b">
        <f>Age_Sex_PY[[#This Row],[Total Spending After Applying Truncation at the Member Level]]+Age_Sex_PY[[#This Row],[Total Dollars Excluded from Spending After Applying Truncation at the Member Level]]=Age_Sex_PY[[#This Row],[Total Spending before Truncation is Applied]]</f>
        <v>1</v>
      </c>
    </row>
    <row r="1838" spans="1:10" x14ac:dyDescent="0.25">
      <c r="A1838" s="342"/>
      <c r="B1838" s="4"/>
      <c r="C1838" s="16"/>
      <c r="D1838" s="457"/>
      <c r="E1838" s="363"/>
      <c r="F1838" s="273"/>
      <c r="G1838" s="226"/>
      <c r="H1838" s="273"/>
      <c r="I1838" s="400"/>
      <c r="J1838" s="243" t="b">
        <f>Age_Sex_PY[[#This Row],[Total Spending After Applying Truncation at the Member Level]]+Age_Sex_PY[[#This Row],[Total Dollars Excluded from Spending After Applying Truncation at the Member Level]]=Age_Sex_PY[[#This Row],[Total Spending before Truncation is Applied]]</f>
        <v>1</v>
      </c>
    </row>
    <row r="1839" spans="1:10" x14ac:dyDescent="0.25">
      <c r="A1839" s="339"/>
      <c r="B1839" s="270"/>
      <c r="C1839" s="271"/>
      <c r="D1839" s="456"/>
      <c r="E1839" s="362"/>
      <c r="F1839" s="272"/>
      <c r="G1839" s="460"/>
      <c r="H1839" s="272"/>
      <c r="I1839" s="399"/>
      <c r="J1839" s="241" t="b">
        <f>Age_Sex_PY[[#This Row],[Total Spending After Applying Truncation at the Member Level]]+Age_Sex_PY[[#This Row],[Total Dollars Excluded from Spending After Applying Truncation at the Member Level]]=Age_Sex_PY[[#This Row],[Total Spending before Truncation is Applied]]</f>
        <v>1</v>
      </c>
    </row>
    <row r="1840" spans="1:10" x14ac:dyDescent="0.25">
      <c r="A1840" s="342"/>
      <c r="B1840" s="4"/>
      <c r="C1840" s="16"/>
      <c r="D1840" s="457"/>
      <c r="E1840" s="363"/>
      <c r="F1840" s="273"/>
      <c r="G1840" s="226"/>
      <c r="H1840" s="273"/>
      <c r="I1840" s="400"/>
      <c r="J1840" s="243" t="b">
        <f>Age_Sex_PY[[#This Row],[Total Spending After Applying Truncation at the Member Level]]+Age_Sex_PY[[#This Row],[Total Dollars Excluded from Spending After Applying Truncation at the Member Level]]=Age_Sex_PY[[#This Row],[Total Spending before Truncation is Applied]]</f>
        <v>1</v>
      </c>
    </row>
    <row r="1841" spans="1:10" x14ac:dyDescent="0.25">
      <c r="A1841" s="339"/>
      <c r="B1841" s="270"/>
      <c r="C1841" s="271"/>
      <c r="D1841" s="456"/>
      <c r="E1841" s="362"/>
      <c r="F1841" s="272"/>
      <c r="G1841" s="460"/>
      <c r="H1841" s="272"/>
      <c r="I1841" s="399"/>
      <c r="J1841" s="241" t="b">
        <f>Age_Sex_PY[[#This Row],[Total Spending After Applying Truncation at the Member Level]]+Age_Sex_PY[[#This Row],[Total Dollars Excluded from Spending After Applying Truncation at the Member Level]]=Age_Sex_PY[[#This Row],[Total Spending before Truncation is Applied]]</f>
        <v>1</v>
      </c>
    </row>
    <row r="1842" spans="1:10" x14ac:dyDescent="0.25">
      <c r="A1842" s="342"/>
      <c r="B1842" s="4"/>
      <c r="C1842" s="16"/>
      <c r="D1842" s="457"/>
      <c r="E1842" s="363"/>
      <c r="F1842" s="273"/>
      <c r="G1842" s="226"/>
      <c r="H1842" s="273"/>
      <c r="I1842" s="400"/>
      <c r="J1842" s="243" t="b">
        <f>Age_Sex_PY[[#This Row],[Total Spending After Applying Truncation at the Member Level]]+Age_Sex_PY[[#This Row],[Total Dollars Excluded from Spending After Applying Truncation at the Member Level]]=Age_Sex_PY[[#This Row],[Total Spending before Truncation is Applied]]</f>
        <v>1</v>
      </c>
    </row>
    <row r="1843" spans="1:10" x14ac:dyDescent="0.25">
      <c r="A1843" s="339"/>
      <c r="B1843" s="270"/>
      <c r="C1843" s="271"/>
      <c r="D1843" s="456"/>
      <c r="E1843" s="362"/>
      <c r="F1843" s="272"/>
      <c r="G1843" s="460"/>
      <c r="H1843" s="272"/>
      <c r="I1843" s="399"/>
      <c r="J1843" s="241" t="b">
        <f>Age_Sex_PY[[#This Row],[Total Spending After Applying Truncation at the Member Level]]+Age_Sex_PY[[#This Row],[Total Dollars Excluded from Spending After Applying Truncation at the Member Level]]=Age_Sex_PY[[#This Row],[Total Spending before Truncation is Applied]]</f>
        <v>1</v>
      </c>
    </row>
    <row r="1844" spans="1:10" x14ac:dyDescent="0.25">
      <c r="A1844" s="342"/>
      <c r="B1844" s="4"/>
      <c r="C1844" s="16"/>
      <c r="D1844" s="457"/>
      <c r="E1844" s="363"/>
      <c r="F1844" s="273"/>
      <c r="G1844" s="226"/>
      <c r="H1844" s="273"/>
      <c r="I1844" s="400"/>
      <c r="J1844" s="243" t="b">
        <f>Age_Sex_PY[[#This Row],[Total Spending After Applying Truncation at the Member Level]]+Age_Sex_PY[[#This Row],[Total Dollars Excluded from Spending After Applying Truncation at the Member Level]]=Age_Sex_PY[[#This Row],[Total Spending before Truncation is Applied]]</f>
        <v>1</v>
      </c>
    </row>
    <row r="1845" spans="1:10" x14ac:dyDescent="0.25">
      <c r="A1845" s="339"/>
      <c r="B1845" s="270"/>
      <c r="C1845" s="271"/>
      <c r="D1845" s="456"/>
      <c r="E1845" s="362"/>
      <c r="F1845" s="272"/>
      <c r="G1845" s="460"/>
      <c r="H1845" s="272"/>
      <c r="I1845" s="399"/>
      <c r="J1845" s="241" t="b">
        <f>Age_Sex_PY[[#This Row],[Total Spending After Applying Truncation at the Member Level]]+Age_Sex_PY[[#This Row],[Total Dollars Excluded from Spending After Applying Truncation at the Member Level]]=Age_Sex_PY[[#This Row],[Total Spending before Truncation is Applied]]</f>
        <v>1</v>
      </c>
    </row>
    <row r="1846" spans="1:10" x14ac:dyDescent="0.25">
      <c r="A1846" s="342"/>
      <c r="B1846" s="4"/>
      <c r="C1846" s="16"/>
      <c r="D1846" s="457"/>
      <c r="E1846" s="363"/>
      <c r="F1846" s="273"/>
      <c r="G1846" s="226"/>
      <c r="H1846" s="273"/>
      <c r="I1846" s="400"/>
      <c r="J1846" s="243" t="b">
        <f>Age_Sex_PY[[#This Row],[Total Spending After Applying Truncation at the Member Level]]+Age_Sex_PY[[#This Row],[Total Dollars Excluded from Spending After Applying Truncation at the Member Level]]=Age_Sex_PY[[#This Row],[Total Spending before Truncation is Applied]]</f>
        <v>1</v>
      </c>
    </row>
    <row r="1847" spans="1:10" x14ac:dyDescent="0.25">
      <c r="A1847" s="339"/>
      <c r="B1847" s="270"/>
      <c r="C1847" s="271"/>
      <c r="D1847" s="456"/>
      <c r="E1847" s="362"/>
      <c r="F1847" s="272"/>
      <c r="G1847" s="460"/>
      <c r="H1847" s="272"/>
      <c r="I1847" s="399"/>
      <c r="J1847" s="241" t="b">
        <f>Age_Sex_PY[[#This Row],[Total Spending After Applying Truncation at the Member Level]]+Age_Sex_PY[[#This Row],[Total Dollars Excluded from Spending After Applying Truncation at the Member Level]]=Age_Sex_PY[[#This Row],[Total Spending before Truncation is Applied]]</f>
        <v>1</v>
      </c>
    </row>
    <row r="1848" spans="1:10" x14ac:dyDescent="0.25">
      <c r="A1848" s="342"/>
      <c r="B1848" s="4"/>
      <c r="C1848" s="16"/>
      <c r="D1848" s="457"/>
      <c r="E1848" s="363"/>
      <c r="F1848" s="273"/>
      <c r="G1848" s="226"/>
      <c r="H1848" s="273"/>
      <c r="I1848" s="400"/>
      <c r="J1848" s="243" t="b">
        <f>Age_Sex_PY[[#This Row],[Total Spending After Applying Truncation at the Member Level]]+Age_Sex_PY[[#This Row],[Total Dollars Excluded from Spending After Applying Truncation at the Member Level]]=Age_Sex_PY[[#This Row],[Total Spending before Truncation is Applied]]</f>
        <v>1</v>
      </c>
    </row>
    <row r="1849" spans="1:10" x14ac:dyDescent="0.25">
      <c r="A1849" s="339"/>
      <c r="B1849" s="270"/>
      <c r="C1849" s="271"/>
      <c r="D1849" s="456"/>
      <c r="E1849" s="362"/>
      <c r="F1849" s="272"/>
      <c r="G1849" s="460"/>
      <c r="H1849" s="272"/>
      <c r="I1849" s="399"/>
      <c r="J1849" s="241" t="b">
        <f>Age_Sex_PY[[#This Row],[Total Spending After Applying Truncation at the Member Level]]+Age_Sex_PY[[#This Row],[Total Dollars Excluded from Spending After Applying Truncation at the Member Level]]=Age_Sex_PY[[#This Row],[Total Spending before Truncation is Applied]]</f>
        <v>1</v>
      </c>
    </row>
    <row r="1850" spans="1:10" x14ac:dyDescent="0.25">
      <c r="A1850" s="342"/>
      <c r="B1850" s="4"/>
      <c r="C1850" s="16"/>
      <c r="D1850" s="457"/>
      <c r="E1850" s="363"/>
      <c r="F1850" s="273"/>
      <c r="G1850" s="226"/>
      <c r="H1850" s="273"/>
      <c r="I1850" s="400"/>
      <c r="J1850" s="243" t="b">
        <f>Age_Sex_PY[[#This Row],[Total Spending After Applying Truncation at the Member Level]]+Age_Sex_PY[[#This Row],[Total Dollars Excluded from Spending After Applying Truncation at the Member Level]]=Age_Sex_PY[[#This Row],[Total Spending before Truncation is Applied]]</f>
        <v>1</v>
      </c>
    </row>
    <row r="1851" spans="1:10" x14ac:dyDescent="0.25">
      <c r="A1851" s="339"/>
      <c r="B1851" s="270"/>
      <c r="C1851" s="271"/>
      <c r="D1851" s="456"/>
      <c r="E1851" s="362"/>
      <c r="F1851" s="272"/>
      <c r="G1851" s="460"/>
      <c r="H1851" s="272"/>
      <c r="I1851" s="399"/>
      <c r="J1851" s="241" t="b">
        <f>Age_Sex_PY[[#This Row],[Total Spending After Applying Truncation at the Member Level]]+Age_Sex_PY[[#This Row],[Total Dollars Excluded from Spending After Applying Truncation at the Member Level]]=Age_Sex_PY[[#This Row],[Total Spending before Truncation is Applied]]</f>
        <v>1</v>
      </c>
    </row>
    <row r="1852" spans="1:10" x14ac:dyDescent="0.25">
      <c r="A1852" s="342"/>
      <c r="B1852" s="4"/>
      <c r="C1852" s="16"/>
      <c r="D1852" s="457"/>
      <c r="E1852" s="363"/>
      <c r="F1852" s="273"/>
      <c r="G1852" s="226"/>
      <c r="H1852" s="273"/>
      <c r="I1852" s="400"/>
      <c r="J1852" s="243" t="b">
        <f>Age_Sex_PY[[#This Row],[Total Spending After Applying Truncation at the Member Level]]+Age_Sex_PY[[#This Row],[Total Dollars Excluded from Spending After Applying Truncation at the Member Level]]=Age_Sex_PY[[#This Row],[Total Spending before Truncation is Applied]]</f>
        <v>1</v>
      </c>
    </row>
    <row r="1853" spans="1:10" x14ac:dyDescent="0.25">
      <c r="A1853" s="339"/>
      <c r="B1853" s="270"/>
      <c r="C1853" s="271"/>
      <c r="D1853" s="456"/>
      <c r="E1853" s="362"/>
      <c r="F1853" s="272"/>
      <c r="G1853" s="460"/>
      <c r="H1853" s="272"/>
      <c r="I1853" s="399"/>
      <c r="J1853" s="241" t="b">
        <f>Age_Sex_PY[[#This Row],[Total Spending After Applying Truncation at the Member Level]]+Age_Sex_PY[[#This Row],[Total Dollars Excluded from Spending After Applying Truncation at the Member Level]]=Age_Sex_PY[[#This Row],[Total Spending before Truncation is Applied]]</f>
        <v>1</v>
      </c>
    </row>
    <row r="1854" spans="1:10" x14ac:dyDescent="0.25">
      <c r="A1854" s="342"/>
      <c r="B1854" s="4"/>
      <c r="C1854" s="16"/>
      <c r="D1854" s="457"/>
      <c r="E1854" s="363"/>
      <c r="F1854" s="273"/>
      <c r="G1854" s="226"/>
      <c r="H1854" s="273"/>
      <c r="I1854" s="400"/>
      <c r="J1854" s="243" t="b">
        <f>Age_Sex_PY[[#This Row],[Total Spending After Applying Truncation at the Member Level]]+Age_Sex_PY[[#This Row],[Total Dollars Excluded from Spending After Applying Truncation at the Member Level]]=Age_Sex_PY[[#This Row],[Total Spending before Truncation is Applied]]</f>
        <v>1</v>
      </c>
    </row>
    <row r="1855" spans="1:10" x14ac:dyDescent="0.25">
      <c r="A1855" s="339"/>
      <c r="B1855" s="270"/>
      <c r="C1855" s="271"/>
      <c r="D1855" s="456"/>
      <c r="E1855" s="362"/>
      <c r="F1855" s="272"/>
      <c r="G1855" s="460"/>
      <c r="H1855" s="272"/>
      <c r="I1855" s="399"/>
      <c r="J1855" s="241" t="b">
        <f>Age_Sex_PY[[#This Row],[Total Spending After Applying Truncation at the Member Level]]+Age_Sex_PY[[#This Row],[Total Dollars Excluded from Spending After Applying Truncation at the Member Level]]=Age_Sex_PY[[#This Row],[Total Spending before Truncation is Applied]]</f>
        <v>1</v>
      </c>
    </row>
    <row r="1856" spans="1:10" x14ac:dyDescent="0.25">
      <c r="A1856" s="342"/>
      <c r="B1856" s="4"/>
      <c r="C1856" s="16"/>
      <c r="D1856" s="457"/>
      <c r="E1856" s="363"/>
      <c r="F1856" s="273"/>
      <c r="G1856" s="226"/>
      <c r="H1856" s="273"/>
      <c r="I1856" s="400"/>
      <c r="J1856" s="243" t="b">
        <f>Age_Sex_PY[[#This Row],[Total Spending After Applying Truncation at the Member Level]]+Age_Sex_PY[[#This Row],[Total Dollars Excluded from Spending After Applying Truncation at the Member Level]]=Age_Sex_PY[[#This Row],[Total Spending before Truncation is Applied]]</f>
        <v>1</v>
      </c>
    </row>
    <row r="1857" spans="1:10" x14ac:dyDescent="0.25">
      <c r="A1857" s="339"/>
      <c r="B1857" s="270"/>
      <c r="C1857" s="271"/>
      <c r="D1857" s="456"/>
      <c r="E1857" s="362"/>
      <c r="F1857" s="272"/>
      <c r="G1857" s="460"/>
      <c r="H1857" s="272"/>
      <c r="I1857" s="399"/>
      <c r="J1857" s="241" t="b">
        <f>Age_Sex_PY[[#This Row],[Total Spending After Applying Truncation at the Member Level]]+Age_Sex_PY[[#This Row],[Total Dollars Excluded from Spending After Applying Truncation at the Member Level]]=Age_Sex_PY[[#This Row],[Total Spending before Truncation is Applied]]</f>
        <v>1</v>
      </c>
    </row>
    <row r="1858" spans="1:10" x14ac:dyDescent="0.25">
      <c r="A1858" s="342"/>
      <c r="B1858" s="4"/>
      <c r="C1858" s="16"/>
      <c r="D1858" s="457"/>
      <c r="E1858" s="363"/>
      <c r="F1858" s="273"/>
      <c r="G1858" s="226"/>
      <c r="H1858" s="273"/>
      <c r="I1858" s="400"/>
      <c r="J1858" s="243" t="b">
        <f>Age_Sex_PY[[#This Row],[Total Spending After Applying Truncation at the Member Level]]+Age_Sex_PY[[#This Row],[Total Dollars Excluded from Spending After Applying Truncation at the Member Level]]=Age_Sex_PY[[#This Row],[Total Spending before Truncation is Applied]]</f>
        <v>1</v>
      </c>
    </row>
    <row r="1859" spans="1:10" x14ac:dyDescent="0.25">
      <c r="A1859" s="339"/>
      <c r="B1859" s="270"/>
      <c r="C1859" s="271"/>
      <c r="D1859" s="456"/>
      <c r="E1859" s="362"/>
      <c r="F1859" s="272"/>
      <c r="G1859" s="460"/>
      <c r="H1859" s="272"/>
      <c r="I1859" s="399"/>
      <c r="J1859" s="241" t="b">
        <f>Age_Sex_PY[[#This Row],[Total Spending After Applying Truncation at the Member Level]]+Age_Sex_PY[[#This Row],[Total Dollars Excluded from Spending After Applying Truncation at the Member Level]]=Age_Sex_PY[[#This Row],[Total Spending before Truncation is Applied]]</f>
        <v>1</v>
      </c>
    </row>
    <row r="1860" spans="1:10" x14ac:dyDescent="0.25">
      <c r="A1860" s="342"/>
      <c r="B1860" s="4"/>
      <c r="C1860" s="16"/>
      <c r="D1860" s="457"/>
      <c r="E1860" s="363"/>
      <c r="F1860" s="273"/>
      <c r="G1860" s="226"/>
      <c r="H1860" s="273"/>
      <c r="I1860" s="400"/>
      <c r="J1860" s="243" t="b">
        <f>Age_Sex_PY[[#This Row],[Total Spending After Applying Truncation at the Member Level]]+Age_Sex_PY[[#This Row],[Total Dollars Excluded from Spending After Applying Truncation at the Member Level]]=Age_Sex_PY[[#This Row],[Total Spending before Truncation is Applied]]</f>
        <v>1</v>
      </c>
    </row>
    <row r="1861" spans="1:10" x14ac:dyDescent="0.25">
      <c r="A1861" s="339"/>
      <c r="B1861" s="270"/>
      <c r="C1861" s="271"/>
      <c r="D1861" s="456"/>
      <c r="E1861" s="362"/>
      <c r="F1861" s="272"/>
      <c r="G1861" s="460"/>
      <c r="H1861" s="272"/>
      <c r="I1861" s="399"/>
      <c r="J1861" s="241" t="b">
        <f>Age_Sex_PY[[#This Row],[Total Spending After Applying Truncation at the Member Level]]+Age_Sex_PY[[#This Row],[Total Dollars Excluded from Spending After Applying Truncation at the Member Level]]=Age_Sex_PY[[#This Row],[Total Spending before Truncation is Applied]]</f>
        <v>1</v>
      </c>
    </row>
    <row r="1862" spans="1:10" x14ac:dyDescent="0.25">
      <c r="A1862" s="342"/>
      <c r="B1862" s="4"/>
      <c r="C1862" s="16"/>
      <c r="D1862" s="457"/>
      <c r="E1862" s="363"/>
      <c r="F1862" s="273"/>
      <c r="G1862" s="226"/>
      <c r="H1862" s="273"/>
      <c r="I1862" s="400"/>
      <c r="J1862" s="243" t="b">
        <f>Age_Sex_PY[[#This Row],[Total Spending After Applying Truncation at the Member Level]]+Age_Sex_PY[[#This Row],[Total Dollars Excluded from Spending After Applying Truncation at the Member Level]]=Age_Sex_PY[[#This Row],[Total Spending before Truncation is Applied]]</f>
        <v>1</v>
      </c>
    </row>
    <row r="1863" spans="1:10" x14ac:dyDescent="0.25">
      <c r="A1863" s="339"/>
      <c r="B1863" s="270"/>
      <c r="C1863" s="271"/>
      <c r="D1863" s="456"/>
      <c r="E1863" s="362"/>
      <c r="F1863" s="272"/>
      <c r="G1863" s="460"/>
      <c r="H1863" s="272"/>
      <c r="I1863" s="399"/>
      <c r="J1863" s="241" t="b">
        <f>Age_Sex_PY[[#This Row],[Total Spending After Applying Truncation at the Member Level]]+Age_Sex_PY[[#This Row],[Total Dollars Excluded from Spending After Applying Truncation at the Member Level]]=Age_Sex_PY[[#This Row],[Total Spending before Truncation is Applied]]</f>
        <v>1</v>
      </c>
    </row>
    <row r="1864" spans="1:10" x14ac:dyDescent="0.25">
      <c r="A1864" s="342"/>
      <c r="B1864" s="4"/>
      <c r="C1864" s="16"/>
      <c r="D1864" s="457"/>
      <c r="E1864" s="363"/>
      <c r="F1864" s="273"/>
      <c r="G1864" s="226"/>
      <c r="H1864" s="273"/>
      <c r="I1864" s="400"/>
      <c r="J1864" s="243" t="b">
        <f>Age_Sex_PY[[#This Row],[Total Spending After Applying Truncation at the Member Level]]+Age_Sex_PY[[#This Row],[Total Dollars Excluded from Spending After Applying Truncation at the Member Level]]=Age_Sex_PY[[#This Row],[Total Spending before Truncation is Applied]]</f>
        <v>1</v>
      </c>
    </row>
    <row r="1865" spans="1:10" x14ac:dyDescent="0.25">
      <c r="A1865" s="339"/>
      <c r="B1865" s="270"/>
      <c r="C1865" s="271"/>
      <c r="D1865" s="456"/>
      <c r="E1865" s="362"/>
      <c r="F1865" s="272"/>
      <c r="G1865" s="460"/>
      <c r="H1865" s="272"/>
      <c r="I1865" s="399"/>
      <c r="J1865" s="241" t="b">
        <f>Age_Sex_PY[[#This Row],[Total Spending After Applying Truncation at the Member Level]]+Age_Sex_PY[[#This Row],[Total Dollars Excluded from Spending After Applying Truncation at the Member Level]]=Age_Sex_PY[[#This Row],[Total Spending before Truncation is Applied]]</f>
        <v>1</v>
      </c>
    </row>
    <row r="1866" spans="1:10" x14ac:dyDescent="0.25">
      <c r="A1866" s="342"/>
      <c r="B1866" s="4"/>
      <c r="C1866" s="16"/>
      <c r="D1866" s="457"/>
      <c r="E1866" s="363"/>
      <c r="F1866" s="273"/>
      <c r="G1866" s="226"/>
      <c r="H1866" s="273"/>
      <c r="I1866" s="400"/>
      <c r="J1866" s="243" t="b">
        <f>Age_Sex_PY[[#This Row],[Total Spending After Applying Truncation at the Member Level]]+Age_Sex_PY[[#This Row],[Total Dollars Excluded from Spending After Applying Truncation at the Member Level]]=Age_Sex_PY[[#This Row],[Total Spending before Truncation is Applied]]</f>
        <v>1</v>
      </c>
    </row>
    <row r="1867" spans="1:10" x14ac:dyDescent="0.25">
      <c r="A1867" s="339"/>
      <c r="B1867" s="270"/>
      <c r="C1867" s="271"/>
      <c r="D1867" s="456"/>
      <c r="E1867" s="362"/>
      <c r="F1867" s="272"/>
      <c r="G1867" s="460"/>
      <c r="H1867" s="272"/>
      <c r="I1867" s="399"/>
      <c r="J1867" s="241" t="b">
        <f>Age_Sex_PY[[#This Row],[Total Spending After Applying Truncation at the Member Level]]+Age_Sex_PY[[#This Row],[Total Dollars Excluded from Spending After Applying Truncation at the Member Level]]=Age_Sex_PY[[#This Row],[Total Spending before Truncation is Applied]]</f>
        <v>1</v>
      </c>
    </row>
    <row r="1868" spans="1:10" x14ac:dyDescent="0.25">
      <c r="A1868" s="342"/>
      <c r="B1868" s="4"/>
      <c r="C1868" s="16"/>
      <c r="D1868" s="457"/>
      <c r="E1868" s="363"/>
      <c r="F1868" s="273"/>
      <c r="G1868" s="226"/>
      <c r="H1868" s="273"/>
      <c r="I1868" s="400"/>
      <c r="J1868" s="243" t="b">
        <f>Age_Sex_PY[[#This Row],[Total Spending After Applying Truncation at the Member Level]]+Age_Sex_PY[[#This Row],[Total Dollars Excluded from Spending After Applying Truncation at the Member Level]]=Age_Sex_PY[[#This Row],[Total Spending before Truncation is Applied]]</f>
        <v>1</v>
      </c>
    </row>
    <row r="1869" spans="1:10" x14ac:dyDescent="0.25">
      <c r="A1869" s="339"/>
      <c r="B1869" s="270"/>
      <c r="C1869" s="271"/>
      <c r="D1869" s="456"/>
      <c r="E1869" s="362"/>
      <c r="F1869" s="272"/>
      <c r="G1869" s="460"/>
      <c r="H1869" s="272"/>
      <c r="I1869" s="399"/>
      <c r="J1869" s="241" t="b">
        <f>Age_Sex_PY[[#This Row],[Total Spending After Applying Truncation at the Member Level]]+Age_Sex_PY[[#This Row],[Total Dollars Excluded from Spending After Applying Truncation at the Member Level]]=Age_Sex_PY[[#This Row],[Total Spending before Truncation is Applied]]</f>
        <v>1</v>
      </c>
    </row>
    <row r="1870" spans="1:10" x14ac:dyDescent="0.25">
      <c r="A1870" s="342"/>
      <c r="B1870" s="4"/>
      <c r="C1870" s="16"/>
      <c r="D1870" s="457"/>
      <c r="E1870" s="363"/>
      <c r="F1870" s="273"/>
      <c r="G1870" s="226"/>
      <c r="H1870" s="273"/>
      <c r="I1870" s="400"/>
      <c r="J1870" s="243" t="b">
        <f>Age_Sex_PY[[#This Row],[Total Spending After Applying Truncation at the Member Level]]+Age_Sex_PY[[#This Row],[Total Dollars Excluded from Spending After Applying Truncation at the Member Level]]=Age_Sex_PY[[#This Row],[Total Spending before Truncation is Applied]]</f>
        <v>1</v>
      </c>
    </row>
    <row r="1871" spans="1:10" x14ac:dyDescent="0.25">
      <c r="A1871" s="339"/>
      <c r="B1871" s="270"/>
      <c r="C1871" s="271"/>
      <c r="D1871" s="456"/>
      <c r="E1871" s="362"/>
      <c r="F1871" s="272"/>
      <c r="G1871" s="460"/>
      <c r="H1871" s="272"/>
      <c r="I1871" s="399"/>
      <c r="J1871" s="241" t="b">
        <f>Age_Sex_PY[[#This Row],[Total Spending After Applying Truncation at the Member Level]]+Age_Sex_PY[[#This Row],[Total Dollars Excluded from Spending After Applying Truncation at the Member Level]]=Age_Sex_PY[[#This Row],[Total Spending before Truncation is Applied]]</f>
        <v>1</v>
      </c>
    </row>
    <row r="1872" spans="1:10" x14ac:dyDescent="0.25">
      <c r="A1872" s="342"/>
      <c r="B1872" s="4"/>
      <c r="C1872" s="16"/>
      <c r="D1872" s="457"/>
      <c r="E1872" s="363"/>
      <c r="F1872" s="273"/>
      <c r="G1872" s="226"/>
      <c r="H1872" s="273"/>
      <c r="I1872" s="400"/>
      <c r="J1872" s="243" t="b">
        <f>Age_Sex_PY[[#This Row],[Total Spending After Applying Truncation at the Member Level]]+Age_Sex_PY[[#This Row],[Total Dollars Excluded from Spending After Applying Truncation at the Member Level]]=Age_Sex_PY[[#This Row],[Total Spending before Truncation is Applied]]</f>
        <v>1</v>
      </c>
    </row>
    <row r="1873" spans="1:10" x14ac:dyDescent="0.25">
      <c r="A1873" s="339"/>
      <c r="B1873" s="270"/>
      <c r="C1873" s="271"/>
      <c r="D1873" s="456"/>
      <c r="E1873" s="362"/>
      <c r="F1873" s="272"/>
      <c r="G1873" s="460"/>
      <c r="H1873" s="272"/>
      <c r="I1873" s="399"/>
      <c r="J1873" s="241" t="b">
        <f>Age_Sex_PY[[#This Row],[Total Spending After Applying Truncation at the Member Level]]+Age_Sex_PY[[#This Row],[Total Dollars Excluded from Spending After Applying Truncation at the Member Level]]=Age_Sex_PY[[#This Row],[Total Spending before Truncation is Applied]]</f>
        <v>1</v>
      </c>
    </row>
    <row r="1874" spans="1:10" x14ac:dyDescent="0.25">
      <c r="A1874" s="342"/>
      <c r="B1874" s="4"/>
      <c r="C1874" s="16"/>
      <c r="D1874" s="457"/>
      <c r="E1874" s="363"/>
      <c r="F1874" s="273"/>
      <c r="G1874" s="226"/>
      <c r="H1874" s="273"/>
      <c r="I1874" s="400"/>
      <c r="J1874" s="243" t="b">
        <f>Age_Sex_PY[[#This Row],[Total Spending After Applying Truncation at the Member Level]]+Age_Sex_PY[[#This Row],[Total Dollars Excluded from Spending After Applying Truncation at the Member Level]]=Age_Sex_PY[[#This Row],[Total Spending before Truncation is Applied]]</f>
        <v>1</v>
      </c>
    </row>
    <row r="1875" spans="1:10" x14ac:dyDescent="0.25">
      <c r="A1875" s="339"/>
      <c r="B1875" s="270"/>
      <c r="C1875" s="271"/>
      <c r="D1875" s="456"/>
      <c r="E1875" s="362"/>
      <c r="F1875" s="272"/>
      <c r="G1875" s="460"/>
      <c r="H1875" s="272"/>
      <c r="I1875" s="399"/>
      <c r="J1875" s="241" t="b">
        <f>Age_Sex_PY[[#This Row],[Total Spending After Applying Truncation at the Member Level]]+Age_Sex_PY[[#This Row],[Total Dollars Excluded from Spending After Applying Truncation at the Member Level]]=Age_Sex_PY[[#This Row],[Total Spending before Truncation is Applied]]</f>
        <v>1</v>
      </c>
    </row>
    <row r="1876" spans="1:10" x14ac:dyDescent="0.25">
      <c r="A1876" s="342"/>
      <c r="B1876" s="4"/>
      <c r="C1876" s="16"/>
      <c r="D1876" s="457"/>
      <c r="E1876" s="363"/>
      <c r="F1876" s="273"/>
      <c r="G1876" s="226"/>
      <c r="H1876" s="273"/>
      <c r="I1876" s="400"/>
      <c r="J1876" s="243" t="b">
        <f>Age_Sex_PY[[#This Row],[Total Spending After Applying Truncation at the Member Level]]+Age_Sex_PY[[#This Row],[Total Dollars Excluded from Spending After Applying Truncation at the Member Level]]=Age_Sex_PY[[#This Row],[Total Spending before Truncation is Applied]]</f>
        <v>1</v>
      </c>
    </row>
    <row r="1877" spans="1:10" x14ac:dyDescent="0.25">
      <c r="A1877" s="339"/>
      <c r="B1877" s="270"/>
      <c r="C1877" s="271"/>
      <c r="D1877" s="456"/>
      <c r="E1877" s="362"/>
      <c r="F1877" s="272"/>
      <c r="G1877" s="460"/>
      <c r="H1877" s="272"/>
      <c r="I1877" s="399"/>
      <c r="J1877" s="241" t="b">
        <f>Age_Sex_PY[[#This Row],[Total Spending After Applying Truncation at the Member Level]]+Age_Sex_PY[[#This Row],[Total Dollars Excluded from Spending After Applying Truncation at the Member Level]]=Age_Sex_PY[[#This Row],[Total Spending before Truncation is Applied]]</f>
        <v>1</v>
      </c>
    </row>
    <row r="1878" spans="1:10" x14ac:dyDescent="0.25">
      <c r="A1878" s="342"/>
      <c r="B1878" s="4"/>
      <c r="C1878" s="16"/>
      <c r="D1878" s="457"/>
      <c r="E1878" s="363"/>
      <c r="F1878" s="273"/>
      <c r="G1878" s="226"/>
      <c r="H1878" s="273"/>
      <c r="I1878" s="400"/>
      <c r="J1878" s="243" t="b">
        <f>Age_Sex_PY[[#This Row],[Total Spending After Applying Truncation at the Member Level]]+Age_Sex_PY[[#This Row],[Total Dollars Excluded from Spending After Applying Truncation at the Member Level]]=Age_Sex_PY[[#This Row],[Total Spending before Truncation is Applied]]</f>
        <v>1</v>
      </c>
    </row>
    <row r="1879" spans="1:10" x14ac:dyDescent="0.25">
      <c r="A1879" s="339"/>
      <c r="B1879" s="270"/>
      <c r="C1879" s="271"/>
      <c r="D1879" s="456"/>
      <c r="E1879" s="362"/>
      <c r="F1879" s="272"/>
      <c r="G1879" s="460"/>
      <c r="H1879" s="272"/>
      <c r="I1879" s="399"/>
      <c r="J1879" s="241" t="b">
        <f>Age_Sex_PY[[#This Row],[Total Spending After Applying Truncation at the Member Level]]+Age_Sex_PY[[#This Row],[Total Dollars Excluded from Spending After Applying Truncation at the Member Level]]=Age_Sex_PY[[#This Row],[Total Spending before Truncation is Applied]]</f>
        <v>1</v>
      </c>
    </row>
    <row r="1880" spans="1:10" x14ac:dyDescent="0.25">
      <c r="A1880" s="342"/>
      <c r="B1880" s="4"/>
      <c r="C1880" s="16"/>
      <c r="D1880" s="457"/>
      <c r="E1880" s="363"/>
      <c r="F1880" s="273"/>
      <c r="G1880" s="226"/>
      <c r="H1880" s="273"/>
      <c r="I1880" s="400"/>
      <c r="J1880" s="243" t="b">
        <f>Age_Sex_PY[[#This Row],[Total Spending After Applying Truncation at the Member Level]]+Age_Sex_PY[[#This Row],[Total Dollars Excluded from Spending After Applying Truncation at the Member Level]]=Age_Sex_PY[[#This Row],[Total Spending before Truncation is Applied]]</f>
        <v>1</v>
      </c>
    </row>
    <row r="1881" spans="1:10" x14ac:dyDescent="0.25">
      <c r="A1881" s="339"/>
      <c r="B1881" s="270"/>
      <c r="C1881" s="271"/>
      <c r="D1881" s="456"/>
      <c r="E1881" s="362"/>
      <c r="F1881" s="272"/>
      <c r="G1881" s="460"/>
      <c r="H1881" s="272"/>
      <c r="I1881" s="399"/>
      <c r="J1881" s="241" t="b">
        <f>Age_Sex_PY[[#This Row],[Total Spending After Applying Truncation at the Member Level]]+Age_Sex_PY[[#This Row],[Total Dollars Excluded from Spending After Applying Truncation at the Member Level]]=Age_Sex_PY[[#This Row],[Total Spending before Truncation is Applied]]</f>
        <v>1</v>
      </c>
    </row>
    <row r="1882" spans="1:10" x14ac:dyDescent="0.25">
      <c r="A1882" s="342"/>
      <c r="B1882" s="4"/>
      <c r="C1882" s="16"/>
      <c r="D1882" s="457"/>
      <c r="E1882" s="363"/>
      <c r="F1882" s="273"/>
      <c r="G1882" s="226"/>
      <c r="H1882" s="273"/>
      <c r="I1882" s="400"/>
      <c r="J1882" s="243" t="b">
        <f>Age_Sex_PY[[#This Row],[Total Spending After Applying Truncation at the Member Level]]+Age_Sex_PY[[#This Row],[Total Dollars Excluded from Spending After Applying Truncation at the Member Level]]=Age_Sex_PY[[#This Row],[Total Spending before Truncation is Applied]]</f>
        <v>1</v>
      </c>
    </row>
    <row r="1883" spans="1:10" x14ac:dyDescent="0.25">
      <c r="A1883" s="339"/>
      <c r="B1883" s="270"/>
      <c r="C1883" s="271"/>
      <c r="D1883" s="456"/>
      <c r="E1883" s="362"/>
      <c r="F1883" s="272"/>
      <c r="G1883" s="460"/>
      <c r="H1883" s="272"/>
      <c r="I1883" s="399"/>
      <c r="J1883" s="241" t="b">
        <f>Age_Sex_PY[[#This Row],[Total Spending After Applying Truncation at the Member Level]]+Age_Sex_PY[[#This Row],[Total Dollars Excluded from Spending After Applying Truncation at the Member Level]]=Age_Sex_PY[[#This Row],[Total Spending before Truncation is Applied]]</f>
        <v>1</v>
      </c>
    </row>
    <row r="1884" spans="1:10" x14ac:dyDescent="0.25">
      <c r="A1884" s="342"/>
      <c r="B1884" s="4"/>
      <c r="C1884" s="16"/>
      <c r="D1884" s="457"/>
      <c r="E1884" s="363"/>
      <c r="F1884" s="273"/>
      <c r="G1884" s="226"/>
      <c r="H1884" s="273"/>
      <c r="I1884" s="400"/>
      <c r="J1884" s="243" t="b">
        <f>Age_Sex_PY[[#This Row],[Total Spending After Applying Truncation at the Member Level]]+Age_Sex_PY[[#This Row],[Total Dollars Excluded from Spending After Applying Truncation at the Member Level]]=Age_Sex_PY[[#This Row],[Total Spending before Truncation is Applied]]</f>
        <v>1</v>
      </c>
    </row>
    <row r="1885" spans="1:10" x14ac:dyDescent="0.25">
      <c r="A1885" s="339"/>
      <c r="B1885" s="270"/>
      <c r="C1885" s="271"/>
      <c r="D1885" s="456"/>
      <c r="E1885" s="362"/>
      <c r="F1885" s="272"/>
      <c r="G1885" s="460"/>
      <c r="H1885" s="272"/>
      <c r="I1885" s="399"/>
      <c r="J1885" s="241" t="b">
        <f>Age_Sex_PY[[#This Row],[Total Spending After Applying Truncation at the Member Level]]+Age_Sex_PY[[#This Row],[Total Dollars Excluded from Spending After Applying Truncation at the Member Level]]=Age_Sex_PY[[#This Row],[Total Spending before Truncation is Applied]]</f>
        <v>1</v>
      </c>
    </row>
    <row r="1886" spans="1:10" x14ac:dyDescent="0.25">
      <c r="A1886" s="342"/>
      <c r="B1886" s="4"/>
      <c r="C1886" s="16"/>
      <c r="D1886" s="457"/>
      <c r="E1886" s="363"/>
      <c r="F1886" s="273"/>
      <c r="G1886" s="226"/>
      <c r="H1886" s="273"/>
      <c r="I1886" s="400"/>
      <c r="J1886" s="243" t="b">
        <f>Age_Sex_PY[[#This Row],[Total Spending After Applying Truncation at the Member Level]]+Age_Sex_PY[[#This Row],[Total Dollars Excluded from Spending After Applying Truncation at the Member Level]]=Age_Sex_PY[[#This Row],[Total Spending before Truncation is Applied]]</f>
        <v>1</v>
      </c>
    </row>
    <row r="1887" spans="1:10" x14ac:dyDescent="0.25">
      <c r="A1887" s="339"/>
      <c r="B1887" s="270"/>
      <c r="C1887" s="271"/>
      <c r="D1887" s="456"/>
      <c r="E1887" s="362"/>
      <c r="F1887" s="272"/>
      <c r="G1887" s="460"/>
      <c r="H1887" s="272"/>
      <c r="I1887" s="399"/>
      <c r="J1887" s="241" t="b">
        <f>Age_Sex_PY[[#This Row],[Total Spending After Applying Truncation at the Member Level]]+Age_Sex_PY[[#This Row],[Total Dollars Excluded from Spending After Applying Truncation at the Member Level]]=Age_Sex_PY[[#This Row],[Total Spending before Truncation is Applied]]</f>
        <v>1</v>
      </c>
    </row>
    <row r="1888" spans="1:10" x14ac:dyDescent="0.25">
      <c r="A1888" s="342"/>
      <c r="B1888" s="4"/>
      <c r="C1888" s="16"/>
      <c r="D1888" s="457"/>
      <c r="E1888" s="363"/>
      <c r="F1888" s="273"/>
      <c r="G1888" s="226"/>
      <c r="H1888" s="273"/>
      <c r="I1888" s="400"/>
      <c r="J1888" s="243" t="b">
        <f>Age_Sex_PY[[#This Row],[Total Spending After Applying Truncation at the Member Level]]+Age_Sex_PY[[#This Row],[Total Dollars Excluded from Spending After Applying Truncation at the Member Level]]=Age_Sex_PY[[#This Row],[Total Spending before Truncation is Applied]]</f>
        <v>1</v>
      </c>
    </row>
    <row r="1889" spans="1:10" x14ac:dyDescent="0.25">
      <c r="A1889" s="339"/>
      <c r="B1889" s="270"/>
      <c r="C1889" s="271"/>
      <c r="D1889" s="456"/>
      <c r="E1889" s="362"/>
      <c r="F1889" s="272"/>
      <c r="G1889" s="460"/>
      <c r="H1889" s="272"/>
      <c r="I1889" s="399"/>
      <c r="J1889" s="241" t="b">
        <f>Age_Sex_PY[[#This Row],[Total Spending After Applying Truncation at the Member Level]]+Age_Sex_PY[[#This Row],[Total Dollars Excluded from Spending After Applying Truncation at the Member Level]]=Age_Sex_PY[[#This Row],[Total Spending before Truncation is Applied]]</f>
        <v>1</v>
      </c>
    </row>
    <row r="1890" spans="1:10" x14ac:dyDescent="0.25">
      <c r="A1890" s="342"/>
      <c r="B1890" s="4"/>
      <c r="C1890" s="16"/>
      <c r="D1890" s="457"/>
      <c r="E1890" s="363"/>
      <c r="F1890" s="273"/>
      <c r="G1890" s="226"/>
      <c r="H1890" s="273"/>
      <c r="I1890" s="400"/>
      <c r="J1890" s="243" t="b">
        <f>Age_Sex_PY[[#This Row],[Total Spending After Applying Truncation at the Member Level]]+Age_Sex_PY[[#This Row],[Total Dollars Excluded from Spending After Applying Truncation at the Member Level]]=Age_Sex_PY[[#This Row],[Total Spending before Truncation is Applied]]</f>
        <v>1</v>
      </c>
    </row>
    <row r="1891" spans="1:10" x14ac:dyDescent="0.25">
      <c r="A1891" s="339"/>
      <c r="B1891" s="270"/>
      <c r="C1891" s="271"/>
      <c r="D1891" s="456"/>
      <c r="E1891" s="362"/>
      <c r="F1891" s="272"/>
      <c r="G1891" s="460"/>
      <c r="H1891" s="272"/>
      <c r="I1891" s="399"/>
      <c r="J1891" s="241" t="b">
        <f>Age_Sex_PY[[#This Row],[Total Spending After Applying Truncation at the Member Level]]+Age_Sex_PY[[#This Row],[Total Dollars Excluded from Spending After Applying Truncation at the Member Level]]=Age_Sex_PY[[#This Row],[Total Spending before Truncation is Applied]]</f>
        <v>1</v>
      </c>
    </row>
    <row r="1892" spans="1:10" x14ac:dyDescent="0.25">
      <c r="A1892" s="342"/>
      <c r="B1892" s="4"/>
      <c r="C1892" s="16"/>
      <c r="D1892" s="457"/>
      <c r="E1892" s="363"/>
      <c r="F1892" s="273"/>
      <c r="G1892" s="226"/>
      <c r="H1892" s="273"/>
      <c r="I1892" s="400"/>
      <c r="J1892" s="243" t="b">
        <f>Age_Sex_PY[[#This Row],[Total Spending After Applying Truncation at the Member Level]]+Age_Sex_PY[[#This Row],[Total Dollars Excluded from Spending After Applying Truncation at the Member Level]]=Age_Sex_PY[[#This Row],[Total Spending before Truncation is Applied]]</f>
        <v>1</v>
      </c>
    </row>
    <row r="1893" spans="1:10" x14ac:dyDescent="0.25">
      <c r="A1893" s="339"/>
      <c r="B1893" s="270"/>
      <c r="C1893" s="271"/>
      <c r="D1893" s="456"/>
      <c r="E1893" s="362"/>
      <c r="F1893" s="272"/>
      <c r="G1893" s="460"/>
      <c r="H1893" s="272"/>
      <c r="I1893" s="399"/>
      <c r="J1893" s="241" t="b">
        <f>Age_Sex_PY[[#This Row],[Total Spending After Applying Truncation at the Member Level]]+Age_Sex_PY[[#This Row],[Total Dollars Excluded from Spending After Applying Truncation at the Member Level]]=Age_Sex_PY[[#This Row],[Total Spending before Truncation is Applied]]</f>
        <v>1</v>
      </c>
    </row>
    <row r="1894" spans="1:10" x14ac:dyDescent="0.25">
      <c r="A1894" s="342"/>
      <c r="B1894" s="4"/>
      <c r="C1894" s="16"/>
      <c r="D1894" s="457"/>
      <c r="E1894" s="363"/>
      <c r="F1894" s="273"/>
      <c r="G1894" s="226"/>
      <c r="H1894" s="273"/>
      <c r="I1894" s="400"/>
      <c r="J1894" s="243" t="b">
        <f>Age_Sex_PY[[#This Row],[Total Spending After Applying Truncation at the Member Level]]+Age_Sex_PY[[#This Row],[Total Dollars Excluded from Spending After Applying Truncation at the Member Level]]=Age_Sex_PY[[#This Row],[Total Spending before Truncation is Applied]]</f>
        <v>1</v>
      </c>
    </row>
    <row r="1895" spans="1:10" x14ac:dyDescent="0.25">
      <c r="A1895" s="339"/>
      <c r="B1895" s="270"/>
      <c r="C1895" s="271"/>
      <c r="D1895" s="456"/>
      <c r="E1895" s="362"/>
      <c r="F1895" s="272"/>
      <c r="G1895" s="460"/>
      <c r="H1895" s="272"/>
      <c r="I1895" s="399"/>
      <c r="J1895" s="241" t="b">
        <f>Age_Sex_PY[[#This Row],[Total Spending After Applying Truncation at the Member Level]]+Age_Sex_PY[[#This Row],[Total Dollars Excluded from Spending After Applying Truncation at the Member Level]]=Age_Sex_PY[[#This Row],[Total Spending before Truncation is Applied]]</f>
        <v>1</v>
      </c>
    </row>
    <row r="1896" spans="1:10" x14ac:dyDescent="0.25">
      <c r="A1896" s="342"/>
      <c r="B1896" s="4"/>
      <c r="C1896" s="16"/>
      <c r="D1896" s="457"/>
      <c r="E1896" s="363"/>
      <c r="F1896" s="273"/>
      <c r="G1896" s="226"/>
      <c r="H1896" s="273"/>
      <c r="I1896" s="400"/>
      <c r="J1896" s="243" t="b">
        <f>Age_Sex_PY[[#This Row],[Total Spending After Applying Truncation at the Member Level]]+Age_Sex_PY[[#This Row],[Total Dollars Excluded from Spending After Applying Truncation at the Member Level]]=Age_Sex_PY[[#This Row],[Total Spending before Truncation is Applied]]</f>
        <v>1</v>
      </c>
    </row>
    <row r="1897" spans="1:10" x14ac:dyDescent="0.25">
      <c r="A1897" s="339"/>
      <c r="B1897" s="270"/>
      <c r="C1897" s="271"/>
      <c r="D1897" s="456"/>
      <c r="E1897" s="362"/>
      <c r="F1897" s="272"/>
      <c r="G1897" s="460"/>
      <c r="H1897" s="272"/>
      <c r="I1897" s="399"/>
      <c r="J1897" s="241" t="b">
        <f>Age_Sex_PY[[#This Row],[Total Spending After Applying Truncation at the Member Level]]+Age_Sex_PY[[#This Row],[Total Dollars Excluded from Spending After Applying Truncation at the Member Level]]=Age_Sex_PY[[#This Row],[Total Spending before Truncation is Applied]]</f>
        <v>1</v>
      </c>
    </row>
    <row r="1898" spans="1:10" x14ac:dyDescent="0.25">
      <c r="A1898" s="342"/>
      <c r="B1898" s="4"/>
      <c r="C1898" s="16"/>
      <c r="D1898" s="457"/>
      <c r="E1898" s="363"/>
      <c r="F1898" s="273"/>
      <c r="G1898" s="226"/>
      <c r="H1898" s="273"/>
      <c r="I1898" s="400"/>
      <c r="J1898" s="243" t="b">
        <f>Age_Sex_PY[[#This Row],[Total Spending After Applying Truncation at the Member Level]]+Age_Sex_PY[[#This Row],[Total Dollars Excluded from Spending After Applying Truncation at the Member Level]]=Age_Sex_PY[[#This Row],[Total Spending before Truncation is Applied]]</f>
        <v>1</v>
      </c>
    </row>
    <row r="1899" spans="1:10" x14ac:dyDescent="0.25">
      <c r="A1899" s="339"/>
      <c r="B1899" s="270"/>
      <c r="C1899" s="271"/>
      <c r="D1899" s="456"/>
      <c r="E1899" s="362"/>
      <c r="F1899" s="272"/>
      <c r="G1899" s="460"/>
      <c r="H1899" s="272"/>
      <c r="I1899" s="399"/>
      <c r="J1899" s="241" t="b">
        <f>Age_Sex_PY[[#This Row],[Total Spending After Applying Truncation at the Member Level]]+Age_Sex_PY[[#This Row],[Total Dollars Excluded from Spending After Applying Truncation at the Member Level]]=Age_Sex_PY[[#This Row],[Total Spending before Truncation is Applied]]</f>
        <v>1</v>
      </c>
    </row>
    <row r="1900" spans="1:10" x14ac:dyDescent="0.25">
      <c r="A1900" s="342"/>
      <c r="B1900" s="4"/>
      <c r="C1900" s="16"/>
      <c r="D1900" s="457"/>
      <c r="E1900" s="363"/>
      <c r="F1900" s="273"/>
      <c r="G1900" s="226"/>
      <c r="H1900" s="273"/>
      <c r="I1900" s="400"/>
      <c r="J1900" s="243" t="b">
        <f>Age_Sex_PY[[#This Row],[Total Spending After Applying Truncation at the Member Level]]+Age_Sex_PY[[#This Row],[Total Dollars Excluded from Spending After Applying Truncation at the Member Level]]=Age_Sex_PY[[#This Row],[Total Spending before Truncation is Applied]]</f>
        <v>1</v>
      </c>
    </row>
    <row r="1901" spans="1:10" x14ac:dyDescent="0.25">
      <c r="A1901" s="339"/>
      <c r="B1901" s="270"/>
      <c r="C1901" s="271"/>
      <c r="D1901" s="456"/>
      <c r="E1901" s="362"/>
      <c r="F1901" s="272"/>
      <c r="G1901" s="460"/>
      <c r="H1901" s="272"/>
      <c r="I1901" s="399"/>
      <c r="J1901" s="241" t="b">
        <f>Age_Sex_PY[[#This Row],[Total Spending After Applying Truncation at the Member Level]]+Age_Sex_PY[[#This Row],[Total Dollars Excluded from Spending After Applying Truncation at the Member Level]]=Age_Sex_PY[[#This Row],[Total Spending before Truncation is Applied]]</f>
        <v>1</v>
      </c>
    </row>
    <row r="1902" spans="1:10" x14ac:dyDescent="0.25">
      <c r="A1902" s="342"/>
      <c r="B1902" s="4"/>
      <c r="C1902" s="16"/>
      <c r="D1902" s="457"/>
      <c r="E1902" s="363"/>
      <c r="F1902" s="273"/>
      <c r="G1902" s="226"/>
      <c r="H1902" s="273"/>
      <c r="I1902" s="400"/>
      <c r="J1902" s="243" t="b">
        <f>Age_Sex_PY[[#This Row],[Total Spending After Applying Truncation at the Member Level]]+Age_Sex_PY[[#This Row],[Total Dollars Excluded from Spending After Applying Truncation at the Member Level]]=Age_Sex_PY[[#This Row],[Total Spending before Truncation is Applied]]</f>
        <v>1</v>
      </c>
    </row>
    <row r="1903" spans="1:10" x14ac:dyDescent="0.25">
      <c r="A1903" s="339"/>
      <c r="B1903" s="270"/>
      <c r="C1903" s="271"/>
      <c r="D1903" s="456"/>
      <c r="E1903" s="362"/>
      <c r="F1903" s="272"/>
      <c r="G1903" s="460"/>
      <c r="H1903" s="272"/>
      <c r="I1903" s="399"/>
      <c r="J1903" s="241" t="b">
        <f>Age_Sex_PY[[#This Row],[Total Spending After Applying Truncation at the Member Level]]+Age_Sex_PY[[#This Row],[Total Dollars Excluded from Spending After Applying Truncation at the Member Level]]=Age_Sex_PY[[#This Row],[Total Spending before Truncation is Applied]]</f>
        <v>1</v>
      </c>
    </row>
    <row r="1904" spans="1:10" x14ac:dyDescent="0.25">
      <c r="A1904" s="342"/>
      <c r="B1904" s="4"/>
      <c r="C1904" s="16"/>
      <c r="D1904" s="457"/>
      <c r="E1904" s="363"/>
      <c r="F1904" s="273"/>
      <c r="G1904" s="226"/>
      <c r="H1904" s="273"/>
      <c r="I1904" s="400"/>
      <c r="J1904" s="243" t="b">
        <f>Age_Sex_PY[[#This Row],[Total Spending After Applying Truncation at the Member Level]]+Age_Sex_PY[[#This Row],[Total Dollars Excluded from Spending After Applying Truncation at the Member Level]]=Age_Sex_PY[[#This Row],[Total Spending before Truncation is Applied]]</f>
        <v>1</v>
      </c>
    </row>
    <row r="1905" spans="1:10" x14ac:dyDescent="0.25">
      <c r="A1905" s="339"/>
      <c r="B1905" s="270"/>
      <c r="C1905" s="271"/>
      <c r="D1905" s="456"/>
      <c r="E1905" s="362"/>
      <c r="F1905" s="272"/>
      <c r="G1905" s="460"/>
      <c r="H1905" s="272"/>
      <c r="I1905" s="399"/>
      <c r="J1905" s="241" t="b">
        <f>Age_Sex_PY[[#This Row],[Total Spending After Applying Truncation at the Member Level]]+Age_Sex_PY[[#This Row],[Total Dollars Excluded from Spending After Applying Truncation at the Member Level]]=Age_Sex_PY[[#This Row],[Total Spending before Truncation is Applied]]</f>
        <v>1</v>
      </c>
    </row>
    <row r="1906" spans="1:10" x14ac:dyDescent="0.25">
      <c r="A1906" s="342"/>
      <c r="B1906" s="4"/>
      <c r="C1906" s="16"/>
      <c r="D1906" s="457"/>
      <c r="E1906" s="363"/>
      <c r="F1906" s="273"/>
      <c r="G1906" s="226"/>
      <c r="H1906" s="273"/>
      <c r="I1906" s="400"/>
      <c r="J1906" s="243" t="b">
        <f>Age_Sex_PY[[#This Row],[Total Spending After Applying Truncation at the Member Level]]+Age_Sex_PY[[#This Row],[Total Dollars Excluded from Spending After Applying Truncation at the Member Level]]=Age_Sex_PY[[#This Row],[Total Spending before Truncation is Applied]]</f>
        <v>1</v>
      </c>
    </row>
    <row r="1907" spans="1:10" x14ac:dyDescent="0.25">
      <c r="A1907" s="339"/>
      <c r="B1907" s="270"/>
      <c r="C1907" s="271"/>
      <c r="D1907" s="456"/>
      <c r="E1907" s="362"/>
      <c r="F1907" s="272"/>
      <c r="G1907" s="460"/>
      <c r="H1907" s="272"/>
      <c r="I1907" s="399"/>
      <c r="J1907" s="241" t="b">
        <f>Age_Sex_PY[[#This Row],[Total Spending After Applying Truncation at the Member Level]]+Age_Sex_PY[[#This Row],[Total Dollars Excluded from Spending After Applying Truncation at the Member Level]]=Age_Sex_PY[[#This Row],[Total Spending before Truncation is Applied]]</f>
        <v>1</v>
      </c>
    </row>
    <row r="1908" spans="1:10" x14ac:dyDescent="0.25">
      <c r="A1908" s="342"/>
      <c r="B1908" s="4"/>
      <c r="C1908" s="16"/>
      <c r="D1908" s="457"/>
      <c r="E1908" s="363"/>
      <c r="F1908" s="273"/>
      <c r="G1908" s="226"/>
      <c r="H1908" s="273"/>
      <c r="I1908" s="400"/>
      <c r="J1908" s="243" t="b">
        <f>Age_Sex_PY[[#This Row],[Total Spending After Applying Truncation at the Member Level]]+Age_Sex_PY[[#This Row],[Total Dollars Excluded from Spending After Applying Truncation at the Member Level]]=Age_Sex_PY[[#This Row],[Total Spending before Truncation is Applied]]</f>
        <v>1</v>
      </c>
    </row>
    <row r="1909" spans="1:10" x14ac:dyDescent="0.25">
      <c r="A1909" s="339"/>
      <c r="B1909" s="270"/>
      <c r="C1909" s="271"/>
      <c r="D1909" s="456"/>
      <c r="E1909" s="362"/>
      <c r="F1909" s="272"/>
      <c r="G1909" s="460"/>
      <c r="H1909" s="272"/>
      <c r="I1909" s="399"/>
      <c r="J1909" s="241" t="b">
        <f>Age_Sex_PY[[#This Row],[Total Spending After Applying Truncation at the Member Level]]+Age_Sex_PY[[#This Row],[Total Dollars Excluded from Spending After Applying Truncation at the Member Level]]=Age_Sex_PY[[#This Row],[Total Spending before Truncation is Applied]]</f>
        <v>1</v>
      </c>
    </row>
    <row r="1910" spans="1:10" x14ac:dyDescent="0.25">
      <c r="A1910" s="342"/>
      <c r="B1910" s="4"/>
      <c r="C1910" s="16"/>
      <c r="D1910" s="457"/>
      <c r="E1910" s="363"/>
      <c r="F1910" s="273"/>
      <c r="G1910" s="226"/>
      <c r="H1910" s="273"/>
      <c r="I1910" s="400"/>
      <c r="J1910" s="243" t="b">
        <f>Age_Sex_PY[[#This Row],[Total Spending After Applying Truncation at the Member Level]]+Age_Sex_PY[[#This Row],[Total Dollars Excluded from Spending After Applying Truncation at the Member Level]]=Age_Sex_PY[[#This Row],[Total Spending before Truncation is Applied]]</f>
        <v>1</v>
      </c>
    </row>
    <row r="1911" spans="1:10" x14ac:dyDescent="0.25">
      <c r="A1911" s="339"/>
      <c r="B1911" s="270"/>
      <c r="C1911" s="271"/>
      <c r="D1911" s="456"/>
      <c r="E1911" s="362"/>
      <c r="F1911" s="272"/>
      <c r="G1911" s="460"/>
      <c r="H1911" s="272"/>
      <c r="I1911" s="399"/>
      <c r="J1911" s="241" t="b">
        <f>Age_Sex_PY[[#This Row],[Total Spending After Applying Truncation at the Member Level]]+Age_Sex_PY[[#This Row],[Total Dollars Excluded from Spending After Applying Truncation at the Member Level]]=Age_Sex_PY[[#This Row],[Total Spending before Truncation is Applied]]</f>
        <v>1</v>
      </c>
    </row>
    <row r="1912" spans="1:10" x14ac:dyDescent="0.25">
      <c r="A1912" s="342"/>
      <c r="B1912" s="4"/>
      <c r="C1912" s="16"/>
      <c r="D1912" s="457"/>
      <c r="E1912" s="363"/>
      <c r="F1912" s="273"/>
      <c r="G1912" s="226"/>
      <c r="H1912" s="273"/>
      <c r="I1912" s="400"/>
      <c r="J1912" s="243" t="b">
        <f>Age_Sex_PY[[#This Row],[Total Spending After Applying Truncation at the Member Level]]+Age_Sex_PY[[#This Row],[Total Dollars Excluded from Spending After Applying Truncation at the Member Level]]=Age_Sex_PY[[#This Row],[Total Spending before Truncation is Applied]]</f>
        <v>1</v>
      </c>
    </row>
    <row r="1913" spans="1:10" x14ac:dyDescent="0.25">
      <c r="A1913" s="339"/>
      <c r="B1913" s="270"/>
      <c r="C1913" s="271"/>
      <c r="D1913" s="456"/>
      <c r="E1913" s="362"/>
      <c r="F1913" s="272"/>
      <c r="G1913" s="460"/>
      <c r="H1913" s="272"/>
      <c r="I1913" s="399"/>
      <c r="J1913" s="241" t="b">
        <f>Age_Sex_PY[[#This Row],[Total Spending After Applying Truncation at the Member Level]]+Age_Sex_PY[[#This Row],[Total Dollars Excluded from Spending After Applying Truncation at the Member Level]]=Age_Sex_PY[[#This Row],[Total Spending before Truncation is Applied]]</f>
        <v>1</v>
      </c>
    </row>
    <row r="1914" spans="1:10" x14ac:dyDescent="0.25">
      <c r="A1914" s="342"/>
      <c r="B1914" s="4"/>
      <c r="C1914" s="16"/>
      <c r="D1914" s="457"/>
      <c r="E1914" s="363"/>
      <c r="F1914" s="273"/>
      <c r="G1914" s="226"/>
      <c r="H1914" s="273"/>
      <c r="I1914" s="400"/>
      <c r="J1914" s="243" t="b">
        <f>Age_Sex_PY[[#This Row],[Total Spending After Applying Truncation at the Member Level]]+Age_Sex_PY[[#This Row],[Total Dollars Excluded from Spending After Applying Truncation at the Member Level]]=Age_Sex_PY[[#This Row],[Total Spending before Truncation is Applied]]</f>
        <v>1</v>
      </c>
    </row>
    <row r="1915" spans="1:10" x14ac:dyDescent="0.25">
      <c r="A1915" s="339"/>
      <c r="B1915" s="270"/>
      <c r="C1915" s="271"/>
      <c r="D1915" s="456"/>
      <c r="E1915" s="362"/>
      <c r="F1915" s="272"/>
      <c r="G1915" s="460"/>
      <c r="H1915" s="272"/>
      <c r="I1915" s="399"/>
      <c r="J1915" s="241" t="b">
        <f>Age_Sex_PY[[#This Row],[Total Spending After Applying Truncation at the Member Level]]+Age_Sex_PY[[#This Row],[Total Dollars Excluded from Spending After Applying Truncation at the Member Level]]=Age_Sex_PY[[#This Row],[Total Spending before Truncation is Applied]]</f>
        <v>1</v>
      </c>
    </row>
    <row r="1916" spans="1:10" x14ac:dyDescent="0.25">
      <c r="A1916" s="342"/>
      <c r="B1916" s="4"/>
      <c r="C1916" s="16"/>
      <c r="D1916" s="457"/>
      <c r="E1916" s="363"/>
      <c r="F1916" s="273"/>
      <c r="G1916" s="226"/>
      <c r="H1916" s="273"/>
      <c r="I1916" s="400"/>
      <c r="J1916" s="243" t="b">
        <f>Age_Sex_PY[[#This Row],[Total Spending After Applying Truncation at the Member Level]]+Age_Sex_PY[[#This Row],[Total Dollars Excluded from Spending After Applying Truncation at the Member Level]]=Age_Sex_PY[[#This Row],[Total Spending before Truncation is Applied]]</f>
        <v>1</v>
      </c>
    </row>
    <row r="1917" spans="1:10" x14ac:dyDescent="0.25">
      <c r="A1917" s="339"/>
      <c r="B1917" s="270"/>
      <c r="C1917" s="271"/>
      <c r="D1917" s="456"/>
      <c r="E1917" s="362"/>
      <c r="F1917" s="272"/>
      <c r="G1917" s="460"/>
      <c r="H1917" s="272"/>
      <c r="I1917" s="399"/>
      <c r="J1917" s="241" t="b">
        <f>Age_Sex_PY[[#This Row],[Total Spending After Applying Truncation at the Member Level]]+Age_Sex_PY[[#This Row],[Total Dollars Excluded from Spending After Applying Truncation at the Member Level]]=Age_Sex_PY[[#This Row],[Total Spending before Truncation is Applied]]</f>
        <v>1</v>
      </c>
    </row>
    <row r="1918" spans="1:10" x14ac:dyDescent="0.25">
      <c r="A1918" s="342"/>
      <c r="B1918" s="4"/>
      <c r="C1918" s="16"/>
      <c r="D1918" s="457"/>
      <c r="E1918" s="363"/>
      <c r="F1918" s="273"/>
      <c r="G1918" s="226"/>
      <c r="H1918" s="273"/>
      <c r="I1918" s="400"/>
      <c r="J1918" s="243" t="b">
        <f>Age_Sex_PY[[#This Row],[Total Spending After Applying Truncation at the Member Level]]+Age_Sex_PY[[#This Row],[Total Dollars Excluded from Spending After Applying Truncation at the Member Level]]=Age_Sex_PY[[#This Row],[Total Spending before Truncation is Applied]]</f>
        <v>1</v>
      </c>
    </row>
    <row r="1919" spans="1:10" x14ac:dyDescent="0.25">
      <c r="A1919" s="339"/>
      <c r="B1919" s="270"/>
      <c r="C1919" s="271"/>
      <c r="D1919" s="456"/>
      <c r="E1919" s="362"/>
      <c r="F1919" s="272"/>
      <c r="G1919" s="460"/>
      <c r="H1919" s="272"/>
      <c r="I1919" s="399"/>
      <c r="J1919" s="241" t="b">
        <f>Age_Sex_PY[[#This Row],[Total Spending After Applying Truncation at the Member Level]]+Age_Sex_PY[[#This Row],[Total Dollars Excluded from Spending After Applying Truncation at the Member Level]]=Age_Sex_PY[[#This Row],[Total Spending before Truncation is Applied]]</f>
        <v>1</v>
      </c>
    </row>
    <row r="1920" spans="1:10" x14ac:dyDescent="0.25">
      <c r="A1920" s="342"/>
      <c r="B1920" s="4"/>
      <c r="C1920" s="16"/>
      <c r="D1920" s="457"/>
      <c r="E1920" s="363"/>
      <c r="F1920" s="273"/>
      <c r="G1920" s="226"/>
      <c r="H1920" s="273"/>
      <c r="I1920" s="400"/>
      <c r="J1920" s="243" t="b">
        <f>Age_Sex_PY[[#This Row],[Total Spending After Applying Truncation at the Member Level]]+Age_Sex_PY[[#This Row],[Total Dollars Excluded from Spending After Applying Truncation at the Member Level]]=Age_Sex_PY[[#This Row],[Total Spending before Truncation is Applied]]</f>
        <v>1</v>
      </c>
    </row>
    <row r="1921" spans="1:10" x14ac:dyDescent="0.25">
      <c r="A1921" s="339"/>
      <c r="B1921" s="270"/>
      <c r="C1921" s="271"/>
      <c r="D1921" s="456"/>
      <c r="E1921" s="362"/>
      <c r="F1921" s="272"/>
      <c r="G1921" s="460"/>
      <c r="H1921" s="272"/>
      <c r="I1921" s="399"/>
      <c r="J1921" s="241" t="b">
        <f>Age_Sex_PY[[#This Row],[Total Spending After Applying Truncation at the Member Level]]+Age_Sex_PY[[#This Row],[Total Dollars Excluded from Spending After Applying Truncation at the Member Level]]=Age_Sex_PY[[#This Row],[Total Spending before Truncation is Applied]]</f>
        <v>1</v>
      </c>
    </row>
    <row r="1922" spans="1:10" x14ac:dyDescent="0.25">
      <c r="A1922" s="342"/>
      <c r="B1922" s="4"/>
      <c r="C1922" s="16"/>
      <c r="D1922" s="457"/>
      <c r="E1922" s="363"/>
      <c r="F1922" s="273"/>
      <c r="G1922" s="226"/>
      <c r="H1922" s="273"/>
      <c r="I1922" s="400"/>
      <c r="J1922" s="243" t="b">
        <f>Age_Sex_PY[[#This Row],[Total Spending After Applying Truncation at the Member Level]]+Age_Sex_PY[[#This Row],[Total Dollars Excluded from Spending After Applying Truncation at the Member Level]]=Age_Sex_PY[[#This Row],[Total Spending before Truncation is Applied]]</f>
        <v>1</v>
      </c>
    </row>
    <row r="1923" spans="1:10" x14ac:dyDescent="0.25">
      <c r="A1923" s="339"/>
      <c r="B1923" s="270"/>
      <c r="C1923" s="271"/>
      <c r="D1923" s="456"/>
      <c r="E1923" s="362"/>
      <c r="F1923" s="272"/>
      <c r="G1923" s="460"/>
      <c r="H1923" s="272"/>
      <c r="I1923" s="399"/>
      <c r="J1923" s="241" t="b">
        <f>Age_Sex_PY[[#This Row],[Total Spending After Applying Truncation at the Member Level]]+Age_Sex_PY[[#This Row],[Total Dollars Excluded from Spending After Applying Truncation at the Member Level]]=Age_Sex_PY[[#This Row],[Total Spending before Truncation is Applied]]</f>
        <v>1</v>
      </c>
    </row>
    <row r="1924" spans="1:10" x14ac:dyDescent="0.25">
      <c r="A1924" s="342"/>
      <c r="B1924" s="4"/>
      <c r="C1924" s="16"/>
      <c r="D1924" s="457"/>
      <c r="E1924" s="363"/>
      <c r="F1924" s="273"/>
      <c r="G1924" s="226"/>
      <c r="H1924" s="273"/>
      <c r="I1924" s="400"/>
      <c r="J1924" s="243" t="b">
        <f>Age_Sex_PY[[#This Row],[Total Spending After Applying Truncation at the Member Level]]+Age_Sex_PY[[#This Row],[Total Dollars Excluded from Spending After Applying Truncation at the Member Level]]=Age_Sex_PY[[#This Row],[Total Spending before Truncation is Applied]]</f>
        <v>1</v>
      </c>
    </row>
    <row r="1925" spans="1:10" x14ac:dyDescent="0.25">
      <c r="A1925" s="339"/>
      <c r="B1925" s="270"/>
      <c r="C1925" s="271"/>
      <c r="D1925" s="456"/>
      <c r="E1925" s="362"/>
      <c r="F1925" s="272"/>
      <c r="G1925" s="460"/>
      <c r="H1925" s="272"/>
      <c r="I1925" s="399"/>
      <c r="J1925" s="241" t="b">
        <f>Age_Sex_PY[[#This Row],[Total Spending After Applying Truncation at the Member Level]]+Age_Sex_PY[[#This Row],[Total Dollars Excluded from Spending After Applying Truncation at the Member Level]]=Age_Sex_PY[[#This Row],[Total Spending before Truncation is Applied]]</f>
        <v>1</v>
      </c>
    </row>
    <row r="1926" spans="1:10" x14ac:dyDescent="0.25">
      <c r="A1926" s="342"/>
      <c r="B1926" s="4"/>
      <c r="C1926" s="16"/>
      <c r="D1926" s="457"/>
      <c r="E1926" s="363"/>
      <c r="F1926" s="273"/>
      <c r="G1926" s="226"/>
      <c r="H1926" s="273"/>
      <c r="I1926" s="400"/>
      <c r="J1926" s="243" t="b">
        <f>Age_Sex_PY[[#This Row],[Total Spending After Applying Truncation at the Member Level]]+Age_Sex_PY[[#This Row],[Total Dollars Excluded from Spending After Applying Truncation at the Member Level]]=Age_Sex_PY[[#This Row],[Total Spending before Truncation is Applied]]</f>
        <v>1</v>
      </c>
    </row>
    <row r="1927" spans="1:10" x14ac:dyDescent="0.25">
      <c r="A1927" s="339"/>
      <c r="B1927" s="270"/>
      <c r="C1927" s="271"/>
      <c r="D1927" s="456"/>
      <c r="E1927" s="362"/>
      <c r="F1927" s="272"/>
      <c r="G1927" s="460"/>
      <c r="H1927" s="272"/>
      <c r="I1927" s="399"/>
      <c r="J1927" s="241" t="b">
        <f>Age_Sex_PY[[#This Row],[Total Spending After Applying Truncation at the Member Level]]+Age_Sex_PY[[#This Row],[Total Dollars Excluded from Spending After Applying Truncation at the Member Level]]=Age_Sex_PY[[#This Row],[Total Spending before Truncation is Applied]]</f>
        <v>1</v>
      </c>
    </row>
    <row r="1928" spans="1:10" x14ac:dyDescent="0.25">
      <c r="A1928" s="342"/>
      <c r="B1928" s="4"/>
      <c r="C1928" s="16"/>
      <c r="D1928" s="457"/>
      <c r="E1928" s="363"/>
      <c r="F1928" s="273"/>
      <c r="G1928" s="226"/>
      <c r="H1928" s="273"/>
      <c r="I1928" s="400"/>
      <c r="J1928" s="243" t="b">
        <f>Age_Sex_PY[[#This Row],[Total Spending After Applying Truncation at the Member Level]]+Age_Sex_PY[[#This Row],[Total Dollars Excluded from Spending After Applying Truncation at the Member Level]]=Age_Sex_PY[[#This Row],[Total Spending before Truncation is Applied]]</f>
        <v>1</v>
      </c>
    </row>
    <row r="1929" spans="1:10" x14ac:dyDescent="0.25">
      <c r="A1929" s="339"/>
      <c r="B1929" s="270"/>
      <c r="C1929" s="271"/>
      <c r="D1929" s="456"/>
      <c r="E1929" s="362"/>
      <c r="F1929" s="272"/>
      <c r="G1929" s="460"/>
      <c r="H1929" s="272"/>
      <c r="I1929" s="399"/>
      <c r="J1929" s="241" t="b">
        <f>Age_Sex_PY[[#This Row],[Total Spending After Applying Truncation at the Member Level]]+Age_Sex_PY[[#This Row],[Total Dollars Excluded from Spending After Applying Truncation at the Member Level]]=Age_Sex_PY[[#This Row],[Total Spending before Truncation is Applied]]</f>
        <v>1</v>
      </c>
    </row>
    <row r="1930" spans="1:10" x14ac:dyDescent="0.25">
      <c r="A1930" s="342"/>
      <c r="B1930" s="4"/>
      <c r="C1930" s="16"/>
      <c r="D1930" s="457"/>
      <c r="E1930" s="363"/>
      <c r="F1930" s="273"/>
      <c r="G1930" s="226"/>
      <c r="H1930" s="273"/>
      <c r="I1930" s="400"/>
      <c r="J1930" s="243" t="b">
        <f>Age_Sex_PY[[#This Row],[Total Spending After Applying Truncation at the Member Level]]+Age_Sex_PY[[#This Row],[Total Dollars Excluded from Spending After Applying Truncation at the Member Level]]=Age_Sex_PY[[#This Row],[Total Spending before Truncation is Applied]]</f>
        <v>1</v>
      </c>
    </row>
    <row r="1931" spans="1:10" x14ac:dyDescent="0.25">
      <c r="A1931" s="339"/>
      <c r="B1931" s="270"/>
      <c r="C1931" s="271"/>
      <c r="D1931" s="456"/>
      <c r="E1931" s="362"/>
      <c r="F1931" s="272"/>
      <c r="G1931" s="460"/>
      <c r="H1931" s="272"/>
      <c r="I1931" s="399"/>
      <c r="J1931" s="241" t="b">
        <f>Age_Sex_PY[[#This Row],[Total Spending After Applying Truncation at the Member Level]]+Age_Sex_PY[[#This Row],[Total Dollars Excluded from Spending After Applying Truncation at the Member Level]]=Age_Sex_PY[[#This Row],[Total Spending before Truncation is Applied]]</f>
        <v>1</v>
      </c>
    </row>
    <row r="1932" spans="1:10" x14ac:dyDescent="0.25">
      <c r="A1932" s="342"/>
      <c r="B1932" s="4"/>
      <c r="C1932" s="16"/>
      <c r="D1932" s="457"/>
      <c r="E1932" s="363"/>
      <c r="F1932" s="273"/>
      <c r="G1932" s="226"/>
      <c r="H1932" s="273"/>
      <c r="I1932" s="400"/>
      <c r="J1932" s="243" t="b">
        <f>Age_Sex_PY[[#This Row],[Total Spending After Applying Truncation at the Member Level]]+Age_Sex_PY[[#This Row],[Total Dollars Excluded from Spending After Applying Truncation at the Member Level]]=Age_Sex_PY[[#This Row],[Total Spending before Truncation is Applied]]</f>
        <v>1</v>
      </c>
    </row>
    <row r="1933" spans="1:10" x14ac:dyDescent="0.25">
      <c r="A1933" s="339"/>
      <c r="B1933" s="270"/>
      <c r="C1933" s="271"/>
      <c r="D1933" s="456"/>
      <c r="E1933" s="362"/>
      <c r="F1933" s="272"/>
      <c r="G1933" s="460"/>
      <c r="H1933" s="272"/>
      <c r="I1933" s="399"/>
      <c r="J1933" s="241" t="b">
        <f>Age_Sex_PY[[#This Row],[Total Spending After Applying Truncation at the Member Level]]+Age_Sex_PY[[#This Row],[Total Dollars Excluded from Spending After Applying Truncation at the Member Level]]=Age_Sex_PY[[#This Row],[Total Spending before Truncation is Applied]]</f>
        <v>1</v>
      </c>
    </row>
    <row r="1934" spans="1:10" x14ac:dyDescent="0.25">
      <c r="A1934" s="342"/>
      <c r="B1934" s="4"/>
      <c r="C1934" s="16"/>
      <c r="D1934" s="457"/>
      <c r="E1934" s="363"/>
      <c r="F1934" s="273"/>
      <c r="G1934" s="226"/>
      <c r="H1934" s="273"/>
      <c r="I1934" s="400"/>
      <c r="J1934" s="243" t="b">
        <f>Age_Sex_PY[[#This Row],[Total Spending After Applying Truncation at the Member Level]]+Age_Sex_PY[[#This Row],[Total Dollars Excluded from Spending After Applying Truncation at the Member Level]]=Age_Sex_PY[[#This Row],[Total Spending before Truncation is Applied]]</f>
        <v>1</v>
      </c>
    </row>
    <row r="1935" spans="1:10" x14ac:dyDescent="0.25">
      <c r="A1935" s="339"/>
      <c r="B1935" s="270"/>
      <c r="C1935" s="271"/>
      <c r="D1935" s="456"/>
      <c r="E1935" s="362"/>
      <c r="F1935" s="272"/>
      <c r="G1935" s="460"/>
      <c r="H1935" s="272"/>
      <c r="I1935" s="399"/>
      <c r="J1935" s="241" t="b">
        <f>Age_Sex_PY[[#This Row],[Total Spending After Applying Truncation at the Member Level]]+Age_Sex_PY[[#This Row],[Total Dollars Excluded from Spending After Applying Truncation at the Member Level]]=Age_Sex_PY[[#This Row],[Total Spending before Truncation is Applied]]</f>
        <v>1</v>
      </c>
    </row>
    <row r="1936" spans="1:10" x14ac:dyDescent="0.25">
      <c r="A1936" s="342"/>
      <c r="B1936" s="4"/>
      <c r="C1936" s="16"/>
      <c r="D1936" s="457"/>
      <c r="E1936" s="363"/>
      <c r="F1936" s="273"/>
      <c r="G1936" s="226"/>
      <c r="H1936" s="273"/>
      <c r="I1936" s="400"/>
      <c r="J1936" s="243" t="b">
        <f>Age_Sex_PY[[#This Row],[Total Spending After Applying Truncation at the Member Level]]+Age_Sex_PY[[#This Row],[Total Dollars Excluded from Spending After Applying Truncation at the Member Level]]=Age_Sex_PY[[#This Row],[Total Spending before Truncation is Applied]]</f>
        <v>1</v>
      </c>
    </row>
    <row r="1937" spans="1:10" x14ac:dyDescent="0.25">
      <c r="A1937" s="339"/>
      <c r="B1937" s="270"/>
      <c r="C1937" s="271"/>
      <c r="D1937" s="456"/>
      <c r="E1937" s="362"/>
      <c r="F1937" s="272"/>
      <c r="G1937" s="460"/>
      <c r="H1937" s="272"/>
      <c r="I1937" s="399"/>
      <c r="J1937" s="241" t="b">
        <f>Age_Sex_PY[[#This Row],[Total Spending After Applying Truncation at the Member Level]]+Age_Sex_PY[[#This Row],[Total Dollars Excluded from Spending After Applying Truncation at the Member Level]]=Age_Sex_PY[[#This Row],[Total Spending before Truncation is Applied]]</f>
        <v>1</v>
      </c>
    </row>
    <row r="1938" spans="1:10" x14ac:dyDescent="0.25">
      <c r="A1938" s="342"/>
      <c r="B1938" s="4"/>
      <c r="C1938" s="16"/>
      <c r="D1938" s="457"/>
      <c r="E1938" s="363"/>
      <c r="F1938" s="273"/>
      <c r="G1938" s="226"/>
      <c r="H1938" s="273"/>
      <c r="I1938" s="400"/>
      <c r="J1938" s="243" t="b">
        <f>Age_Sex_PY[[#This Row],[Total Spending After Applying Truncation at the Member Level]]+Age_Sex_PY[[#This Row],[Total Dollars Excluded from Spending After Applying Truncation at the Member Level]]=Age_Sex_PY[[#This Row],[Total Spending before Truncation is Applied]]</f>
        <v>1</v>
      </c>
    </row>
    <row r="1939" spans="1:10" x14ac:dyDescent="0.25">
      <c r="A1939" s="339"/>
      <c r="B1939" s="270"/>
      <c r="C1939" s="271"/>
      <c r="D1939" s="456"/>
      <c r="E1939" s="362"/>
      <c r="F1939" s="272"/>
      <c r="G1939" s="460"/>
      <c r="H1939" s="272"/>
      <c r="I1939" s="399"/>
      <c r="J1939" s="241" t="b">
        <f>Age_Sex_PY[[#This Row],[Total Spending After Applying Truncation at the Member Level]]+Age_Sex_PY[[#This Row],[Total Dollars Excluded from Spending After Applying Truncation at the Member Level]]=Age_Sex_PY[[#This Row],[Total Spending before Truncation is Applied]]</f>
        <v>1</v>
      </c>
    </row>
    <row r="1940" spans="1:10" x14ac:dyDescent="0.25">
      <c r="A1940" s="342"/>
      <c r="B1940" s="4"/>
      <c r="C1940" s="16"/>
      <c r="D1940" s="457"/>
      <c r="E1940" s="363"/>
      <c r="F1940" s="273"/>
      <c r="G1940" s="226"/>
      <c r="H1940" s="273"/>
      <c r="I1940" s="400"/>
      <c r="J1940" s="243" t="b">
        <f>Age_Sex_PY[[#This Row],[Total Spending After Applying Truncation at the Member Level]]+Age_Sex_PY[[#This Row],[Total Dollars Excluded from Spending After Applying Truncation at the Member Level]]=Age_Sex_PY[[#This Row],[Total Spending before Truncation is Applied]]</f>
        <v>1</v>
      </c>
    </row>
    <row r="1941" spans="1:10" x14ac:dyDescent="0.25">
      <c r="A1941" s="339"/>
      <c r="B1941" s="270"/>
      <c r="C1941" s="271"/>
      <c r="D1941" s="456"/>
      <c r="E1941" s="362"/>
      <c r="F1941" s="272"/>
      <c r="G1941" s="460"/>
      <c r="H1941" s="272"/>
      <c r="I1941" s="399"/>
      <c r="J1941" s="241" t="b">
        <f>Age_Sex_PY[[#This Row],[Total Spending After Applying Truncation at the Member Level]]+Age_Sex_PY[[#This Row],[Total Dollars Excluded from Spending After Applying Truncation at the Member Level]]=Age_Sex_PY[[#This Row],[Total Spending before Truncation is Applied]]</f>
        <v>1</v>
      </c>
    </row>
    <row r="1942" spans="1:10" x14ac:dyDescent="0.25">
      <c r="A1942" s="342"/>
      <c r="B1942" s="4"/>
      <c r="C1942" s="16"/>
      <c r="D1942" s="457"/>
      <c r="E1942" s="363"/>
      <c r="F1942" s="273"/>
      <c r="G1942" s="226"/>
      <c r="H1942" s="273"/>
      <c r="I1942" s="400"/>
      <c r="J1942" s="243" t="b">
        <f>Age_Sex_PY[[#This Row],[Total Spending After Applying Truncation at the Member Level]]+Age_Sex_PY[[#This Row],[Total Dollars Excluded from Spending After Applying Truncation at the Member Level]]=Age_Sex_PY[[#This Row],[Total Spending before Truncation is Applied]]</f>
        <v>1</v>
      </c>
    </row>
    <row r="1943" spans="1:10" x14ac:dyDescent="0.25">
      <c r="A1943" s="339"/>
      <c r="B1943" s="270"/>
      <c r="C1943" s="271"/>
      <c r="D1943" s="456"/>
      <c r="E1943" s="362"/>
      <c r="F1943" s="272"/>
      <c r="G1943" s="460"/>
      <c r="H1943" s="272"/>
      <c r="I1943" s="399"/>
      <c r="J1943" s="241" t="b">
        <f>Age_Sex_PY[[#This Row],[Total Spending After Applying Truncation at the Member Level]]+Age_Sex_PY[[#This Row],[Total Dollars Excluded from Spending After Applying Truncation at the Member Level]]=Age_Sex_PY[[#This Row],[Total Spending before Truncation is Applied]]</f>
        <v>1</v>
      </c>
    </row>
    <row r="1944" spans="1:10" x14ac:dyDescent="0.25">
      <c r="A1944" s="342"/>
      <c r="B1944" s="4"/>
      <c r="C1944" s="16"/>
      <c r="D1944" s="457"/>
      <c r="E1944" s="363"/>
      <c r="F1944" s="273"/>
      <c r="G1944" s="226"/>
      <c r="H1944" s="273"/>
      <c r="I1944" s="400"/>
      <c r="J1944" s="243" t="b">
        <f>Age_Sex_PY[[#This Row],[Total Spending After Applying Truncation at the Member Level]]+Age_Sex_PY[[#This Row],[Total Dollars Excluded from Spending After Applying Truncation at the Member Level]]=Age_Sex_PY[[#This Row],[Total Spending before Truncation is Applied]]</f>
        <v>1</v>
      </c>
    </row>
    <row r="1945" spans="1:10" x14ac:dyDescent="0.25">
      <c r="A1945" s="339"/>
      <c r="B1945" s="270"/>
      <c r="C1945" s="271"/>
      <c r="D1945" s="456"/>
      <c r="E1945" s="362"/>
      <c r="F1945" s="272"/>
      <c r="G1945" s="460"/>
      <c r="H1945" s="272"/>
      <c r="I1945" s="399"/>
      <c r="J1945" s="241" t="b">
        <f>Age_Sex_PY[[#This Row],[Total Spending After Applying Truncation at the Member Level]]+Age_Sex_PY[[#This Row],[Total Dollars Excluded from Spending After Applying Truncation at the Member Level]]=Age_Sex_PY[[#This Row],[Total Spending before Truncation is Applied]]</f>
        <v>1</v>
      </c>
    </row>
    <row r="1946" spans="1:10" x14ac:dyDescent="0.25">
      <c r="A1946" s="342"/>
      <c r="B1946" s="4"/>
      <c r="C1946" s="16"/>
      <c r="D1946" s="457"/>
      <c r="E1946" s="363"/>
      <c r="F1946" s="273"/>
      <c r="G1946" s="226"/>
      <c r="H1946" s="273"/>
      <c r="I1946" s="400"/>
      <c r="J1946" s="243" t="b">
        <f>Age_Sex_PY[[#This Row],[Total Spending After Applying Truncation at the Member Level]]+Age_Sex_PY[[#This Row],[Total Dollars Excluded from Spending After Applying Truncation at the Member Level]]=Age_Sex_PY[[#This Row],[Total Spending before Truncation is Applied]]</f>
        <v>1</v>
      </c>
    </row>
    <row r="1947" spans="1:10" x14ac:dyDescent="0.25">
      <c r="A1947" s="339"/>
      <c r="B1947" s="270"/>
      <c r="C1947" s="271"/>
      <c r="D1947" s="456"/>
      <c r="E1947" s="362"/>
      <c r="F1947" s="272"/>
      <c r="G1947" s="460"/>
      <c r="H1947" s="272"/>
      <c r="I1947" s="399"/>
      <c r="J1947" s="241" t="b">
        <f>Age_Sex_PY[[#This Row],[Total Spending After Applying Truncation at the Member Level]]+Age_Sex_PY[[#This Row],[Total Dollars Excluded from Spending After Applying Truncation at the Member Level]]=Age_Sex_PY[[#This Row],[Total Spending before Truncation is Applied]]</f>
        <v>1</v>
      </c>
    </row>
    <row r="1948" spans="1:10" x14ac:dyDescent="0.25">
      <c r="A1948" s="342"/>
      <c r="B1948" s="4"/>
      <c r="C1948" s="16"/>
      <c r="D1948" s="457"/>
      <c r="E1948" s="363"/>
      <c r="F1948" s="273"/>
      <c r="G1948" s="226"/>
      <c r="H1948" s="273"/>
      <c r="I1948" s="400"/>
      <c r="J1948" s="243" t="b">
        <f>Age_Sex_PY[[#This Row],[Total Spending After Applying Truncation at the Member Level]]+Age_Sex_PY[[#This Row],[Total Dollars Excluded from Spending After Applying Truncation at the Member Level]]=Age_Sex_PY[[#This Row],[Total Spending before Truncation is Applied]]</f>
        <v>1</v>
      </c>
    </row>
    <row r="1949" spans="1:10" x14ac:dyDescent="0.25">
      <c r="A1949" s="339"/>
      <c r="B1949" s="270"/>
      <c r="C1949" s="271"/>
      <c r="D1949" s="456"/>
      <c r="E1949" s="362"/>
      <c r="F1949" s="272"/>
      <c r="G1949" s="460"/>
      <c r="H1949" s="272"/>
      <c r="I1949" s="399"/>
      <c r="J1949" s="241" t="b">
        <f>Age_Sex_PY[[#This Row],[Total Spending After Applying Truncation at the Member Level]]+Age_Sex_PY[[#This Row],[Total Dollars Excluded from Spending After Applying Truncation at the Member Level]]=Age_Sex_PY[[#This Row],[Total Spending before Truncation is Applied]]</f>
        <v>1</v>
      </c>
    </row>
    <row r="1950" spans="1:10" x14ac:dyDescent="0.25">
      <c r="A1950" s="342"/>
      <c r="B1950" s="4"/>
      <c r="C1950" s="16"/>
      <c r="D1950" s="457"/>
      <c r="E1950" s="363"/>
      <c r="F1950" s="273"/>
      <c r="G1950" s="226"/>
      <c r="H1950" s="273"/>
      <c r="I1950" s="400"/>
      <c r="J1950" s="243" t="b">
        <f>Age_Sex_PY[[#This Row],[Total Spending After Applying Truncation at the Member Level]]+Age_Sex_PY[[#This Row],[Total Dollars Excluded from Spending After Applying Truncation at the Member Level]]=Age_Sex_PY[[#This Row],[Total Spending before Truncation is Applied]]</f>
        <v>1</v>
      </c>
    </row>
    <row r="1951" spans="1:10" x14ac:dyDescent="0.25">
      <c r="A1951" s="339"/>
      <c r="B1951" s="270"/>
      <c r="C1951" s="271"/>
      <c r="D1951" s="456"/>
      <c r="E1951" s="362"/>
      <c r="F1951" s="272"/>
      <c r="G1951" s="460"/>
      <c r="H1951" s="272"/>
      <c r="I1951" s="399"/>
      <c r="J1951" s="241" t="b">
        <f>Age_Sex_PY[[#This Row],[Total Spending After Applying Truncation at the Member Level]]+Age_Sex_PY[[#This Row],[Total Dollars Excluded from Spending After Applying Truncation at the Member Level]]=Age_Sex_PY[[#This Row],[Total Spending before Truncation is Applied]]</f>
        <v>1</v>
      </c>
    </row>
    <row r="1952" spans="1:10" x14ac:dyDescent="0.25">
      <c r="A1952" s="342"/>
      <c r="B1952" s="4"/>
      <c r="C1952" s="16"/>
      <c r="D1952" s="457"/>
      <c r="E1952" s="363"/>
      <c r="F1952" s="273"/>
      <c r="G1952" s="226"/>
      <c r="H1952" s="273"/>
      <c r="I1952" s="400"/>
      <c r="J1952" s="243" t="b">
        <f>Age_Sex_PY[[#This Row],[Total Spending After Applying Truncation at the Member Level]]+Age_Sex_PY[[#This Row],[Total Dollars Excluded from Spending After Applying Truncation at the Member Level]]=Age_Sex_PY[[#This Row],[Total Spending before Truncation is Applied]]</f>
        <v>1</v>
      </c>
    </row>
    <row r="1953" spans="1:10" x14ac:dyDescent="0.25">
      <c r="A1953" s="339"/>
      <c r="B1953" s="270"/>
      <c r="C1953" s="271"/>
      <c r="D1953" s="456"/>
      <c r="E1953" s="362"/>
      <c r="F1953" s="272"/>
      <c r="G1953" s="460"/>
      <c r="H1953" s="272"/>
      <c r="I1953" s="399"/>
      <c r="J1953" s="241" t="b">
        <f>Age_Sex_PY[[#This Row],[Total Spending After Applying Truncation at the Member Level]]+Age_Sex_PY[[#This Row],[Total Dollars Excluded from Spending After Applying Truncation at the Member Level]]=Age_Sex_PY[[#This Row],[Total Spending before Truncation is Applied]]</f>
        <v>1</v>
      </c>
    </row>
    <row r="1954" spans="1:10" x14ac:dyDescent="0.25">
      <c r="A1954" s="342"/>
      <c r="B1954" s="4"/>
      <c r="C1954" s="16"/>
      <c r="D1954" s="457"/>
      <c r="E1954" s="363"/>
      <c r="F1954" s="273"/>
      <c r="G1954" s="226"/>
      <c r="H1954" s="273"/>
      <c r="I1954" s="400"/>
      <c r="J1954" s="243" t="b">
        <f>Age_Sex_PY[[#This Row],[Total Spending After Applying Truncation at the Member Level]]+Age_Sex_PY[[#This Row],[Total Dollars Excluded from Spending After Applying Truncation at the Member Level]]=Age_Sex_PY[[#This Row],[Total Spending before Truncation is Applied]]</f>
        <v>1</v>
      </c>
    </row>
    <row r="1955" spans="1:10" x14ac:dyDescent="0.25">
      <c r="A1955" s="339"/>
      <c r="B1955" s="270"/>
      <c r="C1955" s="271"/>
      <c r="D1955" s="456"/>
      <c r="E1955" s="362"/>
      <c r="F1955" s="272"/>
      <c r="G1955" s="460"/>
      <c r="H1955" s="272"/>
      <c r="I1955" s="399"/>
      <c r="J1955" s="241" t="b">
        <f>Age_Sex_PY[[#This Row],[Total Spending After Applying Truncation at the Member Level]]+Age_Sex_PY[[#This Row],[Total Dollars Excluded from Spending After Applying Truncation at the Member Level]]=Age_Sex_PY[[#This Row],[Total Spending before Truncation is Applied]]</f>
        <v>1</v>
      </c>
    </row>
    <row r="1956" spans="1:10" x14ac:dyDescent="0.25">
      <c r="A1956" s="342"/>
      <c r="B1956" s="4"/>
      <c r="C1956" s="16"/>
      <c r="D1956" s="457"/>
      <c r="E1956" s="363"/>
      <c r="F1956" s="273"/>
      <c r="G1956" s="226"/>
      <c r="H1956" s="273"/>
      <c r="I1956" s="400"/>
      <c r="J1956" s="243" t="b">
        <f>Age_Sex_PY[[#This Row],[Total Spending After Applying Truncation at the Member Level]]+Age_Sex_PY[[#This Row],[Total Dollars Excluded from Spending After Applying Truncation at the Member Level]]=Age_Sex_PY[[#This Row],[Total Spending before Truncation is Applied]]</f>
        <v>1</v>
      </c>
    </row>
    <row r="1957" spans="1:10" x14ac:dyDescent="0.25">
      <c r="A1957" s="339"/>
      <c r="B1957" s="270"/>
      <c r="C1957" s="271"/>
      <c r="D1957" s="456"/>
      <c r="E1957" s="362"/>
      <c r="F1957" s="272"/>
      <c r="G1957" s="460"/>
      <c r="H1957" s="272"/>
      <c r="I1957" s="399"/>
      <c r="J1957" s="241" t="b">
        <f>Age_Sex_PY[[#This Row],[Total Spending After Applying Truncation at the Member Level]]+Age_Sex_PY[[#This Row],[Total Dollars Excluded from Spending After Applying Truncation at the Member Level]]=Age_Sex_PY[[#This Row],[Total Spending before Truncation is Applied]]</f>
        <v>1</v>
      </c>
    </row>
    <row r="1958" spans="1:10" x14ac:dyDescent="0.25">
      <c r="A1958" s="342"/>
      <c r="B1958" s="4"/>
      <c r="C1958" s="16"/>
      <c r="D1958" s="457"/>
      <c r="E1958" s="363"/>
      <c r="F1958" s="273"/>
      <c r="G1958" s="226"/>
      <c r="H1958" s="273"/>
      <c r="I1958" s="400"/>
      <c r="J1958" s="243" t="b">
        <f>Age_Sex_PY[[#This Row],[Total Spending After Applying Truncation at the Member Level]]+Age_Sex_PY[[#This Row],[Total Dollars Excluded from Spending After Applying Truncation at the Member Level]]=Age_Sex_PY[[#This Row],[Total Spending before Truncation is Applied]]</f>
        <v>1</v>
      </c>
    </row>
    <row r="1959" spans="1:10" x14ac:dyDescent="0.25">
      <c r="A1959" s="339"/>
      <c r="B1959" s="270"/>
      <c r="C1959" s="271"/>
      <c r="D1959" s="456"/>
      <c r="E1959" s="362"/>
      <c r="F1959" s="272"/>
      <c r="G1959" s="460"/>
      <c r="H1959" s="272"/>
      <c r="I1959" s="399"/>
      <c r="J1959" s="241" t="b">
        <f>Age_Sex_PY[[#This Row],[Total Spending After Applying Truncation at the Member Level]]+Age_Sex_PY[[#This Row],[Total Dollars Excluded from Spending After Applying Truncation at the Member Level]]=Age_Sex_PY[[#This Row],[Total Spending before Truncation is Applied]]</f>
        <v>1</v>
      </c>
    </row>
    <row r="1960" spans="1:10" x14ac:dyDescent="0.25">
      <c r="A1960" s="342"/>
      <c r="B1960" s="4"/>
      <c r="C1960" s="16"/>
      <c r="D1960" s="457"/>
      <c r="E1960" s="363"/>
      <c r="F1960" s="273"/>
      <c r="G1960" s="226"/>
      <c r="H1960" s="273"/>
      <c r="I1960" s="400"/>
      <c r="J1960" s="243" t="b">
        <f>Age_Sex_PY[[#This Row],[Total Spending After Applying Truncation at the Member Level]]+Age_Sex_PY[[#This Row],[Total Dollars Excluded from Spending After Applying Truncation at the Member Level]]=Age_Sex_PY[[#This Row],[Total Spending before Truncation is Applied]]</f>
        <v>1</v>
      </c>
    </row>
    <row r="1961" spans="1:10" x14ac:dyDescent="0.25">
      <c r="A1961" s="339"/>
      <c r="B1961" s="270"/>
      <c r="C1961" s="271"/>
      <c r="D1961" s="456"/>
      <c r="E1961" s="362"/>
      <c r="F1961" s="272"/>
      <c r="G1961" s="460"/>
      <c r="H1961" s="272"/>
      <c r="I1961" s="399"/>
      <c r="J1961" s="241" t="b">
        <f>Age_Sex_PY[[#This Row],[Total Spending After Applying Truncation at the Member Level]]+Age_Sex_PY[[#This Row],[Total Dollars Excluded from Spending After Applying Truncation at the Member Level]]=Age_Sex_PY[[#This Row],[Total Spending before Truncation is Applied]]</f>
        <v>1</v>
      </c>
    </row>
    <row r="1962" spans="1:10" x14ac:dyDescent="0.25">
      <c r="A1962" s="342"/>
      <c r="B1962" s="4"/>
      <c r="C1962" s="16"/>
      <c r="D1962" s="457"/>
      <c r="E1962" s="363"/>
      <c r="F1962" s="273"/>
      <c r="G1962" s="226"/>
      <c r="H1962" s="273"/>
      <c r="I1962" s="400"/>
      <c r="J1962" s="243" t="b">
        <f>Age_Sex_PY[[#This Row],[Total Spending After Applying Truncation at the Member Level]]+Age_Sex_PY[[#This Row],[Total Dollars Excluded from Spending After Applying Truncation at the Member Level]]=Age_Sex_PY[[#This Row],[Total Spending before Truncation is Applied]]</f>
        <v>1</v>
      </c>
    </row>
    <row r="1963" spans="1:10" x14ac:dyDescent="0.25">
      <c r="A1963" s="339"/>
      <c r="B1963" s="270"/>
      <c r="C1963" s="271"/>
      <c r="D1963" s="456"/>
      <c r="E1963" s="362"/>
      <c r="F1963" s="272"/>
      <c r="G1963" s="460"/>
      <c r="H1963" s="272"/>
      <c r="I1963" s="399"/>
      <c r="J1963" s="241" t="b">
        <f>Age_Sex_PY[[#This Row],[Total Spending After Applying Truncation at the Member Level]]+Age_Sex_PY[[#This Row],[Total Dollars Excluded from Spending After Applying Truncation at the Member Level]]=Age_Sex_PY[[#This Row],[Total Spending before Truncation is Applied]]</f>
        <v>1</v>
      </c>
    </row>
    <row r="1964" spans="1:10" x14ac:dyDescent="0.25">
      <c r="A1964" s="342"/>
      <c r="B1964" s="4"/>
      <c r="C1964" s="16"/>
      <c r="D1964" s="457"/>
      <c r="E1964" s="363"/>
      <c r="F1964" s="273"/>
      <c r="G1964" s="226"/>
      <c r="H1964" s="273"/>
      <c r="I1964" s="400"/>
      <c r="J1964" s="243" t="b">
        <f>Age_Sex_PY[[#This Row],[Total Spending After Applying Truncation at the Member Level]]+Age_Sex_PY[[#This Row],[Total Dollars Excluded from Spending After Applying Truncation at the Member Level]]=Age_Sex_PY[[#This Row],[Total Spending before Truncation is Applied]]</f>
        <v>1</v>
      </c>
    </row>
    <row r="1965" spans="1:10" x14ac:dyDescent="0.25">
      <c r="A1965" s="339"/>
      <c r="B1965" s="270"/>
      <c r="C1965" s="271"/>
      <c r="D1965" s="456"/>
      <c r="E1965" s="362"/>
      <c r="F1965" s="272"/>
      <c r="G1965" s="460"/>
      <c r="H1965" s="272"/>
      <c r="I1965" s="399"/>
      <c r="J1965" s="241" t="b">
        <f>Age_Sex_PY[[#This Row],[Total Spending After Applying Truncation at the Member Level]]+Age_Sex_PY[[#This Row],[Total Dollars Excluded from Spending After Applying Truncation at the Member Level]]=Age_Sex_PY[[#This Row],[Total Spending before Truncation is Applied]]</f>
        <v>1</v>
      </c>
    </row>
    <row r="1966" spans="1:10" x14ac:dyDescent="0.25">
      <c r="A1966" s="342"/>
      <c r="B1966" s="4"/>
      <c r="C1966" s="16"/>
      <c r="D1966" s="457"/>
      <c r="E1966" s="363"/>
      <c r="F1966" s="273"/>
      <c r="G1966" s="226"/>
      <c r="H1966" s="273"/>
      <c r="I1966" s="400"/>
      <c r="J1966" s="243" t="b">
        <f>Age_Sex_PY[[#This Row],[Total Spending After Applying Truncation at the Member Level]]+Age_Sex_PY[[#This Row],[Total Dollars Excluded from Spending After Applying Truncation at the Member Level]]=Age_Sex_PY[[#This Row],[Total Spending before Truncation is Applied]]</f>
        <v>1</v>
      </c>
    </row>
    <row r="1967" spans="1:10" x14ac:dyDescent="0.25">
      <c r="A1967" s="339"/>
      <c r="B1967" s="270"/>
      <c r="C1967" s="271"/>
      <c r="D1967" s="456"/>
      <c r="E1967" s="362"/>
      <c r="F1967" s="272"/>
      <c r="G1967" s="460"/>
      <c r="H1967" s="272"/>
      <c r="I1967" s="399"/>
      <c r="J1967" s="241" t="b">
        <f>Age_Sex_PY[[#This Row],[Total Spending After Applying Truncation at the Member Level]]+Age_Sex_PY[[#This Row],[Total Dollars Excluded from Spending After Applying Truncation at the Member Level]]=Age_Sex_PY[[#This Row],[Total Spending before Truncation is Applied]]</f>
        <v>1</v>
      </c>
    </row>
    <row r="1968" spans="1:10" x14ac:dyDescent="0.25">
      <c r="A1968" s="342"/>
      <c r="B1968" s="4"/>
      <c r="C1968" s="16"/>
      <c r="D1968" s="457"/>
      <c r="E1968" s="363"/>
      <c r="F1968" s="273"/>
      <c r="G1968" s="226"/>
      <c r="H1968" s="273"/>
      <c r="I1968" s="400"/>
      <c r="J1968" s="243" t="b">
        <f>Age_Sex_PY[[#This Row],[Total Spending After Applying Truncation at the Member Level]]+Age_Sex_PY[[#This Row],[Total Dollars Excluded from Spending After Applying Truncation at the Member Level]]=Age_Sex_PY[[#This Row],[Total Spending before Truncation is Applied]]</f>
        <v>1</v>
      </c>
    </row>
    <row r="1969" spans="1:10" x14ac:dyDescent="0.25">
      <c r="A1969" s="339"/>
      <c r="B1969" s="270"/>
      <c r="C1969" s="271"/>
      <c r="D1969" s="456"/>
      <c r="E1969" s="362"/>
      <c r="F1969" s="272"/>
      <c r="G1969" s="460"/>
      <c r="H1969" s="272"/>
      <c r="I1969" s="399"/>
      <c r="J1969" s="241" t="b">
        <f>Age_Sex_PY[[#This Row],[Total Spending After Applying Truncation at the Member Level]]+Age_Sex_PY[[#This Row],[Total Dollars Excluded from Spending After Applying Truncation at the Member Level]]=Age_Sex_PY[[#This Row],[Total Spending before Truncation is Applied]]</f>
        <v>1</v>
      </c>
    </row>
    <row r="1970" spans="1:10" x14ac:dyDescent="0.25">
      <c r="A1970" s="342"/>
      <c r="B1970" s="4"/>
      <c r="C1970" s="16"/>
      <c r="D1970" s="457"/>
      <c r="E1970" s="363"/>
      <c r="F1970" s="273"/>
      <c r="G1970" s="226"/>
      <c r="H1970" s="273"/>
      <c r="I1970" s="400"/>
      <c r="J1970" s="243" t="b">
        <f>Age_Sex_PY[[#This Row],[Total Spending After Applying Truncation at the Member Level]]+Age_Sex_PY[[#This Row],[Total Dollars Excluded from Spending After Applying Truncation at the Member Level]]=Age_Sex_PY[[#This Row],[Total Spending before Truncation is Applied]]</f>
        <v>1</v>
      </c>
    </row>
    <row r="1971" spans="1:10" x14ac:dyDescent="0.25">
      <c r="A1971" s="339"/>
      <c r="B1971" s="270"/>
      <c r="C1971" s="271"/>
      <c r="D1971" s="456"/>
      <c r="E1971" s="362"/>
      <c r="F1971" s="272"/>
      <c r="G1971" s="460"/>
      <c r="H1971" s="272"/>
      <c r="I1971" s="399"/>
      <c r="J1971" s="241" t="b">
        <f>Age_Sex_PY[[#This Row],[Total Spending After Applying Truncation at the Member Level]]+Age_Sex_PY[[#This Row],[Total Dollars Excluded from Spending After Applying Truncation at the Member Level]]=Age_Sex_PY[[#This Row],[Total Spending before Truncation is Applied]]</f>
        <v>1</v>
      </c>
    </row>
    <row r="1972" spans="1:10" x14ac:dyDescent="0.25">
      <c r="A1972" s="342"/>
      <c r="B1972" s="4"/>
      <c r="C1972" s="16"/>
      <c r="D1972" s="457"/>
      <c r="E1972" s="363"/>
      <c r="F1972" s="273"/>
      <c r="G1972" s="226"/>
      <c r="H1972" s="273"/>
      <c r="I1972" s="400"/>
      <c r="J1972" s="243" t="b">
        <f>Age_Sex_PY[[#This Row],[Total Spending After Applying Truncation at the Member Level]]+Age_Sex_PY[[#This Row],[Total Dollars Excluded from Spending After Applying Truncation at the Member Level]]=Age_Sex_PY[[#This Row],[Total Spending before Truncation is Applied]]</f>
        <v>1</v>
      </c>
    </row>
    <row r="1973" spans="1:10" x14ac:dyDescent="0.25">
      <c r="A1973" s="339"/>
      <c r="B1973" s="270"/>
      <c r="C1973" s="271"/>
      <c r="D1973" s="456"/>
      <c r="E1973" s="362"/>
      <c r="F1973" s="272"/>
      <c r="G1973" s="460"/>
      <c r="H1973" s="272"/>
      <c r="I1973" s="399"/>
      <c r="J1973" s="241" t="b">
        <f>Age_Sex_PY[[#This Row],[Total Spending After Applying Truncation at the Member Level]]+Age_Sex_PY[[#This Row],[Total Dollars Excluded from Spending After Applying Truncation at the Member Level]]=Age_Sex_PY[[#This Row],[Total Spending before Truncation is Applied]]</f>
        <v>1</v>
      </c>
    </row>
    <row r="1974" spans="1:10" x14ac:dyDescent="0.25">
      <c r="A1974" s="342"/>
      <c r="B1974" s="4"/>
      <c r="C1974" s="16"/>
      <c r="D1974" s="457"/>
      <c r="E1974" s="363"/>
      <c r="F1974" s="273"/>
      <c r="G1974" s="226"/>
      <c r="H1974" s="273"/>
      <c r="I1974" s="400"/>
      <c r="J1974" s="243" t="b">
        <f>Age_Sex_PY[[#This Row],[Total Spending After Applying Truncation at the Member Level]]+Age_Sex_PY[[#This Row],[Total Dollars Excluded from Spending After Applying Truncation at the Member Level]]=Age_Sex_PY[[#This Row],[Total Spending before Truncation is Applied]]</f>
        <v>1</v>
      </c>
    </row>
    <row r="1975" spans="1:10" x14ac:dyDescent="0.25">
      <c r="A1975" s="339"/>
      <c r="B1975" s="270"/>
      <c r="C1975" s="271"/>
      <c r="D1975" s="456"/>
      <c r="E1975" s="362"/>
      <c r="F1975" s="272"/>
      <c r="G1975" s="460"/>
      <c r="H1975" s="272"/>
      <c r="I1975" s="399"/>
      <c r="J1975" s="241" t="b">
        <f>Age_Sex_PY[[#This Row],[Total Spending After Applying Truncation at the Member Level]]+Age_Sex_PY[[#This Row],[Total Dollars Excluded from Spending After Applying Truncation at the Member Level]]=Age_Sex_PY[[#This Row],[Total Spending before Truncation is Applied]]</f>
        <v>1</v>
      </c>
    </row>
    <row r="1976" spans="1:10" x14ac:dyDescent="0.25">
      <c r="A1976" s="342"/>
      <c r="B1976" s="4"/>
      <c r="C1976" s="16"/>
      <c r="D1976" s="457"/>
      <c r="E1976" s="363"/>
      <c r="F1976" s="273"/>
      <c r="G1976" s="226"/>
      <c r="H1976" s="273"/>
      <c r="I1976" s="400"/>
      <c r="J1976" s="243" t="b">
        <f>Age_Sex_PY[[#This Row],[Total Spending After Applying Truncation at the Member Level]]+Age_Sex_PY[[#This Row],[Total Dollars Excluded from Spending After Applying Truncation at the Member Level]]=Age_Sex_PY[[#This Row],[Total Spending before Truncation is Applied]]</f>
        <v>1</v>
      </c>
    </row>
    <row r="1977" spans="1:10" x14ac:dyDescent="0.25">
      <c r="A1977" s="339"/>
      <c r="B1977" s="270"/>
      <c r="C1977" s="271"/>
      <c r="D1977" s="456"/>
      <c r="E1977" s="362"/>
      <c r="F1977" s="272"/>
      <c r="G1977" s="460"/>
      <c r="H1977" s="272"/>
      <c r="I1977" s="399"/>
      <c r="J1977" s="241" t="b">
        <f>Age_Sex_PY[[#This Row],[Total Spending After Applying Truncation at the Member Level]]+Age_Sex_PY[[#This Row],[Total Dollars Excluded from Spending After Applying Truncation at the Member Level]]=Age_Sex_PY[[#This Row],[Total Spending before Truncation is Applied]]</f>
        <v>1</v>
      </c>
    </row>
    <row r="1978" spans="1:10" x14ac:dyDescent="0.25">
      <c r="A1978" s="342"/>
      <c r="B1978" s="4"/>
      <c r="C1978" s="16"/>
      <c r="D1978" s="457"/>
      <c r="E1978" s="363"/>
      <c r="F1978" s="273"/>
      <c r="G1978" s="226"/>
      <c r="H1978" s="273"/>
      <c r="I1978" s="400"/>
      <c r="J1978" s="243" t="b">
        <f>Age_Sex_PY[[#This Row],[Total Spending After Applying Truncation at the Member Level]]+Age_Sex_PY[[#This Row],[Total Dollars Excluded from Spending After Applying Truncation at the Member Level]]=Age_Sex_PY[[#This Row],[Total Spending before Truncation is Applied]]</f>
        <v>1</v>
      </c>
    </row>
    <row r="1979" spans="1:10" x14ac:dyDescent="0.25">
      <c r="A1979" s="339"/>
      <c r="B1979" s="270"/>
      <c r="C1979" s="271"/>
      <c r="D1979" s="456"/>
      <c r="E1979" s="362"/>
      <c r="F1979" s="272"/>
      <c r="G1979" s="460"/>
      <c r="H1979" s="272"/>
      <c r="I1979" s="399"/>
      <c r="J1979" s="241" t="b">
        <f>Age_Sex_PY[[#This Row],[Total Spending After Applying Truncation at the Member Level]]+Age_Sex_PY[[#This Row],[Total Dollars Excluded from Spending After Applying Truncation at the Member Level]]=Age_Sex_PY[[#This Row],[Total Spending before Truncation is Applied]]</f>
        <v>1</v>
      </c>
    </row>
    <row r="1980" spans="1:10" x14ac:dyDescent="0.25">
      <c r="A1980" s="342"/>
      <c r="B1980" s="4"/>
      <c r="C1980" s="16"/>
      <c r="D1980" s="457"/>
      <c r="E1980" s="363"/>
      <c r="F1980" s="273"/>
      <c r="G1980" s="226"/>
      <c r="H1980" s="273"/>
      <c r="I1980" s="400"/>
      <c r="J1980" s="243" t="b">
        <f>Age_Sex_PY[[#This Row],[Total Spending After Applying Truncation at the Member Level]]+Age_Sex_PY[[#This Row],[Total Dollars Excluded from Spending After Applying Truncation at the Member Level]]=Age_Sex_PY[[#This Row],[Total Spending before Truncation is Applied]]</f>
        <v>1</v>
      </c>
    </row>
    <row r="1981" spans="1:10" x14ac:dyDescent="0.25">
      <c r="A1981" s="339"/>
      <c r="B1981" s="270"/>
      <c r="C1981" s="271"/>
      <c r="D1981" s="456"/>
      <c r="E1981" s="362"/>
      <c r="F1981" s="272"/>
      <c r="G1981" s="460"/>
      <c r="H1981" s="272"/>
      <c r="I1981" s="399"/>
      <c r="J1981" s="241" t="b">
        <f>Age_Sex_PY[[#This Row],[Total Spending After Applying Truncation at the Member Level]]+Age_Sex_PY[[#This Row],[Total Dollars Excluded from Spending After Applying Truncation at the Member Level]]=Age_Sex_PY[[#This Row],[Total Spending before Truncation is Applied]]</f>
        <v>1</v>
      </c>
    </row>
    <row r="1982" spans="1:10" x14ac:dyDescent="0.25">
      <c r="A1982" s="342"/>
      <c r="B1982" s="4"/>
      <c r="C1982" s="16"/>
      <c r="D1982" s="457"/>
      <c r="E1982" s="363"/>
      <c r="F1982" s="273"/>
      <c r="G1982" s="226"/>
      <c r="H1982" s="273"/>
      <c r="I1982" s="400"/>
      <c r="J1982" s="243" t="b">
        <f>Age_Sex_PY[[#This Row],[Total Spending After Applying Truncation at the Member Level]]+Age_Sex_PY[[#This Row],[Total Dollars Excluded from Spending After Applying Truncation at the Member Level]]=Age_Sex_PY[[#This Row],[Total Spending before Truncation is Applied]]</f>
        <v>1</v>
      </c>
    </row>
    <row r="1983" spans="1:10" x14ac:dyDescent="0.25">
      <c r="A1983" s="339"/>
      <c r="B1983" s="270"/>
      <c r="C1983" s="271"/>
      <c r="D1983" s="456"/>
      <c r="E1983" s="362"/>
      <c r="F1983" s="272"/>
      <c r="G1983" s="460"/>
      <c r="H1983" s="272"/>
      <c r="I1983" s="399"/>
      <c r="J1983" s="241" t="b">
        <f>Age_Sex_PY[[#This Row],[Total Spending After Applying Truncation at the Member Level]]+Age_Sex_PY[[#This Row],[Total Dollars Excluded from Spending After Applying Truncation at the Member Level]]=Age_Sex_PY[[#This Row],[Total Spending before Truncation is Applied]]</f>
        <v>1</v>
      </c>
    </row>
    <row r="1984" spans="1:10" x14ac:dyDescent="0.25">
      <c r="A1984" s="342"/>
      <c r="B1984" s="4"/>
      <c r="C1984" s="16"/>
      <c r="D1984" s="457"/>
      <c r="E1984" s="363"/>
      <c r="F1984" s="273"/>
      <c r="G1984" s="226"/>
      <c r="H1984" s="273"/>
      <c r="I1984" s="400"/>
      <c r="J1984" s="243" t="b">
        <f>Age_Sex_PY[[#This Row],[Total Spending After Applying Truncation at the Member Level]]+Age_Sex_PY[[#This Row],[Total Dollars Excluded from Spending After Applying Truncation at the Member Level]]=Age_Sex_PY[[#This Row],[Total Spending before Truncation is Applied]]</f>
        <v>1</v>
      </c>
    </row>
    <row r="1985" spans="1:10" x14ac:dyDescent="0.25">
      <c r="A1985" s="339"/>
      <c r="B1985" s="270"/>
      <c r="C1985" s="271"/>
      <c r="D1985" s="456"/>
      <c r="E1985" s="362"/>
      <c r="F1985" s="272"/>
      <c r="G1985" s="460"/>
      <c r="H1985" s="272"/>
      <c r="I1985" s="399"/>
      <c r="J1985" s="241" t="b">
        <f>Age_Sex_PY[[#This Row],[Total Spending After Applying Truncation at the Member Level]]+Age_Sex_PY[[#This Row],[Total Dollars Excluded from Spending After Applying Truncation at the Member Level]]=Age_Sex_PY[[#This Row],[Total Spending before Truncation is Applied]]</f>
        <v>1</v>
      </c>
    </row>
    <row r="1986" spans="1:10" x14ac:dyDescent="0.25">
      <c r="A1986" s="342"/>
      <c r="B1986" s="4"/>
      <c r="C1986" s="16"/>
      <c r="D1986" s="457"/>
      <c r="E1986" s="363"/>
      <c r="F1986" s="273"/>
      <c r="G1986" s="226"/>
      <c r="H1986" s="273"/>
      <c r="I1986" s="400"/>
      <c r="J1986" s="243" t="b">
        <f>Age_Sex_PY[[#This Row],[Total Spending After Applying Truncation at the Member Level]]+Age_Sex_PY[[#This Row],[Total Dollars Excluded from Spending After Applying Truncation at the Member Level]]=Age_Sex_PY[[#This Row],[Total Spending before Truncation is Applied]]</f>
        <v>1</v>
      </c>
    </row>
    <row r="1987" spans="1:10" x14ac:dyDescent="0.25">
      <c r="A1987" s="339"/>
      <c r="B1987" s="270"/>
      <c r="C1987" s="271"/>
      <c r="D1987" s="456"/>
      <c r="E1987" s="362"/>
      <c r="F1987" s="272"/>
      <c r="G1987" s="460"/>
      <c r="H1987" s="272"/>
      <c r="I1987" s="399"/>
      <c r="J1987" s="241" t="b">
        <f>Age_Sex_PY[[#This Row],[Total Spending After Applying Truncation at the Member Level]]+Age_Sex_PY[[#This Row],[Total Dollars Excluded from Spending After Applying Truncation at the Member Level]]=Age_Sex_PY[[#This Row],[Total Spending before Truncation is Applied]]</f>
        <v>1</v>
      </c>
    </row>
    <row r="1988" spans="1:10" x14ac:dyDescent="0.25">
      <c r="A1988" s="342"/>
      <c r="B1988" s="4"/>
      <c r="C1988" s="16"/>
      <c r="D1988" s="457"/>
      <c r="E1988" s="363"/>
      <c r="F1988" s="273"/>
      <c r="G1988" s="226"/>
      <c r="H1988" s="273"/>
      <c r="I1988" s="400"/>
      <c r="J1988" s="243" t="b">
        <f>Age_Sex_PY[[#This Row],[Total Spending After Applying Truncation at the Member Level]]+Age_Sex_PY[[#This Row],[Total Dollars Excluded from Spending After Applying Truncation at the Member Level]]=Age_Sex_PY[[#This Row],[Total Spending before Truncation is Applied]]</f>
        <v>1</v>
      </c>
    </row>
    <row r="1989" spans="1:10" x14ac:dyDescent="0.25">
      <c r="A1989" s="339"/>
      <c r="B1989" s="270"/>
      <c r="C1989" s="271"/>
      <c r="D1989" s="456"/>
      <c r="E1989" s="362"/>
      <c r="F1989" s="272"/>
      <c r="G1989" s="460"/>
      <c r="H1989" s="272"/>
      <c r="I1989" s="399"/>
      <c r="J1989" s="241" t="b">
        <f>Age_Sex_PY[[#This Row],[Total Spending After Applying Truncation at the Member Level]]+Age_Sex_PY[[#This Row],[Total Dollars Excluded from Spending After Applying Truncation at the Member Level]]=Age_Sex_PY[[#This Row],[Total Spending before Truncation is Applied]]</f>
        <v>1</v>
      </c>
    </row>
    <row r="1990" spans="1:10" x14ac:dyDescent="0.25">
      <c r="A1990" s="342"/>
      <c r="B1990" s="4"/>
      <c r="C1990" s="16"/>
      <c r="D1990" s="457"/>
      <c r="E1990" s="363"/>
      <c r="F1990" s="273"/>
      <c r="G1990" s="226"/>
      <c r="H1990" s="273"/>
      <c r="I1990" s="400"/>
      <c r="J1990" s="243" t="b">
        <f>Age_Sex_PY[[#This Row],[Total Spending After Applying Truncation at the Member Level]]+Age_Sex_PY[[#This Row],[Total Dollars Excluded from Spending After Applying Truncation at the Member Level]]=Age_Sex_PY[[#This Row],[Total Spending before Truncation is Applied]]</f>
        <v>1</v>
      </c>
    </row>
    <row r="1991" spans="1:10" x14ac:dyDescent="0.25">
      <c r="A1991" s="339"/>
      <c r="B1991" s="270"/>
      <c r="C1991" s="271"/>
      <c r="D1991" s="456"/>
      <c r="E1991" s="362"/>
      <c r="F1991" s="272"/>
      <c r="G1991" s="460"/>
      <c r="H1991" s="272"/>
      <c r="I1991" s="399"/>
      <c r="J1991" s="241" t="b">
        <f>Age_Sex_PY[[#This Row],[Total Spending After Applying Truncation at the Member Level]]+Age_Sex_PY[[#This Row],[Total Dollars Excluded from Spending After Applying Truncation at the Member Level]]=Age_Sex_PY[[#This Row],[Total Spending before Truncation is Applied]]</f>
        <v>1</v>
      </c>
    </row>
    <row r="1992" spans="1:10" x14ac:dyDescent="0.25">
      <c r="A1992" s="342"/>
      <c r="B1992" s="4"/>
      <c r="C1992" s="16"/>
      <c r="D1992" s="457"/>
      <c r="E1992" s="363"/>
      <c r="F1992" s="273"/>
      <c r="G1992" s="226"/>
      <c r="H1992" s="273"/>
      <c r="I1992" s="400"/>
      <c r="J1992" s="243" t="b">
        <f>Age_Sex_PY[[#This Row],[Total Spending After Applying Truncation at the Member Level]]+Age_Sex_PY[[#This Row],[Total Dollars Excluded from Spending After Applying Truncation at the Member Level]]=Age_Sex_PY[[#This Row],[Total Spending before Truncation is Applied]]</f>
        <v>1</v>
      </c>
    </row>
    <row r="1993" spans="1:10" x14ac:dyDescent="0.25">
      <c r="A1993" s="339"/>
      <c r="B1993" s="270"/>
      <c r="C1993" s="271"/>
      <c r="D1993" s="456"/>
      <c r="E1993" s="362"/>
      <c r="F1993" s="272"/>
      <c r="G1993" s="460"/>
      <c r="H1993" s="272"/>
      <c r="I1993" s="399"/>
      <c r="J1993" s="241" t="b">
        <f>Age_Sex_PY[[#This Row],[Total Spending After Applying Truncation at the Member Level]]+Age_Sex_PY[[#This Row],[Total Dollars Excluded from Spending After Applying Truncation at the Member Level]]=Age_Sex_PY[[#This Row],[Total Spending before Truncation is Applied]]</f>
        <v>1</v>
      </c>
    </row>
    <row r="1994" spans="1:10" x14ac:dyDescent="0.25">
      <c r="A1994" s="342"/>
      <c r="B1994" s="4"/>
      <c r="C1994" s="16"/>
      <c r="D1994" s="457"/>
      <c r="E1994" s="363"/>
      <c r="F1994" s="273"/>
      <c r="G1994" s="226"/>
      <c r="H1994" s="273"/>
      <c r="I1994" s="400"/>
      <c r="J1994" s="243" t="b">
        <f>Age_Sex_PY[[#This Row],[Total Spending After Applying Truncation at the Member Level]]+Age_Sex_PY[[#This Row],[Total Dollars Excluded from Spending After Applying Truncation at the Member Level]]=Age_Sex_PY[[#This Row],[Total Spending before Truncation is Applied]]</f>
        <v>1</v>
      </c>
    </row>
    <row r="1995" spans="1:10" x14ac:dyDescent="0.25">
      <c r="A1995" s="339"/>
      <c r="B1995" s="270"/>
      <c r="C1995" s="271"/>
      <c r="D1995" s="456"/>
      <c r="E1995" s="362"/>
      <c r="F1995" s="272"/>
      <c r="G1995" s="460"/>
      <c r="H1995" s="272"/>
      <c r="I1995" s="399"/>
      <c r="J1995" s="241" t="b">
        <f>Age_Sex_PY[[#This Row],[Total Spending After Applying Truncation at the Member Level]]+Age_Sex_PY[[#This Row],[Total Dollars Excluded from Spending After Applying Truncation at the Member Level]]=Age_Sex_PY[[#This Row],[Total Spending before Truncation is Applied]]</f>
        <v>1</v>
      </c>
    </row>
    <row r="1996" spans="1:10" x14ac:dyDescent="0.25">
      <c r="A1996" s="342"/>
      <c r="B1996" s="4"/>
      <c r="C1996" s="16"/>
      <c r="D1996" s="457"/>
      <c r="E1996" s="363"/>
      <c r="F1996" s="273"/>
      <c r="G1996" s="226"/>
      <c r="H1996" s="273"/>
      <c r="I1996" s="400"/>
      <c r="J1996" s="243" t="b">
        <f>Age_Sex_PY[[#This Row],[Total Spending After Applying Truncation at the Member Level]]+Age_Sex_PY[[#This Row],[Total Dollars Excluded from Spending After Applying Truncation at the Member Level]]=Age_Sex_PY[[#This Row],[Total Spending before Truncation is Applied]]</f>
        <v>1</v>
      </c>
    </row>
    <row r="1997" spans="1:10" x14ac:dyDescent="0.25">
      <c r="A1997" s="339"/>
      <c r="B1997" s="270"/>
      <c r="C1997" s="271"/>
      <c r="D1997" s="456"/>
      <c r="E1997" s="362"/>
      <c r="F1997" s="272"/>
      <c r="G1997" s="460"/>
      <c r="H1997" s="272"/>
      <c r="I1997" s="399"/>
      <c r="J1997" s="241" t="b">
        <f>Age_Sex_PY[[#This Row],[Total Spending After Applying Truncation at the Member Level]]+Age_Sex_PY[[#This Row],[Total Dollars Excluded from Spending After Applying Truncation at the Member Level]]=Age_Sex_PY[[#This Row],[Total Spending before Truncation is Applied]]</f>
        <v>1</v>
      </c>
    </row>
    <row r="1998" spans="1:10" x14ac:dyDescent="0.25">
      <c r="A1998" s="342"/>
      <c r="B1998" s="4"/>
      <c r="C1998" s="16"/>
      <c r="D1998" s="457"/>
      <c r="E1998" s="363"/>
      <c r="F1998" s="273"/>
      <c r="G1998" s="226"/>
      <c r="H1998" s="273"/>
      <c r="I1998" s="400"/>
      <c r="J1998" s="243" t="b">
        <f>Age_Sex_PY[[#This Row],[Total Spending After Applying Truncation at the Member Level]]+Age_Sex_PY[[#This Row],[Total Dollars Excluded from Spending After Applying Truncation at the Member Level]]=Age_Sex_PY[[#This Row],[Total Spending before Truncation is Applied]]</f>
        <v>1</v>
      </c>
    </row>
    <row r="1999" spans="1:10" x14ac:dyDescent="0.25">
      <c r="A1999" s="339"/>
      <c r="B1999" s="270"/>
      <c r="C1999" s="271"/>
      <c r="D1999" s="456"/>
      <c r="E1999" s="362"/>
      <c r="F1999" s="272"/>
      <c r="G1999" s="460"/>
      <c r="H1999" s="272"/>
      <c r="I1999" s="399"/>
      <c r="J1999" s="241" t="b">
        <f>Age_Sex_PY[[#This Row],[Total Spending After Applying Truncation at the Member Level]]+Age_Sex_PY[[#This Row],[Total Dollars Excluded from Spending After Applying Truncation at the Member Level]]=Age_Sex_PY[[#This Row],[Total Spending before Truncation is Applied]]</f>
        <v>1</v>
      </c>
    </row>
    <row r="2000" spans="1:10" x14ac:dyDescent="0.25">
      <c r="A2000" s="342"/>
      <c r="B2000" s="4"/>
      <c r="C2000" s="16"/>
      <c r="D2000" s="457"/>
      <c r="E2000" s="363"/>
      <c r="F2000" s="273"/>
      <c r="G2000" s="226"/>
      <c r="H2000" s="273"/>
      <c r="I2000" s="400"/>
      <c r="J2000" s="243" t="b">
        <f>Age_Sex_PY[[#This Row],[Total Spending After Applying Truncation at the Member Level]]+Age_Sex_PY[[#This Row],[Total Dollars Excluded from Spending After Applying Truncation at the Member Level]]=Age_Sex_PY[[#This Row],[Total Spending before Truncation is Applied]]</f>
        <v>1</v>
      </c>
    </row>
    <row r="2001" spans="1:10" x14ac:dyDescent="0.25">
      <c r="A2001" s="339"/>
      <c r="B2001" s="270"/>
      <c r="C2001" s="271"/>
      <c r="D2001" s="456"/>
      <c r="E2001" s="362"/>
      <c r="F2001" s="272"/>
      <c r="G2001" s="460"/>
      <c r="H2001" s="272"/>
      <c r="I2001" s="399"/>
      <c r="J2001" s="241" t="b">
        <f>Age_Sex_PY[[#This Row],[Total Spending After Applying Truncation at the Member Level]]+Age_Sex_PY[[#This Row],[Total Dollars Excluded from Spending After Applying Truncation at the Member Level]]=Age_Sex_PY[[#This Row],[Total Spending before Truncation is Applied]]</f>
        <v>1</v>
      </c>
    </row>
    <row r="2002" spans="1:10" x14ac:dyDescent="0.25">
      <c r="A2002" s="342"/>
      <c r="B2002" s="4"/>
      <c r="C2002" s="16"/>
      <c r="D2002" s="457"/>
      <c r="E2002" s="363"/>
      <c r="F2002" s="273"/>
      <c r="G2002" s="226"/>
      <c r="H2002" s="273"/>
      <c r="I2002" s="400"/>
      <c r="J2002" s="243" t="b">
        <f>Age_Sex_PY[[#This Row],[Total Spending After Applying Truncation at the Member Level]]+Age_Sex_PY[[#This Row],[Total Dollars Excluded from Spending After Applying Truncation at the Member Level]]=Age_Sex_PY[[#This Row],[Total Spending before Truncation is Applied]]</f>
        <v>1</v>
      </c>
    </row>
    <row r="2003" spans="1:10" x14ac:dyDescent="0.25">
      <c r="A2003" s="339"/>
      <c r="B2003" s="270"/>
      <c r="C2003" s="271"/>
      <c r="D2003" s="456"/>
      <c r="E2003" s="362"/>
      <c r="F2003" s="272"/>
      <c r="G2003" s="460"/>
      <c r="H2003" s="272"/>
      <c r="I2003" s="399"/>
      <c r="J2003" s="241" t="b">
        <f>Age_Sex_PY[[#This Row],[Total Spending After Applying Truncation at the Member Level]]+Age_Sex_PY[[#This Row],[Total Dollars Excluded from Spending After Applying Truncation at the Member Level]]=Age_Sex_PY[[#This Row],[Total Spending before Truncation is Applied]]</f>
        <v>1</v>
      </c>
    </row>
    <row r="2004" spans="1:10" x14ac:dyDescent="0.25">
      <c r="A2004" s="342"/>
      <c r="B2004" s="4"/>
      <c r="C2004" s="16"/>
      <c r="D2004" s="457"/>
      <c r="E2004" s="363"/>
      <c r="F2004" s="273"/>
      <c r="G2004" s="226"/>
      <c r="H2004" s="273"/>
      <c r="I2004" s="400"/>
      <c r="J2004" s="243" t="b">
        <f>Age_Sex_PY[[#This Row],[Total Spending After Applying Truncation at the Member Level]]+Age_Sex_PY[[#This Row],[Total Dollars Excluded from Spending After Applying Truncation at the Member Level]]=Age_Sex_PY[[#This Row],[Total Spending before Truncation is Applied]]</f>
        <v>1</v>
      </c>
    </row>
    <row r="2005" spans="1:10" x14ac:dyDescent="0.25">
      <c r="A2005" s="339"/>
      <c r="B2005" s="270"/>
      <c r="C2005" s="271"/>
      <c r="D2005" s="456"/>
      <c r="E2005" s="362"/>
      <c r="F2005" s="272"/>
      <c r="G2005" s="460"/>
      <c r="H2005" s="272"/>
      <c r="I2005" s="399"/>
      <c r="J2005" s="241" t="b">
        <f>Age_Sex_PY[[#This Row],[Total Spending After Applying Truncation at the Member Level]]+Age_Sex_PY[[#This Row],[Total Dollars Excluded from Spending After Applying Truncation at the Member Level]]=Age_Sex_PY[[#This Row],[Total Spending before Truncation is Applied]]</f>
        <v>1</v>
      </c>
    </row>
    <row r="2006" spans="1:10" x14ac:dyDescent="0.25">
      <c r="A2006" s="342"/>
      <c r="B2006" s="4"/>
      <c r="C2006" s="16"/>
      <c r="D2006" s="457"/>
      <c r="E2006" s="363"/>
      <c r="F2006" s="273"/>
      <c r="G2006" s="226"/>
      <c r="H2006" s="273"/>
      <c r="I2006" s="400"/>
      <c r="J2006" s="243" t="b">
        <f>Age_Sex_PY[[#This Row],[Total Spending After Applying Truncation at the Member Level]]+Age_Sex_PY[[#This Row],[Total Dollars Excluded from Spending After Applying Truncation at the Member Level]]=Age_Sex_PY[[#This Row],[Total Spending before Truncation is Applied]]</f>
        <v>1</v>
      </c>
    </row>
    <row r="2007" spans="1:10" x14ac:dyDescent="0.25">
      <c r="A2007" s="339"/>
      <c r="B2007" s="270"/>
      <c r="C2007" s="271"/>
      <c r="D2007" s="456"/>
      <c r="E2007" s="362"/>
      <c r="F2007" s="272"/>
      <c r="G2007" s="460"/>
      <c r="H2007" s="272"/>
      <c r="I2007" s="399"/>
      <c r="J2007" s="241" t="b">
        <f>Age_Sex_PY[[#This Row],[Total Spending After Applying Truncation at the Member Level]]+Age_Sex_PY[[#This Row],[Total Dollars Excluded from Spending After Applying Truncation at the Member Level]]=Age_Sex_PY[[#This Row],[Total Spending before Truncation is Applied]]</f>
        <v>1</v>
      </c>
    </row>
    <row r="2008" spans="1:10" x14ac:dyDescent="0.25">
      <c r="A2008" s="342"/>
      <c r="B2008" s="4"/>
      <c r="C2008" s="16"/>
      <c r="D2008" s="457"/>
      <c r="E2008" s="363"/>
      <c r="F2008" s="273"/>
      <c r="G2008" s="226"/>
      <c r="H2008" s="273"/>
      <c r="I2008" s="400"/>
      <c r="J2008" s="243" t="b">
        <f>Age_Sex_PY[[#This Row],[Total Spending After Applying Truncation at the Member Level]]+Age_Sex_PY[[#This Row],[Total Dollars Excluded from Spending After Applying Truncation at the Member Level]]=Age_Sex_PY[[#This Row],[Total Spending before Truncation is Applied]]</f>
        <v>1</v>
      </c>
    </row>
    <row r="2009" spans="1:10" x14ac:dyDescent="0.25">
      <c r="A2009" s="339"/>
      <c r="B2009" s="270"/>
      <c r="C2009" s="271"/>
      <c r="D2009" s="456"/>
      <c r="E2009" s="362"/>
      <c r="F2009" s="272"/>
      <c r="G2009" s="460"/>
      <c r="H2009" s="272"/>
      <c r="I2009" s="399"/>
      <c r="J2009" s="241" t="b">
        <f>Age_Sex_PY[[#This Row],[Total Spending After Applying Truncation at the Member Level]]+Age_Sex_PY[[#This Row],[Total Dollars Excluded from Spending After Applying Truncation at the Member Level]]=Age_Sex_PY[[#This Row],[Total Spending before Truncation is Applied]]</f>
        <v>1</v>
      </c>
    </row>
    <row r="2010" spans="1:10" x14ac:dyDescent="0.25">
      <c r="A2010" s="342"/>
      <c r="B2010" s="4"/>
      <c r="C2010" s="16"/>
      <c r="D2010" s="457"/>
      <c r="E2010" s="363"/>
      <c r="F2010" s="273"/>
      <c r="G2010" s="226"/>
      <c r="H2010" s="273"/>
      <c r="I2010" s="400"/>
      <c r="J2010" s="243" t="b">
        <f>Age_Sex_PY[[#This Row],[Total Spending After Applying Truncation at the Member Level]]+Age_Sex_PY[[#This Row],[Total Dollars Excluded from Spending After Applying Truncation at the Member Level]]=Age_Sex_PY[[#This Row],[Total Spending before Truncation is Applied]]</f>
        <v>1</v>
      </c>
    </row>
  </sheetData>
  <sheetProtection algorithmName="SHA-512" hashValue="HckJjaMhgrv2W3qixD00+XS3pPIchrT9XFDYIHNDR+vKTFzyUHcrxhqucrzhTEvNkyDWP9AsSq2wIZDFaLRcUQ==" saltValue="Pwpc8ZO0s4tfKiuwFg2YAQ==" spinCount="100000" sheet="1" insertRows="0" sort="0" autoFilter="0"/>
  <protectedRanges>
    <protectedRange sqref="A11:J2010" name="Range1"/>
  </protectedRanges>
  <mergeCells count="1">
    <mergeCell ref="C4:D5"/>
  </mergeCells>
  <dataValidations count="7">
    <dataValidation type="decimal" operator="greaterThanOrEqual" allowBlank="1" showInputMessage="1" showErrorMessage="1" error="See Definitions tab._x000a_No negative values." prompt="See Definitions tab._x000a_No negative values._x000a_" sqref="F11:F2010 H11:I2010" xr:uid="{BB28B223-A094-46E0-988A-69289BA08450}">
      <formula1>0</formula1>
    </dataValidation>
    <dataValidation type="whole" allowBlank="1" showInputMessage="1" showErrorMessage="1" error="Please input the OHS-assigned organizational ID of the Advanced Network." prompt="Please input the OHS-assigned organizational ID of the Advanced Network." sqref="A11:A2010" xr:uid="{094830AD-9EE7-4DB0-9D40-3EC54B776A68}">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7A48D3BA-6D26-404D-BC21-0A8144A0E722}">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B61D2AF-D3FF-4EF9-BA25-C780AACC5B47}">
      <formula1>1</formula1>
      <formula2>8</formula2>
    </dataValidation>
    <dataValidation type="decimal" allowBlank="1" showInputMessage="1" showErrorMessage="1" error="Please input the sex band being reported." prompt="1 = Female_x000a_2 = Male" sqref="D11:D2010" xr:uid="{BD126CD9-09E7-4D3B-99A7-F28F7F1BFB75}">
      <formula1>1</formula1>
      <formula2>2</formula2>
    </dataValidation>
    <dataValidation type="whole" operator="greaterThanOrEqual" allowBlank="1" showInputMessage="1" showErrorMessage="1" error="See Definitions tab._x000a_No negative values." prompt="See Definitions tab._x000a_No negative values._x000a_" sqref="G11:G2010" xr:uid="{DB50BFCA-F0BE-4B14-97EB-6B1062FF1E53}">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E385BFE4-2389-4602-AD01-4BD8DEE3287A}">
      <formula1>0</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BADF-DBFC-45E9-B2A5-1852BF621259}">
  <sheetPr codeName="Sheet17">
    <tabColor theme="6"/>
  </sheetPr>
  <dimension ref="A1:G38"/>
  <sheetViews>
    <sheetView zoomScaleNormal="100" workbookViewId="0">
      <selection sqref="A1:G2"/>
    </sheetView>
  </sheetViews>
  <sheetFormatPr defaultColWidth="9.140625" defaultRowHeight="15" x14ac:dyDescent="0.25"/>
  <cols>
    <col min="1" max="1" width="15.42578125" customWidth="1"/>
    <col min="2" max="2" width="97.5703125" customWidth="1"/>
    <col min="3" max="5" width="32.5703125" customWidth="1"/>
    <col min="6" max="6" width="31.42578125" customWidth="1"/>
  </cols>
  <sheetData>
    <row r="1" spans="1:7" x14ac:dyDescent="0.25">
      <c r="A1" s="557" t="s">
        <v>251</v>
      </c>
      <c r="B1" s="558"/>
      <c r="C1" s="558"/>
      <c r="D1" s="558"/>
      <c r="E1" s="558"/>
      <c r="F1" s="558"/>
      <c r="G1" s="559"/>
    </row>
    <row r="2" spans="1:7" x14ac:dyDescent="0.25">
      <c r="A2" s="560"/>
      <c r="B2" s="561"/>
      <c r="C2" s="561"/>
      <c r="D2" s="561"/>
      <c r="E2" s="561"/>
      <c r="F2" s="561"/>
      <c r="G2" s="562"/>
    </row>
    <row r="5" spans="1:7" x14ac:dyDescent="0.25">
      <c r="A5" s="1"/>
      <c r="B5" s="112" t="s">
        <v>252</v>
      </c>
      <c r="C5" s="111"/>
    </row>
    <row r="6" spans="1:7" x14ac:dyDescent="0.25">
      <c r="A6" s="27" t="s">
        <v>253</v>
      </c>
      <c r="B6" s="6"/>
      <c r="C6" s="7" t="s">
        <v>254</v>
      </c>
    </row>
    <row r="7" spans="1:7" x14ac:dyDescent="0.25">
      <c r="A7" s="27" t="s">
        <v>255</v>
      </c>
      <c r="B7" s="6"/>
      <c r="C7" s="7" t="s">
        <v>254</v>
      </c>
    </row>
    <row r="9" spans="1:7" x14ac:dyDescent="0.25">
      <c r="A9" s="7"/>
      <c r="B9" s="7" t="s">
        <v>256</v>
      </c>
    </row>
    <row r="10" spans="1:7" x14ac:dyDescent="0.25">
      <c r="B10" s="563" t="s">
        <v>22</v>
      </c>
      <c r="C10" s="564"/>
      <c r="D10" s="564"/>
      <c r="E10" s="565"/>
    </row>
    <row r="11" spans="1:7" x14ac:dyDescent="0.25">
      <c r="B11" s="190" t="s">
        <v>257</v>
      </c>
      <c r="C11" s="190" t="s">
        <v>258</v>
      </c>
      <c r="D11" s="190" t="s">
        <v>259</v>
      </c>
      <c r="E11" s="190" t="s">
        <v>260</v>
      </c>
    </row>
    <row r="12" spans="1:7" ht="30" x14ac:dyDescent="0.25">
      <c r="B12" s="192" t="s">
        <v>261</v>
      </c>
      <c r="C12" s="11"/>
      <c r="D12" s="11"/>
      <c r="E12" s="9"/>
    </row>
    <row r="13" spans="1:7" x14ac:dyDescent="0.25">
      <c r="B13" s="191" t="s">
        <v>262</v>
      </c>
      <c r="C13" s="11"/>
      <c r="D13" s="11"/>
      <c r="E13" s="9"/>
    </row>
    <row r="14" spans="1:7" x14ac:dyDescent="0.25">
      <c r="B14" s="191" t="s">
        <v>263</v>
      </c>
      <c r="C14" s="11"/>
      <c r="D14" s="11"/>
      <c r="E14" s="9"/>
    </row>
    <row r="15" spans="1:7" x14ac:dyDescent="0.25">
      <c r="B15" s="191" t="s">
        <v>264</v>
      </c>
      <c r="C15" s="11"/>
      <c r="D15" s="11"/>
      <c r="E15" s="9"/>
    </row>
    <row r="16" spans="1:7" x14ac:dyDescent="0.25">
      <c r="B16" s="191" t="s">
        <v>265</v>
      </c>
      <c r="C16" s="11"/>
      <c r="D16" s="11"/>
      <c r="E16" s="9"/>
    </row>
    <row r="17" spans="2:5" x14ac:dyDescent="0.25">
      <c r="B17" s="191" t="s">
        <v>266</v>
      </c>
      <c r="C17" s="11"/>
      <c r="D17" s="11"/>
      <c r="E17" s="9"/>
    </row>
    <row r="18" spans="2:5" x14ac:dyDescent="0.25">
      <c r="B18" s="191" t="s">
        <v>267</v>
      </c>
      <c r="C18" s="11"/>
      <c r="D18" s="11"/>
      <c r="E18" s="9"/>
    </row>
    <row r="19" spans="2:5" x14ac:dyDescent="0.25">
      <c r="B19" s="191" t="s">
        <v>268</v>
      </c>
      <c r="C19" s="11"/>
      <c r="D19" s="11"/>
      <c r="E19" s="9"/>
    </row>
    <row r="20" spans="2:5" x14ac:dyDescent="0.25">
      <c r="B20" s="191" t="s">
        <v>269</v>
      </c>
      <c r="C20" s="11"/>
      <c r="D20" s="11"/>
      <c r="E20" s="9"/>
    </row>
    <row r="21" spans="2:5" x14ac:dyDescent="0.25">
      <c r="B21" s="191" t="s">
        <v>270</v>
      </c>
      <c r="C21" s="11"/>
      <c r="D21" s="11"/>
      <c r="E21" s="9"/>
    </row>
    <row r="22" spans="2:5" x14ac:dyDescent="0.25">
      <c r="B22" s="191" t="s">
        <v>271</v>
      </c>
      <c r="C22" s="11"/>
      <c r="D22" s="11"/>
      <c r="E22" s="9"/>
    </row>
    <row r="23" spans="2:5" x14ac:dyDescent="0.25">
      <c r="B23" s="192" t="s">
        <v>272</v>
      </c>
      <c r="C23" s="11"/>
      <c r="D23" s="11"/>
      <c r="E23" s="9"/>
    </row>
    <row r="24" spans="2:5" x14ac:dyDescent="0.25">
      <c r="B24" s="193" t="s">
        <v>273</v>
      </c>
      <c r="C24" s="11"/>
      <c r="D24" s="11"/>
      <c r="E24" s="9"/>
    </row>
    <row r="25" spans="2:5" x14ac:dyDescent="0.25">
      <c r="B25" s="191" t="s">
        <v>274</v>
      </c>
      <c r="C25" s="11"/>
      <c r="D25" s="11"/>
      <c r="E25" s="9"/>
    </row>
    <row r="26" spans="2:5" x14ac:dyDescent="0.25">
      <c r="B26" s="191" t="s">
        <v>275</v>
      </c>
      <c r="C26" s="11"/>
      <c r="D26" s="11"/>
      <c r="E26" s="9"/>
    </row>
    <row r="27" spans="2:5" x14ac:dyDescent="0.25">
      <c r="B27" s="191" t="s">
        <v>276</v>
      </c>
      <c r="C27" s="11"/>
      <c r="D27" s="11"/>
      <c r="E27" s="9"/>
    </row>
    <row r="28" spans="2:5" ht="48.75" customHeight="1" x14ac:dyDescent="0.25">
      <c r="B28" s="193" t="s">
        <v>277</v>
      </c>
      <c r="C28" s="11"/>
      <c r="D28" s="11"/>
      <c r="E28" s="9"/>
    </row>
    <row r="29" spans="2:5" x14ac:dyDescent="0.25">
      <c r="B29" s="191" t="s">
        <v>278</v>
      </c>
      <c r="C29" s="11"/>
      <c r="D29" s="11"/>
      <c r="E29" s="9"/>
    </row>
    <row r="30" spans="2:5" x14ac:dyDescent="0.25">
      <c r="B30" s="191" t="s">
        <v>279</v>
      </c>
      <c r="C30" s="11"/>
      <c r="D30" s="11"/>
      <c r="E30" s="9"/>
    </row>
    <row r="31" spans="2:5" ht="30" x14ac:dyDescent="0.25">
      <c r="B31" s="192" t="s">
        <v>280</v>
      </c>
      <c r="C31" s="11"/>
      <c r="D31" s="11"/>
      <c r="E31" s="9"/>
    </row>
    <row r="32" spans="2:5" x14ac:dyDescent="0.25">
      <c r="B32" s="194" t="s">
        <v>281</v>
      </c>
      <c r="C32" s="11"/>
      <c r="D32" s="11"/>
      <c r="E32" s="9"/>
    </row>
    <row r="33" spans="2:5" ht="30" x14ac:dyDescent="0.25">
      <c r="B33" s="194" t="s">
        <v>282</v>
      </c>
      <c r="C33" s="11"/>
      <c r="D33" s="11"/>
      <c r="E33" s="9"/>
    </row>
    <row r="34" spans="2:5" x14ac:dyDescent="0.25">
      <c r="B34" s="194" t="s">
        <v>283</v>
      </c>
      <c r="C34" s="11"/>
      <c r="D34" s="11"/>
      <c r="E34" s="9"/>
    </row>
    <row r="35" spans="2:5" x14ac:dyDescent="0.25">
      <c r="B35" s="194" t="s">
        <v>284</v>
      </c>
      <c r="C35" s="11"/>
      <c r="D35" s="11"/>
      <c r="E35" s="9"/>
    </row>
    <row r="36" spans="2:5" ht="30" x14ac:dyDescent="0.25">
      <c r="B36" s="194" t="s">
        <v>285</v>
      </c>
      <c r="C36" s="11"/>
      <c r="D36" s="11"/>
      <c r="E36" s="9"/>
    </row>
    <row r="37" spans="2:5" ht="45" x14ac:dyDescent="0.25">
      <c r="B37" s="194" t="s">
        <v>489</v>
      </c>
      <c r="C37" s="11"/>
      <c r="D37" s="11"/>
      <c r="E37" s="9"/>
    </row>
    <row r="38" spans="2:5" x14ac:dyDescent="0.25">
      <c r="B38" s="191" t="s">
        <v>286</v>
      </c>
      <c r="C38" s="11"/>
      <c r="D38" s="11"/>
      <c r="E38" s="9"/>
    </row>
  </sheetData>
  <sheetProtection algorithmName="SHA-512" hashValue="RwkXG/0TPepMW7GBZfQj6bwBv46RLDjE4yiHNBc4U/C/owUZA577eYNTYjJFgkK7xI9saJp5/3LoDhcd3ZwMXw==" saltValue="cysNw6U91Blg6tj9Acd0bw==" spinCount="100000" sheet="1" objects="1" scenarios="1"/>
  <protectedRanges>
    <protectedRange sqref="B6:B7" name="Range1"/>
    <protectedRange sqref="C12:E38" name="Range2"/>
  </protectedRanges>
  <mergeCells count="2">
    <mergeCell ref="A1:G2"/>
    <mergeCell ref="B10:E10"/>
  </mergeCells>
  <dataValidations count="2">
    <dataValidation type="list" allowBlank="1" showInputMessage="1" showErrorMessage="1" error="Please select an option from the drop down list." prompt="Please select an option from the drop down list." sqref="C12:D22 C25:D36 C38:D38" xr:uid="{A035E8E1-A50D-4851-95F2-AC32043A8C5B}">
      <formula1>"Yes, No"</formula1>
    </dataValidation>
    <dataValidation type="list" allowBlank="1" showInputMessage="1" showErrorMessage="1" error="Please select an option from the drop down list." prompt="Please select an option from the drop down list." sqref="C37:D37" xr:uid="{EAEC4C3D-E86C-48BD-B3EB-9929DA114BCA}">
      <formula1>"Yes, No, Not Applicable"</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stopIfTrue="1" id="{940B5EC9-27D1-4F7D-A52B-2D280C1DD791}">
            <xm:f>'https://bailit.sharepoint.com/Megan/RI Governor/[MA TME APM 2019 Template with calculations.xlsm]System Data'!#REF!</xm:f>
            <x14:dxf>
              <font>
                <b val="0"/>
                <i val="0"/>
                <color theme="0"/>
              </font>
            </x14:dxf>
          </x14:cfRule>
          <xm:sqref>C6</xm:sqref>
        </x14:conditionalFormatting>
        <x14:conditionalFormatting xmlns:xm="http://schemas.microsoft.com/office/excel/2006/main">
          <x14:cfRule type="expression" priority="1" stopIfTrue="1" id="{D159B1BD-A166-42CC-A0B3-B83A52533FFB}">
            <xm:f>'https://bailit.sharepoint.com/Megan/RI Governor/[MA TME APM 2019 Template with calculations.xlsm]System Data'!#REF!</xm:f>
            <x14:dxf>
              <font>
                <color theme="0"/>
              </font>
            </x14:dxf>
          </x14:cfRule>
          <xm:sqref>C7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DBDB-19CE-40E3-A354-1700A62F6300}">
  <sheetPr codeName="Sheet18">
    <tabColor theme="9"/>
  </sheetPr>
  <dimension ref="B2:O123"/>
  <sheetViews>
    <sheetView zoomScale="80" zoomScaleNormal="80" workbookViewId="0"/>
  </sheetViews>
  <sheetFormatPr defaultRowHeight="15" x14ac:dyDescent="0.25"/>
  <cols>
    <col min="1" max="1" width="3.85546875" customWidth="1"/>
    <col min="2" max="2" width="61.5703125" customWidth="1"/>
    <col min="3" max="5" width="32.85546875" customWidth="1"/>
    <col min="6" max="6" width="14.85546875" customWidth="1"/>
    <col min="7" max="10" width="32.85546875" customWidth="1"/>
    <col min="11" max="11" width="15" customWidth="1"/>
    <col min="12" max="15" width="32.85546875" customWidth="1"/>
    <col min="16" max="16" width="105.85546875" customWidth="1"/>
    <col min="17" max="21" width="69.5703125" customWidth="1"/>
  </cols>
  <sheetData>
    <row r="2" spans="2:10" ht="18.75" x14ac:dyDescent="0.3">
      <c r="B2" s="156" t="s">
        <v>24</v>
      </c>
    </row>
    <row r="3" spans="2:10" ht="37.5" customHeight="1" x14ac:dyDescent="0.25">
      <c r="B3" s="566" t="s">
        <v>287</v>
      </c>
      <c r="C3" s="566"/>
      <c r="D3" s="566"/>
      <c r="E3" s="566"/>
      <c r="F3" s="566"/>
      <c r="G3" s="566"/>
      <c r="H3" s="566"/>
      <c r="I3" s="566"/>
      <c r="J3" s="566"/>
    </row>
    <row r="5" spans="2:10" ht="15.75" x14ac:dyDescent="0.25">
      <c r="B5" s="53" t="s">
        <v>288</v>
      </c>
    </row>
    <row r="6" spans="2:10" x14ac:dyDescent="0.25">
      <c r="B6" s="83" t="s">
        <v>289</v>
      </c>
      <c r="C6" s="84" t="s">
        <v>290</v>
      </c>
      <c r="D6" s="85" t="s">
        <v>291</v>
      </c>
      <c r="E6" s="85" t="s">
        <v>292</v>
      </c>
      <c r="G6" s="113"/>
    </row>
    <row r="7" spans="2:10" x14ac:dyDescent="0.25">
      <c r="B7" s="79" t="s">
        <v>293</v>
      </c>
      <c r="C7" s="220">
        <f>SUM(C8:C9)</f>
        <v>0</v>
      </c>
      <c r="D7" s="220">
        <f>SUM(D8:D9)</f>
        <v>0</v>
      </c>
      <c r="E7" s="465" t="str">
        <f>IFERROR(MMbyMkt[[#This Row],[2024]]/MMbyMkt[[#This Row],[2023]]-1,"NA")</f>
        <v>NA</v>
      </c>
    </row>
    <row r="8" spans="2:10" x14ac:dyDescent="0.25">
      <c r="B8" s="80" t="s">
        <v>84</v>
      </c>
      <c r="C8" s="220">
        <f>SUMIF(AN_TME_BY[[#All],[Insurance Category Code]],3,AN_TME_BY[[#All],[Member Months]])-SUMIFS(AN_TME_BY[[#All],[Member Months]],AN_TME_BY[[#All],[Insurance Category Code]],3,AN_TME_BY[[#All],[Advanced Network/Insurance Carrier Org ID]],100)</f>
        <v>0</v>
      </c>
      <c r="D8" s="220">
        <f>SUMIF(AN_TME_PY[[#All],[Insurance Category Code]],3,AN_TME_PY[[#All],[Member Months]])-SUMIFS(AN_TME_PY[[#All],[Member Months]],AN_TME_PY[[#All],[Insurance Category Code]],3,AN_TME_PY[[#All],[Advanced Network/Insurance Carrier Org ID]],100)</f>
        <v>0</v>
      </c>
      <c r="E8" s="465" t="str">
        <f>IFERROR(MMbyMkt[[#This Row],[2024]]/MMbyMkt[[#This Row],[2023]]-1,"NA")</f>
        <v>NA</v>
      </c>
    </row>
    <row r="9" spans="2:10" x14ac:dyDescent="0.25">
      <c r="B9" s="80" t="s">
        <v>85</v>
      </c>
      <c r="C9" s="220">
        <f>SUMIF(AN_TME_BY[[#All],[Insurance Category Code]],4,AN_TME_BY[[#All],[Member Months]])-SUMIFS(AN_TME_BY[[#All],[Member Months]],AN_TME_BY[[#All],[Insurance Category Code]],4,AN_TME_BY[[#All],[Advanced Network/Insurance Carrier Org ID]],100)</f>
        <v>0</v>
      </c>
      <c r="D9" s="220">
        <f>SUMIF(AN_TME_PY[[#All],[Insurance Category Code]],4,AN_TME_PY[[#All],[Member Months]])-SUMIFS(AN_TME_PY[[#All],[Member Months]],AN_TME_PY[[#All],[Insurance Category Code]],4,AN_TME_PY[[#All],[Advanced Network/Insurance Carrier Org ID]],100)</f>
        <v>0</v>
      </c>
      <c r="E9" s="465" t="str">
        <f>IFERROR(MMbyMkt[[#This Row],[2024]]/MMbyMkt[[#This Row],[2023]]-1,"NA")</f>
        <v>NA</v>
      </c>
      <c r="F9" s="113"/>
    </row>
    <row r="10" spans="2:10" x14ac:dyDescent="0.25">
      <c r="B10" s="81" t="s">
        <v>294</v>
      </c>
      <c r="C10" s="220">
        <f>SUM(C11:C12)</f>
        <v>0</v>
      </c>
      <c r="D10" s="220">
        <f>SUM(D11:D12)</f>
        <v>0</v>
      </c>
      <c r="E10" s="465" t="str">
        <f>IFERROR(MMbyMkt[[#This Row],[2024]]/MMbyMkt[[#This Row],[2023]]-1,"NA")</f>
        <v>NA</v>
      </c>
    </row>
    <row r="11" spans="2:10" x14ac:dyDescent="0.25">
      <c r="B11" s="80" t="s">
        <v>95</v>
      </c>
      <c r="C11" s="220">
        <f>SUMIF(AN_TME_BY[[#All],[Insurance Category Code]],1,AN_TME_BY[[#All],[Member Months]])-SUMIFS(AN_TME_BY[[#All],[Member Months]],AN_TME_BY[[#All],[Insurance Category Code]],1,AN_TME_BY[[#All],[Advanced Network/Insurance Carrier Org ID]],100)</f>
        <v>0</v>
      </c>
      <c r="D11" s="220">
        <f>SUMIF(AN_TME_PY[[#All],[Insurance Category Code]],1,AN_TME_PY[[#All],[Member Months]])-SUMIFS(AN_TME_PY[[#All],[Member Months]],AN_TME_PY[[#All],[Insurance Category Code]],1,AN_TME_PY[[#All],[Advanced Network/Insurance Carrier Org ID]],100)</f>
        <v>0</v>
      </c>
      <c r="E11" s="465" t="str">
        <f>IFERROR(MMbyMkt[[#This Row],[2024]]/MMbyMkt[[#This Row],[2023]]-1,"NA")</f>
        <v>NA</v>
      </c>
      <c r="F11" s="113"/>
    </row>
    <row r="12" spans="2:10" x14ac:dyDescent="0.25">
      <c r="B12" s="80" t="s">
        <v>86</v>
      </c>
      <c r="C12" s="220">
        <f>SUMIF(AN_TME_BY[[#All],[Insurance Category Code]],5,AN_TME_BY[[#All],[Member Months]])-SUMIFS(AN_TME_BY[[#All],[Member Months]],AN_TME_BY[[#All],[Insurance Category Code]],5,AN_TME_BY[[#All],[Advanced Network/Insurance Carrier Org ID]],100)</f>
        <v>0</v>
      </c>
      <c r="D12" s="220">
        <f>SUMIF(AN_TME_PY[[#All],[Insurance Category Code]],5,AN_TME_PY[[#All],[Member Months]])-SUMIFS(AN_TME_PY[[#All],[Member Months]],AN_TME_PY[[#All],[Insurance Category Code]],5,AN_TME_PY[[#All],[Advanced Network/Insurance Carrier Org ID]],100)</f>
        <v>0</v>
      </c>
      <c r="E12" s="465" t="str">
        <f>IFERROR(MMbyMkt[[#This Row],[2024]]/MMbyMkt[[#This Row],[2023]]-1,"NA")</f>
        <v>NA</v>
      </c>
    </row>
    <row r="13" spans="2:10" x14ac:dyDescent="0.25">
      <c r="B13" s="79" t="s">
        <v>88</v>
      </c>
      <c r="C13" s="220">
        <f>SUMIF(AN_TME_BY[[#All],[Insurance Category Code]],7,AN_TME_BY[[#All],[Member Months]])-SUMIFS(AN_TME_BY[[#All],[Member Months]],AN_TME_BY[[#All],[Insurance Category Code]],7,AN_TME_BY[[#All],[Advanced Network/Insurance Carrier Org ID]],100)</f>
        <v>0</v>
      </c>
      <c r="D13" s="220">
        <f>SUMIF(AN_TME_PY[[#All],[Insurance Category Code]],7,AN_TME_PY[[#All],[Member Months]])-SUMIFS(AN_TME_PY[[#All],[Member Months]],AN_TME_PY[[#All],[Insurance Category Code]],7,AN_TME_PY[[#All],[Advanced Network/Insurance Carrier Org ID]],100)</f>
        <v>0</v>
      </c>
      <c r="E13" s="465" t="str">
        <f>IFERROR(MMbyMkt[[#This Row],[2024]]/MMbyMkt[[#This Row],[2023]]-1,"NA")</f>
        <v>NA</v>
      </c>
    </row>
    <row r="14" spans="2:10" x14ac:dyDescent="0.25">
      <c r="B14" s="86" t="s">
        <v>295</v>
      </c>
      <c r="C14" s="223">
        <f>SUM(C7,C10,C13)</f>
        <v>0</v>
      </c>
      <c r="D14" s="223">
        <f>SUM(D7,D10,D13)</f>
        <v>0</v>
      </c>
      <c r="E14" s="466" t="str">
        <f>IFERROR(MMbyMkt[[#This Row],[2024]]/MMbyMkt[[#This Row],[2023]]-1,"NA")</f>
        <v>NA</v>
      </c>
    </row>
    <row r="16" spans="2:10" ht="15.75" x14ac:dyDescent="0.25">
      <c r="B16" s="53" t="s">
        <v>296</v>
      </c>
      <c r="G16" s="53" t="s">
        <v>297</v>
      </c>
    </row>
    <row r="17" spans="2:10" x14ac:dyDescent="0.25">
      <c r="B17" s="83" t="s">
        <v>289</v>
      </c>
      <c r="C17" s="84" t="s">
        <v>290</v>
      </c>
      <c r="D17" s="85" t="s">
        <v>291</v>
      </c>
      <c r="E17" s="85" t="s">
        <v>292</v>
      </c>
      <c r="G17" s="83" t="s">
        <v>289</v>
      </c>
      <c r="H17" s="84" t="s">
        <v>290</v>
      </c>
      <c r="I17" s="85" t="s">
        <v>291</v>
      </c>
      <c r="J17" s="85" t="s">
        <v>292</v>
      </c>
    </row>
    <row r="18" spans="2:10" x14ac:dyDescent="0.25">
      <c r="B18" s="79" t="s">
        <v>293</v>
      </c>
      <c r="C18" s="221">
        <f>SUM(C19:C20)</f>
        <v>0</v>
      </c>
      <c r="D18" s="221">
        <f>SUM(D19:D20)</f>
        <v>0</v>
      </c>
      <c r="E18" s="465" t="str">
        <f>IFERROR(TMEbyMkt[[#This Row],[2024]]/TMEbyMkt[[#This Row],[2023]]-1,"NA")</f>
        <v>NA</v>
      </c>
      <c r="G18" s="79" t="s">
        <v>293</v>
      </c>
      <c r="H18" s="108" t="str">
        <f>IFERROR(TMEbyMkt[[#This Row],[2023]]/C7,"NA")</f>
        <v>NA</v>
      </c>
      <c r="I18" s="108" t="str">
        <f>IFERROR(TMEbyMkt[[#This Row],[2024]]/D7,"NA")</f>
        <v>NA</v>
      </c>
      <c r="J18" s="465" t="str">
        <f>IFERROR(TMEPMPMbyMkt[[#This Row],[2024]]/TMEPMPMbyMkt[[#This Row],[2023]]-1,"NA")</f>
        <v>NA</v>
      </c>
    </row>
    <row r="19" spans="2:10" x14ac:dyDescent="0.25">
      <c r="B19" s="80" t="s">
        <v>84</v>
      </c>
      <c r="C19" s="221">
        <f>SUMIFS(AN_TME_BY[[#All],[TOTAL Non-Truncated Unadjusted Expenses (A21 + A23)]],AN_TME_BY[[#All],[Insurance Category Code]],3,AN_TME_BY[[#All],[Advanced Network/Insurance Carrier Org ID]],100)-ABS(SUMIF(RX_REBATES_BY[[#All],[Insurance Category Code]],3,RX_REBATES_BY[[#All],[Total Pharmacy Rebates]]))</f>
        <v>0</v>
      </c>
      <c r="D19" s="221">
        <f>SUMIFS(AN_TME_PY[[#All],[TOTAL Non-Truncated Unadjusted Expenses (A21 + A23)]],AN_TME_PY[[#All],[Insurance Category Code]],3,AN_TME_PY[[#All],[Advanced Network/Insurance Carrier Org ID]],100)-ABS(SUMIF(RX_REBATES_PY[[#All],[Insurance Category Code]],3,RX_REBATES_PY[[#All],[Total Pharmacy Rebates]]))</f>
        <v>0</v>
      </c>
      <c r="E19" s="465" t="str">
        <f>IFERROR(TMEbyMkt[[#This Row],[2024]]/TMEbyMkt[[#This Row],[2023]]-1,"NA")</f>
        <v>NA</v>
      </c>
      <c r="G19" s="80" t="s">
        <v>84</v>
      </c>
      <c r="H19" s="108" t="str">
        <f>IFERROR(TMEbyMkt[[#This Row],[2023]]/C8,"NA")</f>
        <v>NA</v>
      </c>
      <c r="I19" s="108" t="str">
        <f>IFERROR(TMEbyMkt[[#This Row],[2024]]/D8,"NA")</f>
        <v>NA</v>
      </c>
      <c r="J19" s="465" t="str">
        <f>IFERROR(TMEPMPMbyMkt[[#This Row],[2024]]/TMEPMPMbyMkt[[#This Row],[2023]]-1,"NA")</f>
        <v>NA</v>
      </c>
    </row>
    <row r="20" spans="2:10" x14ac:dyDescent="0.25">
      <c r="B20" s="80" t="s">
        <v>85</v>
      </c>
      <c r="C20" s="221">
        <f>SUMIFS(AN_TME_BY[[#All],[TOTAL Non-Truncated Unadjusted Expenses (A21 + A23)]],AN_TME_BY[[#All],[Insurance Category Code]],4,AN_TME_BY[[#All],[Advanced Network/Insurance Carrier Org ID]],100)-ABS(SUMIF(RX_REBATES_BY[[#All],[Insurance Category Code]],4,RX_REBATES_BY[[#All],[Total Pharmacy Rebates]]))</f>
        <v>0</v>
      </c>
      <c r="D20" s="221">
        <f>SUMIFS(AN_TME_PY[[#All],[TOTAL Non-Truncated Unadjusted Expenses (A21 + A23)]],AN_TME_PY[[#All],[Insurance Category Code]],4,AN_TME_PY[[#All],[Advanced Network/Insurance Carrier Org ID]],100)-ABS(SUMIF(RX_REBATES_PY[[#All],[Insurance Category Code]],4,RX_REBATES_PY[[#All],[Total Pharmacy Rebates]]))</f>
        <v>0</v>
      </c>
      <c r="E20" s="465" t="str">
        <f>IFERROR(TMEbyMkt[[#This Row],[2024]]/TMEbyMkt[[#This Row],[2023]]-1,"NA")</f>
        <v>NA</v>
      </c>
      <c r="G20" s="80" t="s">
        <v>85</v>
      </c>
      <c r="H20" s="108" t="str">
        <f>IFERROR(TMEbyMkt[[#This Row],[2023]]/C9,"NA")</f>
        <v>NA</v>
      </c>
      <c r="I20" s="108" t="str">
        <f>IFERROR(TMEbyMkt[[#This Row],[2024]]/D9,"NA")</f>
        <v>NA</v>
      </c>
      <c r="J20" s="465" t="str">
        <f>IFERROR(TMEPMPMbyMkt[[#This Row],[2024]]/TMEPMPMbyMkt[[#This Row],[2023]]-1,"NA")</f>
        <v>NA</v>
      </c>
    </row>
    <row r="21" spans="2:10" x14ac:dyDescent="0.25">
      <c r="B21" s="81" t="s">
        <v>294</v>
      </c>
      <c r="C21" s="221">
        <f>SUM(C22:C23)</f>
        <v>0</v>
      </c>
      <c r="D21" s="221">
        <f>SUM(D22:D23)</f>
        <v>0</v>
      </c>
      <c r="E21" s="465" t="str">
        <f>IFERROR(TMEbyMkt[[#This Row],[2024]]/TMEbyMkt[[#This Row],[2023]]-1,"NA")</f>
        <v>NA</v>
      </c>
      <c r="G21" s="81" t="s">
        <v>294</v>
      </c>
      <c r="H21" s="108" t="str">
        <f>IFERROR(TMEbyMkt[[#This Row],[2023]]/C10,"NA")</f>
        <v>NA</v>
      </c>
      <c r="I21" s="108" t="str">
        <f>IFERROR(TMEbyMkt[[#This Row],[2024]]/D10,"NA")</f>
        <v>NA</v>
      </c>
      <c r="J21" s="465" t="str">
        <f>IFERROR(TMEPMPMbyMkt[[#This Row],[2024]]/TMEPMPMbyMkt[[#This Row],[2023]]-1,"NA")</f>
        <v>NA</v>
      </c>
    </row>
    <row r="22" spans="2:10" x14ac:dyDescent="0.25">
      <c r="B22" s="80" t="s">
        <v>95</v>
      </c>
      <c r="C22" s="221">
        <f>SUMIFS(AN_TME_BY[[#All],[TOTAL Non-Truncated Unadjusted Expenses (A21 + A23)]],AN_TME_BY[[#All],[Insurance Category Code]],1,AN_TME_BY[[#All],[Advanced Network/Insurance Carrier Org ID]],100)-ABS(SUMIF(RX_REBATES_BY[[#All],[Insurance Category Code]],1,RX_REBATES_BY[[#All],[Total Pharmacy Rebates]]))</f>
        <v>0</v>
      </c>
      <c r="D22" s="221">
        <f>SUMIFS(AN_TME_PY[[#All],[TOTAL Non-Truncated Unadjusted Expenses (A21 + A23)]],AN_TME_PY[[#All],[Insurance Category Code]],1,AN_TME_PY[[#All],[Advanced Network/Insurance Carrier Org ID]],100)-ABS(SUMIF(RX_REBATES_PY[[#All],[Insurance Category Code]],1,RX_REBATES_PY[[#All],[Total Pharmacy Rebates]]))</f>
        <v>0</v>
      </c>
      <c r="E22" s="465" t="str">
        <f>IFERROR(TMEbyMkt[[#This Row],[2024]]/TMEbyMkt[[#This Row],[2023]]-1,"NA")</f>
        <v>NA</v>
      </c>
      <c r="G22" s="80" t="s">
        <v>95</v>
      </c>
      <c r="H22" s="108" t="str">
        <f>IFERROR(TMEbyMkt[[#This Row],[2023]]/C11,"NA")</f>
        <v>NA</v>
      </c>
      <c r="I22" s="108" t="str">
        <f>IFERROR(TMEbyMkt[[#This Row],[2024]]/D11,"NA")</f>
        <v>NA</v>
      </c>
      <c r="J22" s="465" t="str">
        <f>IFERROR(TMEPMPMbyMkt[[#This Row],[2024]]/TMEPMPMbyMkt[[#This Row],[2023]]-1,"NA")</f>
        <v>NA</v>
      </c>
    </row>
    <row r="23" spans="2:10" ht="30" x14ac:dyDescent="0.25">
      <c r="B23" s="80" t="s">
        <v>86</v>
      </c>
      <c r="C23" s="221">
        <f>SUMIFS(AN_TME_BY[[#All],[TOTAL Non-Truncated Unadjusted Expenses (A21 + A23)]],AN_TME_BY[[#All],[Insurance Category Code]],5,AN_TME_BY[[#All],[Advanced Network/Insurance Carrier Org ID]],100)-ABS(SUMIF(RX_REBATES_BY[[#All],[Insurance Category Code]],5,RX_REBATES_BY[[#All],[Total Pharmacy Rebates]]))</f>
        <v>0</v>
      </c>
      <c r="D23" s="221">
        <f>SUMIFS(AN_TME_PY[[#All],[TOTAL Non-Truncated Unadjusted Expenses (A21 + A23)]],AN_TME_PY[[#All],[Insurance Category Code]],5,AN_TME_PY[[#All],[Advanced Network/Insurance Carrier Org ID]],100)-ABS(SUMIF(RX_REBATES_PY[[#All],[Insurance Category Code]],5,RX_REBATES_PY[[#All],[Total Pharmacy Rebates]]))</f>
        <v>0</v>
      </c>
      <c r="E23" s="465" t="str">
        <f>IFERROR(TMEbyMkt[[#This Row],[2024]]/TMEbyMkt[[#This Row],[2023]]-1,"NA")</f>
        <v>NA</v>
      </c>
      <c r="G23" s="80" t="s">
        <v>86</v>
      </c>
      <c r="H23" s="108" t="str">
        <f>IFERROR(TMEbyMkt[[#This Row],[2023]]/C12,"NA")</f>
        <v>NA</v>
      </c>
      <c r="I23" s="108" t="str">
        <f>IFERROR(TMEbyMkt[[#This Row],[2024]]/D12,"NA")</f>
        <v>NA</v>
      </c>
      <c r="J23" s="465" t="str">
        <f>IFERROR(TMEPMPMbyMkt[[#This Row],[2024]]/TMEPMPMbyMkt[[#This Row],[2023]]-1,"NA")</f>
        <v>NA</v>
      </c>
    </row>
    <row r="24" spans="2:10" x14ac:dyDescent="0.25">
      <c r="B24" s="79" t="s">
        <v>88</v>
      </c>
      <c r="C24" s="221">
        <f>SUMIFS(AN_TME_BY[[#All],[TOTAL Non-Truncated Unadjusted Expenses (A21 + A23)]],AN_TME_BY[[#All],[Insurance Category Code]],7,AN_TME_BY[[#All],[Advanced Network/Insurance Carrier Org ID]],100)-ABS(SUMIF(RX_REBATES_BY[[#All],[Insurance Category Code]],7,RX_REBATES_BY[[#All],[Total Pharmacy Rebates]]))</f>
        <v>0</v>
      </c>
      <c r="D24" s="221">
        <f>SUMIFS(AN_TME_PY[[#All],[TOTAL Non-Truncated Unadjusted Expenses (A21 + A23)]],AN_TME_PY[[#All],[Insurance Category Code]],7,AN_TME_PY[[#All],[Advanced Network/Insurance Carrier Org ID]],100)-ABS(SUMIF(RX_REBATES_PY[[#All],[Insurance Category Code]],7,RX_REBATES_PY[[#All],[Total Pharmacy Rebates]]))</f>
        <v>0</v>
      </c>
      <c r="E24" s="465" t="str">
        <f>IFERROR(TMEbyMkt[[#This Row],[2024]]/TMEbyMkt[[#This Row],[2023]]-1,"NA")</f>
        <v>NA</v>
      </c>
      <c r="G24" s="79" t="s">
        <v>88</v>
      </c>
      <c r="H24" s="108" t="str">
        <f>IFERROR(TMEbyMkt[[#This Row],[2023]]/C13,"NA")</f>
        <v>NA</v>
      </c>
      <c r="I24" s="108" t="str">
        <f>IFERROR(TMEbyMkt[[#This Row],[2024]]/D13,"NA")</f>
        <v>NA</v>
      </c>
      <c r="J24" s="465" t="str">
        <f>IFERROR(TMEPMPMbyMkt[[#This Row],[2024]]/TMEPMPMbyMkt[[#This Row],[2023]]-1,"NA")</f>
        <v>NA</v>
      </c>
    </row>
    <row r="25" spans="2:10" ht="30" x14ac:dyDescent="0.25">
      <c r="B25" s="82" t="s">
        <v>298</v>
      </c>
      <c r="C25" s="224">
        <f>SUM(C18,C21,C24)</f>
        <v>0</v>
      </c>
      <c r="D25" s="224">
        <f>SUM(D18,D21,D24)</f>
        <v>0</v>
      </c>
      <c r="E25" s="466" t="str">
        <f>IFERROR(TMEbyMkt[[#This Row],[2024]]/TMEbyMkt[[#This Row],[2023]]-1,"NA")</f>
        <v>NA</v>
      </c>
      <c r="G25" s="82" t="s">
        <v>298</v>
      </c>
      <c r="H25" s="109" t="str">
        <f>IFERROR(TMEbyMkt[[#This Row],[2023]]/C14,"NA")</f>
        <v>NA</v>
      </c>
      <c r="I25" s="109" t="str">
        <f>IFERROR(TMEbyMkt[[#This Row],[2024]]/D14,"NA")</f>
        <v>NA</v>
      </c>
      <c r="J25" s="466" t="str">
        <f>IFERROR(TMEPMPMbyMkt[[#This Row],[2024]]/TMEPMPMbyMkt[[#This Row],[2023]]-1,"NA")</f>
        <v>NA</v>
      </c>
    </row>
    <row r="27" spans="2:10" ht="15.75" x14ac:dyDescent="0.25">
      <c r="B27" s="53" t="s">
        <v>299</v>
      </c>
      <c r="G27" s="53" t="s">
        <v>300</v>
      </c>
    </row>
    <row r="28" spans="2:10" x14ac:dyDescent="0.25">
      <c r="B28" s="83" t="s">
        <v>289</v>
      </c>
      <c r="C28" s="84" t="s">
        <v>290</v>
      </c>
      <c r="D28" s="85" t="s">
        <v>291</v>
      </c>
      <c r="E28" s="85" t="s">
        <v>292</v>
      </c>
      <c r="G28" s="83" t="s">
        <v>289</v>
      </c>
      <c r="H28" s="84" t="s">
        <v>290</v>
      </c>
      <c r="I28" s="85" t="s">
        <v>291</v>
      </c>
      <c r="J28" s="85" t="s">
        <v>292</v>
      </c>
    </row>
    <row r="29" spans="2:10" x14ac:dyDescent="0.25">
      <c r="B29" s="79" t="s">
        <v>293</v>
      </c>
      <c r="C29" s="108">
        <f>SUM(C30:C31)</f>
        <v>0</v>
      </c>
      <c r="D29" s="108">
        <f>SUM(D30:D31)</f>
        <v>0</v>
      </c>
      <c r="E29" s="465" t="str">
        <f>IFERROR(RATMEbyMkt[[#This Row],[2024]]/RATMEbyMkt[[#This Row],[2023]]-1,"NA")</f>
        <v>NA</v>
      </c>
      <c r="G29" s="79" t="s">
        <v>293</v>
      </c>
      <c r="H29" s="108" t="str">
        <f>IFERROR(RATMEbyMkt[[#This Row],[2023]]/C7,"NA")</f>
        <v>NA</v>
      </c>
      <c r="I29" s="108" t="str">
        <f>IFERROR(RATMEbyMkt[[#This Row],[2024]]/D7,"NA")</f>
        <v>NA</v>
      </c>
      <c r="J29" s="465" t="str">
        <f>IFERROR(RATMEPMPMbyMkt[[#This Row],[2024]]/RATMEPMPMbyMkt[[#This Row],[2023]]-1,"NA")</f>
        <v>NA</v>
      </c>
    </row>
    <row r="30" spans="2:10" x14ac:dyDescent="0.25">
      <c r="B30" s="80" t="s">
        <v>84</v>
      </c>
      <c r="C30" s="221">
        <f>SUMIFS(AN_TME_BY[[#All],[TOTAL Truncated Unadjusted Expenses (A22 + A23)]],AN_TME_BY[[#All],[Insurance Category Code]],3,AN_TME_BY[[#All],[Advanced Network/Insurance Carrier Org ID]],100)-ABS(SUMIF(RX_REBATES_BY[[#All],[Insurance Category Code]],3,RX_REBATES_BY[[#All],[Total Pharmacy Rebates]]))</f>
        <v>0</v>
      </c>
      <c r="D30" s="221">
        <f>SUMIFS(AN_TME_PY[[#All],[TOTAL Truncated Unadjusted Expenses (A22 + A23)]],AN_TME_PY[[#All],[Insurance Category Code]],3,AN_TME_PY[[#All],[Advanced Network/Insurance Carrier Org ID]],100)-ABS(SUMIF(RX_REBATES_PY[[#All],[Insurance Category Code]],3,RX_REBATES_PY[[#All],[Total Pharmacy Rebates]]))</f>
        <v>0</v>
      </c>
      <c r="E30" s="465" t="str">
        <f>IFERROR(RATMEbyMkt[[#This Row],[2024]]/RATMEbyMkt[[#This Row],[2023]]-1,"NA")</f>
        <v>NA</v>
      </c>
      <c r="G30" s="80" t="s">
        <v>84</v>
      </c>
      <c r="H30" s="108" t="str">
        <f>IFERROR(RATMEbyMkt[[#This Row],[2023]]/C8,"NA")</f>
        <v>NA</v>
      </c>
      <c r="I30" s="108" t="str">
        <f>IFERROR(RATMEbyMkt[[#This Row],[2024]]/D8,"NA")</f>
        <v>NA</v>
      </c>
      <c r="J30" s="465" t="str">
        <f>IFERROR(RATMEPMPMbyMkt[[#This Row],[2024]]/RATMEPMPMbyMkt[[#This Row],[2023]]-1,"NA")</f>
        <v>NA</v>
      </c>
    </row>
    <row r="31" spans="2:10" x14ac:dyDescent="0.25">
      <c r="B31" s="80" t="s">
        <v>85</v>
      </c>
      <c r="C31" s="221">
        <f>SUMIFS(AN_TME_BY[[#All],[TOTAL Truncated Unadjusted Expenses (A22 + A23)]],AN_TME_BY[[#All],[Insurance Category Code]],4,AN_TME_BY[[#All],[Advanced Network/Insurance Carrier Org ID]],100)-ABS(SUMIF(RX_REBATES_BY[[#All],[Insurance Category Code]],4,RX_REBATES_BY[[#All],[Total Pharmacy Rebates]]))</f>
        <v>0</v>
      </c>
      <c r="D31" s="221">
        <f>SUMIFS(AN_TME_PY[[#All],[TOTAL Truncated Unadjusted Expenses (A22 + A23)]],AN_TME_PY[[#All],[Insurance Category Code]],4,AN_TME_PY[[#All],[Advanced Network/Insurance Carrier Org ID]],100)-ABS(SUMIF(RX_REBATES_PY[[#All],[Insurance Category Code]],4,RX_REBATES_PY[[#All],[Total Pharmacy Rebates]]))</f>
        <v>0</v>
      </c>
      <c r="E31" s="465" t="str">
        <f>IFERROR(RATMEbyMkt[[#This Row],[2024]]/RATMEbyMkt[[#This Row],[2023]]-1,"NA")</f>
        <v>NA</v>
      </c>
      <c r="G31" s="80" t="s">
        <v>85</v>
      </c>
      <c r="H31" s="108" t="str">
        <f>IFERROR(RATMEbyMkt[[#This Row],[2023]]/C9,"NA")</f>
        <v>NA</v>
      </c>
      <c r="I31" s="108" t="str">
        <f>IFERROR(RATMEbyMkt[[#This Row],[2024]]/D9,"NA")</f>
        <v>NA</v>
      </c>
      <c r="J31" s="465" t="str">
        <f>IFERROR(RATMEPMPMbyMkt[[#This Row],[2024]]/RATMEPMPMbyMkt[[#This Row],[2023]]-1,"NA")</f>
        <v>NA</v>
      </c>
    </row>
    <row r="32" spans="2:10" x14ac:dyDescent="0.25">
      <c r="B32" s="81" t="s">
        <v>294</v>
      </c>
      <c r="C32" s="221">
        <f>SUM(C33:C34)</f>
        <v>0</v>
      </c>
      <c r="D32" s="221">
        <f>SUM(D33:D34)</f>
        <v>0</v>
      </c>
      <c r="E32" s="465" t="str">
        <f>IFERROR(RATMEbyMkt[[#This Row],[2024]]/RATMEbyMkt[[#This Row],[2023]]-1,"NA")</f>
        <v>NA</v>
      </c>
      <c r="G32" s="81" t="s">
        <v>294</v>
      </c>
      <c r="H32" s="108" t="str">
        <f>IFERROR(RATMEbyMkt[[#This Row],[2023]]/C10,"NA")</f>
        <v>NA</v>
      </c>
      <c r="I32" s="108" t="str">
        <f>IFERROR(RATMEbyMkt[[#This Row],[2024]]/D10,"NA")</f>
        <v>NA</v>
      </c>
      <c r="J32" s="465" t="str">
        <f>IFERROR(RATMEPMPMbyMkt[[#This Row],[2024]]/RATMEPMPMbyMkt[[#This Row],[2023]]-1,"NA")</f>
        <v>NA</v>
      </c>
    </row>
    <row r="33" spans="2:15" x14ac:dyDescent="0.25">
      <c r="B33" s="80" t="s">
        <v>95</v>
      </c>
      <c r="C33" s="221">
        <f>SUMIFS(AN_TME_BY[[#All],[TOTAL Truncated Unadjusted Expenses (A22 + A23)]],AN_TME_BY[[#All],[Insurance Category Code]],1,AN_TME_BY[[#All],[Advanced Network/Insurance Carrier Org ID]],100)-ABS(SUMIF(RX_REBATES_BY[[#All],[Insurance Category Code]],1,RX_REBATES_BY[[#All],[Total Pharmacy Rebates]]))</f>
        <v>0</v>
      </c>
      <c r="D33" s="221">
        <f>SUMIFS(AN_TME_PY[[#All],[TOTAL Truncated Unadjusted Expenses (A22 + A23)]],AN_TME_PY[[#All],[Insurance Category Code]],1,AN_TME_PY[[#All],[Advanced Network/Insurance Carrier Org ID]],100)-ABS(SUMIF(RX_REBATES_PY[[#All],[Insurance Category Code]],1,RX_REBATES_PY[[#All],[Total Pharmacy Rebates]]))</f>
        <v>0</v>
      </c>
      <c r="E33" s="465" t="str">
        <f>IFERROR(RATMEbyMkt[[#This Row],[2024]]/RATMEbyMkt[[#This Row],[2023]]-1,"NA")</f>
        <v>NA</v>
      </c>
      <c r="G33" s="80" t="s">
        <v>95</v>
      </c>
      <c r="H33" s="108" t="str">
        <f>IFERROR(RATMEbyMkt[[#This Row],[2023]]/C11,"NA")</f>
        <v>NA</v>
      </c>
      <c r="I33" s="108" t="str">
        <f>IFERROR(RATMEbyMkt[[#This Row],[2024]]/D11,"NA")</f>
        <v>NA</v>
      </c>
      <c r="J33" s="465" t="str">
        <f>IFERROR(RATMEPMPMbyMkt[[#This Row],[2024]]/RATMEPMPMbyMkt[[#This Row],[2023]]-1,"NA")</f>
        <v>NA</v>
      </c>
    </row>
    <row r="34" spans="2:15" ht="30" x14ac:dyDescent="0.25">
      <c r="B34" s="80" t="s">
        <v>86</v>
      </c>
      <c r="C34" s="221">
        <f>SUMIFS(AN_TME_BY[[#All],[TOTAL Truncated Unadjusted Expenses (A22 + A23)]],AN_TME_BY[[#All],[Insurance Category Code]],5,AN_TME_BY[[#All],[Advanced Network/Insurance Carrier Org ID]],100)-ABS(SUMIF(RX_REBATES_BY[[#All],[Insurance Category Code]],5,RX_REBATES_BY[[#All],[Total Pharmacy Rebates]]))</f>
        <v>0</v>
      </c>
      <c r="D34" s="221">
        <f>SUMIFS(AN_TME_PY[[#All],[TOTAL Truncated Unadjusted Expenses (A22 + A23)]],AN_TME_PY[[#All],[Insurance Category Code]],5,AN_TME_PY[[#All],[Advanced Network/Insurance Carrier Org ID]],100)-ABS(SUMIF(RX_REBATES_PY[[#All],[Insurance Category Code]],5,RX_REBATES_PY[[#All],[Total Pharmacy Rebates]]))</f>
        <v>0</v>
      </c>
      <c r="E34" s="465" t="str">
        <f>IFERROR(RATMEbyMkt[[#This Row],[2024]]/RATMEbyMkt[[#This Row],[2023]]-1,"NA")</f>
        <v>NA</v>
      </c>
      <c r="G34" s="80" t="s">
        <v>86</v>
      </c>
      <c r="H34" s="108" t="str">
        <f>IFERROR(RATMEbyMkt[[#This Row],[2023]]/C12,"NA")</f>
        <v>NA</v>
      </c>
      <c r="I34" s="108" t="str">
        <f>IFERROR(RATMEbyMkt[[#This Row],[2024]]/D12,"NA")</f>
        <v>NA</v>
      </c>
      <c r="J34" s="465" t="str">
        <f>IFERROR(RATMEPMPMbyMkt[[#This Row],[2024]]/RATMEPMPMbyMkt[[#This Row],[2023]]-1,"NA")</f>
        <v>NA</v>
      </c>
    </row>
    <row r="35" spans="2:15" x14ac:dyDescent="0.25">
      <c r="B35" s="79" t="s">
        <v>88</v>
      </c>
      <c r="C35" s="221">
        <f>SUMIFS(AN_TME_BY[[#All],[TOTAL Truncated Unadjusted Expenses (A22 + A23)]],AN_TME_BY[[#All],[Insurance Category Code]],7,AN_TME_BY[[#All],[Advanced Network/Insurance Carrier Org ID]],100)-ABS(SUMIF(RX_REBATES_BY[[#All],[Insurance Category Code]],7,RX_REBATES_BY[[#All],[Total Pharmacy Rebates]]))</f>
        <v>0</v>
      </c>
      <c r="D35" s="221">
        <f>SUMIFS(AN_TME_PY[[#All],[TOTAL Truncated Unadjusted Expenses (A22 + A23)]],AN_TME_PY[[#All],[Insurance Category Code]],7,AN_TME_PY[[#All],[Advanced Network/Insurance Carrier Org ID]],100)-ABS(SUMIF(RX_REBATES_PY[[#All],[Insurance Category Code]],7,RX_REBATES_PY[[#All],[Total Pharmacy Rebates]]))</f>
        <v>0</v>
      </c>
      <c r="E35" s="465" t="str">
        <f>IFERROR(RATMEbyMkt[[#This Row],[2024]]/RATMEbyMkt[[#This Row],[2023]]-1,"NA")</f>
        <v>NA</v>
      </c>
      <c r="G35" s="79" t="s">
        <v>88</v>
      </c>
      <c r="H35" s="108" t="str">
        <f>IFERROR(RATMEbyMkt[[#This Row],[2023]]/C13,"NA")</f>
        <v>NA</v>
      </c>
      <c r="I35" s="108" t="str">
        <f>IFERROR(RATMEbyMkt[[#This Row],[2024]]/D13,"NA")</f>
        <v>NA</v>
      </c>
      <c r="J35" s="465" t="str">
        <f>IFERROR(RATMEPMPMbyMkt[[#This Row],[2024]]/RATMEPMPMbyMkt[[#This Row],[2023]]-1,"NA")</f>
        <v>NA</v>
      </c>
    </row>
    <row r="36" spans="2:15" ht="30" x14ac:dyDescent="0.25">
      <c r="B36" s="82" t="s">
        <v>298</v>
      </c>
      <c r="C36" s="224">
        <f>SUM(C29,C32,C35)</f>
        <v>0</v>
      </c>
      <c r="D36" s="224">
        <f>SUM(D29,D32,D35)</f>
        <v>0</v>
      </c>
      <c r="E36" s="467" t="str">
        <f>IFERROR(RATMEbyMkt[[#This Row],[2024]]/RATMEbyMkt[[#This Row],[2023]]-1,"NA")</f>
        <v>NA</v>
      </c>
      <c r="G36" s="82" t="s">
        <v>298</v>
      </c>
      <c r="H36" s="109" t="str">
        <f>IFERROR(RATMEbyMkt[[#This Row],[2023]]/C14,"NA")</f>
        <v>NA</v>
      </c>
      <c r="I36" s="109" t="str">
        <f>IFERROR(RATMEbyMkt[[#This Row],[2024]]/D14,"NA")</f>
        <v>NA</v>
      </c>
      <c r="J36" s="466" t="str">
        <f>IFERROR(RATMEPMPMbyMkt[[#This Row],[2024]]/RATMEPMPMbyMkt[[#This Row],[2023]]-1,"NA")</f>
        <v>NA</v>
      </c>
    </row>
    <row r="37" spans="2:15" x14ac:dyDescent="0.25">
      <c r="C37" s="225"/>
      <c r="D37" s="225"/>
    </row>
    <row r="38" spans="2:15" ht="15.75" x14ac:dyDescent="0.25">
      <c r="B38" s="53" t="s">
        <v>301</v>
      </c>
      <c r="G38" s="53" t="s">
        <v>302</v>
      </c>
      <c r="L38" s="53" t="s">
        <v>303</v>
      </c>
    </row>
    <row r="39" spans="2:15" x14ac:dyDescent="0.25">
      <c r="B39" s="60" t="s">
        <v>304</v>
      </c>
      <c r="G39" s="60" t="s">
        <v>304</v>
      </c>
      <c r="L39" s="60" t="s">
        <v>304</v>
      </c>
    </row>
    <row r="40" spans="2:15" x14ac:dyDescent="0.25">
      <c r="B40" s="87" t="s">
        <v>305</v>
      </c>
      <c r="C40" s="88" t="s">
        <v>290</v>
      </c>
      <c r="D40" s="89" t="s">
        <v>291</v>
      </c>
      <c r="E40" s="89" t="s">
        <v>292</v>
      </c>
      <c r="G40" s="90" t="s">
        <v>305</v>
      </c>
      <c r="H40" s="91" t="s">
        <v>290</v>
      </c>
      <c r="I40" s="92" t="s">
        <v>291</v>
      </c>
      <c r="J40" s="92" t="s">
        <v>292</v>
      </c>
      <c r="L40" s="93" t="s">
        <v>305</v>
      </c>
      <c r="M40" s="94" t="s">
        <v>290</v>
      </c>
      <c r="N40" s="95" t="s">
        <v>291</v>
      </c>
      <c r="O40" s="95" t="s">
        <v>292</v>
      </c>
    </row>
    <row r="41" spans="2:15" x14ac:dyDescent="0.25">
      <c r="B41" s="79" t="s">
        <v>212</v>
      </c>
      <c r="C41" s="468">
        <f>SUM(H41,M41)</f>
        <v>0</v>
      </c>
      <c r="D41" s="468">
        <f>SUM(I41,N41)</f>
        <v>0</v>
      </c>
      <c r="E41" s="469" t="str">
        <f>IFERROR(ComTotTME[[#This Row],[2024]]/ComTotTME[[#This Row],[2023]]-1,"NA")</f>
        <v>NA</v>
      </c>
      <c r="G41" s="79" t="s">
        <v>212</v>
      </c>
      <c r="H41" s="477">
        <f>SUMIFS(AN_TME_BY[[#All],[Member Months]],AN_TME_BY[[#All],[Insurance Category Code]],3,AN_TME_BY[[#All],[Advanced Network/Insurance Carrier Org ID]],100)</f>
        <v>0</v>
      </c>
      <c r="I41" s="477">
        <f>SUMIFS(AN_TME_PY[[#All],[Member Months]],AN_TME_PY[[#All],[Insurance Category Code]],3,AN_TME_PY[[#All],[Advanced Network/Insurance Carrier Org ID]],100)</f>
        <v>0</v>
      </c>
      <c r="J41" s="465" t="str">
        <f>IFERROR(ICC3TME[[#This Row],[2024]]/ICC3TME[[#This Row],[2023]]-1,"NA")</f>
        <v>NA</v>
      </c>
      <c r="L41" s="79" t="s">
        <v>212</v>
      </c>
      <c r="M41" s="477">
        <f>SUMIFS(AN_TME_BY[[#All],[Member Months]],AN_TME_BY[[#All],[Insurance Category Code]],4,AN_TME_BY[[#All],[Advanced Network/Insurance Carrier Org ID]],100)</f>
        <v>0</v>
      </c>
      <c r="N41" s="477">
        <f>SUMIFS(AN_TME_PY[[#All],[Member Months]],AN_TME_PY[[#All],[Insurance Category Code]],4,AN_TME_PY[[#All],[Advanced Network/Insurance Carrier Org ID]],100)</f>
        <v>0</v>
      </c>
      <c r="O41" s="482" t="str">
        <f>IFERROR(ICC4TME[[#This Row],[2024]]/ICC4TME[[#This Row],[2023]]-1,"NA")</f>
        <v>NA</v>
      </c>
    </row>
    <row r="42" spans="2:15" x14ac:dyDescent="0.25">
      <c r="B42" s="79" t="s">
        <v>124</v>
      </c>
      <c r="C42" s="470" t="str">
        <f>IFERROR((SUMPRODUCT(H42,H$41)+SUMPRODUCT(M42,M$41))/C$41,"NA")</f>
        <v>NA</v>
      </c>
      <c r="D42" s="470" t="str">
        <f>IFERROR((SUMPRODUCT(I42,I$41)+SUMPRODUCT(N42,N$41))/D$41,"NA")</f>
        <v>NA</v>
      </c>
      <c r="E42" s="469" t="str">
        <f>IFERROR(ComTotTME[[#This Row],[2024]]/ComTotTME[[#This Row],[2023]]-1,"NA")</f>
        <v>NA</v>
      </c>
      <c r="G42" s="79" t="s">
        <v>124</v>
      </c>
      <c r="H42" s="470" t="str">
        <f>IFERROR((SUMIFS(AN_TME_BY[[#All],[Claims: Hospital Inpatient]],AN_TME_BY[[#All],[Insurance Category Code]],3,AN_TME_BY[[#All],[Advanced Network/Insurance Carrier Org ID]],100))/H$41,"NA")</f>
        <v>NA</v>
      </c>
      <c r="I42" s="470" t="str">
        <f>IFERROR((SUMIFS(AN_TME_PY[[#All],[Claims: Hospital Inpatient]],AN_TME_PY[[#All],[Insurance Category Code]],3,AN_TME_PY[[#All],[Advanced Network/Insurance Carrier Org ID]],100))/I$41,"NA")</f>
        <v>NA</v>
      </c>
      <c r="J42" s="478" t="str">
        <f>IFERROR(ICC3TME[[#This Row],[2024]]/ICC3TME[[#This Row],[2023]]-1,"NA")</f>
        <v>NA</v>
      </c>
      <c r="L42" s="79" t="s">
        <v>124</v>
      </c>
      <c r="M42" s="470" t="str">
        <f>IFERROR((SUMIFS(AN_TME_BY[[#All],[Claims: Hospital Inpatient]],AN_TME_BY[[#All],[Insurance Category Code]],4,AN_TME_BY[[#All],[Advanced Network/Insurance Carrier Org ID]],100))/M$41,"NA")</f>
        <v>NA</v>
      </c>
      <c r="N42" s="470" t="str">
        <f>IFERROR((SUMIFS(AN_TME_PY[[#All],[Claims: Hospital Inpatient]],AN_TME_PY[[#All],[Insurance Category Code]],4,AN_TME_PY[[#All],[Advanced Network/Insurance Carrier Org ID]],100))/N$41,"NA")</f>
        <v>NA</v>
      </c>
      <c r="O42" s="469" t="str">
        <f>IFERROR(ICC4TME[[#This Row],[2024]]/ICC4TME[[#This Row],[2023]]-1,"NA")</f>
        <v>NA</v>
      </c>
    </row>
    <row r="43" spans="2:15" x14ac:dyDescent="0.25">
      <c r="B43" s="79" t="s">
        <v>125</v>
      </c>
      <c r="C43" s="470" t="str">
        <f t="shared" ref="C43:C58" si="0">IFERROR((SUMPRODUCT(H43,H$41)+SUMPRODUCT(M43,M$41))/C$41,"NA")</f>
        <v>NA</v>
      </c>
      <c r="D43" s="470" t="str">
        <f t="shared" ref="D43:D58" si="1">IFERROR((SUMPRODUCT(I43,I$41)+SUMPRODUCT(N43,N$41))/D$41,"NA")</f>
        <v>NA</v>
      </c>
      <c r="E43" s="469" t="str">
        <f>IFERROR(ComTotTME[[#This Row],[2024]]/ComTotTME[[#This Row],[2023]]-1,"NA")</f>
        <v>NA</v>
      </c>
      <c r="G43" s="79" t="s">
        <v>125</v>
      </c>
      <c r="H43" s="470" t="str">
        <f>IFERROR((SUMIFS(AN_TME_BY[[#All],[Claims: Hospital Outpatient]],AN_TME_BY[[#All],[Insurance Category Code]],3,AN_TME_BY[[#All],[Advanced Network/Insurance Carrier Org ID]],100))/H$41,"NA")</f>
        <v>NA</v>
      </c>
      <c r="I43" s="470" t="str">
        <f>IFERROR((SUMIFS(AN_TME_PY[[#All],[Claims: Hospital Outpatient]],AN_TME_PY[[#All],[Insurance Category Code]],3,AN_TME_PY[[#All],[Advanced Network/Insurance Carrier Org ID]],100))/I$41,"NA")</f>
        <v>NA</v>
      </c>
      <c r="J43" s="478" t="str">
        <f>IFERROR(ICC3TME[[#This Row],[2024]]/ICC3TME[[#This Row],[2023]]-1,"NA")</f>
        <v>NA</v>
      </c>
      <c r="L43" s="79" t="s">
        <v>125</v>
      </c>
      <c r="M43" s="470" t="str">
        <f>IFERROR((SUMIFS(AN_TME_BY[[#All],[Claims: Hospital Outpatient]],AN_TME_BY[[#All],[Insurance Category Code]],4,AN_TME_BY[[#All],[Advanced Network/Insurance Carrier Org ID]],100))/M$41,"NA")</f>
        <v>NA</v>
      </c>
      <c r="N43" s="470" t="str">
        <f>IFERROR((SUMIFS(AN_TME_PY[[#All],[Claims: Hospital Outpatient]],AN_TME_PY[[#All],[Insurance Category Code]],4,AN_TME_PY[[#All],[Advanced Network/Insurance Carrier Org ID]],100))/N$41,"NA")</f>
        <v>NA</v>
      </c>
      <c r="O43" s="469" t="str">
        <f>IFERROR(ICC4TME[[#This Row],[2024]]/ICC4TME[[#This Row],[2023]]-1,"NA")</f>
        <v>NA</v>
      </c>
    </row>
    <row r="44" spans="2:15" x14ac:dyDescent="0.25">
      <c r="B44" s="79" t="s">
        <v>127</v>
      </c>
      <c r="C44" s="470" t="str">
        <f t="shared" si="0"/>
        <v>NA</v>
      </c>
      <c r="D44" s="470" t="str">
        <f t="shared" si="1"/>
        <v>NA</v>
      </c>
      <c r="E44" s="469" t="str">
        <f>IFERROR(ComTotTME[[#This Row],[2024]]/ComTotTME[[#This Row],[2023]]-1,"NA")</f>
        <v>NA</v>
      </c>
      <c r="G44" s="79" t="s">
        <v>127</v>
      </c>
      <c r="H44" s="470" t="str">
        <f>IFERROR((SUMIFS(AN_TME_BY[[#All],[Claims: Professional, Primary Care]],AN_TME_BY[[#All],[Insurance Category Code]],3,AN_TME_BY[[#All],[Advanced Network/Insurance Carrier Org ID]],100))/H$41,"NA")</f>
        <v>NA</v>
      </c>
      <c r="I44" s="470" t="str">
        <f>IFERROR((SUMIFS(AN_TME_PY[[#All],[Claims: Professional, Primary Care]],AN_TME_PY[[#All],[Insurance Category Code]],3,AN_TME_PY[[#All],[Advanced Network/Insurance Carrier Org ID]],100))/I$41,"NA")</f>
        <v>NA</v>
      </c>
      <c r="J44" s="478" t="str">
        <f>IFERROR(ICC3TME[[#This Row],[2024]]/ICC3TME[[#This Row],[2023]]-1,"NA")</f>
        <v>NA</v>
      </c>
      <c r="L44" s="79" t="s">
        <v>127</v>
      </c>
      <c r="M44" s="470" t="str">
        <f>IFERROR((SUMIFS(AN_TME_BY[[#All],[Claims: Professional, Primary Care]],AN_TME_BY[[#All],[Insurance Category Code]],4,AN_TME_BY[[#All],[Advanced Network/Insurance Carrier Org ID]],100))/M$41,"NA")</f>
        <v>NA</v>
      </c>
      <c r="N44" s="470" t="str">
        <f>IFERROR((SUMIFS(AN_TME_PY[[#All],[Claims: Professional, Primary Care]],AN_TME_PY[[#All],[Insurance Category Code]],4,AN_TME_PY[[#All],[Advanced Network/Insurance Carrier Org ID]],100))/N$41,"NA")</f>
        <v>NA</v>
      </c>
      <c r="O44" s="469" t="str">
        <f>IFERROR(ICC4TME[[#This Row],[2024]]/ICC4TME[[#This Row],[2023]]-1,"NA")</f>
        <v>NA</v>
      </c>
    </row>
    <row r="45" spans="2:15" ht="30" x14ac:dyDescent="0.25">
      <c r="B45" s="79" t="s">
        <v>128</v>
      </c>
      <c r="C45" s="470" t="str">
        <f t="shared" si="0"/>
        <v>NA</v>
      </c>
      <c r="D45" s="470" t="str">
        <f t="shared" si="1"/>
        <v>NA</v>
      </c>
      <c r="E45" s="469" t="str">
        <f>IFERROR(ComTotTME[[#This Row],[2024]]/ComTotTME[[#This Row],[2023]]-1,"NA")</f>
        <v>NA</v>
      </c>
      <c r="G45" s="79" t="s">
        <v>128</v>
      </c>
      <c r="H45" s="470" t="str">
        <f>IFERROR((SUMIFS(AN_TME_BY[[#All],[Claims: Professional, Primary Care (for Monitoring Purposes)]],AN_TME_BY[[#All],[Insurance Category Code]],3,AN_TME_BY[[#All],[Advanced Network/Insurance Carrier Org ID]],100))/H$41,"NA")</f>
        <v>NA</v>
      </c>
      <c r="I45" s="470" t="str">
        <f>IFERROR((SUMIFS(AN_TME_PY[[#All],[Claims: Professional, Primary Care (for Monitoring Purposes)]],AN_TME_PY[[#All],[Insurance Category Code]],3,AN_TME_PY[[#All],[Advanced Network/Insurance Carrier Org ID]],100))/I$41,"NA")</f>
        <v>NA</v>
      </c>
      <c r="J45" s="478" t="str">
        <f>IFERROR(ICC3TME[[#This Row],[2024]]/ICC3TME[[#This Row],[2023]]-1,"NA")</f>
        <v>NA</v>
      </c>
      <c r="L45" s="79" t="s">
        <v>128</v>
      </c>
      <c r="M45" s="470" t="str">
        <f>IFERROR((SUMIFS(AN_TME_BY[[#All],[Claims: Professional, Primary Care (for Monitoring Purposes)]],AN_TME_BY[[#All],[Insurance Category Code]],4,AN_TME_BY[[#All],[Advanced Network/Insurance Carrier Org ID]],100))/M$41,"NA")</f>
        <v>NA</v>
      </c>
      <c r="N45" s="470" t="str">
        <f>IFERROR((SUMIFS(AN_TME_PY[[#All],[Claims: Professional, Primary Care (for Monitoring Purposes)]],AN_TME_PY[[#All],[Insurance Category Code]],4,AN_TME_PY[[#All],[Advanced Network/Insurance Carrier Org ID]],100))/N$41,"NA")</f>
        <v>NA</v>
      </c>
      <c r="O45" s="469" t="str">
        <f>IFERROR(ICC4TME[[#This Row],[2024]]/ICC4TME[[#This Row],[2023]]-1,"NA")</f>
        <v>NA</v>
      </c>
    </row>
    <row r="46" spans="2:15" x14ac:dyDescent="0.25">
      <c r="B46" s="79" t="s">
        <v>129</v>
      </c>
      <c r="C46" s="470" t="str">
        <f t="shared" si="0"/>
        <v>NA</v>
      </c>
      <c r="D46" s="470" t="str">
        <f t="shared" si="1"/>
        <v>NA</v>
      </c>
      <c r="E46" s="469" t="str">
        <f>IFERROR(ComTotTME[[#This Row],[2024]]/ComTotTME[[#This Row],[2023]]-1,"NA")</f>
        <v>NA</v>
      </c>
      <c r="G46" s="79" t="s">
        <v>129</v>
      </c>
      <c r="H46" s="470" t="str">
        <f>IFERROR((SUMIFS(AN_TME_BY[[#All],[Claims: Professional, Specialty]],AN_TME_BY[[#All],[Insurance Category Code]],3,AN_TME_BY[[#All],[Advanced Network/Insurance Carrier Org ID]],100))/H$41,"NA")</f>
        <v>NA</v>
      </c>
      <c r="I46" s="470" t="str">
        <f>IFERROR((SUMIFS(AN_TME_PY[[#All],[Claims: Professional, Specialty]],AN_TME_PY[[#All],[Insurance Category Code]],3,AN_TME_PY[[#All],[Advanced Network/Insurance Carrier Org ID]],100))/I$41,"NA")</f>
        <v>NA</v>
      </c>
      <c r="J46" s="478" t="str">
        <f>IFERROR(ICC3TME[[#This Row],[2024]]/ICC3TME[[#This Row],[2023]]-1,"NA")</f>
        <v>NA</v>
      </c>
      <c r="L46" s="79" t="s">
        <v>129</v>
      </c>
      <c r="M46" s="470" t="str">
        <f>IFERROR((SUMIFS(AN_TME_BY[[#All],[Claims: Professional, Specialty]],AN_TME_BY[[#All],[Insurance Category Code]],4,AN_TME_BY[[#All],[Advanced Network/Insurance Carrier Org ID]],100))/M$41,"NA")</f>
        <v>NA</v>
      </c>
      <c r="N46" s="470" t="str">
        <f>IFERROR((SUMIFS(AN_TME_PY[[#All],[Claims: Professional, Specialty]],AN_TME_PY[[#All],[Insurance Category Code]],4,AN_TME_PY[[#All],[Advanced Network/Insurance Carrier Org ID]],100))/N$41,"NA")</f>
        <v>NA</v>
      </c>
      <c r="O46" s="469" t="str">
        <f>IFERROR(ICC4TME[[#This Row],[2024]]/ICC4TME[[#This Row],[2023]]-1,"NA")</f>
        <v>NA</v>
      </c>
    </row>
    <row r="47" spans="2:15" x14ac:dyDescent="0.25">
      <c r="B47" s="79" t="s">
        <v>130</v>
      </c>
      <c r="C47" s="470" t="str">
        <f t="shared" si="0"/>
        <v>NA</v>
      </c>
      <c r="D47" s="470" t="str">
        <f t="shared" si="1"/>
        <v>NA</v>
      </c>
      <c r="E47" s="469" t="str">
        <f>IFERROR(ComTotTME[[#This Row],[2024]]/ComTotTME[[#This Row],[2023]]-1,"NA")</f>
        <v>NA</v>
      </c>
      <c r="G47" s="79" t="s">
        <v>130</v>
      </c>
      <c r="H47" s="470" t="str">
        <f>IFERROR((SUMIFS(AN_TME_BY[[#All],[Claims: Professional Other]],AN_TME_BY[[#All],[Insurance Category Code]],3,AN_TME_BY[[#All],[Advanced Network/Insurance Carrier Org ID]],100))/H$41,"NA")</f>
        <v>NA</v>
      </c>
      <c r="I47" s="470" t="str">
        <f>IFERROR((SUMIFS(AN_TME_PY[[#All],[Claims: Professional Other]],AN_TME_PY[[#All],[Insurance Category Code]],3,AN_TME_PY[[#All],[Advanced Network/Insurance Carrier Org ID]],100))/I$41,"NA")</f>
        <v>NA</v>
      </c>
      <c r="J47" s="478" t="str">
        <f>IFERROR(ICC3TME[[#This Row],[2024]]/ICC3TME[[#This Row],[2023]]-1,"NA")</f>
        <v>NA</v>
      </c>
      <c r="L47" s="79" t="s">
        <v>130</v>
      </c>
      <c r="M47" s="470" t="str">
        <f>IFERROR((SUMIFS(AN_TME_BY[[#All],[Claims: Professional Other]],AN_TME_BY[[#All],[Insurance Category Code]],4,AN_TME_BY[[#All],[Advanced Network/Insurance Carrier Org ID]],100))/M$41,"NA")</f>
        <v>NA</v>
      </c>
      <c r="N47" s="470" t="str">
        <f>IFERROR((SUMIFS(AN_TME_PY[[#All],[Claims: Professional Other]],AN_TME_PY[[#All],[Insurance Category Code]],4,AN_TME_PY[[#All],[Advanced Network/Insurance Carrier Org ID]],100))/N$41,"NA")</f>
        <v>NA</v>
      </c>
      <c r="O47" s="469" t="str">
        <f>IFERROR(ICC4TME[[#This Row],[2024]]/ICC4TME[[#This Row],[2023]]-1,"NA")</f>
        <v>NA</v>
      </c>
    </row>
    <row r="48" spans="2:15" ht="30" x14ac:dyDescent="0.25">
      <c r="B48" s="79" t="s">
        <v>306</v>
      </c>
      <c r="C48" s="470" t="str">
        <f t="shared" si="0"/>
        <v>NA</v>
      </c>
      <c r="D48" s="470" t="str">
        <f t="shared" si="1"/>
        <v>NA</v>
      </c>
      <c r="E48" s="469" t="str">
        <f>IFERROR(ComTotTME[[#This Row],[2024]]/ComTotTME[[#This Row],[2023]]-1,"NA")</f>
        <v>NA</v>
      </c>
      <c r="G48" s="79" t="s">
        <v>306</v>
      </c>
      <c r="H48" s="470" t="str">
        <f>IFERROR((SUMIFS(AN_TME_BY[[#All],[Claims: Pharmacy]],AN_TME_BY[[#All],[Insurance Category Code]],3,AN_TME_BY[[#All],[Advanced Network/Insurance Carrier Org ID]],100))/H$41,"NA")</f>
        <v>NA</v>
      </c>
      <c r="I48" s="470" t="str">
        <f>IFERROR((SUMIFS(AN_TME_PY[[#All],[Claims: Pharmacy]],AN_TME_PY[[#All],[Insurance Category Code]],3,AN_TME_PY[[#All],[Advanced Network/Insurance Carrier Org ID]],100))/I$41,"NA")</f>
        <v>NA</v>
      </c>
      <c r="J48" s="478" t="str">
        <f>IFERROR(ICC3TME[[#This Row],[2024]]/ICC3TME[[#This Row],[2023]]-1,"NA")</f>
        <v>NA</v>
      </c>
      <c r="L48" s="79" t="s">
        <v>306</v>
      </c>
      <c r="M48" s="470" t="str">
        <f>IFERROR((SUMIFS(AN_TME_BY[[#All],[Claims: Pharmacy]],AN_TME_BY[[#All],[Insurance Category Code]],4,AN_TME_BY[[#All],[Advanced Network/Insurance Carrier Org ID]],100))/M$41,"NA")</f>
        <v>NA</v>
      </c>
      <c r="N48" s="470" t="str">
        <f>IFERROR((SUMIFS(AN_TME_PY[[#All],[Claims: Pharmacy]],AN_TME_PY[[#All],[Insurance Category Code]],4,AN_TME_PY[[#All],[Advanced Network/Insurance Carrier Org ID]],100))/N$41,"NA")</f>
        <v>NA</v>
      </c>
      <c r="O48" s="469" t="str">
        <f>IFERROR(ICC4TME[[#This Row],[2024]]/ICC4TME[[#This Row],[2023]]-1,"NA")</f>
        <v>NA</v>
      </c>
    </row>
    <row r="49" spans="2:15" ht="30" x14ac:dyDescent="0.25">
      <c r="B49" s="118" t="s">
        <v>307</v>
      </c>
      <c r="C49" s="470" t="str">
        <f t="shared" si="0"/>
        <v>NA</v>
      </c>
      <c r="D49" s="470" t="str">
        <f t="shared" si="1"/>
        <v>NA</v>
      </c>
      <c r="E49" s="469" t="str">
        <f>IFERROR(ComTotTME[[#This Row],[2024]]/ComTotTME[[#This Row],[2023]]-1,"NA")</f>
        <v>NA</v>
      </c>
      <c r="G49" s="118" t="s">
        <v>307</v>
      </c>
      <c r="H49" s="470" t="str">
        <f>IFERROR((SUMIFS(AN_TME_BY[[#All],[Claims: Pharmacy]],AN_TME_BY[[#All],[Insurance Category Code]],3,AN_TME_BY[[#All],[Advanced Network/Insurance Carrier Org ID]],100)-ABS(SUMIF(RX_REBATES_BY[[#All],[Insurance Category Code]],3,RX_REBATES_BY[[#All],[Retail Pharmacy Rebates]])))/$H41,"NA")</f>
        <v>NA</v>
      </c>
      <c r="I49" s="470" t="str">
        <f>IFERROR((SUMIFS(AN_TME_PY[[#All],[Claims: Pharmacy]],AN_TME_PY[[#All],[Insurance Category Code]],3,AN_TME_PY[[#All],[Advanced Network/Insurance Carrier Org ID]],100)-ABS(SUMIF(RX_REBATES_PY[[#All],[Insurance Category Code]],3,RX_REBATES_PY[[#All],[Retail Pharmacy Rebates]])))/$I41,"NA")</f>
        <v>NA</v>
      </c>
      <c r="J49" s="478" t="str">
        <f>IFERROR(ICC3TME[[#This Row],[2024]]/ICC3TME[[#This Row],[2023]]-1,"NA")</f>
        <v>NA</v>
      </c>
      <c r="L49" s="118" t="s">
        <v>307</v>
      </c>
      <c r="M49" s="470" t="str">
        <f>IFERROR((SUMIFS(AN_TME_BY[[#All],[Claims: Pharmacy]],AN_TME_BY[[#All],[Insurance Category Code]],4,AN_TME_BY[[#All],[Advanced Network/Insurance Carrier Org ID]],100)-ABS(SUMIF(RX_REBATES_BY[[#All],[Insurance Category Code]],4,RX_REBATES_BY[[#All],[Retail Pharmacy Rebates]])))/$M41,"NA")</f>
        <v>NA</v>
      </c>
      <c r="N49" s="470" t="str">
        <f>IFERROR((SUMIFS(AN_TME_PY[[#All],[Claims: Pharmacy]],AN_TME_PY[[#All],[Insurance Category Code]],4,AN_TME_PY[[#All],[Advanced Network/Insurance Carrier Org ID]],100)-ABS(SUMIF(RX_REBATES_PY[[#All],[Insurance Category Code]],4,RX_REBATES_PY[[#All],[Retail Pharmacy Rebates]])))/$N41,"NA")</f>
        <v>NA</v>
      </c>
      <c r="O49" s="469" t="str">
        <f>IFERROR(ICC4TME[[#This Row],[2024]]/ICC4TME[[#This Row],[2023]]-1,"NA")</f>
        <v>NA</v>
      </c>
    </row>
    <row r="50" spans="2:15" x14ac:dyDescent="0.25">
      <c r="B50" s="118" t="s">
        <v>142</v>
      </c>
      <c r="C50" s="470" t="str">
        <f t="shared" si="0"/>
        <v>NA</v>
      </c>
      <c r="D50" s="470" t="str">
        <f t="shared" si="1"/>
        <v>NA</v>
      </c>
      <c r="E50" s="469" t="str">
        <f>IFERROR(ComTotTME[[#This Row],[2024]]/ComTotTME[[#This Row],[2023]]-1,"NA")</f>
        <v>NA</v>
      </c>
      <c r="G50" s="118" t="s">
        <v>142</v>
      </c>
      <c r="H50" s="470" t="str">
        <f>IFERROR((-ABS(SUMIF(RX_REBATES_BY[[#All],[Insurance Category Code]],3,RX_REBATES_BY[[#All],[Retail Pharmacy Rebates]])))/$H41,"NA")</f>
        <v>NA</v>
      </c>
      <c r="I50" s="470" t="str">
        <f>IFERROR((-ABS(SUMIF(RX_REBATES_PY[[#All],[Insurance Category Code]],3,RX_REBATES_PY[[#All],[Retail Pharmacy Rebates]])))/$I41,"NA")</f>
        <v>NA</v>
      </c>
      <c r="J50" s="478" t="str">
        <f>IFERROR(ICC3TME[[#This Row],[2024]]/ICC3TME[[#This Row],[2023]]-1,"NA")</f>
        <v>NA</v>
      </c>
      <c r="L50" s="118" t="s">
        <v>142</v>
      </c>
      <c r="M50" s="470" t="str">
        <f>IFERROR((-ABS(SUMIF(RX_REBATES_BY[[#All],[Insurance Category Code]],4,RX_REBATES_BY[[#All],[Retail Pharmacy Rebates]])))/$M41,"NA")</f>
        <v>NA</v>
      </c>
      <c r="N50" s="470" t="str">
        <f>IFERROR((-ABS(SUMIF(RX_REBATES_PY[[#All],[Insurance Category Code]],4,RX_REBATES_PY[[#All],[Retail Pharmacy Rebates]])))/$N41,"NA")</f>
        <v>NA</v>
      </c>
      <c r="O50" s="469" t="str">
        <f>IFERROR(ICC4TME[[#This Row],[2024]]/ICC4TME[[#This Row],[2023]]-1,"NA")</f>
        <v>NA</v>
      </c>
    </row>
    <row r="51" spans="2:15" x14ac:dyDescent="0.25">
      <c r="B51" s="79" t="s">
        <v>133</v>
      </c>
      <c r="C51" s="470" t="str">
        <f t="shared" si="0"/>
        <v>NA</v>
      </c>
      <c r="D51" s="470" t="str">
        <f t="shared" si="1"/>
        <v>NA</v>
      </c>
      <c r="E51" s="469" t="str">
        <f>IFERROR(ComTotTME[[#This Row],[2024]]/ComTotTME[[#This Row],[2023]]-1,"NA")</f>
        <v>NA</v>
      </c>
      <c r="G51" s="79" t="s">
        <v>133</v>
      </c>
      <c r="H51" s="470" t="str">
        <f>IFERROR((SUMIFS(AN_TME_BY[[#All],[Claims: Long-Term Care]],AN_TME_BY[[#All],[Insurance Category Code]],3,AN_TME_BY[[#All],[Advanced Network/Insurance Carrier Org ID]],100))/H$41,"NA")</f>
        <v>NA</v>
      </c>
      <c r="I51" s="470" t="str">
        <f>IFERROR((SUMIFS(AN_TME_PY[[#All],[Claims: Long-Term Care]],AN_TME_PY[[#All],[Insurance Category Code]],3,AN_TME_PY[[#All],[Advanced Network/Insurance Carrier Org ID]],100))/I$41,"NA")</f>
        <v>NA</v>
      </c>
      <c r="J51" s="478" t="str">
        <f>IFERROR(ICC3TME[[#This Row],[2024]]/ICC3TME[[#This Row],[2023]]-1,"NA")</f>
        <v>NA</v>
      </c>
      <c r="L51" s="79" t="s">
        <v>133</v>
      </c>
      <c r="M51" s="470" t="str">
        <f>IFERROR((SUMIFS(AN_TME_BY[[#All],[Claims: Long-Term Care]],AN_TME_BY[[#All],[Insurance Category Code]],4,AN_TME_BY[[#All],[Advanced Network/Insurance Carrier Org ID]],100))/M$41,"NA")</f>
        <v>NA</v>
      </c>
      <c r="N51" s="470" t="str">
        <f>IFERROR((SUMIFS(AN_TME_PY[[#All],[Claims: Long-Term Care]],AN_TME_PY[[#All],[Insurance Category Code]],4,AN_TME_PY[[#All],[Advanced Network/Insurance Carrier Org ID]],100))/N$41,"NA")</f>
        <v>NA</v>
      </c>
      <c r="O51" s="469" t="str">
        <f>IFERROR(ICC4TME[[#This Row],[2024]]/ICC4TME[[#This Row],[2023]]-1,"NA")</f>
        <v>NA</v>
      </c>
    </row>
    <row r="52" spans="2:15" x14ac:dyDescent="0.25">
      <c r="B52" s="79" t="s">
        <v>134</v>
      </c>
      <c r="C52" s="470" t="str">
        <f t="shared" si="0"/>
        <v>NA</v>
      </c>
      <c r="D52" s="470" t="str">
        <f t="shared" si="1"/>
        <v>NA</v>
      </c>
      <c r="E52" s="469" t="str">
        <f>IFERROR(ComTotTME[[#This Row],[2024]]/ComTotTME[[#This Row],[2023]]-1,"NA")</f>
        <v>NA</v>
      </c>
      <c r="G52" s="79" t="s">
        <v>134</v>
      </c>
      <c r="H52" s="470" t="str">
        <f>IFERROR((SUMIFS(AN_TME_BY[[#All],[Claims: Other]],AN_TME_BY[[#All],[Insurance Category Code]],3,AN_TME_BY[[#All],[Advanced Network/Insurance Carrier Org ID]],100))/H$41,"NA")</f>
        <v>NA</v>
      </c>
      <c r="I52" s="470" t="str">
        <f>IFERROR((SUMIFS(AN_TME_PY[[#All],[Claims: Other]],AN_TME_PY[[#All],[Insurance Category Code]],3,AN_TME_PY[[#All],[Advanced Network/Insurance Carrier Org ID]],100))/I$41,"NA")</f>
        <v>NA</v>
      </c>
      <c r="J52" s="478" t="str">
        <f>IFERROR(ICC3TME[[#This Row],[2024]]/ICC3TME[[#This Row],[2023]]-1,"NA")</f>
        <v>NA</v>
      </c>
      <c r="L52" s="79" t="s">
        <v>134</v>
      </c>
      <c r="M52" s="470" t="str">
        <f>IFERROR((SUMIFS(AN_TME_BY[[#All],[Claims: Other]],AN_TME_BY[[#All],[Insurance Category Code]],4,AN_TME_BY[[#All],[Advanced Network/Insurance Carrier Org ID]],100))/M$41,"NA")</f>
        <v>NA</v>
      </c>
      <c r="N52" s="470" t="str">
        <f>IFERROR((SUMIFS(AN_TME_PY[[#All],[Claims: Other]],AN_TME_PY[[#All],[Insurance Category Code]],4,AN_TME_PY[[#All],[Advanced Network/Insurance Carrier Org ID]],100))/N$41,"NA")</f>
        <v>NA</v>
      </c>
      <c r="O52" s="469" t="str">
        <f>IFERROR(ICC4TME[[#This Row],[2024]]/ICC4TME[[#This Row],[2023]]-1,"NA")</f>
        <v>NA</v>
      </c>
    </row>
    <row r="53" spans="2:15" ht="30" x14ac:dyDescent="0.25">
      <c r="B53" s="117" t="s">
        <v>308</v>
      </c>
      <c r="C53" s="471" t="str">
        <f t="shared" si="0"/>
        <v>NA</v>
      </c>
      <c r="D53" s="471" t="str">
        <f t="shared" si="1"/>
        <v>NA</v>
      </c>
      <c r="E53" s="472" t="str">
        <f>IFERROR(ComTotTME[[#This Row],[2024]]/ComTotTME[[#This Row],[2023]]-1,"NA")</f>
        <v>NA</v>
      </c>
      <c r="G53" s="117" t="s">
        <v>308</v>
      </c>
      <c r="H53" s="471" t="str">
        <f>IFERROR((SUMIFS(AN_TME_BY[[#All],[TOTAL Non-Truncated Unadjusted Claims Expenses]],AN_TME_BY[[#All],[Insurance Category Code]],3,AN_TME_BY[[#All],[Advanced Network/Insurance Carrier Org ID]],100))/H$41,"NA")</f>
        <v>NA</v>
      </c>
      <c r="I53" s="471" t="str">
        <f>IFERROR((SUMIFS(AN_TME_PY[[#All],[TOTAL Non-Truncated Unadjusted Claims Expenses]],AN_TME_PY[[#All],[Insurance Category Code]],3,AN_TME_PY[[#All],[Advanced Network/Insurance Carrier Org ID]],100))/I$41,"NA")</f>
        <v>NA</v>
      </c>
      <c r="J53" s="472" t="str">
        <f>IFERROR(ICC3TME[[#This Row],[2024]]/ICC3TME[[#This Row],[2023]]-1,"NA")</f>
        <v>NA</v>
      </c>
      <c r="L53" s="117" t="s">
        <v>308</v>
      </c>
      <c r="M53" s="471" t="str">
        <f>IFERROR((SUMIFS(AN_TME_BY[[#All],[TOTAL Non-Truncated Unadjusted Claims Expenses]],AN_TME_BY[[#All],[Insurance Category Code]],4,AN_TME_BY[[#All],[Advanced Network/Insurance Carrier Org ID]],100))/M$41,"NA")</f>
        <v>NA</v>
      </c>
      <c r="N53" s="471" t="str">
        <f>IFERROR((SUMIFS(AN_TME_PY[[#All],[TOTAL Non-Truncated Unadjusted Claims Expenses]],AN_TME_PY[[#All],[Insurance Category Code]],4,AN_TME_PY[[#All],[Advanced Network/Insurance Carrier Org ID]],100))/N$41,"NA")</f>
        <v>NA</v>
      </c>
      <c r="O53" s="472" t="str">
        <f>IFERROR(ICC4TME[[#This Row],[2024]]/ICC4TME[[#This Row],[2023]]-1,"NA")</f>
        <v>NA</v>
      </c>
    </row>
    <row r="54" spans="2:15" x14ac:dyDescent="0.25">
      <c r="B54" s="117" t="s">
        <v>309</v>
      </c>
      <c r="C54" s="471" t="str">
        <f t="shared" si="0"/>
        <v>NA</v>
      </c>
      <c r="D54" s="471" t="str">
        <f t="shared" si="1"/>
        <v>NA</v>
      </c>
      <c r="E54" s="472" t="str">
        <f>IFERROR(ComTotTME[[#This Row],[2024]]/ComTotTME[[#This Row],[2023]]-1,"NA")</f>
        <v>NA</v>
      </c>
      <c r="G54" s="117" t="s">
        <v>309</v>
      </c>
      <c r="H54" s="471" t="str">
        <f>IFERROR((SUMIFS(AN_TME_BY[[#All],[TOTAL Truncated Unadjusted Claims Expenses (A21 -A19)]],AN_TME_BY[[#All],[Insurance Category Code]],3,AN_TME_BY[[#All],[Advanced Network/Insurance Carrier Org ID]],100))/H$41,"NA")</f>
        <v>NA</v>
      </c>
      <c r="I54" s="471" t="str">
        <f>IFERROR((SUMIFS(AN_TME_PY[[#All],[TOTAL Truncated Unadjusted Claims Expenses (A21 -A19)]],AN_TME_PY[[#All],[Insurance Category Code]],3,AN_TME_PY[[#All],[Advanced Network/Insurance Carrier Org ID]],100))/I$41,"NA")</f>
        <v>NA</v>
      </c>
      <c r="J54" s="472" t="str">
        <f>IFERROR(ICC3TME[[#This Row],[2024]]/ICC3TME[[#This Row],[2023]]-1,"NA")</f>
        <v>NA</v>
      </c>
      <c r="L54" s="117" t="s">
        <v>309</v>
      </c>
      <c r="M54" s="471" t="str">
        <f>IFERROR((SUMIFS(AN_TME_BY[[#All],[TOTAL Truncated Unadjusted Claims Expenses (A21 -A19)]],AN_TME_BY[[#All],[Insurance Category Code]],4,AN_TME_BY[[#All],[Advanced Network/Insurance Carrier Org ID]],100))/M$41,"NA")</f>
        <v>NA</v>
      </c>
      <c r="N54" s="471" t="str">
        <f>IFERROR((SUMIFS(AN_TME_PY[[#All],[TOTAL Truncated Unadjusted Claims Expenses (A21 -A19)]],AN_TME_PY[[#All],[Insurance Category Code]],4,AN_TME_PY[[#All],[Advanced Network/Insurance Carrier Org ID]],100))/N$41,"NA")</f>
        <v>NA</v>
      </c>
      <c r="O54" s="472" t="str">
        <f>IFERROR(ICC4TME[[#This Row],[2024]]/ICC4TME[[#This Row],[2023]]-1,"NA")</f>
        <v>NA</v>
      </c>
    </row>
    <row r="55" spans="2:15" ht="45" x14ac:dyDescent="0.25">
      <c r="B55" s="79" t="s">
        <v>136</v>
      </c>
      <c r="C55" s="470" t="str">
        <f t="shared" si="0"/>
        <v>NA</v>
      </c>
      <c r="D55" s="470" t="str">
        <f t="shared" si="1"/>
        <v>NA</v>
      </c>
      <c r="E55" s="469" t="str">
        <f>IFERROR(ComTotTME[[#This Row],[2024]]/ComTotTME[[#This Row],[2023]]-1,"NA")</f>
        <v>NA</v>
      </c>
      <c r="G55" s="79" t="s">
        <v>136</v>
      </c>
      <c r="H55" s="470" t="str">
        <f>IFERROR((SUMIFS(AN_TME_BY[[#All],[Non-Claims: Payments to Support Population Health and Practice Infrastructure]],AN_TME_BY[[#All],[Insurance Category Code]],3,AN_TME_BY[[#All],[Advanced Network/Insurance Carrier Org ID]],100))/H$41,"NA")</f>
        <v>NA</v>
      </c>
      <c r="I55" s="470" t="str">
        <f>IFERROR((SUMIFS(AN_TME_PY[[#All],[Non-Claims: Payments to Support Population Health and Practice Infrastructure]],AN_TME_PY[[#All],[Insurance Category Code]],3,AN_TME_PY[[#All],[Advanced Network/Insurance Carrier Org ID]],100))/I$41,"NA")</f>
        <v>NA</v>
      </c>
      <c r="J55" s="478" t="str">
        <f>IFERROR(ICC3TME[[#This Row],[2024]]/ICC3TME[[#This Row],[2023]]-1,"NA")</f>
        <v>NA</v>
      </c>
      <c r="L55" s="79" t="s">
        <v>136</v>
      </c>
      <c r="M55" s="470" t="str">
        <f>IFERROR((SUMIFS(AN_TME_BY[[#All],[Non-Claims: Payments to Support Population Health and Practice Infrastructure]],AN_TME_BY[[#All],[Insurance Category Code]],4,AN_TME_BY[[#All],[Advanced Network/Insurance Carrier Org ID]],100))/M$41,"NA")</f>
        <v>NA</v>
      </c>
      <c r="N55" s="470" t="str">
        <f>IFERROR((SUMIFS(AN_TME_PY[[#All],[Non-Claims: Payments to Support Population Health and Practice Infrastructure]],AN_TME_PY[[#All],[Insurance Category Code]],4,AN_TME_PY[[#All],[Advanced Network/Insurance Carrier Org ID]],100))/N$41,"NA")</f>
        <v>NA</v>
      </c>
      <c r="O55" s="469" t="str">
        <f>IFERROR(ICC4TME[[#This Row],[2024]]/ICC4TME[[#This Row],[2023]]-1,"NA")</f>
        <v>NA</v>
      </c>
    </row>
    <row r="56" spans="2:15" ht="30" x14ac:dyDescent="0.25">
      <c r="B56" s="79" t="s">
        <v>213</v>
      </c>
      <c r="C56" s="470" t="str">
        <f t="shared" si="0"/>
        <v>NA</v>
      </c>
      <c r="D56" s="470" t="str">
        <f t="shared" si="1"/>
        <v>NA</v>
      </c>
      <c r="E56" s="469" t="str">
        <f>IFERROR(ComTotTME[[#This Row],[2024]]/ComTotTME[[#This Row],[2023]]-1,"NA")</f>
        <v>NA</v>
      </c>
      <c r="G56" s="79" t="s">
        <v>213</v>
      </c>
      <c r="H56" s="470" t="str">
        <f>IFERROR((SUMIFS(AN_TME_BY[[#All],[Non-Claims: Performance Payments]],AN_TME_BY[[#All],[Insurance Category Code]],3,AN_TME_BY[[#All],[Advanced Network/Insurance Carrier Org ID]],100))/H$41,"NA")</f>
        <v>NA</v>
      </c>
      <c r="I56" s="470" t="str">
        <f>IFERROR((SUMIFS(AN_TME_PY[[#All],[Non-Claims: Performance Payments]],AN_TME_PY[[#All],[Insurance Category Code]],3,AN_TME_PY[[#All],[Advanced Network/Insurance Carrier Org ID]],100))/I$41,"NA")</f>
        <v>NA</v>
      </c>
      <c r="J56" s="478" t="str">
        <f>IFERROR(ICC3TME[[#This Row],[2024]]/ICC3TME[[#This Row],[2023]]-1,"NA")</f>
        <v>NA</v>
      </c>
      <c r="L56" s="79" t="s">
        <v>213</v>
      </c>
      <c r="M56" s="470" t="str">
        <f>IFERROR((SUMIFS(AN_TME_BY[[#All],[Non-Claims: Performance Payments]],AN_TME_BY[[#All],[Insurance Category Code]],4,AN_TME_BY[[#All],[Advanced Network/Insurance Carrier Org ID]],100))/M$41,"NA")</f>
        <v>NA</v>
      </c>
      <c r="N56" s="470" t="str">
        <f>IFERROR((SUMIFS(AN_TME_PY[[#All],[Non-Claims: Performance Payments]],AN_TME_PY[[#All],[Insurance Category Code]],4,AN_TME_PY[[#All],[Advanced Network/Insurance Carrier Org ID]],100))/N$41,"NA")</f>
        <v>NA</v>
      </c>
      <c r="O56" s="469" t="str">
        <f>IFERROR(ICC4TME[[#This Row],[2024]]/ICC4TME[[#This Row],[2023]]-1,"NA")</f>
        <v>NA</v>
      </c>
    </row>
    <row r="57" spans="2:15" ht="30" x14ac:dyDescent="0.25">
      <c r="B57" s="79" t="s">
        <v>214</v>
      </c>
      <c r="C57" s="470" t="str">
        <f t="shared" si="0"/>
        <v>NA</v>
      </c>
      <c r="D57" s="470" t="str">
        <f t="shared" si="1"/>
        <v>NA</v>
      </c>
      <c r="E57" s="469" t="str">
        <f>IFERROR(ComTotTME[[#This Row],[2024]]/ComTotTME[[#This Row],[2023]]-1,"NA")</f>
        <v>NA</v>
      </c>
      <c r="G57" s="79" t="s">
        <v>214</v>
      </c>
      <c r="H57" s="470" t="str">
        <f>IFERROR((SUMIFS(AN_TME_BY[[#All],[Non-Claims: Shared Savings and Shared Risk Settlements]],AN_TME_BY[[#All],[Insurance Category Code]],3,AN_TME_BY[[#All],[Advanced Network/Insurance Carrier Org ID]],100))/H$41,"NA")</f>
        <v>NA</v>
      </c>
      <c r="I57" s="470" t="str">
        <f>IFERROR((SUMIFS(AN_TME_PY[[#All],[Non-Claims: Shared Savings and Shared Risk Settlements]],AN_TME_PY[[#All],[Insurance Category Code]],3,AN_TME_PY[[#All],[Advanced Network/Insurance Carrier Org ID]],100))/I$41,"NA")</f>
        <v>NA</v>
      </c>
      <c r="J57" s="478" t="str">
        <f>IFERROR(ICC3TME[[#This Row],[2024]]/ICC3TME[[#This Row],[2023]]-1,"NA")</f>
        <v>NA</v>
      </c>
      <c r="L57" s="79" t="s">
        <v>214</v>
      </c>
      <c r="M57" s="470" t="str">
        <f>IFERROR((SUMIFS(AN_TME_BY[[#All],[Non-Claims: Shared Savings and Shared Risk Settlements]],AN_TME_BY[[#All],[Insurance Category Code]],4,AN_TME_BY[[#All],[Advanced Network/Insurance Carrier Org ID]],100))/M$41,"NA")</f>
        <v>NA</v>
      </c>
      <c r="N57" s="470" t="str">
        <f>IFERROR((SUMIFS(AN_TME_PY[[#All],[Non-Claims: Shared Savings and Shared Risk Settlements]],AN_TME_PY[[#All],[Insurance Category Code]],4,AN_TME_PY[[#All],[Advanced Network/Insurance Carrier Org ID]],100))/N$41,"NA")</f>
        <v>NA</v>
      </c>
      <c r="O57" s="469" t="str">
        <f>IFERROR(ICC4TME[[#This Row],[2024]]/ICC4TME[[#This Row],[2023]]-1,"NA")</f>
        <v>NA</v>
      </c>
    </row>
    <row r="58" spans="2:15" ht="30" x14ac:dyDescent="0.25">
      <c r="B58" s="79" t="s">
        <v>215</v>
      </c>
      <c r="C58" s="470" t="str">
        <f t="shared" si="0"/>
        <v>NA</v>
      </c>
      <c r="D58" s="470" t="str">
        <f t="shared" si="1"/>
        <v>NA</v>
      </c>
      <c r="E58" s="469" t="str">
        <f>IFERROR(ComTotTME[[#This Row],[2024]]/ComTotTME[[#This Row],[2023]]-1,"NA")</f>
        <v>NA</v>
      </c>
      <c r="G58" s="79" t="s">
        <v>215</v>
      </c>
      <c r="H58" s="470" t="str">
        <f>IFERROR((SUMIFS(AN_TME_BY[[#All],[Non-Claims: Capitation and Full Risk Payments]],AN_TME_BY[[#All],[Insurance Category Code]],3,AN_TME_BY[[#All],[Advanced Network/Insurance Carrier Org ID]],100))/H$41,"NA")</f>
        <v>NA</v>
      </c>
      <c r="I58" s="470" t="str">
        <f>IFERROR((SUMIFS(AN_TME_PY[[#All],[Non-Claims: Capitation and Full Risk Payments]],AN_TME_PY[[#All],[Insurance Category Code]],3,AN_TME_PY[[#All],[Advanced Network/Insurance Carrier Org ID]],100))/I$41,"NA")</f>
        <v>NA</v>
      </c>
      <c r="J58" s="478" t="str">
        <f>IFERROR(ICC3TME[[#This Row],[2024]]/ICC3TME[[#This Row],[2023]]-1,"NA")</f>
        <v>NA</v>
      </c>
      <c r="L58" s="79" t="s">
        <v>215</v>
      </c>
      <c r="M58" s="470" t="str">
        <f>IFERROR((SUMIFS(AN_TME_BY[[#All],[Non-Claims: Capitation and Full Risk Payments]],AN_TME_BY[[#All],[Insurance Category Code]],4,AN_TME_BY[[#All],[Advanced Network/Insurance Carrier Org ID]],100))/M$41,"NA")</f>
        <v>NA</v>
      </c>
      <c r="N58" s="470" t="str">
        <f>IFERROR((SUMIFS(AN_TME_PY[[#All],[Non-Claims: Capitation and Full Risk Payments]],AN_TME_PY[[#All],[Insurance Category Code]],4,AN_TME_PY[[#All],[Advanced Network/Insurance Carrier Org ID]],100))/N$41,"NA")</f>
        <v>NA</v>
      </c>
      <c r="O58" s="469" t="str">
        <f>IFERROR(ICC4TME[[#This Row],[2024]]/ICC4TME[[#This Row],[2023]]-1,"NA")</f>
        <v>NA</v>
      </c>
    </row>
    <row r="59" spans="2:15" x14ac:dyDescent="0.25">
      <c r="B59" s="79" t="s">
        <v>137</v>
      </c>
      <c r="C59" s="470" t="str">
        <f t="shared" ref="C59:D65" si="2">IFERROR((SUMPRODUCT(H59,H$41)+SUMPRODUCT(M59,M$41))/C$41,"NA")</f>
        <v>NA</v>
      </c>
      <c r="D59" s="470" t="str">
        <f t="shared" si="2"/>
        <v>NA</v>
      </c>
      <c r="E59" s="469" t="str">
        <f>IFERROR(ComTotTME[[#This Row],[2024]]/ComTotTME[[#This Row],[2023]]-1,"NA")</f>
        <v>NA</v>
      </c>
      <c r="G59" s="79" t="s">
        <v>137</v>
      </c>
      <c r="H59" s="470" t="str">
        <f>IFERROR((SUMIFS(AN_TME_BY[[#All],[Non-Claims: Other]],AN_TME_BY[[#All],[Insurance Category Code]],3,AN_TME_BY[[#All],[Advanced Network/Insurance Carrier Org ID]],100))/H$41,"NA")</f>
        <v>NA</v>
      </c>
      <c r="I59" s="470" t="str">
        <f>IFERROR((SUMIFS(AN_TME_PY[[#All],[Non-Claims: Other]],AN_TME_PY[[#All],[Insurance Category Code]],3,AN_TME_PY[[#All],[Advanced Network/Insurance Carrier Org ID]],100))/I$41,"NA")</f>
        <v>NA</v>
      </c>
      <c r="J59" s="469" t="str">
        <f>IFERROR(ICC3TME[[#This Row],[2024]]/ICC3TME[[#This Row],[2023]]-1,"NA")</f>
        <v>NA</v>
      </c>
      <c r="L59" s="79" t="s">
        <v>137</v>
      </c>
      <c r="M59" s="470" t="str">
        <f>IFERROR((SUMIFS(AN_TME_BY[[#All],[Non-Claims: Other]],AN_TME_BY[[#All],[Insurance Category Code]],4,AN_TME_BY[[#All],[Advanced Network/Insurance Carrier Org ID]],100))/M$41,"NA")</f>
        <v>NA</v>
      </c>
      <c r="N59" s="470" t="str">
        <f>IFERROR((SUMIFS(AN_TME_PY[[#All],[Non-Claims: Other]],AN_TME_PY[[#All],[Insurance Category Code]],4,AN_TME_PY[[#All],[Advanced Network/Insurance Carrier Org ID]],100))/N$41,"NA")</f>
        <v>NA</v>
      </c>
      <c r="O59" s="469" t="str">
        <f>IFERROR(ICC4TME[[#This Row],[2024]]/ICC4TME[[#This Row],[2023]]-1,"NA")</f>
        <v>NA</v>
      </c>
    </row>
    <row r="60" spans="2:15" ht="30" x14ac:dyDescent="0.25">
      <c r="B60" s="79" t="s">
        <v>138</v>
      </c>
      <c r="C60" s="470" t="str">
        <f t="shared" si="2"/>
        <v>NA</v>
      </c>
      <c r="D60" s="470" t="str">
        <f t="shared" si="2"/>
        <v>NA</v>
      </c>
      <c r="E60" s="469" t="str">
        <f>IFERROR(ComTotTME[[#This Row],[2024]]/ComTotTME[[#This Row],[2023]]-1,"NA")</f>
        <v>NA</v>
      </c>
      <c r="G60" s="79" t="s">
        <v>138</v>
      </c>
      <c r="H60" s="470" t="str">
        <f>IFERROR((SUMIFS(AN_TME_BY[[#All],[Non-Claims: Total Primary Care Non-Claims-Based Payments]],AN_TME_BY[[#All],[Insurance Category Code]],3,AN_TME_BY[[#All],[Advanced Network/Insurance Carrier Org ID]],100))/$H41,"NA")</f>
        <v>NA</v>
      </c>
      <c r="I60" s="470" t="str">
        <f>IFERROR((SUMIFS(AN_TME_PY[[#All],[Non-Claims: Total Primary Care Non-Claims-Based Payments]],AN_TME_PY[[#All],[Insurance Category Code]],3,AN_TME_PY[[#All],[Advanced Network/Insurance Carrier Org ID]],100))/$I41,"NA")</f>
        <v>NA</v>
      </c>
      <c r="J60" s="478" t="str">
        <f>IFERROR(ICC3TME[[#This Row],[2024]]/ICC3TME[[#This Row],[2023]]-1,"NA")</f>
        <v>NA</v>
      </c>
      <c r="L60" s="79" t="s">
        <v>138</v>
      </c>
      <c r="M60" s="470" t="str">
        <f>IFERROR((SUMIFS(AN_TME_BY[[#All],[Non-Claims: Total Primary Care Non-Claims-Based Payments]],AN_TME_BY[[#All],[Insurance Category Code]],4,AN_TME_BY[[#All],[Advanced Network/Insurance Carrier Org ID]],100))/$M41,"NA")</f>
        <v>NA</v>
      </c>
      <c r="N60" s="470" t="str">
        <f>IFERROR((SUMIFS(AN_TME_PY[[#All],[Non-Claims: Total Primary Care Non-Claims-Based Payments]],AN_TME_PY[[#All],[Insurance Category Code]],4,AN_TME_PY[[#All],[Advanced Network/Insurance Carrier Org ID]],100))/$N41,"NA")</f>
        <v>NA</v>
      </c>
      <c r="O60" s="469" t="str">
        <f>IFERROR(ICC4TME[[#This Row],[2024]]/ICC4TME[[#This Row],[2023]]-1,"NA")</f>
        <v>NA</v>
      </c>
    </row>
    <row r="61" spans="2:15" x14ac:dyDescent="0.25">
      <c r="B61" s="117" t="s">
        <v>310</v>
      </c>
      <c r="C61" s="471" t="str">
        <f t="shared" si="2"/>
        <v>NA</v>
      </c>
      <c r="D61" s="471" t="str">
        <f t="shared" si="2"/>
        <v>NA</v>
      </c>
      <c r="E61" s="472" t="str">
        <f>IFERROR(ComTotTME[[#This Row],[2024]]/ComTotTME[[#This Row],[2023]]-1,"NA")</f>
        <v>NA</v>
      </c>
      <c r="G61" s="117" t="s">
        <v>310</v>
      </c>
      <c r="H61" s="471" t="str">
        <f>IFERROR((SUMIFS(AN_TME_BY[[#All],[TOTAL Non-Claims Expenses]],AN_TME_BY[[#All],[Insurance Category Code]],3,AN_TME_BY[[#All],[Advanced Network/Insurance Carrier Org ID]],100))/$H41,"NA")</f>
        <v>NA</v>
      </c>
      <c r="I61" s="471" t="str">
        <f>IFERROR((SUMIFS(AN_TME_PY[[#All],[TOTAL Non-Claims Expenses]],AN_TME_PY[[#All],[Insurance Category Code]],3,AN_TME_PY[[#All],[Advanced Network/Insurance Carrier Org ID]],100))/$I41,"NA")</f>
        <v>NA</v>
      </c>
      <c r="J61" s="472" t="str">
        <f>IFERROR(ICC3TME[[#This Row],[2024]]/ICC3TME[[#This Row],[2023]]-1,"NA")</f>
        <v>NA</v>
      </c>
      <c r="L61" s="117" t="s">
        <v>310</v>
      </c>
      <c r="M61" s="471" t="str">
        <f>IFERROR((SUMIFS(AN_TME_BY[[#All],[TOTAL Non-Claims Expenses]],AN_TME_BY[[#All],[Insurance Category Code]],4,AN_TME_BY[[#All],[Advanced Network/Insurance Carrier Org ID]],100))/$M41,"NA")</f>
        <v>NA</v>
      </c>
      <c r="N61" s="471" t="str">
        <f>IFERROR((SUMIFS(AN_TME_PY[[#All],[TOTAL Non-Claims Expenses]],AN_TME_PY[[#All],[Insurance Category Code]],4,AN_TME_PY[[#All],[Advanced Network/Insurance Carrier Org ID]],100))/$N41,"NA")</f>
        <v>NA</v>
      </c>
      <c r="O61" s="472" t="str">
        <f>IFERROR(ICC4TME[[#This Row],[2024]]/ICC4TME[[#This Row],[2023]]-1,"NA")</f>
        <v>NA</v>
      </c>
    </row>
    <row r="62" spans="2:15" ht="30" x14ac:dyDescent="0.25">
      <c r="B62" s="119" t="s">
        <v>311</v>
      </c>
      <c r="C62" s="473" t="str">
        <f t="shared" si="2"/>
        <v>NA</v>
      </c>
      <c r="D62" s="473" t="str">
        <f t="shared" si="2"/>
        <v>NA</v>
      </c>
      <c r="E62" s="474" t="str">
        <f>IFERROR(ComTotTME[[#This Row],[2024]]/ComTotTME[[#This Row],[2023]]-1,"NA")</f>
        <v>NA</v>
      </c>
      <c r="F62" s="114"/>
      <c r="G62" s="119" t="s">
        <v>311</v>
      </c>
      <c r="H62" s="479" t="str">
        <f>IFERROR((SUMIFS(AN_TME_BY[[#All],[TOTAL Non-Truncated Unadjusted Expenses (A21 + A23)]],AN_TME_BY[[#All],[Insurance Category Code]],3,AN_TME_BY[[#All],[Advanced Network/Insurance Carrier Org ID]],100))/$H41,"NA")</f>
        <v>NA</v>
      </c>
      <c r="I62" s="479" t="str">
        <f>IFERROR((SUMIFS(AN_TME_PY[[#All],[TOTAL Non-Truncated Unadjusted Expenses (A21 + A23)]],AN_TME_PY[[#All],[Insurance Category Code]],3,AN_TME_PY[[#All],[Advanced Network/Insurance Carrier Org ID]],100))/$I41,"NA")</f>
        <v>NA</v>
      </c>
      <c r="J62" s="480" t="str">
        <f>IFERROR(ICC3TME[[#This Row],[2024]]/ICC3TME[[#This Row],[2023]]-1,"NA")</f>
        <v>NA</v>
      </c>
      <c r="L62" s="119" t="s">
        <v>311</v>
      </c>
      <c r="M62" s="479" t="str">
        <f>IFERROR((SUMIFS(AN_TME_BY[[#All],[TOTAL Non-Truncated Unadjusted Expenses (A21 + A23)]],AN_TME_BY[[#All],[Insurance Category Code]],4,AN_TME_BY[[#All],[Advanced Network/Insurance Carrier Org ID]],100))/$M41,"NA")</f>
        <v>NA</v>
      </c>
      <c r="N62" s="479" t="str">
        <f>IFERROR((SUMIFS(AN_TME_PY[[#All],[TOTAL Non-Truncated Unadjusted Expenses (A21 + A23)]],AN_TME_PY[[#All],[Insurance Category Code]],4,AN_TME_PY[[#All],[Advanced Network/Insurance Carrier Org ID]],100))/$N41,"NA")</f>
        <v>NA</v>
      </c>
      <c r="O62" s="474" t="str">
        <f>IFERROR(ICC4TME[[#This Row],[2024]]/ICC4TME[[#This Row],[2023]]-1,"NA")</f>
        <v>NA</v>
      </c>
    </row>
    <row r="63" spans="2:15" ht="30" x14ac:dyDescent="0.25">
      <c r="B63" s="119" t="s">
        <v>312</v>
      </c>
      <c r="C63" s="473" t="str">
        <f t="shared" si="2"/>
        <v>NA</v>
      </c>
      <c r="D63" s="473" t="str">
        <f t="shared" si="2"/>
        <v>NA</v>
      </c>
      <c r="E63" s="474" t="str">
        <f>IFERROR(ComTotTME[[#This Row],[2024]]/ComTotTME[[#This Row],[2023]]-1,"NA")</f>
        <v>NA</v>
      </c>
      <c r="G63" s="119" t="s">
        <v>312</v>
      </c>
      <c r="H63" s="479" t="str">
        <f>IFERROR((SUMIFS(AN_TME_BY[[#All],[TOTAL Non-Truncated Unadjusted Expenses (A21 + A23)]],AN_TME_BY[[#All],[Insurance Category Code]],3,AN_TME_BY[[#All],[Advanced Network/Insurance Carrier Org ID]],100)-ABS(SUMIF(RX_REBATES_BY[[#All],[Insurance Category Code]],3,RX_REBATES_BY[[#All],[Total Pharmacy Rebates]])))/$H41,"NA")</f>
        <v>NA</v>
      </c>
      <c r="I63" s="479" t="str">
        <f>IFERROR((SUMIFS(AN_TME_PY[[#All],[TOTAL Non-Truncated Unadjusted Expenses (A21 + A23)]],AN_TME_PY[[#All],[Insurance Category Code]],3,AN_TME_PY[[#All],[Advanced Network/Insurance Carrier Org ID]],100)-ABS(SUMIF(RX_REBATES_PY[[#All],[Insurance Category Code]],3,RX_REBATES_PY[[#All],[Total Pharmacy Rebates]])))/$I41,"NA")</f>
        <v>NA</v>
      </c>
      <c r="J63" s="480" t="str">
        <f>IFERROR(ICC3TME[[#This Row],[2024]]/ICC3TME[[#This Row],[2023]]-1,"NA")</f>
        <v>NA</v>
      </c>
      <c r="L63" s="119" t="s">
        <v>312</v>
      </c>
      <c r="M63" s="479" t="str">
        <f>IFERROR((SUMIFS(AN_TME_BY[[#All],[TOTAL Non-Truncated Unadjusted Expenses (A21 + A23)]],AN_TME_BY[[#All],[Insurance Category Code]],4,AN_TME_BY[[#All],[Advanced Network/Insurance Carrier Org ID]],100)-ABS(SUMIF(RX_REBATES_BY[[#All],[Insurance Category Code]],4,RX_REBATES_BY[[#All],[Total Pharmacy Rebates]])))/$M41,"NA")</f>
        <v>NA</v>
      </c>
      <c r="N63" s="479" t="str">
        <f>IFERROR((SUMIFS(AN_TME_PY[[#All],[TOTAL Non-Truncated Unadjusted Expenses (A21 + A23)]],AN_TME_PY[[#All],[Insurance Category Code]],4,AN_TME_PY[[#All],[Advanced Network/Insurance Carrier Org ID]],100)-ABS(SUMIF(RX_REBATES_PY[[#All],[Insurance Category Code]],4,RX_REBATES_PY[[#All],[Total Pharmacy Rebates]])))/$N41,"NA")</f>
        <v>NA</v>
      </c>
      <c r="O63" s="474" t="str">
        <f>IFERROR(ICC4TME[[#This Row],[2024]]/ICC4TME[[#This Row],[2023]]-1,"NA")</f>
        <v>NA</v>
      </c>
    </row>
    <row r="64" spans="2:15" ht="30" x14ac:dyDescent="0.25">
      <c r="B64" s="119" t="s">
        <v>313</v>
      </c>
      <c r="C64" s="473" t="str">
        <f t="shared" si="2"/>
        <v>NA</v>
      </c>
      <c r="D64" s="473" t="str">
        <f t="shared" si="2"/>
        <v>NA</v>
      </c>
      <c r="E64" s="474" t="str">
        <f>IFERROR(ComTotTME[[#This Row],[2024]]/ComTotTME[[#This Row],[2023]]-1,"NA")</f>
        <v>NA</v>
      </c>
      <c r="G64" s="119" t="s">
        <v>313</v>
      </c>
      <c r="H64" s="479" t="str">
        <f>IFERROR((SUMIFS(AN_TME_BY[[#All],[TOTAL Truncated Unadjusted Expenses (A22 + A23)]],AN_TME_BY[[#All],[Insurance Category Code]],3,AN_TME_BY[[#All],[Advanced Network/Insurance Carrier Org ID]],100))/$H41,"NA")</f>
        <v>NA</v>
      </c>
      <c r="I64" s="479" t="str">
        <f>IFERROR((SUMIFS(AN_TME_PY[[#All],[TOTAL Truncated Unadjusted Expenses (A22 + A23)]],AN_TME_PY[[#All],[Insurance Category Code]],3,AN_TME_PY[[#All],[Advanced Network/Insurance Carrier Org ID]],100))/$I41,"NA")</f>
        <v>NA</v>
      </c>
      <c r="J64" s="480" t="str">
        <f>IFERROR(ICC3TME[[#This Row],[2024]]/ICC3TME[[#This Row],[2023]]-1,"NA")</f>
        <v>NA</v>
      </c>
      <c r="L64" s="119" t="s">
        <v>313</v>
      </c>
      <c r="M64" s="479" t="str">
        <f>IFERROR((SUMIFS(AN_TME_BY[[#All],[TOTAL Truncated Unadjusted Expenses (A22 + A23)]],AN_TME_BY[[#All],[Insurance Category Code]],4,AN_TME_BY[[#All],[Advanced Network/Insurance Carrier Org ID]],100))/$M41,"NA")</f>
        <v>NA</v>
      </c>
      <c r="N64" s="479" t="str">
        <f>IFERROR((SUMIFS(AN_TME_PY[[#All],[TOTAL Truncated Unadjusted Expenses (A22 + A23)]],AN_TME_PY[[#All],[Insurance Category Code]],4,AN_TME_PY[[#All],[Advanced Network/Insurance Carrier Org ID]],100))/$N41,"NA")</f>
        <v>NA</v>
      </c>
      <c r="O64" s="474" t="str">
        <f>IFERROR(ICC4TME[[#This Row],[2024]]/ICC4TME[[#This Row],[2023]]-1,"NA")</f>
        <v>NA</v>
      </c>
    </row>
    <row r="65" spans="2:15" ht="30" x14ac:dyDescent="0.25">
      <c r="B65" s="120" t="s">
        <v>314</v>
      </c>
      <c r="C65" s="475" t="str">
        <f t="shared" si="2"/>
        <v>NA</v>
      </c>
      <c r="D65" s="475" t="str">
        <f t="shared" si="2"/>
        <v>NA</v>
      </c>
      <c r="E65" s="476" t="str">
        <f>IFERROR(ComTotTME[[#This Row],[2024]]/ComTotTME[[#This Row],[2023]]-1,"NA")</f>
        <v>NA</v>
      </c>
      <c r="G65" s="120" t="s">
        <v>314</v>
      </c>
      <c r="H65" s="481" t="str">
        <f>IFERROR((SUMIFS(AN_TME_BY[[#All],[TOTAL Truncated Unadjusted Expenses (A22 + A23)]],AN_TME_BY[[#All],[Insurance Category Code]],3,AN_TME_BY[[#All],[Advanced Network/Insurance Carrier Org ID]],100)-ABS(SUMIF(RX_REBATES_BY[[#All],[Insurance Category Code]],3,RX_REBATES_BY[[#All],[Total Pharmacy Rebates]])))/$H41,"NA")</f>
        <v>NA</v>
      </c>
      <c r="I65" s="481" t="str">
        <f>IFERROR((SUMIFS(AN_TME_PY[[#All],[TOTAL Truncated Unadjusted Expenses (A22 + A23)]],AN_TME_PY[[#All],[Insurance Category Code]],3,AN_TME_PY[[#All],[Advanced Network/Insurance Carrier Org ID]],100)-ABS(SUMIF(RX_REBATES_PY[[#All],[Insurance Category Code]],3,RX_REBATES_PY[[#All],[Total Pharmacy Rebates]])))/$I41,"NA")</f>
        <v>NA</v>
      </c>
      <c r="J65" s="480" t="str">
        <f>IFERROR(ICC3TME[[#This Row],[2024]]/ICC3TME[[#This Row],[2023]]-1,"NA")</f>
        <v>NA</v>
      </c>
      <c r="L65" s="120" t="s">
        <v>314</v>
      </c>
      <c r="M65" s="481" t="str">
        <f>IFERROR((SUMIFS(AN_TME_BY[[#All],[TOTAL Truncated Unadjusted Expenses (A22 + A23)]],AN_TME_BY[[#All],[Insurance Category Code]],4,AN_TME_BY[[#All],[Advanced Network/Insurance Carrier Org ID]],100)-ABS(SUMIF(RX_REBATES_BY[[#All],[Insurance Category Code]],4,RX_REBATES_BY[[#All],[Total Pharmacy Rebates]])))/$M41,"NA")</f>
        <v>NA</v>
      </c>
      <c r="N65" s="481" t="str">
        <f>IFERROR((SUMIFS(AN_TME_PY[[#All],[TOTAL Truncated Unadjusted Expenses (A22 + A23)]],AN_TME_PY[[#All],[Insurance Category Code]],4,AN_TME_PY[[#All],[Advanced Network/Insurance Carrier Org ID]],100)-ABS(SUMIF(RX_REBATES_PY[[#All],[Insurance Category Code]],4,RX_REBATES_PY[[#All],[Total Pharmacy Rebates]])))/$N41,"NA")</f>
        <v>NA</v>
      </c>
      <c r="O65" s="476" t="str">
        <f>IFERROR(ICC4TME[[#This Row],[2024]]/ICC4TME[[#This Row],[2023]]-1,"NA")</f>
        <v>NA</v>
      </c>
    </row>
    <row r="67" spans="2:15" ht="15.75" x14ac:dyDescent="0.25">
      <c r="B67" s="53" t="s">
        <v>315</v>
      </c>
      <c r="G67" s="53" t="s">
        <v>316</v>
      </c>
      <c r="L67" s="53" t="s">
        <v>317</v>
      </c>
    </row>
    <row r="68" spans="2:15" x14ac:dyDescent="0.25">
      <c r="B68" s="60" t="s">
        <v>304</v>
      </c>
      <c r="G68" s="60" t="s">
        <v>304</v>
      </c>
      <c r="L68" s="60" t="s">
        <v>304</v>
      </c>
    </row>
    <row r="69" spans="2:15" x14ac:dyDescent="0.25">
      <c r="B69" s="96" t="s">
        <v>305</v>
      </c>
      <c r="C69" s="97" t="s">
        <v>290</v>
      </c>
      <c r="D69" s="98" t="s">
        <v>291</v>
      </c>
      <c r="E69" s="98" t="s">
        <v>292</v>
      </c>
      <c r="G69" s="99" t="s">
        <v>305</v>
      </c>
      <c r="H69" s="100" t="s">
        <v>290</v>
      </c>
      <c r="I69" s="101" t="s">
        <v>291</v>
      </c>
      <c r="J69" s="101" t="s">
        <v>292</v>
      </c>
      <c r="L69" s="102" t="s">
        <v>305</v>
      </c>
      <c r="M69" s="103" t="s">
        <v>290</v>
      </c>
      <c r="N69" s="104" t="s">
        <v>291</v>
      </c>
      <c r="O69" s="104" t="s">
        <v>292</v>
      </c>
    </row>
    <row r="70" spans="2:15" x14ac:dyDescent="0.25">
      <c r="B70" s="79" t="s">
        <v>212</v>
      </c>
      <c r="C70" s="468">
        <f>SUM(H70,M70)</f>
        <v>0</v>
      </c>
      <c r="D70" s="468">
        <f>SUM(I70,N70)</f>
        <v>0</v>
      </c>
      <c r="E70" s="465" t="str">
        <f>IFERROR(MCareTotTME[[#This Row],[2024]]/MCareTotTME[[#This Row],[2023]]-1,"NA")</f>
        <v>NA</v>
      </c>
      <c r="G70" s="79" t="s">
        <v>212</v>
      </c>
      <c r="H70" s="477">
        <f>SUMIFS(AN_TME_BY[[#All],[Member Months]],AN_TME_BY[[#All],[Insurance Category Code]],1,AN_TME_BY[[#All],[Advanced Network/Insurance Carrier Org ID]],100)</f>
        <v>0</v>
      </c>
      <c r="I70" s="477">
        <f>SUMIFS(AN_TME_PY[[#All],[Member Months]],AN_TME_PY[[#All],[Insurance Category Code]],1,AN_TME_PY[[#All],[Advanced Network/Insurance Carrier Org ID]],100)</f>
        <v>0</v>
      </c>
      <c r="J70" s="465" t="str">
        <f>IFERROR(ICC1TME[[#This Row],[2024]]/ICC1TME[[#This Row],[2023]]-1,"NA")</f>
        <v>NA</v>
      </c>
      <c r="L70" s="79" t="s">
        <v>212</v>
      </c>
      <c r="M70" s="477">
        <f>SUMIFS(AN_TME_BY[[#All],[Member Months]],AN_TME_BY[[#All],[Insurance Category Code]],5,AN_TME_BY[[#All],[Advanced Network/Insurance Carrier Org ID]],100)</f>
        <v>0</v>
      </c>
      <c r="N70" s="477">
        <f>SUMIFS(AN_TME_PY[[#All],[Member Months]],AN_TME_PY[[#All],[Insurance Category Code]],5,AN_TME_PY[[#All],[Advanced Network/Insurance Carrier Org ID]],100)</f>
        <v>0</v>
      </c>
      <c r="O70" s="465" t="str">
        <f>IFERROR(ICC5TME[[#This Row],[2024]]/ICC5TME[[#This Row],[2023]]-1,"NA")</f>
        <v>NA</v>
      </c>
    </row>
    <row r="71" spans="2:15" x14ac:dyDescent="0.25">
      <c r="B71" s="79" t="s">
        <v>124</v>
      </c>
      <c r="C71" s="470" t="str">
        <f>IFERROR((SUMPRODUCT(H71,H$70)+SUMPRODUCT(M71,M$70))/C$70,"NA")</f>
        <v>NA</v>
      </c>
      <c r="D71" s="470" t="str">
        <f t="shared" ref="D71:D94" si="3">IFERROR((SUMPRODUCT(I71,I$70)+SUMPRODUCT(N71,N$70))/D$70,"NA")</f>
        <v>NA</v>
      </c>
      <c r="E71" s="465" t="str">
        <f>IFERROR(MCareTotTME[[#This Row],[2024]]/MCareTotTME[[#This Row],[2023]]-1,"NA")</f>
        <v>NA</v>
      </c>
      <c r="G71" s="79" t="s">
        <v>124</v>
      </c>
      <c r="H71" s="470" t="str">
        <f>IFERROR((SUMIFS(AN_TME_BY[[#All],[Claims: Hospital Inpatient]],AN_TME_BY[[#All],[Insurance Category Code]],1,AN_TME_BY[[#All],[Advanced Network/Insurance Carrier Org ID]],100))/H$70,"NA")</f>
        <v>NA</v>
      </c>
      <c r="I71" s="470" t="str">
        <f>IFERROR((SUMIFS(AN_TME_PY[[#All],[Claims: Hospital Inpatient]],AN_TME_PY[[#All],[Insurance Category Code]],1,AN_TME_PY[[#All],[Advanced Network/Insurance Carrier Org ID]],100))/I$70,"NA")</f>
        <v>NA</v>
      </c>
      <c r="J71" s="478" t="str">
        <f>IFERROR(ICC1TME[[#This Row],[2024]]/ICC1TME[[#This Row],[2023]]-1,"NA")</f>
        <v>NA</v>
      </c>
      <c r="L71" s="79" t="s">
        <v>124</v>
      </c>
      <c r="M71" s="470" t="str">
        <f>IFERROR((SUMIFS(AN_TME_BY[[#All],[Claims: Hospital Inpatient]],AN_TME_BY[[#All],[Insurance Category Code]],5,AN_TME_BY[[#All],[Advanced Network/Insurance Carrier Org ID]],100))/M$70,"NA")</f>
        <v>NA</v>
      </c>
      <c r="N71" s="470" t="str">
        <f>IFERROR((SUMIFS(AN_TME_PY[[#All],[Claims: Hospital Inpatient]],AN_TME_PY[[#All],[Insurance Category Code]],5,AN_TME_PY[[#All],[Advanced Network/Insurance Carrier Org ID]],100))/N$70,"NA")</f>
        <v>NA</v>
      </c>
      <c r="O71" s="478" t="str">
        <f>IFERROR(ICC5TME[[#This Row],[2024]]/ICC5TME[[#This Row],[2023]]-1,"NA")</f>
        <v>NA</v>
      </c>
    </row>
    <row r="72" spans="2:15" x14ac:dyDescent="0.25">
      <c r="B72" s="79" t="s">
        <v>125</v>
      </c>
      <c r="C72" s="470" t="str">
        <f t="shared" ref="C72:C94" si="4">IFERROR((SUMPRODUCT(H72,H$70)+SUMPRODUCT(M72,M$70))/C$70,"NA")</f>
        <v>NA</v>
      </c>
      <c r="D72" s="470" t="str">
        <f t="shared" si="3"/>
        <v>NA</v>
      </c>
      <c r="E72" s="465" t="str">
        <f>IFERROR(MCareTotTME[[#This Row],[2024]]/MCareTotTME[[#This Row],[2023]]-1,"NA")</f>
        <v>NA</v>
      </c>
      <c r="G72" s="79" t="s">
        <v>125</v>
      </c>
      <c r="H72" s="470" t="str">
        <f>IFERROR((SUMIFS(AN_TME_BY[[#All],[Claims: Hospital Outpatient]],AN_TME_BY[[#All],[Insurance Category Code]],1,AN_TME_BY[[#All],[Advanced Network/Insurance Carrier Org ID]],100))/H$70,"NA")</f>
        <v>NA</v>
      </c>
      <c r="I72" s="470" t="str">
        <f>IFERROR((SUMIFS(AN_TME_PY[[#All],[Claims: Hospital Outpatient]],AN_TME_PY[[#All],[Insurance Category Code]],1,AN_TME_PY[[#All],[Advanced Network/Insurance Carrier Org ID]],100))/I$70,"NA")</f>
        <v>NA</v>
      </c>
      <c r="J72" s="478" t="str">
        <f>IFERROR(ICC1TME[[#This Row],[2024]]/ICC1TME[[#This Row],[2023]]-1,"NA")</f>
        <v>NA</v>
      </c>
      <c r="L72" s="79" t="s">
        <v>125</v>
      </c>
      <c r="M72" s="470" t="str">
        <f>IFERROR((SUMIFS(AN_TME_BY[[#All],[Claims: Hospital Outpatient]],AN_TME_BY[[#All],[Insurance Category Code]],5,AN_TME_BY[[#All],[Advanced Network/Insurance Carrier Org ID]],100))/M$70,"NA")</f>
        <v>NA</v>
      </c>
      <c r="N72" s="470" t="str">
        <f>IFERROR((SUMIFS(AN_TME_PY[[#All],[Claims: Hospital Outpatient]],AN_TME_PY[[#All],[Insurance Category Code]],5,AN_TME_PY[[#All],[Advanced Network/Insurance Carrier Org ID]],100))/N$70,"NA")</f>
        <v>NA</v>
      </c>
      <c r="O72" s="478" t="str">
        <f>IFERROR(ICC5TME[[#This Row],[2024]]/ICC5TME[[#This Row],[2023]]-1,"NA")</f>
        <v>NA</v>
      </c>
    </row>
    <row r="73" spans="2:15" x14ac:dyDescent="0.25">
      <c r="B73" s="79" t="s">
        <v>127</v>
      </c>
      <c r="C73" s="470" t="str">
        <f t="shared" si="4"/>
        <v>NA</v>
      </c>
      <c r="D73" s="470" t="str">
        <f t="shared" si="3"/>
        <v>NA</v>
      </c>
      <c r="E73" s="465" t="str">
        <f>IFERROR(MCareTotTME[[#This Row],[2024]]/MCareTotTME[[#This Row],[2023]]-1,"NA")</f>
        <v>NA</v>
      </c>
      <c r="G73" s="79" t="s">
        <v>127</v>
      </c>
      <c r="H73" s="470" t="str">
        <f>IFERROR((SUMIFS(AN_TME_BY[[#All],[Claims: Professional, Primary Care]],AN_TME_BY[[#All],[Insurance Category Code]],1,AN_TME_BY[[#All],[Advanced Network/Insurance Carrier Org ID]],100))/H$70,"NA")</f>
        <v>NA</v>
      </c>
      <c r="I73" s="470" t="str">
        <f>IFERROR((SUMIFS(AN_TME_PY[[#All],[Claims: Professional, Primary Care]],AN_TME_PY[[#All],[Insurance Category Code]],1,AN_TME_PY[[#All],[Advanced Network/Insurance Carrier Org ID]],100))/I$70,"NA")</f>
        <v>NA</v>
      </c>
      <c r="J73" s="478" t="str">
        <f>IFERROR(ICC1TME[[#This Row],[2024]]/ICC1TME[[#This Row],[2023]]-1,"NA")</f>
        <v>NA</v>
      </c>
      <c r="L73" s="79" t="s">
        <v>127</v>
      </c>
      <c r="M73" s="470" t="str">
        <f>IFERROR((SUMIFS(AN_TME_BY[[#All],[Claims: Professional, Primary Care]],AN_TME_BY[[#All],[Insurance Category Code]],5,AN_TME_BY[[#All],[Advanced Network/Insurance Carrier Org ID]],100))/M$70,"NA")</f>
        <v>NA</v>
      </c>
      <c r="N73" s="470" t="str">
        <f>IFERROR((SUMIFS(AN_TME_PY[[#All],[Claims: Professional, Primary Care]],AN_TME_PY[[#All],[Insurance Category Code]],5,AN_TME_PY[[#All],[Advanced Network/Insurance Carrier Org ID]],100))/N$70,"NA")</f>
        <v>NA</v>
      </c>
      <c r="O73" s="478" t="str">
        <f>IFERROR(ICC5TME[[#This Row],[2024]]/ICC5TME[[#This Row],[2023]]-1,"NA")</f>
        <v>NA</v>
      </c>
    </row>
    <row r="74" spans="2:15" ht="30" x14ac:dyDescent="0.25">
      <c r="B74" s="79" t="s">
        <v>128</v>
      </c>
      <c r="C74" s="470" t="str">
        <f t="shared" si="4"/>
        <v>NA</v>
      </c>
      <c r="D74" s="470" t="str">
        <f t="shared" si="3"/>
        <v>NA</v>
      </c>
      <c r="E74" s="465" t="str">
        <f>IFERROR(MCareTotTME[[#This Row],[2024]]/MCareTotTME[[#This Row],[2023]]-1,"NA")</f>
        <v>NA</v>
      </c>
      <c r="G74" s="79" t="s">
        <v>128</v>
      </c>
      <c r="H74" s="470" t="str">
        <f>IFERROR((SUMIFS(AN_TME_BY[[#All],[Claims: Professional, Primary Care (for Monitoring Purposes)]],AN_TME_BY[[#All],[Insurance Category Code]],1,AN_TME_BY[[#All],[Advanced Network/Insurance Carrier Org ID]],100))/H$70,"NA")</f>
        <v>NA</v>
      </c>
      <c r="I74" s="470" t="str">
        <f>IFERROR((SUMIFS(AN_TME_PY[[#All],[Claims: Professional, Primary Care (for Monitoring Purposes)]],AN_TME_PY[[#All],[Insurance Category Code]],1,AN_TME_PY[[#All],[Advanced Network/Insurance Carrier Org ID]],100))/I$70,"NA")</f>
        <v>NA</v>
      </c>
      <c r="J74" s="478" t="str">
        <f>IFERROR(ICC1TME[[#This Row],[2024]]/ICC1TME[[#This Row],[2023]]-1,"NA")</f>
        <v>NA</v>
      </c>
      <c r="L74" s="79" t="s">
        <v>128</v>
      </c>
      <c r="M74" s="470" t="str">
        <f>IFERROR((SUMIFS(AN_TME_BY[[#All],[Claims: Professional, Primary Care (for Monitoring Purposes)]],AN_TME_BY[[#All],[Insurance Category Code]],5,AN_TME_BY[[#All],[Advanced Network/Insurance Carrier Org ID]],100))/M$70,"NA")</f>
        <v>NA</v>
      </c>
      <c r="N74" s="470" t="str">
        <f>IFERROR((SUMIFS(AN_TME_PY[[#All],[Claims: Professional, Primary Care (for Monitoring Purposes)]],AN_TME_PY[[#All],[Insurance Category Code]],5,AN_TME_PY[[#All],[Advanced Network/Insurance Carrier Org ID]],100))/N$70,"NA")</f>
        <v>NA</v>
      </c>
      <c r="O74" s="478" t="str">
        <f>IFERROR(ICC5TME[[#This Row],[2024]]/ICC5TME[[#This Row],[2023]]-1,"NA")</f>
        <v>NA</v>
      </c>
    </row>
    <row r="75" spans="2:15" x14ac:dyDescent="0.25">
      <c r="B75" s="79" t="s">
        <v>129</v>
      </c>
      <c r="C75" s="470" t="str">
        <f t="shared" si="4"/>
        <v>NA</v>
      </c>
      <c r="D75" s="470" t="str">
        <f t="shared" si="3"/>
        <v>NA</v>
      </c>
      <c r="E75" s="465" t="str">
        <f>IFERROR(MCareTotTME[[#This Row],[2024]]/MCareTotTME[[#This Row],[2023]]-1,"NA")</f>
        <v>NA</v>
      </c>
      <c r="G75" s="79" t="s">
        <v>129</v>
      </c>
      <c r="H75" s="470" t="str">
        <f>IFERROR((SUMIFS(AN_TME_BY[[#All],[Claims: Professional, Specialty]],AN_TME_BY[[#All],[Insurance Category Code]],1,AN_TME_BY[[#All],[Advanced Network/Insurance Carrier Org ID]],100))/H$70,"NA")</f>
        <v>NA</v>
      </c>
      <c r="I75" s="470" t="str">
        <f>IFERROR((SUMIFS(AN_TME_PY[[#All],[Claims: Professional, Specialty]],AN_TME_PY[[#All],[Insurance Category Code]],1,AN_TME_PY[[#All],[Advanced Network/Insurance Carrier Org ID]],100))/I$70,"NA")</f>
        <v>NA</v>
      </c>
      <c r="J75" s="478" t="str">
        <f>IFERROR(ICC1TME[[#This Row],[2024]]/ICC1TME[[#This Row],[2023]]-1,"NA")</f>
        <v>NA</v>
      </c>
      <c r="L75" s="79" t="s">
        <v>129</v>
      </c>
      <c r="M75" s="470" t="str">
        <f>IFERROR((SUMIFS(AN_TME_BY[[#All],[Claims: Professional, Specialty]],AN_TME_BY[[#All],[Insurance Category Code]],5,AN_TME_BY[[#All],[Advanced Network/Insurance Carrier Org ID]],100))/M$70,"NA")</f>
        <v>NA</v>
      </c>
      <c r="N75" s="470" t="str">
        <f>IFERROR((SUMIFS(AN_TME_PY[[#All],[Claims: Professional, Specialty]],AN_TME_PY[[#All],[Insurance Category Code]],5,AN_TME_PY[[#All],[Advanced Network/Insurance Carrier Org ID]],100))/N$70,"NA")</f>
        <v>NA</v>
      </c>
      <c r="O75" s="478" t="str">
        <f>IFERROR(ICC5TME[[#This Row],[2024]]/ICC5TME[[#This Row],[2023]]-1,"NA")</f>
        <v>NA</v>
      </c>
    </row>
    <row r="76" spans="2:15" x14ac:dyDescent="0.25">
      <c r="B76" s="79" t="s">
        <v>130</v>
      </c>
      <c r="C76" s="470" t="str">
        <f t="shared" si="4"/>
        <v>NA</v>
      </c>
      <c r="D76" s="470" t="str">
        <f t="shared" si="3"/>
        <v>NA</v>
      </c>
      <c r="E76" s="465" t="str">
        <f>IFERROR(MCareTotTME[[#This Row],[2024]]/MCareTotTME[[#This Row],[2023]]-1,"NA")</f>
        <v>NA</v>
      </c>
      <c r="G76" s="79" t="s">
        <v>130</v>
      </c>
      <c r="H76" s="470" t="str">
        <f>IFERROR((SUMIFS(AN_TME_BY[[#All],[Claims: Professional Other]],AN_TME_BY[[#All],[Insurance Category Code]],1,AN_TME_BY[[#All],[Advanced Network/Insurance Carrier Org ID]],100))/H$70,"NA")</f>
        <v>NA</v>
      </c>
      <c r="I76" s="470" t="str">
        <f>IFERROR((SUMIFS(AN_TME_PY[[#All],[Claims: Professional Other]],AN_TME_PY[[#All],[Insurance Category Code]],1,AN_TME_PY[[#All],[Advanced Network/Insurance Carrier Org ID]],100))/I$70,"NA")</f>
        <v>NA</v>
      </c>
      <c r="J76" s="478" t="str">
        <f>IFERROR(ICC1TME[[#This Row],[2024]]/ICC1TME[[#This Row],[2023]]-1,"NA")</f>
        <v>NA</v>
      </c>
      <c r="L76" s="79" t="s">
        <v>130</v>
      </c>
      <c r="M76" s="470" t="str">
        <f>IFERROR((SUMIFS(AN_TME_BY[[#All],[Claims: Professional Other]],AN_TME_BY[[#All],[Insurance Category Code]],5,AN_TME_BY[[#All],[Advanced Network/Insurance Carrier Org ID]],100))/M$70,"NA")</f>
        <v>NA</v>
      </c>
      <c r="N76" s="470" t="str">
        <f>IFERROR((SUMIFS(AN_TME_PY[[#All],[Claims: Professional Other]],AN_TME_PY[[#All],[Insurance Category Code]],5,AN_TME_PY[[#All],[Advanced Network/Insurance Carrier Org ID]],100))/N$70,"NA")</f>
        <v>NA</v>
      </c>
      <c r="O76" s="478" t="str">
        <f>IFERROR(ICC5TME[[#This Row],[2024]]/ICC5TME[[#This Row],[2023]]-1,"NA")</f>
        <v>NA</v>
      </c>
    </row>
    <row r="77" spans="2:15" ht="30" x14ac:dyDescent="0.25">
      <c r="B77" s="79" t="s">
        <v>306</v>
      </c>
      <c r="C77" s="470" t="str">
        <f t="shared" si="4"/>
        <v>NA</v>
      </c>
      <c r="D77" s="470" t="str">
        <f t="shared" si="3"/>
        <v>NA</v>
      </c>
      <c r="E77" s="465" t="str">
        <f>IFERROR(MCareTotTME[[#This Row],[2024]]/MCareTotTME[[#This Row],[2023]]-1,"NA")</f>
        <v>NA</v>
      </c>
      <c r="G77" s="79" t="s">
        <v>306</v>
      </c>
      <c r="H77" s="470" t="str">
        <f>IFERROR((SUMIFS(AN_TME_BY[[#All],[Claims: Pharmacy]],AN_TME_BY[[#All],[Insurance Category Code]],1,AN_TME_BY[[#All],[Advanced Network/Insurance Carrier Org ID]],100))/H$70,"NA")</f>
        <v>NA</v>
      </c>
      <c r="I77" s="470" t="str">
        <f>IFERROR((SUMIFS(AN_TME_PY[[#All],[Claims: Pharmacy]],AN_TME_PY[[#All],[Insurance Category Code]],1,AN_TME_PY[[#All],[Advanced Network/Insurance Carrier Org ID]],100))/I$70,"NA")</f>
        <v>NA</v>
      </c>
      <c r="J77" s="478" t="str">
        <f>IFERROR(ICC1TME[[#This Row],[2024]]/ICC1TME[[#This Row],[2023]]-1,"NA")</f>
        <v>NA</v>
      </c>
      <c r="L77" s="79" t="s">
        <v>306</v>
      </c>
      <c r="M77" s="470" t="str">
        <f>IFERROR((SUMIFS(AN_TME_BY[[#All],[Claims: Pharmacy]],AN_TME_BY[[#All],[Insurance Category Code]],5,AN_TME_BY[[#All],[Advanced Network/Insurance Carrier Org ID]],100))/M$70,"NA")</f>
        <v>NA</v>
      </c>
      <c r="N77" s="470" t="str">
        <f>IFERROR((SUMIFS(AN_TME_PY[[#All],[Claims: Pharmacy]],AN_TME_PY[[#All],[Insurance Category Code]],5,AN_TME_PY[[#All],[Advanced Network/Insurance Carrier Org ID]],100))/N$70,"NA")</f>
        <v>NA</v>
      </c>
      <c r="O77" s="478" t="str">
        <f>IFERROR(ICC5TME[[#This Row],[2024]]/ICC5TME[[#This Row],[2023]]-1,"NA")</f>
        <v>NA</v>
      </c>
    </row>
    <row r="78" spans="2:15" ht="30" x14ac:dyDescent="0.25">
      <c r="B78" s="118" t="s">
        <v>307</v>
      </c>
      <c r="C78" s="470" t="str">
        <f t="shared" si="4"/>
        <v>NA</v>
      </c>
      <c r="D78" s="470" t="str">
        <f t="shared" si="3"/>
        <v>NA</v>
      </c>
      <c r="E78" s="465" t="str">
        <f>IFERROR(MCareTotTME[[#This Row],[2024]]/MCareTotTME[[#This Row],[2023]]-1,"NA")</f>
        <v>NA</v>
      </c>
      <c r="G78" s="118" t="s">
        <v>307</v>
      </c>
      <c r="H78" s="470" t="str">
        <f>IFERROR((SUMIFS(AN_TME_BY[[#All],[Claims: Pharmacy]],AN_TME_BY[[#All],[Insurance Category Code]],1,AN_TME_BY[[#All],[Advanced Network/Insurance Carrier Org ID]],100)-ABS(SUMIF(RX_REBATES_BY[[#All],[Insurance Category Code]],1,RX_REBATES_BY[[#All],[Retail Pharmacy Rebates]])))/H70,"NA")</f>
        <v>NA</v>
      </c>
      <c r="I78" s="470" t="str">
        <f>IFERROR((SUMIFS(AN_TME_PY[[#All],[Claims: Pharmacy]],AN_TME_PY[[#All],[Insurance Category Code]],1,AN_TME_PY[[#All],[Advanced Network/Insurance Carrier Org ID]],100)-ABS(SUMIF(RX_REBATES_PY[[#All],[Insurance Category Code]],1,RX_REBATES_PY[[#All],[Retail Pharmacy Rebates]])))/I70,"NA")</f>
        <v>NA</v>
      </c>
      <c r="J78" s="478" t="str">
        <f>IFERROR(ICC1TME[[#This Row],[2024]]/ICC1TME[[#This Row],[2023]]-1,"NA")</f>
        <v>NA</v>
      </c>
      <c r="L78" s="118" t="s">
        <v>307</v>
      </c>
      <c r="M78" s="470" t="str">
        <f>IFERROR((SUMIFS(AN_TME_BY[[#All],[Claims: Pharmacy]],AN_TME_BY[[#All],[Insurance Category Code]],5,AN_TME_BY[[#All],[Advanced Network/Insurance Carrier Org ID]],100)-ABS(SUMIF(RX_REBATES_BY[[#All],[Insurance Category Code]],5,RX_REBATES_BY[[#All],[Retail Pharmacy Rebates]])))/M70,"NA")</f>
        <v>NA</v>
      </c>
      <c r="N78" s="470" t="str">
        <f>IFERROR((SUMIFS(AN_TME_PY[[#All],[Claims: Pharmacy]],AN_TME_PY[[#All],[Insurance Category Code]],5,AN_TME_PY[[#All],[Advanced Network/Insurance Carrier Org ID]],100)-ABS(SUMIF(RX_REBATES_PY[[#All],[Insurance Category Code]],5,RX_REBATES_PY[[#All],[Retail Pharmacy Rebates]])))/N70,"NA")</f>
        <v>NA</v>
      </c>
      <c r="O78" s="478" t="str">
        <f>IFERROR(ICC5TME[[#This Row],[2024]]/ICC5TME[[#This Row],[2023]]-1,"NA")</f>
        <v>NA</v>
      </c>
    </row>
    <row r="79" spans="2:15" x14ac:dyDescent="0.25">
      <c r="B79" s="118" t="s">
        <v>142</v>
      </c>
      <c r="C79" s="470" t="str">
        <f t="shared" si="4"/>
        <v>NA</v>
      </c>
      <c r="D79" s="470" t="str">
        <f t="shared" si="3"/>
        <v>NA</v>
      </c>
      <c r="E79" s="465" t="str">
        <f>IFERROR(MCareTotTME[[#This Row],[2024]]/MCareTotTME[[#This Row],[2023]]-1,"NA")</f>
        <v>NA</v>
      </c>
      <c r="G79" s="118" t="s">
        <v>142</v>
      </c>
      <c r="H79" s="470" t="str">
        <f>IFERROR((-ABS(SUMIF(RX_REBATES_BY[[#All],[Insurance Category Code]],1,RX_REBATES_BY[[#All],[Retail Pharmacy Rebates]])))/H70,"NA")</f>
        <v>NA</v>
      </c>
      <c r="I79" s="470" t="str">
        <f>IFERROR((-ABS(SUMIF(RX_REBATES_PY[[#All],[Insurance Category Code]],1,RX_REBATES_PY[[#All],[Retail Pharmacy Rebates]])))/I70,"NA")</f>
        <v>NA</v>
      </c>
      <c r="J79" s="478" t="str">
        <f>IFERROR(ICC1TME[[#This Row],[2024]]/ICC1TME[[#This Row],[2023]]-1,"NA")</f>
        <v>NA</v>
      </c>
      <c r="L79" s="118" t="s">
        <v>142</v>
      </c>
      <c r="M79" s="470" t="str">
        <f>IFERROR((-ABS(SUMIF(RX_REBATES_BY[[#All],[Insurance Category Code]],5,RX_REBATES_BY[[#All],[Retail Pharmacy Rebates]])))/M70,"NA")</f>
        <v>NA</v>
      </c>
      <c r="N79" s="470" t="str">
        <f>IFERROR((-ABS(SUMIF(RX_REBATES_PY[[#All],[Insurance Category Code]],5,RX_REBATES_PY[[#All],[Retail Pharmacy Rebates]])))/N70,"NA")</f>
        <v>NA</v>
      </c>
      <c r="O79" s="478" t="str">
        <f>IFERROR(ICC5TME[[#This Row],[2024]]/ICC5TME[[#This Row],[2023]]-1,"NA")</f>
        <v>NA</v>
      </c>
    </row>
    <row r="80" spans="2:15" x14ac:dyDescent="0.25">
      <c r="B80" s="79" t="s">
        <v>133</v>
      </c>
      <c r="C80" s="470" t="str">
        <f t="shared" si="4"/>
        <v>NA</v>
      </c>
      <c r="D80" s="470" t="str">
        <f t="shared" si="3"/>
        <v>NA</v>
      </c>
      <c r="E80" s="465" t="str">
        <f>IFERROR(MCareTotTME[[#This Row],[2024]]/MCareTotTME[[#This Row],[2023]]-1,"NA")</f>
        <v>NA</v>
      </c>
      <c r="G80" s="79" t="s">
        <v>133</v>
      </c>
      <c r="H80" s="470" t="str">
        <f>IFERROR((SUMIFS(AN_TME_BY[[#All],[Claims: Long-Term Care]],AN_TME_BY[[#All],[Insurance Category Code]],1,AN_TME_BY[[#All],[Advanced Network/Insurance Carrier Org ID]],100))/H$70,"NA")</f>
        <v>NA</v>
      </c>
      <c r="I80" s="470" t="str">
        <f>IFERROR((SUMIFS(AN_TME_PY[[#All],[Claims: Long-Term Care]],AN_TME_PY[[#All],[Insurance Category Code]],1,AN_TME_PY[[#All],[Advanced Network/Insurance Carrier Org ID]],100))/I$70,"NA")</f>
        <v>NA</v>
      </c>
      <c r="J80" s="478" t="str">
        <f>IFERROR(ICC1TME[[#This Row],[2024]]/ICC1TME[[#This Row],[2023]]-1,"NA")</f>
        <v>NA</v>
      </c>
      <c r="L80" s="79" t="s">
        <v>133</v>
      </c>
      <c r="M80" s="470" t="str">
        <f>IFERROR((SUMIFS(AN_TME_BY[[#All],[Claims: Long-Term Care]],AN_TME_BY[[#All],[Insurance Category Code]],5,AN_TME_BY[[#All],[Advanced Network/Insurance Carrier Org ID]],100))/M$70,"NA")</f>
        <v>NA</v>
      </c>
      <c r="N80" s="470" t="str">
        <f>IFERROR((SUMIFS(AN_TME_PY[[#All],[Claims: Long-Term Care]],AN_TME_PY[[#All],[Insurance Category Code]],5,AN_TME_PY[[#All],[Advanced Network/Insurance Carrier Org ID]],100))/N$70,"NA")</f>
        <v>NA</v>
      </c>
      <c r="O80" s="478" t="str">
        <f>IFERROR(ICC5TME[[#This Row],[2024]]/ICC5TME[[#This Row],[2023]]-1,"NA")</f>
        <v>NA</v>
      </c>
    </row>
    <row r="81" spans="2:15" x14ac:dyDescent="0.25">
      <c r="B81" s="79" t="s">
        <v>134</v>
      </c>
      <c r="C81" s="470" t="str">
        <f t="shared" si="4"/>
        <v>NA</v>
      </c>
      <c r="D81" s="470" t="str">
        <f t="shared" si="3"/>
        <v>NA</v>
      </c>
      <c r="E81" s="465" t="str">
        <f>IFERROR(MCareTotTME[[#This Row],[2024]]/MCareTotTME[[#This Row],[2023]]-1,"NA")</f>
        <v>NA</v>
      </c>
      <c r="G81" s="79" t="s">
        <v>134</v>
      </c>
      <c r="H81" s="470" t="str">
        <f>IFERROR((SUMIFS(AN_TME_BY[[#All],[Claims: Other]],AN_TME_BY[[#All],[Insurance Category Code]],1,AN_TME_BY[[#All],[Advanced Network/Insurance Carrier Org ID]],100))/H$70,"NA")</f>
        <v>NA</v>
      </c>
      <c r="I81" s="470" t="str">
        <f>IFERROR((SUMIFS(AN_TME_PY[[#All],[Claims: Other]],AN_TME_PY[[#All],[Insurance Category Code]],1,AN_TME_PY[[#All],[Advanced Network/Insurance Carrier Org ID]],100))/I$70,"NA")</f>
        <v>NA</v>
      </c>
      <c r="J81" s="478" t="str">
        <f>IFERROR(ICC1TME[[#This Row],[2024]]/ICC1TME[[#This Row],[2023]]-1,"NA")</f>
        <v>NA</v>
      </c>
      <c r="L81" s="79" t="s">
        <v>134</v>
      </c>
      <c r="M81" s="470" t="str">
        <f>IFERROR((SUMIFS(AN_TME_BY[[#All],[Claims: Other]],AN_TME_BY[[#All],[Insurance Category Code]],5,AN_TME_BY[[#All],[Advanced Network/Insurance Carrier Org ID]],100))/M$70,"NA")</f>
        <v>NA</v>
      </c>
      <c r="N81" s="470" t="str">
        <f>IFERROR((SUMIFS(AN_TME_PY[[#All],[Claims: Other]],AN_TME_PY[[#All],[Insurance Category Code]],5,AN_TME_PY[[#All],[Advanced Network/Insurance Carrier Org ID]],100))/N$70,"NA")</f>
        <v>NA</v>
      </c>
      <c r="O81" s="478" t="str">
        <f>IFERROR(ICC5TME[[#This Row],[2024]]/ICC5TME[[#This Row],[2023]]-1,"NA")</f>
        <v>NA</v>
      </c>
    </row>
    <row r="82" spans="2:15" ht="30" x14ac:dyDescent="0.25">
      <c r="B82" s="117" t="s">
        <v>308</v>
      </c>
      <c r="C82" s="471" t="str">
        <f t="shared" si="4"/>
        <v>NA</v>
      </c>
      <c r="D82" s="471" t="str">
        <f t="shared" si="3"/>
        <v>NA</v>
      </c>
      <c r="E82" s="483" t="str">
        <f>IFERROR(MCareTotTME[[#This Row],[2024]]/MCareTotTME[[#This Row],[2023]]-1,"NA")</f>
        <v>NA</v>
      </c>
      <c r="G82" s="117" t="s">
        <v>308</v>
      </c>
      <c r="H82" s="471" t="str">
        <f>IFERROR((SUMIFS(AN_TME_BY[[#All],[TOTAL Non-Truncated Unadjusted Claims Expenses]],AN_TME_BY[[#All],[Insurance Category Code]],1,AN_TME_BY[[#All],[Advanced Network/Insurance Carrier Org ID]],100))/H$70,"NA")</f>
        <v>NA</v>
      </c>
      <c r="I82" s="471" t="str">
        <f>IFERROR((SUMIFS(AN_TME_PY[[#All],[TOTAL Non-Truncated Unadjusted Claims Expenses]],AN_TME_PY[[#All],[Insurance Category Code]],1,AN_TME_PY[[#All],[Advanced Network/Insurance Carrier Org ID]],100))/I$70,"NA")</f>
        <v>NA</v>
      </c>
      <c r="J82" s="472" t="str">
        <f>IFERROR(ICC1TME[[#This Row],[2024]]/ICC1TME[[#This Row],[2023]]-1,"NA")</f>
        <v>NA</v>
      </c>
      <c r="L82" s="117" t="s">
        <v>308</v>
      </c>
      <c r="M82" s="471" t="str">
        <f>IFERROR((SUMIFS(AN_TME_BY[[#All],[TOTAL Non-Truncated Unadjusted Claims Expenses]],AN_TME_BY[[#All],[Insurance Category Code]],5,AN_TME_BY[[#All],[Advanced Network/Insurance Carrier Org ID]],100))/M$70,"NA")</f>
        <v>NA</v>
      </c>
      <c r="N82" s="471" t="str">
        <f>IFERROR((SUMIFS(AN_TME_PY[[#All],[TOTAL Non-Truncated Unadjusted Claims Expenses]],AN_TME_PY[[#All],[Insurance Category Code]],5,AN_TME_PY[[#All],[Advanced Network/Insurance Carrier Org ID]],100))/N$70,"NA")</f>
        <v>NA</v>
      </c>
      <c r="O82" s="472" t="str">
        <f>IFERROR(ICC5TME[[#This Row],[2024]]/ICC5TME[[#This Row],[2023]]-1,"NA")</f>
        <v>NA</v>
      </c>
    </row>
    <row r="83" spans="2:15" x14ac:dyDescent="0.25">
      <c r="B83" s="117" t="s">
        <v>309</v>
      </c>
      <c r="C83" s="471" t="str">
        <f t="shared" si="4"/>
        <v>NA</v>
      </c>
      <c r="D83" s="471" t="str">
        <f t="shared" si="3"/>
        <v>NA</v>
      </c>
      <c r="E83" s="483" t="str">
        <f>IFERROR(MCareTotTME[[#This Row],[2024]]/MCareTotTME[[#This Row],[2023]]-1,"NA")</f>
        <v>NA</v>
      </c>
      <c r="G83" s="117" t="s">
        <v>309</v>
      </c>
      <c r="H83" s="471" t="str">
        <f>IFERROR((SUMIFS(AN_TME_BY[[#All],[TOTAL Truncated Unadjusted Claims Expenses (A21 -A19)]],AN_TME_BY[[#All],[Insurance Category Code]],1,AN_TME_BY[[#All],[Advanced Network/Insurance Carrier Org ID]],100))/H$70,"NA")</f>
        <v>NA</v>
      </c>
      <c r="I83" s="471" t="str">
        <f>IFERROR((SUMIFS(AN_TME_PY[[#All],[TOTAL Truncated Unadjusted Claims Expenses (A21 -A19)]],AN_TME_PY[[#All],[Insurance Category Code]],1,AN_TME_PY[[#All],[Advanced Network/Insurance Carrier Org ID]],100))/I$70,"NA")</f>
        <v>NA</v>
      </c>
      <c r="J83" s="472" t="str">
        <f>IFERROR(ICC1TME[[#This Row],[2024]]/ICC1TME[[#This Row],[2023]]-1,"NA")</f>
        <v>NA</v>
      </c>
      <c r="L83" s="117" t="s">
        <v>309</v>
      </c>
      <c r="M83" s="471" t="str">
        <f>IFERROR((SUMIFS(AN_TME_BY[[#All],[TOTAL Truncated Unadjusted Claims Expenses (A21 -A19)]],AN_TME_BY[[#All],[Insurance Category Code]],5,AN_TME_BY[[#All],[Advanced Network/Insurance Carrier Org ID]],100))/M$70,"NA")</f>
        <v>NA</v>
      </c>
      <c r="N83" s="471" t="str">
        <f>IFERROR((SUMIFS(AN_TME_PY[[#All],[TOTAL Truncated Unadjusted Claims Expenses (A21 -A19)]],AN_TME_PY[[#All],[Insurance Category Code]],5,AN_TME_PY[[#All],[Advanced Network/Insurance Carrier Org ID]],100))/N$70,"NA")</f>
        <v>NA</v>
      </c>
      <c r="O83" s="472" t="str">
        <f>IFERROR(ICC5TME[[#This Row],[2024]]/ICC5TME[[#This Row],[2023]]-1,"NA")</f>
        <v>NA</v>
      </c>
    </row>
    <row r="84" spans="2:15" ht="45" x14ac:dyDescent="0.25">
      <c r="B84" s="79" t="s">
        <v>136</v>
      </c>
      <c r="C84" s="470" t="str">
        <f t="shared" si="4"/>
        <v>NA</v>
      </c>
      <c r="D84" s="470" t="str">
        <f t="shared" si="3"/>
        <v>NA</v>
      </c>
      <c r="E84" s="465" t="str">
        <f>IFERROR(MCareTotTME[[#This Row],[2024]]/MCareTotTME[[#This Row],[2023]]-1,"NA")</f>
        <v>NA</v>
      </c>
      <c r="G84" s="79" t="s">
        <v>136</v>
      </c>
      <c r="H84" s="470" t="str">
        <f>IFERROR((SUMIFS(AN_TME_BY[[#All],[Non-Claims: Payments to Support Population Health and Practice Infrastructure]],AN_TME_BY[[#All],[Insurance Category Code]],1,AN_TME_BY[[#All],[Advanced Network/Insurance Carrier Org ID]],100))/H$70,"NA")</f>
        <v>NA</v>
      </c>
      <c r="I84" s="470" t="str">
        <f>IFERROR((SUMIFS(AN_TME_PY[[#All],[Non-Claims: Payments to Support Population Health and Practice Infrastructure]],AN_TME_PY[[#All],[Insurance Category Code]],1,AN_TME_PY[[#All],[Advanced Network/Insurance Carrier Org ID]],100))/I$70,"NA")</f>
        <v>NA</v>
      </c>
      <c r="J84" s="478" t="str">
        <f>IFERROR(ICC1TME[[#This Row],[2024]]/ICC1TME[[#This Row],[2023]]-1,"NA")</f>
        <v>NA</v>
      </c>
      <c r="L84" s="79" t="s">
        <v>136</v>
      </c>
      <c r="M84" s="470" t="str">
        <f>IFERROR((SUMIFS(AN_TME_BY[[#All],[Non-Claims: Payments to Support Population Health and Practice Infrastructure]],AN_TME_BY[[#All],[Insurance Category Code]],5,AN_TME_BY[[#All],[Advanced Network/Insurance Carrier Org ID]],100))/M$70,"NA")</f>
        <v>NA</v>
      </c>
      <c r="N84" s="470" t="str">
        <f>IFERROR((SUMIFS(AN_TME_PY[[#All],[Non-Claims: Payments to Support Population Health and Practice Infrastructure]],AN_TME_PY[[#All],[Insurance Category Code]],5,AN_TME_PY[[#All],[Advanced Network/Insurance Carrier Org ID]],100))/N$70,"NA")</f>
        <v>NA</v>
      </c>
      <c r="O84" s="478" t="str">
        <f>IFERROR(ICC5TME[[#This Row],[2024]]/ICC5TME[[#This Row],[2023]]-1,"NA")</f>
        <v>NA</v>
      </c>
    </row>
    <row r="85" spans="2:15" ht="30" x14ac:dyDescent="0.25">
      <c r="B85" s="79" t="s">
        <v>213</v>
      </c>
      <c r="C85" s="470" t="str">
        <f t="shared" si="4"/>
        <v>NA</v>
      </c>
      <c r="D85" s="470" t="str">
        <f t="shared" si="3"/>
        <v>NA</v>
      </c>
      <c r="E85" s="465" t="str">
        <f>IFERROR(MCareTotTME[[#This Row],[2024]]/MCareTotTME[[#This Row],[2023]]-1,"NA")</f>
        <v>NA</v>
      </c>
      <c r="G85" s="79" t="s">
        <v>213</v>
      </c>
      <c r="H85" s="470" t="str">
        <f>IFERROR((SUMIFS(AN_TME_BY[[#All],[Non-Claims: Performance Payments]],AN_TME_BY[[#All],[Insurance Category Code]],1,AN_TME_BY[[#All],[Advanced Network/Insurance Carrier Org ID]],100))/H$70,"NA")</f>
        <v>NA</v>
      </c>
      <c r="I85" s="470" t="str">
        <f>IFERROR((SUMIFS(AN_TME_PY[[#All],[Non-Claims: Performance Payments]],AN_TME_PY[[#All],[Insurance Category Code]],1,AN_TME_PY[[#All],[Advanced Network/Insurance Carrier Org ID]],100))/I$70,"NA")</f>
        <v>NA</v>
      </c>
      <c r="J85" s="478" t="str">
        <f>IFERROR(ICC1TME[[#This Row],[2024]]/ICC1TME[[#This Row],[2023]]-1,"NA")</f>
        <v>NA</v>
      </c>
      <c r="L85" s="79" t="s">
        <v>213</v>
      </c>
      <c r="M85" s="470" t="str">
        <f>IFERROR((SUMIFS(AN_TME_BY[[#All],[Non-Claims: Performance Payments]],AN_TME_BY[[#All],[Insurance Category Code]],5,AN_TME_BY[[#All],[Advanced Network/Insurance Carrier Org ID]],100))/M$70,"NA")</f>
        <v>NA</v>
      </c>
      <c r="N85" s="470" t="str">
        <f>IFERROR((SUMIFS(AN_TME_PY[[#All],[Non-Claims: Performance Payments]],AN_TME_PY[[#All],[Insurance Category Code]],5,AN_TME_PY[[#All],[Advanced Network/Insurance Carrier Org ID]],100))/N$70,"NA")</f>
        <v>NA</v>
      </c>
      <c r="O85" s="478" t="str">
        <f>IFERROR(ICC5TME[[#This Row],[2024]]/ICC5TME[[#This Row],[2023]]-1,"NA")</f>
        <v>NA</v>
      </c>
    </row>
    <row r="86" spans="2:15" ht="30" x14ac:dyDescent="0.25">
      <c r="B86" s="79" t="s">
        <v>214</v>
      </c>
      <c r="C86" s="470" t="str">
        <f t="shared" si="4"/>
        <v>NA</v>
      </c>
      <c r="D86" s="470" t="str">
        <f t="shared" si="3"/>
        <v>NA</v>
      </c>
      <c r="E86" s="465" t="str">
        <f>IFERROR(MCareTotTME[[#This Row],[2024]]/MCareTotTME[[#This Row],[2023]]-1,"NA")</f>
        <v>NA</v>
      </c>
      <c r="G86" s="79" t="s">
        <v>214</v>
      </c>
      <c r="H86" s="470" t="str">
        <f>IFERROR((SUMIFS(AN_TME_BY[[#All],[Non-Claims: Shared Savings and Shared Risk Settlements]],AN_TME_BY[[#All],[Insurance Category Code]],1,AN_TME_BY[[#All],[Advanced Network/Insurance Carrier Org ID]],100))/H$70,"NA")</f>
        <v>NA</v>
      </c>
      <c r="I86" s="470" t="str">
        <f>IFERROR((SUMIFS(AN_TME_PY[[#All],[Non-Claims: Shared Savings and Shared Risk Settlements]],AN_TME_PY[[#All],[Insurance Category Code]],1,AN_TME_PY[[#All],[Advanced Network/Insurance Carrier Org ID]],100))/I$70,"NA")</f>
        <v>NA</v>
      </c>
      <c r="J86" s="478" t="str">
        <f>IFERROR(ICC1TME[[#This Row],[2024]]/ICC1TME[[#This Row],[2023]]-1,"NA")</f>
        <v>NA</v>
      </c>
      <c r="L86" s="79" t="s">
        <v>214</v>
      </c>
      <c r="M86" s="470" t="str">
        <f>IFERROR((SUMIFS(AN_TME_BY[[#All],[Non-Claims: Shared Savings and Shared Risk Settlements]],AN_TME_BY[[#All],[Insurance Category Code]],5,AN_TME_BY[[#All],[Advanced Network/Insurance Carrier Org ID]],100))/M$70,"NA")</f>
        <v>NA</v>
      </c>
      <c r="N86" s="470" t="str">
        <f>IFERROR((SUMIFS(AN_TME_PY[[#All],[Non-Claims: Shared Savings and Shared Risk Settlements]],AN_TME_PY[[#All],[Insurance Category Code]],5,AN_TME_PY[[#All],[Advanced Network/Insurance Carrier Org ID]],100))/N$70,"NA")</f>
        <v>NA</v>
      </c>
      <c r="O86" s="478" t="str">
        <f>IFERROR(ICC5TME[[#This Row],[2024]]/ICC5TME[[#This Row],[2023]]-1,"NA")</f>
        <v>NA</v>
      </c>
    </row>
    <row r="87" spans="2:15" ht="30" x14ac:dyDescent="0.25">
      <c r="B87" s="79" t="s">
        <v>215</v>
      </c>
      <c r="C87" s="470" t="str">
        <f t="shared" si="4"/>
        <v>NA</v>
      </c>
      <c r="D87" s="470" t="str">
        <f t="shared" si="3"/>
        <v>NA</v>
      </c>
      <c r="E87" s="465" t="str">
        <f>IFERROR(MCareTotTME[[#This Row],[2024]]/MCareTotTME[[#This Row],[2023]]-1,"NA")</f>
        <v>NA</v>
      </c>
      <c r="G87" s="79" t="s">
        <v>215</v>
      </c>
      <c r="H87" s="470" t="str">
        <f>IFERROR((SUMIFS(AN_TME_BY[[#All],[Non-Claims: Capitation and Full Risk Payments]],AN_TME_BY[[#All],[Insurance Category Code]],1,AN_TME_BY[[#All],[Advanced Network/Insurance Carrier Org ID]],100))/H$70,"NA")</f>
        <v>NA</v>
      </c>
      <c r="I87" s="470" t="str">
        <f>IFERROR((SUMIFS(AN_TME_PY[[#All],[Non-Claims: Capitation and Full Risk Payments]],AN_TME_PY[[#All],[Insurance Category Code]],1,AN_TME_PY[[#All],[Advanced Network/Insurance Carrier Org ID]],100))/I$70,"NA")</f>
        <v>NA</v>
      </c>
      <c r="J87" s="478" t="str">
        <f>IFERROR(ICC1TME[[#This Row],[2024]]/ICC1TME[[#This Row],[2023]]-1,"NA")</f>
        <v>NA</v>
      </c>
      <c r="L87" s="79" t="s">
        <v>215</v>
      </c>
      <c r="M87" s="470" t="str">
        <f>IFERROR((SUMIFS(AN_TME_BY[[#All],[Non-Claims: Capitation and Full Risk Payments]],AN_TME_BY[[#All],[Insurance Category Code]],5,AN_TME_BY[[#All],[Advanced Network/Insurance Carrier Org ID]],100))/M$70,"NA")</f>
        <v>NA</v>
      </c>
      <c r="N87" s="470" t="str">
        <f>IFERROR((SUMIFS(AN_TME_PY[[#All],[Non-Claims: Capitation and Full Risk Payments]],AN_TME_PY[[#All],[Insurance Category Code]],5,AN_TME_PY[[#All],[Advanced Network/Insurance Carrier Org ID]],100))/N$70,"NA")</f>
        <v>NA</v>
      </c>
      <c r="O87" s="478" t="str">
        <f>IFERROR(ICC5TME[[#This Row],[2024]]/ICC5TME[[#This Row],[2023]]-1,"NA")</f>
        <v>NA</v>
      </c>
    </row>
    <row r="88" spans="2:15" x14ac:dyDescent="0.25">
      <c r="B88" s="79" t="s">
        <v>137</v>
      </c>
      <c r="C88" s="470" t="str">
        <f t="shared" si="4"/>
        <v>NA</v>
      </c>
      <c r="D88" s="470" t="str">
        <f t="shared" si="3"/>
        <v>NA</v>
      </c>
      <c r="E88" s="465" t="str">
        <f>IFERROR(MCareTotTME[[#This Row],[2024]]/MCareTotTME[[#This Row],[2023]]-1,"NA")</f>
        <v>NA</v>
      </c>
      <c r="G88" s="79" t="s">
        <v>137</v>
      </c>
      <c r="H88" s="470" t="str">
        <f>IFERROR((SUMIFS(AN_TME_BY[[#All],[Non-Claims: Other]],AN_TME_BY[[#All],[Insurance Category Code]],1,AN_TME_BY[[#All],[Advanced Network/Insurance Carrier Org ID]],100))/H$70,"NA")</f>
        <v>NA</v>
      </c>
      <c r="I88" s="470" t="str">
        <f>IFERROR((SUMIFS(AN_TME_PY[[#All],[Non-Claims: Other]],AN_TME_PY[[#All],[Insurance Category Code]],1,AN_TME_PY[[#All],[Advanced Network/Insurance Carrier Org ID]],100))/I$70,"NA")</f>
        <v>NA</v>
      </c>
      <c r="J88" s="469" t="str">
        <f>IFERROR(ICC1TME[[#This Row],[2024]]/ICC1TME[[#This Row],[2023]]-1,"NA")</f>
        <v>NA</v>
      </c>
      <c r="L88" s="79" t="s">
        <v>137</v>
      </c>
      <c r="M88" s="470" t="str">
        <f>IFERROR((SUMIFS(AN_TME_BY[[#All],[Non-Claims: Other]],AN_TME_BY[[#All],[Insurance Category Code]],5,AN_TME_BY[[#All],[Advanced Network/Insurance Carrier Org ID]],100))/M$70,"NA")</f>
        <v>NA</v>
      </c>
      <c r="N88" s="470" t="str">
        <f>IFERROR((SUMIFS(AN_TME_PY[[#All],[Non-Claims: Other]],AN_TME_PY[[#All],[Insurance Category Code]],5,AN_TME_PY[[#All],[Advanced Network/Insurance Carrier Org ID]],100))/N$70,"NA")</f>
        <v>NA</v>
      </c>
      <c r="O88" s="469" t="str">
        <f>IFERROR(ICC5TME[[#This Row],[2024]]/ICC5TME[[#This Row],[2023]]-1,"NA")</f>
        <v>NA</v>
      </c>
    </row>
    <row r="89" spans="2:15" ht="30" x14ac:dyDescent="0.25">
      <c r="B89" s="79" t="s">
        <v>138</v>
      </c>
      <c r="C89" s="470" t="str">
        <f t="shared" si="4"/>
        <v>NA</v>
      </c>
      <c r="D89" s="470" t="str">
        <f t="shared" si="3"/>
        <v>NA</v>
      </c>
      <c r="E89" s="465" t="str">
        <f>IFERROR(MCareTotTME[[#This Row],[2024]]/MCareTotTME[[#This Row],[2023]]-1,"NA")</f>
        <v>NA</v>
      </c>
      <c r="G89" s="79" t="s">
        <v>138</v>
      </c>
      <c r="H89" s="470" t="str">
        <f>IFERROR((SUMIFS(AN_TME_BY[[#All],[Non-Claims: Total Primary Care Non-Claims-Based Payments]],AN_TME_BY[[#All],[Insurance Category Code]],1,AN_TME_BY[[#All],[Advanced Network/Insurance Carrier Org ID]],100))/H70,"NA")</f>
        <v>NA</v>
      </c>
      <c r="I89" s="470" t="str">
        <f>IFERROR((SUMIFS(AN_TME_PY[[#All],[Non-Claims: Total Primary Care Non-Claims-Based Payments]],AN_TME_PY[[#All],[Insurance Category Code]],1,AN_TME_PY[[#All],[Advanced Network/Insurance Carrier Org ID]],100))/I70,"NA")</f>
        <v>NA</v>
      </c>
      <c r="J89" s="478" t="str">
        <f>IFERROR(ICC1TME[[#This Row],[2024]]/ICC1TME[[#This Row],[2023]]-1,"NA")</f>
        <v>NA</v>
      </c>
      <c r="L89" s="79" t="s">
        <v>138</v>
      </c>
      <c r="M89" s="470" t="str">
        <f>IFERROR((SUMIFS(AN_TME_BY[[#All],[Non-Claims: Total Primary Care Non-Claims-Based Payments]],AN_TME_BY[[#All],[Insurance Category Code]],5,AN_TME_BY[[#All],[Advanced Network/Insurance Carrier Org ID]],100))/M70,"NA")</f>
        <v>NA</v>
      </c>
      <c r="N89" s="470" t="str">
        <f>IFERROR((SUMIFS(AN_TME_PY[[#All],[Non-Claims: Total Primary Care Non-Claims-Based Payments]],AN_TME_PY[[#All],[Insurance Category Code]],5,AN_TME_PY[[#All],[Advanced Network/Insurance Carrier Org ID]],100))/N70,"NA")</f>
        <v>NA</v>
      </c>
      <c r="O89" s="478" t="str">
        <f>IFERROR(ICC5TME[[#This Row],[2024]]/ICC5TME[[#This Row],[2023]]-1,"NA")</f>
        <v>NA</v>
      </c>
    </row>
    <row r="90" spans="2:15" x14ac:dyDescent="0.25">
      <c r="B90" s="117" t="s">
        <v>310</v>
      </c>
      <c r="C90" s="471" t="str">
        <f t="shared" si="4"/>
        <v>NA</v>
      </c>
      <c r="D90" s="471" t="str">
        <f t="shared" si="3"/>
        <v>NA</v>
      </c>
      <c r="E90" s="483" t="str">
        <f>IFERROR(MCareTotTME[[#This Row],[2024]]/MCareTotTME[[#This Row],[2023]]-1,"NA")</f>
        <v>NA</v>
      </c>
      <c r="G90" s="117" t="s">
        <v>310</v>
      </c>
      <c r="H90" s="471" t="str">
        <f>IFERROR((SUMIFS(AN_TME_BY[[#All],[TOTAL Non-Claims Expenses]],AN_TME_BY[[#All],[Insurance Category Code]],1,AN_TME_BY[[#All],[Advanced Network/Insurance Carrier Org ID]],100))/H70,"NA")</f>
        <v>NA</v>
      </c>
      <c r="I90" s="471" t="str">
        <f>IFERROR((SUMIFS(AN_TME_PY[[#All],[TOTAL Non-Claims Expenses]],AN_TME_PY[[#All],[Insurance Category Code]],1,AN_TME_PY[[#All],[Advanced Network/Insurance Carrier Org ID]],100))/I70,"NA")</f>
        <v>NA</v>
      </c>
      <c r="J90" s="472" t="str">
        <f>IFERROR(ICC1TME[[#This Row],[2024]]/ICC1TME[[#This Row],[2023]]-1,"NA")</f>
        <v>NA</v>
      </c>
      <c r="L90" s="117" t="s">
        <v>310</v>
      </c>
      <c r="M90" s="471" t="str">
        <f>IFERROR((SUMIFS(AN_TME_BY[[#All],[TOTAL Non-Claims Expenses]],AN_TME_BY[[#All],[Insurance Category Code]],5,AN_TME_BY[[#All],[Advanced Network/Insurance Carrier Org ID]],100))/M70,"NA")</f>
        <v>NA</v>
      </c>
      <c r="N90" s="471" t="str">
        <f>IFERROR((SUMIFS(AN_TME_PY[[#All],[TOTAL Non-Claims Expenses]],AN_TME_PY[[#All],[Insurance Category Code]],5,AN_TME_PY[[#All],[Advanced Network/Insurance Carrier Org ID]],100))/N70,"NA")</f>
        <v>NA</v>
      </c>
      <c r="O90" s="472" t="str">
        <f>IFERROR(ICC5TME[[#This Row],[2024]]/ICC5TME[[#This Row],[2023]]-1,"NA")</f>
        <v>NA</v>
      </c>
    </row>
    <row r="91" spans="2:15" ht="30" x14ac:dyDescent="0.25">
      <c r="B91" s="119" t="s">
        <v>311</v>
      </c>
      <c r="C91" s="473" t="str">
        <f t="shared" si="4"/>
        <v>NA</v>
      </c>
      <c r="D91" s="473" t="str">
        <f t="shared" si="3"/>
        <v>NA</v>
      </c>
      <c r="E91" s="484" t="str">
        <f>IFERROR(MCareTotTME[[#This Row],[2024]]/MCareTotTME[[#This Row],[2023]]-1,"NA")</f>
        <v>NA</v>
      </c>
      <c r="G91" s="119" t="s">
        <v>311</v>
      </c>
      <c r="H91" s="479" t="str">
        <f>IFERROR((SUMIFS(AN_TME_BY[[#All],[TOTAL Non-Truncated Unadjusted Expenses (A21 + A23)]],AN_TME_BY[[#All],[Insurance Category Code]],1,AN_TME_BY[[#All],[Advanced Network/Insurance Carrier Org ID]],100))/H70,"NA")</f>
        <v>NA</v>
      </c>
      <c r="I91" s="479" t="str">
        <f>IFERROR((SUMIFS(AN_TME_PY[[#All],[TOTAL Non-Truncated Unadjusted Expenses (A21 + A23)]],AN_TME_PY[[#All],[Insurance Category Code]],1,AN_TME_PY[[#All],[Advanced Network/Insurance Carrier Org ID]],100))/I70,"NA")</f>
        <v>NA</v>
      </c>
      <c r="J91" s="480" t="str">
        <f>IFERROR(ICC1TME[[#This Row],[2024]]/ICC1TME[[#This Row],[2023]]-1,"NA")</f>
        <v>NA</v>
      </c>
      <c r="L91" s="119" t="s">
        <v>311</v>
      </c>
      <c r="M91" s="479" t="str">
        <f>IFERROR((SUMIFS(AN_TME_BY[[#All],[TOTAL Non-Truncated Unadjusted Expenses (A21 + A23)]],AN_TME_BY[[#All],[Insurance Category Code]],5,AN_TME_BY[[#All],[Advanced Network/Insurance Carrier Org ID]],100))/M70,"NA")</f>
        <v>NA</v>
      </c>
      <c r="N91" s="479" t="str">
        <f>IFERROR((SUMIFS(AN_TME_PY[[#All],[TOTAL Non-Truncated Unadjusted Expenses (A21 + A23)]],AN_TME_PY[[#All],[Insurance Category Code]],5,AN_TME_PY[[#All],[Advanced Network/Insurance Carrier Org ID]],100))/N70,"NA")</f>
        <v>NA</v>
      </c>
      <c r="O91" s="480" t="str">
        <f>IFERROR(ICC5TME[[#This Row],[2024]]/ICC5TME[[#This Row],[2023]]-1,"NA")</f>
        <v>NA</v>
      </c>
    </row>
    <row r="92" spans="2:15" ht="30" x14ac:dyDescent="0.25">
      <c r="B92" s="119" t="s">
        <v>312</v>
      </c>
      <c r="C92" s="473" t="str">
        <f t="shared" si="4"/>
        <v>NA</v>
      </c>
      <c r="D92" s="473" t="str">
        <f t="shared" si="3"/>
        <v>NA</v>
      </c>
      <c r="E92" s="484" t="str">
        <f>IFERROR(MCareTotTME[[#This Row],[2024]]/MCareTotTME[[#This Row],[2023]]-1,"NA")</f>
        <v>NA</v>
      </c>
      <c r="G92" s="119" t="s">
        <v>312</v>
      </c>
      <c r="H92" s="479" t="str">
        <f>IFERROR((SUMIFS(AN_TME_BY[[#All],[TOTAL Non-Truncated Unadjusted Expenses (A21 + A23)]],AN_TME_BY[[#All],[Insurance Category Code]],1,AN_TME_BY[[#All],[Advanced Network/Insurance Carrier Org ID]],100)-ABS(SUMIF(RX_REBATES_BY[[#All],[Insurance Category Code]],1,RX_REBATES_BY[[#All],[Total Pharmacy Rebates]])))/H70,"NA")</f>
        <v>NA</v>
      </c>
      <c r="I92" s="479" t="str">
        <f>IFERROR((SUMIFS(AN_TME_PY[[#All],[TOTAL Non-Truncated Unadjusted Expenses (A21 + A23)]],AN_TME_PY[[#All],[Insurance Category Code]],1,AN_TME_PY[[#All],[Advanced Network/Insurance Carrier Org ID]],100)-ABS(SUMIF(RX_REBATES_PY[[#All],[Insurance Category Code]],1,RX_REBATES_PY[[#All],[Total Pharmacy Rebates]])))/I70,"NA")</f>
        <v>NA</v>
      </c>
      <c r="J92" s="480" t="str">
        <f>IFERROR(ICC1TME[[#This Row],[2024]]/ICC1TME[[#This Row],[2023]]-1,"NA")</f>
        <v>NA</v>
      </c>
      <c r="L92" s="119" t="s">
        <v>312</v>
      </c>
      <c r="M92" s="479" t="str">
        <f>IFERROR((SUMIFS(AN_TME_BY[[#All],[TOTAL Non-Truncated Unadjusted Expenses (A21 + A23)]],AN_TME_BY[[#All],[Insurance Category Code]],5,AN_TME_BY[[#All],[Advanced Network/Insurance Carrier Org ID]],100)-ABS(SUMIF(RX_REBATES_BY[[#All],[Insurance Category Code]],5,RX_REBATES_BY[[#All],[Total Pharmacy Rebates]])))/M70,"NA")</f>
        <v>NA</v>
      </c>
      <c r="N92" s="479" t="str">
        <f>IFERROR((SUMIFS(AN_TME_PY[[#All],[TOTAL Non-Truncated Unadjusted Expenses (A21 + A23)]],AN_TME_PY[[#All],[Insurance Category Code]],5,AN_TME_PY[[#All],[Advanced Network/Insurance Carrier Org ID]],100)-ABS(SUMIF(RX_REBATES_PY[[#All],[Insurance Category Code]],5,RX_REBATES_PY[[#All],[Total Pharmacy Rebates]])))/N70,"NA")</f>
        <v>NA</v>
      </c>
      <c r="O92" s="480" t="str">
        <f>IFERROR(ICC5TME[[#This Row],[2024]]/ICC5TME[[#This Row],[2023]]-1,"NA")</f>
        <v>NA</v>
      </c>
    </row>
    <row r="93" spans="2:15" ht="30" x14ac:dyDescent="0.25">
      <c r="B93" s="119" t="s">
        <v>313</v>
      </c>
      <c r="C93" s="473" t="str">
        <f t="shared" si="4"/>
        <v>NA</v>
      </c>
      <c r="D93" s="473" t="str">
        <f t="shared" si="3"/>
        <v>NA</v>
      </c>
      <c r="E93" s="484" t="str">
        <f>IFERROR(MCareTotTME[[#This Row],[2024]]/MCareTotTME[[#This Row],[2023]]-1,"NA")</f>
        <v>NA</v>
      </c>
      <c r="G93" s="119" t="s">
        <v>313</v>
      </c>
      <c r="H93" s="479" t="str">
        <f>IFERROR((SUMIFS(AN_TME_BY[[#All],[TOTAL Truncated Unadjusted Expenses (A22 + A23)]],AN_TME_BY[[#All],[Insurance Category Code]],1,AN_TME_BY[[#All],[Advanced Network/Insurance Carrier Org ID]],100))/H70,"NA")</f>
        <v>NA</v>
      </c>
      <c r="I93" s="479" t="str">
        <f>IFERROR((SUMIFS(AN_TME_PY[[#All],[TOTAL Truncated Unadjusted Expenses (A22 + A23)]],AN_TME_PY[[#All],[Insurance Category Code]],1,AN_TME_PY[[#All],[Advanced Network/Insurance Carrier Org ID]],100))/I70,"NA")</f>
        <v>NA</v>
      </c>
      <c r="J93" s="480" t="str">
        <f>IFERROR(ICC1TME[[#This Row],[2024]]/ICC1TME[[#This Row],[2023]]-1,"NA")</f>
        <v>NA</v>
      </c>
      <c r="L93" s="119" t="s">
        <v>313</v>
      </c>
      <c r="M93" s="479" t="str">
        <f>IFERROR((SUMIFS(AN_TME_BY[[#All],[TOTAL Truncated Unadjusted Expenses (A22 + A23)]],AN_TME_BY[[#All],[Insurance Category Code]],5,AN_TME_BY[[#All],[Advanced Network/Insurance Carrier Org ID]],100))/M70,"NA")</f>
        <v>NA</v>
      </c>
      <c r="N93" s="479" t="str">
        <f>IFERROR((SUMIFS(AN_TME_PY[[#All],[TOTAL Truncated Unadjusted Expenses (A22 + A23)]],AN_TME_PY[[#All],[Insurance Category Code]],5,AN_TME_PY[[#All],[Advanced Network/Insurance Carrier Org ID]],100))/N70,"NA")</f>
        <v>NA</v>
      </c>
      <c r="O93" s="480" t="str">
        <f>IFERROR(ICC5TME[[#This Row],[2024]]/ICC5TME[[#This Row],[2023]]-1,"NA")</f>
        <v>NA</v>
      </c>
    </row>
    <row r="94" spans="2:15" ht="30" x14ac:dyDescent="0.25">
      <c r="B94" s="120" t="s">
        <v>314</v>
      </c>
      <c r="C94" s="475" t="str">
        <f t="shared" si="4"/>
        <v>NA</v>
      </c>
      <c r="D94" s="475" t="str">
        <f t="shared" si="3"/>
        <v>NA</v>
      </c>
      <c r="E94" s="485" t="str">
        <f>IFERROR(MCareTotTME[[#This Row],[2024]]/MCareTotTME[[#This Row],[2023]]-1,"NA")</f>
        <v>NA</v>
      </c>
      <c r="G94" s="120" t="s">
        <v>314</v>
      </c>
      <c r="H94" s="481" t="str">
        <f>IFERROR((SUMIFS(AN_TME_BY[[#All],[TOTAL Truncated Unadjusted Expenses (A22 + A23)]],AN_TME_BY[[#All],[Insurance Category Code]],1,AN_TME_BY[[#All],[Advanced Network/Insurance Carrier Org ID]],100)-ABS(SUMIF(RX_REBATES_BY[[#All],[Insurance Category Code]],1,RX_REBATES_BY[[#All],[Total Pharmacy Rebates]])))/H70,"NA")</f>
        <v>NA</v>
      </c>
      <c r="I94" s="481" t="str">
        <f>IFERROR((SUMIFS(AN_TME_PY[[#All],[TOTAL Truncated Unadjusted Expenses (A22 + A23)]],AN_TME_PY[[#All],[Insurance Category Code]],1,AN_TME_PY[[#All],[Advanced Network/Insurance Carrier Org ID]],100)-ABS(SUMIF(RX_REBATES_PY[[#All],[Insurance Category Code]],1,RX_REBATES_PY[[#All],[Total Pharmacy Rebates]])))/I70,"NA")</f>
        <v>NA</v>
      </c>
      <c r="J94" s="480" t="str">
        <f>IFERROR(ICC1TME[[#This Row],[2024]]/ICC1TME[[#This Row],[2023]]-1,"NA")</f>
        <v>NA</v>
      </c>
      <c r="L94" s="120" t="s">
        <v>314</v>
      </c>
      <c r="M94" s="481" t="str">
        <f>IFERROR((SUMIFS(AN_TME_BY[[#All],[TOTAL Truncated Unadjusted Expenses (A22 + A23)]],AN_TME_BY[[#All],[Insurance Category Code]],5,AN_TME_BY[[#All],[Advanced Network/Insurance Carrier Org ID]],100)-ABS(SUMIF(RX_REBATES_BY[[#All],[Insurance Category Code]],5,RX_REBATES_BY[[#All],[Total Pharmacy Rebates]])))/M70,"NA")</f>
        <v>NA</v>
      </c>
      <c r="N94" s="481" t="str">
        <f>IFERROR((SUMIFS(AN_TME_PY[[#All],[TOTAL Truncated Unadjusted Expenses (A22 + A23)]],AN_TME_PY[[#All],[Insurance Category Code]],5,AN_TME_PY[[#All],[Advanced Network/Insurance Carrier Org ID]],100)-ABS(SUMIF(RX_REBATES_PY[[#All],[Insurance Category Code]],5,RX_REBATES_PY[[#All],[Total Pharmacy Rebates]])))/N70,"NA")</f>
        <v>NA</v>
      </c>
      <c r="O94" s="480" t="str">
        <f>IFERROR(ICC5TME[[#This Row],[2024]]/ICC5TME[[#This Row],[2023]]-1,"NA")</f>
        <v>NA</v>
      </c>
    </row>
    <row r="96" spans="2:15" ht="15.75" x14ac:dyDescent="0.25">
      <c r="B96" s="53" t="s">
        <v>318</v>
      </c>
    </row>
    <row r="97" spans="2:5" x14ac:dyDescent="0.25">
      <c r="B97" s="60" t="s">
        <v>304</v>
      </c>
    </row>
    <row r="98" spans="2:5" x14ac:dyDescent="0.25">
      <c r="B98" s="105" t="s">
        <v>305</v>
      </c>
      <c r="C98" s="106" t="s">
        <v>290</v>
      </c>
      <c r="D98" s="107" t="s">
        <v>291</v>
      </c>
      <c r="E98" s="106" t="s">
        <v>292</v>
      </c>
    </row>
    <row r="99" spans="2:5" x14ac:dyDescent="0.25">
      <c r="B99" s="79" t="s">
        <v>212</v>
      </c>
      <c r="C99" s="477">
        <f>IFERROR(SUMIFS(AN_TME_BY[[#All],[Member Months]],AN_TME_BY[[#All],[Insurance Category Code]],7,AN_TME_BY[[#All],[Advanced Network/Insurance Carrier Org ID]],100),"NA")</f>
        <v>0</v>
      </c>
      <c r="D99" s="477">
        <f>IFERROR(SUMIFS(AN_TME_PY[[#All],[Member Months]],AN_TME_PY[[#All],[Insurance Category Code]],7,AN_TME_PY[[#All],[Advanced Network/Insurance Carrier Org ID]],100),"NA")</f>
        <v>0</v>
      </c>
      <c r="E99" s="465" t="str">
        <f>IFERROR(ICC7TME[[#This Row],[2024]]/ICC7TME[[#This Row],[2023]]-1,"NA")</f>
        <v>NA</v>
      </c>
    </row>
    <row r="100" spans="2:5" x14ac:dyDescent="0.25">
      <c r="B100" s="79" t="s">
        <v>124</v>
      </c>
      <c r="C100" s="486" t="str">
        <f>IFERROR((SUMIFS(AN_TME_BY[[#All],[Claims: Hospital Inpatient]],AN_TME_BY[[#All],[Insurance Category Code]],7,AN_TME_BY[[#All],[Advanced Network/Insurance Carrier Org ID]],100))/C$99,"NA")</f>
        <v>NA</v>
      </c>
      <c r="D100" s="486" t="str">
        <f>IFERROR((SUMIFS(AN_TME_PY[[#All],[Claims: Hospital Inpatient]],AN_TME_PY[[#All],[Insurance Category Code]],7,AN_TME_PY[[#All],[Advanced Network/Insurance Carrier Org ID]],100))/D$99,"NA")</f>
        <v>NA</v>
      </c>
      <c r="E100" s="465" t="str">
        <f>IFERROR(ICC7TME[[#This Row],[2024]]/ICC7TME[[#This Row],[2023]]-1,"NA")</f>
        <v>NA</v>
      </c>
    </row>
    <row r="101" spans="2:5" x14ac:dyDescent="0.25">
      <c r="B101" s="79" t="s">
        <v>125</v>
      </c>
      <c r="C101" s="486" t="str">
        <f>IFERROR((SUMIFS(AN_TME_BY[[#All],[Claims: Hospital Outpatient]],AN_TME_BY[[#All],[Insurance Category Code]],7,AN_TME_BY[[#All],[Advanced Network/Insurance Carrier Org ID]],100))/C$99,"NA")</f>
        <v>NA</v>
      </c>
      <c r="D101" s="486" t="str">
        <f>IFERROR((SUMIFS(AN_TME_PY[[#All],[Claims: Hospital Outpatient]],AN_TME_PY[[#All],[Insurance Category Code]],7,AN_TME_PY[[#All],[Advanced Network/Insurance Carrier Org ID]],100))/D$99,"NA")</f>
        <v>NA</v>
      </c>
      <c r="E101" s="465" t="str">
        <f>IFERROR(ICC7TME[[#This Row],[2024]]/ICC7TME[[#This Row],[2023]]-1,"NA")</f>
        <v>NA</v>
      </c>
    </row>
    <row r="102" spans="2:5" x14ac:dyDescent="0.25">
      <c r="B102" s="79" t="s">
        <v>127</v>
      </c>
      <c r="C102" s="486" t="str">
        <f>IFERROR((SUMIFS(AN_TME_BY[[#All],[Claims: Professional, Primary Care]],AN_TME_BY[[#All],[Insurance Category Code]],7,AN_TME_BY[[#All],[Advanced Network/Insurance Carrier Org ID]],100))/C$99,"NA")</f>
        <v>NA</v>
      </c>
      <c r="D102" s="486" t="str">
        <f>IFERROR((SUMIFS(AN_TME_PY[[#All],[Claims: Professional, Primary Care]],AN_TME_PY[[#All],[Insurance Category Code]],7,AN_TME_PY[[#All],[Advanced Network/Insurance Carrier Org ID]],100))/D$99,"NA")</f>
        <v>NA</v>
      </c>
      <c r="E102" s="465" t="str">
        <f>IFERROR(ICC7TME[[#This Row],[2024]]/ICC7TME[[#This Row],[2023]]-1,"NA")</f>
        <v>NA</v>
      </c>
    </row>
    <row r="103" spans="2:5" x14ac:dyDescent="0.25">
      <c r="B103" s="79" t="s">
        <v>128</v>
      </c>
      <c r="C103" s="486" t="str">
        <f>IFERROR((SUMIFS(AN_TME_BY[[#All],[Claims: Professional, Primary Care (for Monitoring Purposes)]],AN_TME_BY[[#All],[Insurance Category Code]],7,AN_TME_BY[[#All],[Advanced Network/Insurance Carrier Org ID]],100))/C$99,"NA")</f>
        <v>NA</v>
      </c>
      <c r="D103" s="486" t="str">
        <f>IFERROR((SUMIFS(AN_TME_PY[[#All],[Claims: Professional, Primary Care (for Monitoring Purposes)]],AN_TME_PY[[#All],[Insurance Category Code]],7,AN_TME_PY[[#All],[Advanced Network/Insurance Carrier Org ID]],100))/D$99,"NA")</f>
        <v>NA</v>
      </c>
      <c r="E103" s="465" t="str">
        <f>IFERROR(ICC7TME[[#This Row],[2024]]/ICC7TME[[#This Row],[2023]]-1,"NA")</f>
        <v>NA</v>
      </c>
    </row>
    <row r="104" spans="2:5" x14ac:dyDescent="0.25">
      <c r="B104" s="79" t="s">
        <v>129</v>
      </c>
      <c r="C104" s="486" t="str">
        <f>IFERROR((SUMIFS(AN_TME_BY[[#All],[Claims: Professional, Specialty]],AN_TME_BY[[#All],[Insurance Category Code]],7,AN_TME_BY[[#All],[Advanced Network/Insurance Carrier Org ID]],100))/C$99,"NA")</f>
        <v>NA</v>
      </c>
      <c r="D104" s="486" t="str">
        <f>IFERROR((SUMIFS(AN_TME_PY[[#All],[Claims: Professional, Specialty]],AN_TME_PY[[#All],[Insurance Category Code]],7,AN_TME_PY[[#All],[Advanced Network/Insurance Carrier Org ID]],100))/D$99,"NA")</f>
        <v>NA</v>
      </c>
      <c r="E104" s="465" t="str">
        <f>IFERROR(ICC7TME[[#This Row],[2024]]/ICC7TME[[#This Row],[2023]]-1,"NA")</f>
        <v>NA</v>
      </c>
    </row>
    <row r="105" spans="2:5" x14ac:dyDescent="0.25">
      <c r="B105" s="79" t="s">
        <v>130</v>
      </c>
      <c r="C105" s="486" t="str">
        <f>IFERROR((SUMIFS(AN_TME_BY[[#All],[Claims: Professional Other]],AN_TME_BY[[#All],[Insurance Category Code]],7,AN_TME_BY[[#All],[Advanced Network/Insurance Carrier Org ID]],100))/C$99,"NA")</f>
        <v>NA</v>
      </c>
      <c r="D105" s="486" t="str">
        <f>IFERROR((SUMIFS(AN_TME_PY[[#All],[Claims: Professional Other]],AN_TME_PY[[#All],[Insurance Category Code]],7,AN_TME_PY[[#All],[Advanced Network/Insurance Carrier Org ID]],100))/D$99,"NA")</f>
        <v>NA</v>
      </c>
      <c r="E105" s="465" t="str">
        <f>IFERROR(ICC7TME[[#This Row],[2024]]/ICC7TME[[#This Row],[2023]]-1,"NA")</f>
        <v>NA</v>
      </c>
    </row>
    <row r="106" spans="2:5" x14ac:dyDescent="0.25">
      <c r="B106" s="79" t="s">
        <v>306</v>
      </c>
      <c r="C106" s="486" t="str">
        <f>IFERROR((SUMIFS(AN_TME_BY[[#All],[Claims: Pharmacy]],AN_TME_BY[[#All],[Insurance Category Code]],7,AN_TME_BY[[#All],[Advanced Network/Insurance Carrier Org ID]],100))/C$99,"NA")</f>
        <v>NA</v>
      </c>
      <c r="D106" s="486" t="str">
        <f>IFERROR((SUMIFS(AN_TME_PY[[#All],[Claims: Pharmacy]],AN_TME_PY[[#All],[Insurance Category Code]],7,AN_TME_PY[[#All],[Advanced Network/Insurance Carrier Org ID]],100))/D$99,"NA")</f>
        <v>NA</v>
      </c>
      <c r="E106" s="465" t="str">
        <f>IFERROR(ICC7TME[[#This Row],[2024]]/ICC7TME[[#This Row],[2023]]-1,"NA")</f>
        <v>NA</v>
      </c>
    </row>
    <row r="107" spans="2:5" x14ac:dyDescent="0.25">
      <c r="B107" s="118" t="s">
        <v>307</v>
      </c>
      <c r="C107" s="487" t="str">
        <f>IFERROR((SUMIFS(AN_TME_BY[[#All],[Claims: Pharmacy]],AN_TME_BY[[#All],[Insurance Category Code]],7,AN_TME_BY[[#All],[Advanced Network/Insurance Carrier Org ID]],100)-ABS(SUMIF(RX_REBATES_BY[[#All],[Insurance Category Code]],7,RX_REBATES_BY[[#All],[Retail Pharmacy Rebates]])))/D$99,"NA")</f>
        <v>NA</v>
      </c>
      <c r="D107" s="487" t="str">
        <f>IFERROR((SUMIFS(AN_TME_PY[[#All],[Claims: Pharmacy]],AN_TME_PY[[#All],[Insurance Category Code]],7,AN_TME_PY[[#All],[Advanced Network/Insurance Carrier Org ID]],100)-ABS(SUMIF(RX_REBATES_PY[[#All],[Insurance Category Code]],7,RX_REBATES_PY[[#All],[Retail Pharmacy Rebates]])))/E$99,"NA")</f>
        <v>NA</v>
      </c>
      <c r="E107" s="465" t="str">
        <f>IFERROR(ICC7TME[[#This Row],[2024]]/ICC7TME[[#This Row],[2023]]-1,"NA")</f>
        <v>NA</v>
      </c>
    </row>
    <row r="108" spans="2:5" x14ac:dyDescent="0.25">
      <c r="B108" s="118" t="s">
        <v>142</v>
      </c>
      <c r="C108" s="486" t="str">
        <f>IFERROR((-ABS(SUMIF(RX_REBATES_BY[[#All],[Insurance Category Code]],7,RX_REBATES_BY[[#All],[Retail Pharmacy Rebates]])))/D99,"NA")</f>
        <v>NA</v>
      </c>
      <c r="D108" s="486" t="str">
        <f>IFERROR((-ABS(SUMIF(RX_REBATES_PY[[#All],[Insurance Category Code]],7,RX_REBATES_PY[[#All],[Retail Pharmacy Rebates]])))/E99,"NA")</f>
        <v>NA</v>
      </c>
      <c r="E108" s="465" t="str">
        <f>IFERROR(ICC7TME[[#This Row],[2024]]/ICC7TME[[#This Row],[2023]]-1,"NA")</f>
        <v>NA</v>
      </c>
    </row>
    <row r="109" spans="2:5" x14ac:dyDescent="0.25">
      <c r="B109" s="79" t="s">
        <v>133</v>
      </c>
      <c r="C109" s="486" t="str">
        <f>IFERROR((SUMIFS(AN_TME_BY[[#All],[Claims: Long-Term Care]],AN_TME_BY[[#All],[Insurance Category Code]],7,AN_TME_BY[[#All],[Advanced Network/Insurance Carrier Org ID]],100))/C$99,"NA")</f>
        <v>NA</v>
      </c>
      <c r="D109" s="486" t="str">
        <f>IFERROR((SUMIFS(AN_TME_PY[[#All],[Claims: Long-Term Care]],AN_TME_PY[[#All],[Insurance Category Code]],7,AN_TME_PY[[#All],[Advanced Network/Insurance Carrier Org ID]],100))/D$99,"NA")</f>
        <v>NA</v>
      </c>
      <c r="E109" s="465" t="str">
        <f>IFERROR(ICC7TME[[#This Row],[2024]]/ICC7TME[[#This Row],[2023]]-1,"NA")</f>
        <v>NA</v>
      </c>
    </row>
    <row r="110" spans="2:5" x14ac:dyDescent="0.25">
      <c r="B110" s="79" t="s">
        <v>134</v>
      </c>
      <c r="C110" s="486" t="str">
        <f>IFERROR((SUMIFS(AN_TME_BY[[#All],[Claims: Other]],AN_TME_BY[[#All],[Insurance Category Code]],7,AN_TME_BY[[#All],[Advanced Network/Insurance Carrier Org ID]],100))/C$99,"NA")</f>
        <v>NA</v>
      </c>
      <c r="D110" s="486" t="str">
        <f>IFERROR((SUMIFS(AN_TME_PY[[#All],[Claims: Other]],AN_TME_PY[[#All],[Insurance Category Code]],7,AN_TME_PY[[#All],[Advanced Network/Insurance Carrier Org ID]],100))/D$99,"NA")</f>
        <v>NA</v>
      </c>
      <c r="E110" s="465" t="str">
        <f>IFERROR(ICC7TME[[#This Row],[2024]]/ICC7TME[[#This Row],[2023]]-1,"NA")</f>
        <v>NA</v>
      </c>
    </row>
    <row r="111" spans="2:5" x14ac:dyDescent="0.25">
      <c r="B111" s="117" t="s">
        <v>308</v>
      </c>
      <c r="C111" s="488" t="str">
        <f>IFERROR((SUMIFS(AN_TME_BY[[#All],[TOTAL Non-Truncated Unadjusted Claims Expenses]],AN_TME_BY[[#All],[Insurance Category Code]],7,AN_TME_BY[[#All],[Advanced Network/Insurance Carrier Org ID]],100))/C$99,"NA")</f>
        <v>NA</v>
      </c>
      <c r="D111" s="488" t="str">
        <f>IFERROR((SUMIFS(AN_TME_PY[[#All],[TOTAL Non-Truncated Unadjusted Claims Expenses]],AN_TME_PY[[#All],[Insurance Category Code]],7,AN_TME_PY[[#All],[Advanced Network/Insurance Carrier Org ID]],100))/D$99,"NA")</f>
        <v>NA</v>
      </c>
      <c r="E111" s="483" t="str">
        <f>IFERROR(ICC7TME[[#This Row],[2024]]/ICC7TME[[#This Row],[2023]]-1,"NA")</f>
        <v>NA</v>
      </c>
    </row>
    <row r="112" spans="2:5" x14ac:dyDescent="0.25">
      <c r="B112" s="117" t="s">
        <v>309</v>
      </c>
      <c r="C112" s="488" t="str">
        <f>IFERROR((SUMIFS(AN_TME_BY[[#All],[TOTAL Truncated Unadjusted Claims Expenses (A21 -A19)]],AN_TME_BY[[#All],[Insurance Category Code]],7,AN_TME_BY[[#All],[Advanced Network/Insurance Carrier Org ID]],100))/C$99,"NA")</f>
        <v>NA</v>
      </c>
      <c r="D112" s="488" t="str">
        <f>IFERROR((SUMIFS(AN_TME_PY[[#All],[TOTAL Truncated Unadjusted Claims Expenses (A21 -A19)]],AN_TME_PY[[#All],[Insurance Category Code]],7,AN_TME_PY[[#All],[Advanced Network/Insurance Carrier Org ID]],100))/D$99,"NA")</f>
        <v>NA</v>
      </c>
      <c r="E112" s="483" t="str">
        <f>IFERROR(ICC7TME[[#This Row],[2024]]/ICC7TME[[#This Row],[2023]]-1,"NA")</f>
        <v>NA</v>
      </c>
    </row>
    <row r="113" spans="2:5" ht="30" x14ac:dyDescent="0.25">
      <c r="B113" s="79" t="s">
        <v>136</v>
      </c>
      <c r="C113" s="486" t="str">
        <f>IFERROR((SUMIFS(AN_TME_BY[[#All],[Non-Claims: Payments to Support Population Health and Practice Infrastructure]],AN_TME_BY[[#All],[Insurance Category Code]],7,AN_TME_BY[[#All],[Advanced Network/Insurance Carrier Org ID]],100))/C$99,"NA")</f>
        <v>NA</v>
      </c>
      <c r="D113" s="486" t="str">
        <f>IFERROR((SUMIFS(AN_TME_PY[[#All],[Non-Claims: Payments to Support Population Health and Practice Infrastructure]],AN_TME_PY[[#All],[Insurance Category Code]],7,AN_TME_PY[[#All],[Advanced Network/Insurance Carrier Org ID]],100))/D$99,"NA")</f>
        <v>NA</v>
      </c>
      <c r="E113" s="465" t="str">
        <f>IFERROR(ICC7TME[[#This Row],[2024]]/ICC7TME[[#This Row],[2023]]-1,"NA")</f>
        <v>NA</v>
      </c>
    </row>
    <row r="114" spans="2:5" x14ac:dyDescent="0.25">
      <c r="B114" s="79" t="s">
        <v>213</v>
      </c>
      <c r="C114" s="486" t="str">
        <f>IFERROR((SUMIFS(AN_TME_BY[[#All],[Non-Claims: Performance Payments]],AN_TME_BY[[#All],[Insurance Category Code]],7,AN_TME_BY[[#All],[Advanced Network/Insurance Carrier Org ID]],100))/C$99,"NA")</f>
        <v>NA</v>
      </c>
      <c r="D114" s="486" t="str">
        <f>IFERROR((SUMIFS(AN_TME_PY[[#All],[Non-Claims: Performance Payments]],AN_TME_PY[[#All],[Insurance Category Code]],7,AN_TME_PY[[#All],[Advanced Network/Insurance Carrier Org ID]],100))/D$99,"NA")</f>
        <v>NA</v>
      </c>
      <c r="E114" s="465" t="str">
        <f>IFERROR(ICC7TME[[#This Row],[2024]]/ICC7TME[[#This Row],[2023]]-1,"NA")</f>
        <v>NA</v>
      </c>
    </row>
    <row r="115" spans="2:5" x14ac:dyDescent="0.25">
      <c r="B115" s="79" t="s">
        <v>214</v>
      </c>
      <c r="C115" s="486" t="str">
        <f>IFERROR((SUMIFS(AN_TME_BY[[#All],[Non-Claims: Shared Savings and Shared Risk Settlements]],AN_TME_BY[[#All],[Insurance Category Code]],7,AN_TME_BY[[#All],[Advanced Network/Insurance Carrier Org ID]],100))/C$99,"NA")</f>
        <v>NA</v>
      </c>
      <c r="D115" s="486" t="str">
        <f>IFERROR((SUMIFS(AN_TME_PY[[#All],[Non-Claims: Shared Savings and Shared Risk Settlements]],AN_TME_PY[[#All],[Insurance Category Code]],7,AN_TME_PY[[#All],[Advanced Network/Insurance Carrier Org ID]],100))/D$99,"NA")</f>
        <v>NA</v>
      </c>
      <c r="E115" s="465" t="str">
        <f>IFERROR(ICC7TME[[#This Row],[2024]]/ICC7TME[[#This Row],[2023]]-1,"NA")</f>
        <v>NA</v>
      </c>
    </row>
    <row r="116" spans="2:5" x14ac:dyDescent="0.25">
      <c r="B116" s="79" t="s">
        <v>215</v>
      </c>
      <c r="C116" s="486" t="str">
        <f>IFERROR((SUMIFS(AN_TME_BY[[#All],[Non-Claims: Capitation and Full Risk Payments]],AN_TME_BY[[#All],[Insurance Category Code]],7,AN_TME_BY[[#All],[Advanced Network/Insurance Carrier Org ID]],100))/C$99,"NA")</f>
        <v>NA</v>
      </c>
      <c r="D116" s="486" t="str">
        <f>IFERROR((SUMIFS(AN_TME_PY[[#All],[Non-Claims: Capitation and Full Risk Payments]],AN_TME_PY[[#All],[Insurance Category Code]],7,AN_TME_PY[[#All],[Advanced Network/Insurance Carrier Org ID]],100))/D$99,"NA")</f>
        <v>NA</v>
      </c>
      <c r="E116" s="465" t="str">
        <f>IFERROR(ICC7TME[[#This Row],[2024]]/ICC7TME[[#This Row],[2023]]-1,"NA")</f>
        <v>NA</v>
      </c>
    </row>
    <row r="117" spans="2:5" x14ac:dyDescent="0.25">
      <c r="B117" s="79" t="s">
        <v>137</v>
      </c>
      <c r="C117" s="486" t="str">
        <f>IFERROR((SUMIFS(AN_TME_BY[[#All],[Non-Claims: Other]],AN_TME_BY[[#All],[Insurance Category Code]],7,AN_TME_BY[[#All],[Advanced Network/Insurance Carrier Org ID]],100))/C$99,"NA")</f>
        <v>NA</v>
      </c>
      <c r="D117" s="486" t="str">
        <f>IFERROR((SUMIFS(AN_TME_PY[[#All],[Non-Claims: Other]],AN_TME_PY[[#All],[Insurance Category Code]],7,AN_TME_PY[[#All],[Advanced Network/Insurance Carrier Org ID]],100))/D$99,"NA")</f>
        <v>NA</v>
      </c>
      <c r="E117" s="465" t="str">
        <f>IFERROR(ICC7TME[[#This Row],[2024]]/ICC7TME[[#This Row],[2023]]-1,"NA")</f>
        <v>NA</v>
      </c>
    </row>
    <row r="118" spans="2:5" x14ac:dyDescent="0.25">
      <c r="B118" s="79" t="s">
        <v>138</v>
      </c>
      <c r="C118" s="486" t="str">
        <f>IFERROR((SUMIFS(AN_TME_BY[[#All],[Non-Claims: Total Primary Care Non-Claims-Based Payments]],AN_TME_BY[[#All],[Insurance Category Code]],7,AN_TME_BY[[#All],[Advanced Network/Insurance Carrier Org ID]],100))/C$99,"NA")</f>
        <v>NA</v>
      </c>
      <c r="D118" s="486" t="str">
        <f>IFERROR((SUMIFS(AN_TME_PY[[#All],[Non-Claims: Total Primary Care Non-Claims-Based Payments]],AN_TME_PY[[#All],[Insurance Category Code]],7,AN_TME_PY[[#All],[Advanced Network/Insurance Carrier Org ID]],100))/D$99,"NA")</f>
        <v>NA</v>
      </c>
      <c r="E118" s="465" t="str">
        <f>IFERROR(ICC7TME[[#This Row],[2024]]/ICC7TME[[#This Row],[2023]]-1,"NA")</f>
        <v>NA</v>
      </c>
    </row>
    <row r="119" spans="2:5" x14ac:dyDescent="0.25">
      <c r="B119" s="117" t="s">
        <v>310</v>
      </c>
      <c r="C119" s="488" t="str">
        <f>IFERROR((SUMIFS(AN_TME_BY[[#All],[TOTAL Non-Claims Expenses]],AN_TME_BY[[#All],[Insurance Category Code]],7,AN_TME_BY[[#All],[Advanced Network/Insurance Carrier Org ID]],100))/C$99,"NA")</f>
        <v>NA</v>
      </c>
      <c r="D119" s="488" t="str">
        <f>IFERROR((SUMIFS(AN_TME_PY[[#All],[TOTAL Non-Claims Expenses]],AN_TME_PY[[#All],[Insurance Category Code]],7,AN_TME_PY[[#All],[Advanced Network/Insurance Carrier Org ID]],100))/D$99,"NA")</f>
        <v>NA</v>
      </c>
      <c r="E119" s="483" t="str">
        <f>IFERROR(ICC7TME[[#This Row],[2024]]/ICC7TME[[#This Row],[2023]]-1,"NA")</f>
        <v>NA</v>
      </c>
    </row>
    <row r="120" spans="2:5" x14ac:dyDescent="0.25">
      <c r="B120" s="119" t="s">
        <v>311</v>
      </c>
      <c r="C120" s="489" t="str">
        <f>IFERROR((SUMIFS(AN_TME_BY[[#All],[TOTAL Non-Truncated Unadjusted Expenses (A21 + A23)]],AN_TME_BY[[#All],[Insurance Category Code]],7,AN_TME_BY[[#All],[Advanced Network/Insurance Carrier Org ID]],100))/D$99,"NA")</f>
        <v>NA</v>
      </c>
      <c r="D120" s="489" t="str">
        <f>IFERROR((SUMIFS(AN_TME_PY[[#All],[TOTAL Non-Truncated Unadjusted Expenses (A21 + A23)]],AN_TME_PY[[#All],[Insurance Category Code]],7,AN_TME_PY[[#All],[Advanced Network/Insurance Carrier Org ID]],100))/E$99,"NA")</f>
        <v>NA</v>
      </c>
      <c r="E120" s="484" t="str">
        <f>IFERROR(ICC7TME[[#This Row],[2024]]/ICC7TME[[#This Row],[2023]]-1,"NA")</f>
        <v>NA</v>
      </c>
    </row>
    <row r="121" spans="2:5" x14ac:dyDescent="0.25">
      <c r="B121" s="119" t="s">
        <v>312</v>
      </c>
      <c r="C121" s="490" t="str">
        <f>IFERROR((SUMIFS(AN_TME_BY[[#All],[TOTAL Non-Truncated Unadjusted Expenses (A21 + A23)]],AN_TME_BY[[#All],[Insurance Category Code]],7,AN_TME_BY[[#All],[Advanced Network/Insurance Carrier Org ID]],100)-ABS(SUMIF(RX_REBATES_BY[[#All],[Insurance Category Code]],7,RX_REBATES_BY[[#All],[Total Pharmacy Rebates]])))/D$99,"NA")</f>
        <v>NA</v>
      </c>
      <c r="D121" s="490" t="str">
        <f>IFERROR((SUMIFS(AN_TME_PY[[#All],[TOTAL Non-Truncated Unadjusted Expenses (A21 + A23)]],AN_TME_PY[[#All],[Insurance Category Code]],7,AN_TME_PY[[#All],[Advanced Network/Insurance Carrier Org ID]],100)-ABS(SUMIF(RX_REBATES_PY[[#All],[Insurance Category Code]],7,RX_REBATES_PY[[#All],[Total Pharmacy Rebates]])))/E$99,"NA")</f>
        <v>NA</v>
      </c>
      <c r="E121" s="484" t="str">
        <f>IFERROR(ICC7TME[[#This Row],[2024]]/ICC7TME[[#This Row],[2023]]-1,"NA")</f>
        <v>NA</v>
      </c>
    </row>
    <row r="122" spans="2:5" x14ac:dyDescent="0.25">
      <c r="B122" s="119" t="s">
        <v>313</v>
      </c>
      <c r="C122" s="489" t="str">
        <f>IFERROR((SUMIFS(AN_TME_BY[[#All],[TOTAL Truncated Unadjusted Expenses (A22 + A23)]],AN_TME_BY[[#All],[Insurance Category Code]],7,AN_TME_BY[[#All],[Advanced Network/Insurance Carrier Org ID]],100))/D99,"NA")</f>
        <v>NA</v>
      </c>
      <c r="D122" s="489" t="str">
        <f>IFERROR((SUMIFS(AN_TME_PY[[#All],[TOTAL Truncated Unadjusted Expenses (A22 + A23)]],AN_TME_PY[[#All],[Insurance Category Code]],7,AN_TME_PY[[#All],[Advanced Network/Insurance Carrier Org ID]],100))/E99,"NA")</f>
        <v>NA</v>
      </c>
      <c r="E122" s="484" t="str">
        <f>IFERROR(ICC7TME[[#This Row],[2024]]/ICC7TME[[#This Row],[2023]]-1,"NA")</f>
        <v>NA</v>
      </c>
    </row>
    <row r="123" spans="2:5" x14ac:dyDescent="0.25">
      <c r="B123" s="120" t="s">
        <v>314</v>
      </c>
      <c r="C123" s="491" t="str">
        <f>IFERROR((SUMIFS(AN_TME_BY[[#All],[TOTAL Truncated Unadjusted Expenses (A22 + A23)]],AN_TME_BY[[#All],[Insurance Category Code]],7,AN_TME_BY[[#All],[Advanced Network/Insurance Carrier Org ID]],100)-ABS(SUMIF(RX_REBATES_BY[[#All],[Insurance Category Code]],7,RX_REBATES_BY[[#All],[Total Pharmacy Rebates]])))/D99,"NA")</f>
        <v>NA</v>
      </c>
      <c r="D123" s="491" t="str">
        <f>IFERROR((SUMIFS(AN_TME_PY[[#All],[TOTAL Truncated Unadjusted Expenses (A22 + A23)]],AN_TME_PY[[#All],[Insurance Category Code]],7,AN_TME_PY[[#All],[Advanced Network/Insurance Carrier Org ID]],100)-ABS(SUMIF(RX_REBATES_PY[[#All],[Insurance Category Code]],7,RX_REBATES_PY[[#All],[Total Pharmacy Rebates]])))/E99,"NA")</f>
        <v>NA</v>
      </c>
      <c r="E123" s="484" t="str">
        <f>IFERROR(ICC7TME[[#This Row],[2024]]/ICC7TME[[#This Row],[2023]]-1,"NA")</f>
        <v>NA</v>
      </c>
    </row>
  </sheetData>
  <sheetProtection algorithmName="SHA-512" hashValue="qBWmYjghNVD3nnfjmY9mn8M61Z7rgmkEGM1iim+EvGiP8rYNom/mjINoHGQxO5/SIEZBN8XwcCWrz1ro2jT1KQ==" saltValue="0YANcVPElPe2EhlRuyW90w==" spinCount="100000" sheet="1" objects="1" scenarios="1"/>
  <mergeCells count="1">
    <mergeCell ref="B3:J3"/>
  </mergeCells>
  <phoneticPr fontId="21" type="noConversion"/>
  <pageMargins left="0.7" right="0.7" top="0.75" bottom="0.75" header="0.3" footer="0.3"/>
  <pageSetup scale="16" fitToWidth="0" fitToHeight="0" orientation="portrait" horizontalDpi="1200" verticalDpi="1200"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EECF4-198C-4C2A-8307-CB14BC410914}">
  <sheetPr codeName="Sheet19">
    <tabColor rgb="FFF79646"/>
  </sheetPr>
  <dimension ref="A2:AV290"/>
  <sheetViews>
    <sheetView zoomScale="80" zoomScaleNormal="80" workbookViewId="0"/>
  </sheetViews>
  <sheetFormatPr defaultRowHeight="15" x14ac:dyDescent="0.25"/>
  <cols>
    <col min="1" max="1" width="3.85546875" customWidth="1"/>
    <col min="2" max="2" width="9" customWidth="1"/>
    <col min="3" max="3" width="52.140625" style="18" customWidth="1"/>
    <col min="4" max="48" width="30.42578125" customWidth="1"/>
  </cols>
  <sheetData>
    <row r="2" spans="2:48" ht="18.75" x14ac:dyDescent="0.3">
      <c r="B2" s="156" t="s">
        <v>319</v>
      </c>
    </row>
    <row r="3" spans="2:48" ht="15.75" x14ac:dyDescent="0.25">
      <c r="B3" s="453" t="s">
        <v>320</v>
      </c>
      <c r="C3" s="452"/>
    </row>
    <row r="5" spans="2:48" ht="16.5" thickBot="1" x14ac:dyDescent="0.3">
      <c r="B5" s="53" t="s">
        <v>321</v>
      </c>
      <c r="C5" s="464"/>
    </row>
    <row r="6" spans="2:48" x14ac:dyDescent="0.25">
      <c r="B6" s="613" t="s">
        <v>322</v>
      </c>
      <c r="C6" s="614"/>
      <c r="D6" s="606">
        <v>2023</v>
      </c>
      <c r="E6" s="606"/>
      <c r="F6" s="606"/>
      <c r="G6" s="606"/>
      <c r="H6" s="606"/>
      <c r="I6" s="606"/>
      <c r="J6" s="606"/>
      <c r="K6" s="606"/>
      <c r="L6" s="606"/>
      <c r="M6" s="606"/>
      <c r="N6" s="606"/>
      <c r="O6" s="606"/>
      <c r="P6" s="606"/>
      <c r="Q6" s="606"/>
      <c r="R6" s="606"/>
      <c r="S6" s="605">
        <v>2024</v>
      </c>
      <c r="T6" s="606"/>
      <c r="U6" s="606"/>
      <c r="V6" s="606"/>
      <c r="W6" s="606"/>
      <c r="X6" s="606"/>
      <c r="Y6" s="606"/>
      <c r="Z6" s="606"/>
      <c r="AA6" s="606"/>
      <c r="AB6" s="606"/>
      <c r="AC6" s="606"/>
      <c r="AD6" s="606"/>
      <c r="AE6" s="606"/>
      <c r="AF6" s="606"/>
      <c r="AG6" s="607"/>
      <c r="AH6" s="580" t="s">
        <v>292</v>
      </c>
      <c r="AI6" s="581"/>
      <c r="AJ6" s="582"/>
      <c r="AK6" s="582"/>
      <c r="AL6" s="582"/>
      <c r="AM6" s="582"/>
      <c r="AN6" s="582"/>
      <c r="AO6" s="582"/>
      <c r="AP6" s="582"/>
      <c r="AQ6" s="582"/>
      <c r="AR6" s="583"/>
      <c r="AS6" s="583"/>
      <c r="AT6" s="583"/>
      <c r="AU6" s="583"/>
      <c r="AV6" s="584"/>
    </row>
    <row r="7" spans="2:48" ht="30" x14ac:dyDescent="0.25">
      <c r="B7" s="64" t="s">
        <v>323</v>
      </c>
      <c r="C7" s="65" t="s">
        <v>324</v>
      </c>
      <c r="D7" s="125" t="s">
        <v>212</v>
      </c>
      <c r="E7" s="125" t="s">
        <v>124</v>
      </c>
      <c r="F7" s="62" t="s">
        <v>125</v>
      </c>
      <c r="G7" s="62" t="s">
        <v>127</v>
      </c>
      <c r="H7" s="62" t="s">
        <v>325</v>
      </c>
      <c r="I7" s="62" t="s">
        <v>129</v>
      </c>
      <c r="J7" s="62" t="s">
        <v>130</v>
      </c>
      <c r="K7" s="62" t="s">
        <v>326</v>
      </c>
      <c r="L7" s="62" t="s">
        <v>327</v>
      </c>
      <c r="M7" s="62" t="s">
        <v>134</v>
      </c>
      <c r="N7" s="131" t="s">
        <v>328</v>
      </c>
      <c r="O7" s="131" t="s">
        <v>329</v>
      </c>
      <c r="P7" s="131" t="s">
        <v>218</v>
      </c>
      <c r="Q7" s="131" t="s">
        <v>330</v>
      </c>
      <c r="R7" s="131" t="s">
        <v>331</v>
      </c>
      <c r="S7" s="64" t="s">
        <v>212</v>
      </c>
      <c r="T7" s="125" t="s">
        <v>124</v>
      </c>
      <c r="U7" s="62" t="s">
        <v>125</v>
      </c>
      <c r="V7" s="62" t="s">
        <v>127</v>
      </c>
      <c r="W7" s="62" t="s">
        <v>325</v>
      </c>
      <c r="X7" s="62" t="s">
        <v>129</v>
      </c>
      <c r="Y7" s="62" t="s">
        <v>130</v>
      </c>
      <c r="Z7" s="62" t="s">
        <v>326</v>
      </c>
      <c r="AA7" s="62" t="s">
        <v>327</v>
      </c>
      <c r="AB7" s="62" t="s">
        <v>134</v>
      </c>
      <c r="AC7" s="131" t="s">
        <v>328</v>
      </c>
      <c r="AD7" s="131" t="s">
        <v>329</v>
      </c>
      <c r="AE7" s="131" t="s">
        <v>218</v>
      </c>
      <c r="AF7" s="131" t="s">
        <v>330</v>
      </c>
      <c r="AG7" s="65" t="s">
        <v>331</v>
      </c>
      <c r="AH7" s="125" t="s">
        <v>212</v>
      </c>
      <c r="AI7" s="125" t="s">
        <v>124</v>
      </c>
      <c r="AJ7" s="62" t="s">
        <v>125</v>
      </c>
      <c r="AK7" s="62" t="s">
        <v>127</v>
      </c>
      <c r="AL7" s="62" t="s">
        <v>325</v>
      </c>
      <c r="AM7" s="62" t="s">
        <v>129</v>
      </c>
      <c r="AN7" s="62" t="s">
        <v>130</v>
      </c>
      <c r="AO7" s="62" t="s">
        <v>326</v>
      </c>
      <c r="AP7" s="62" t="s">
        <v>327</v>
      </c>
      <c r="AQ7" s="62" t="s">
        <v>134</v>
      </c>
      <c r="AR7" s="131" t="s">
        <v>328</v>
      </c>
      <c r="AS7" s="131" t="s">
        <v>329</v>
      </c>
      <c r="AT7" s="131" t="s">
        <v>218</v>
      </c>
      <c r="AU7" s="131" t="s">
        <v>330</v>
      </c>
      <c r="AV7" s="65" t="s">
        <v>331</v>
      </c>
    </row>
    <row r="8" spans="2:48" ht="30" x14ac:dyDescent="0.25">
      <c r="B8" s="148">
        <v>101</v>
      </c>
      <c r="C8" s="151" t="str">
        <f>_xlfn.XLOOKUP(B8, LgProvEntOrgIDs[Advanced Network/Insurer Carrier Org ID], LgProvEntOrgIDs[Advanced Network/Insurance Carrier Overall])</f>
        <v>Privia Quality Network of Connecticut (PQN CT) (formerly Community Medical Group)</v>
      </c>
      <c r="D8" s="448">
        <f t="shared" ref="D8:D38" si="0">D49+D90</f>
        <v>0</v>
      </c>
      <c r="E8" s="137" t="str">
        <f t="shared" ref="E8:E38" si="1">IF(D8=0,"NA",(SUMPRODUCT(E49,D49)+SUMPRODUCT(E90,D90))/D8)</f>
        <v>NA</v>
      </c>
      <c r="F8" s="137" t="str">
        <f t="shared" ref="F8:F38" si="2">IF(D8=0,"NA",(SUMPRODUCT(F49,D49)+SUMPRODUCT(F90,D90))/D8)</f>
        <v>NA</v>
      </c>
      <c r="G8" s="137" t="str">
        <f t="shared" ref="G8:G38" si="3">IF(D8=0,"NA",(SUMPRODUCT(G49,D49)+SUMPRODUCT(G90,D90))/D8)</f>
        <v>NA</v>
      </c>
      <c r="H8" s="137" t="str">
        <f t="shared" ref="H8:H38" si="4">IF(D8=0,"NA",(SUMPRODUCT(H49,D49)+SUMPRODUCT(H90,D90))/D8)</f>
        <v>NA</v>
      </c>
      <c r="I8" s="137" t="str">
        <f t="shared" ref="I8:I38" si="5">IF(D8=0,"NA",(SUMPRODUCT(I49,D49)+SUMPRODUCT(I90,D90))/D8)</f>
        <v>NA</v>
      </c>
      <c r="J8" s="137" t="str">
        <f t="shared" ref="J8:J38" si="6">IF(D8=0,"NA",(SUMPRODUCT(J49,D49)+SUMPRODUCT(J90,D90))/D8)</f>
        <v>NA</v>
      </c>
      <c r="K8" s="137" t="str">
        <f t="shared" ref="K8:K38" si="7">IF(D8=0,"NA",(SUMPRODUCT(K49,D49)+SUMPRODUCT(K90,D90))/D8)</f>
        <v>NA</v>
      </c>
      <c r="L8" s="137" t="str">
        <f t="shared" ref="L8:L38" si="8">IF(D8=0,"NA",(SUMPRODUCT(L49,D49)+SUMPRODUCT(L90,D90))/D8)</f>
        <v>NA</v>
      </c>
      <c r="M8" s="137" t="str">
        <f t="shared" ref="M8:M38" si="9">IF(D8=0,"NA",(SUMPRODUCT(M49,D49)+SUMPRODUCT(M90,D90))/D8)</f>
        <v>NA</v>
      </c>
      <c r="N8" s="137" t="str">
        <f t="shared" ref="N8:N38" si="10">IF(D8=0,"NA",(SUMPRODUCT(N49,D49)+SUMPRODUCT(N90,D90))/D8)</f>
        <v>NA</v>
      </c>
      <c r="O8" s="137" t="str">
        <f t="shared" ref="O8:O38" si="11">IF(D8=0,"NA",(SUMPRODUCT(O49,D49)+SUMPRODUCT(O90,D90))/D8)</f>
        <v>NA</v>
      </c>
      <c r="P8" s="137" t="str">
        <f t="shared" ref="P8:P38" si="12">IF(D8=0,"NA",(SUMPRODUCT(P49,D49)+SUMPRODUCT(P90,D90))/D8)</f>
        <v>NA</v>
      </c>
      <c r="Q8" s="137" t="str">
        <f t="shared" ref="Q8:Q38" si="13">IF(D8=0,"NA",(SUMPRODUCT(Q49,D49)+SUMPRODUCT(Q90,D90))/D8)</f>
        <v>NA</v>
      </c>
      <c r="R8" s="147" t="str">
        <f t="shared" ref="R8:R38" si="14">IF(D8=0,"NA",(SUMPRODUCT(R49,D49)+SUMPRODUCT(R90,D90))/D8)</f>
        <v>NA</v>
      </c>
      <c r="S8" s="448">
        <f t="shared" ref="S8:S38" si="15">S49+S90</f>
        <v>0</v>
      </c>
      <c r="T8" s="137" t="str">
        <f t="shared" ref="T8:T38" si="16">IF(S8=0,"NA",(SUMPRODUCT(T49,S49)+SUMPRODUCT(T90,S90))/S8)</f>
        <v>NA</v>
      </c>
      <c r="U8" s="137" t="str">
        <f t="shared" ref="U8:U38" si="17">IF(S8=0,"NA",(SUMPRODUCT(U49,S49)+SUMPRODUCT(U90,S90))/S8)</f>
        <v>NA</v>
      </c>
      <c r="V8" s="137" t="str">
        <f t="shared" ref="V8:V38" si="18">IF(S8=0,"NA",(SUMPRODUCT(V49,S49)+SUMPRODUCT(V90,S90))/S8)</f>
        <v>NA</v>
      </c>
      <c r="W8" s="137" t="str">
        <f t="shared" ref="W8:W38" si="19">IF(S8=0,"NA",(SUMPRODUCT(W49,S49)+SUMPRODUCT(W90,S90))/S8)</f>
        <v>NA</v>
      </c>
      <c r="X8" s="137" t="str">
        <f t="shared" ref="X8:X38" si="20">IF(S8=0,"NA",(SUMPRODUCT(X49,S49)+SUMPRODUCT(X90,S90))/S8)</f>
        <v>NA</v>
      </c>
      <c r="Y8" s="137" t="str">
        <f t="shared" ref="Y8:Y38" si="21">IF(S8=0,"NA",(SUMPRODUCT(Y49,S49)+SUMPRODUCT(Y90,S90))/S8)</f>
        <v>NA</v>
      </c>
      <c r="Z8" s="137" t="str">
        <f t="shared" ref="Z8:Z38" si="22">IF(S8=0,"NA",(SUMPRODUCT(Z49,S49)+SUMPRODUCT(Z90,S90))/S8)</f>
        <v>NA</v>
      </c>
      <c r="AA8" s="137" t="str">
        <f t="shared" ref="AA8:AA38" si="23">IF(S8=0,"NA",(SUMPRODUCT(AA49,S49)+SUMPRODUCT(AA90,S90))/S8)</f>
        <v>NA</v>
      </c>
      <c r="AB8" s="137" t="str">
        <f t="shared" ref="AB8:AB38" si="24">IF(S8=0,"NA",(SUMPRODUCT(AB49,S49)+SUMPRODUCT(AB90,S90))/S8)</f>
        <v>NA</v>
      </c>
      <c r="AC8" s="137" t="str">
        <f t="shared" ref="AC8:AC38" si="25">IF(S8=0,"NA",(SUMPRODUCT(AC49,S49)+SUMPRODUCT(AC90,S90))/S8)</f>
        <v>NA</v>
      </c>
      <c r="AD8" s="137" t="str">
        <f t="shared" ref="AD8:AD38" si="26">IF(S8=0,"NA",(SUMPRODUCT(AD49,S49)+SUMPRODUCT(AD90,S90))/S8)</f>
        <v>NA</v>
      </c>
      <c r="AE8" s="137" t="str">
        <f t="shared" ref="AE8:AE38" si="27">IF(S8=0,"NA",(SUMPRODUCT(AE49,S49)+SUMPRODUCT(AE90,S90))/S8)</f>
        <v>NA</v>
      </c>
      <c r="AF8" s="137" t="str">
        <f t="shared" ref="AF8:AF38" si="28">IF(S8=0,"NA",(SUMPRODUCT(AF49,S49)+SUMPRODUCT(AF90,S90))/S8)</f>
        <v>NA</v>
      </c>
      <c r="AG8" s="138" t="str">
        <f t="shared" ref="AG8:AG38" si="29">IF(S8=0,"NA",(SUMPRODUCT(AG49,S49)+SUMPRODUCT(AG90,S90))/S8)</f>
        <v>NA</v>
      </c>
      <c r="AH8" s="419" t="str">
        <f>IF(D8=0,"NA",S8/D8-1)</f>
        <v>NA</v>
      </c>
      <c r="AI8" s="420" t="str">
        <f>IF(D8=0,"NA",T8/E8-1)</f>
        <v>NA</v>
      </c>
      <c r="AJ8" s="421" t="str">
        <f>IF(D8=0,"NA",U8/F8-1)</f>
        <v>NA</v>
      </c>
      <c r="AK8" s="421" t="str">
        <f>IF(D8=0,"NA",V8/G8-1)</f>
        <v>NA</v>
      </c>
      <c r="AL8" s="421" t="str">
        <f>IF(D8=0,"NA",W8/H8-1)</f>
        <v>NA</v>
      </c>
      <c r="AM8" s="421" t="str">
        <f>IF(D8=0,"NA",X8/I8-1)</f>
        <v>NA</v>
      </c>
      <c r="AN8" s="421" t="str">
        <f>IF(D8=0,"NA",Y8/J8-1)</f>
        <v>NA</v>
      </c>
      <c r="AO8" s="421" t="str">
        <f>IF(D8=0,"NA",Z8/K8-1)</f>
        <v>NA</v>
      </c>
      <c r="AP8" s="421" t="str">
        <f>IF(D8=0,"NA",AA8/L8-1)</f>
        <v>NA</v>
      </c>
      <c r="AQ8" s="421" t="str">
        <f>IF(D8=0,"NA",AB8/M8-1)</f>
        <v>NA</v>
      </c>
      <c r="AR8" s="422" t="str">
        <f>IF(D8=0,"NA",AC8/N8-1)</f>
        <v>NA</v>
      </c>
      <c r="AS8" s="422" t="str">
        <f>IF(D8=0,"NA",AD8/O8-1)</f>
        <v>NA</v>
      </c>
      <c r="AT8" s="422" t="str">
        <f>IF(D8=0,"NA",AE8/P8-1)</f>
        <v>NA</v>
      </c>
      <c r="AU8" s="422" t="str">
        <f>IF(D8=0,"NA",AF8/Q8-1)</f>
        <v>NA</v>
      </c>
      <c r="AV8" s="423" t="str">
        <f>IF(D8=0,"NA",AG8/R8-1)</f>
        <v>NA</v>
      </c>
    </row>
    <row r="9" spans="2:48" x14ac:dyDescent="0.25">
      <c r="B9" s="148">
        <v>102</v>
      </c>
      <c r="C9" s="151" t="str">
        <f>_xlfn.XLOOKUP(B9, LgProvEntOrgIDs[Advanced Network/Insurer Carrier Org ID], LgProvEntOrgIDs[Advanced Network/Insurance Carrier Overall])</f>
        <v>Connecticut Children's Care Network</v>
      </c>
      <c r="D9" s="448">
        <f t="shared" si="0"/>
        <v>0</v>
      </c>
      <c r="E9" s="137" t="str">
        <f t="shared" si="1"/>
        <v>NA</v>
      </c>
      <c r="F9" s="137" t="str">
        <f t="shared" si="2"/>
        <v>NA</v>
      </c>
      <c r="G9" s="137" t="str">
        <f t="shared" si="3"/>
        <v>NA</v>
      </c>
      <c r="H9" s="137" t="str">
        <f t="shared" si="4"/>
        <v>NA</v>
      </c>
      <c r="I9" s="137" t="str">
        <f t="shared" si="5"/>
        <v>NA</v>
      </c>
      <c r="J9" s="137" t="str">
        <f t="shared" si="6"/>
        <v>NA</v>
      </c>
      <c r="K9" s="137" t="str">
        <f t="shared" si="7"/>
        <v>NA</v>
      </c>
      <c r="L9" s="137" t="str">
        <f t="shared" si="8"/>
        <v>NA</v>
      </c>
      <c r="M9" s="137" t="str">
        <f t="shared" si="9"/>
        <v>NA</v>
      </c>
      <c r="N9" s="137" t="str">
        <f t="shared" si="10"/>
        <v>NA</v>
      </c>
      <c r="O9" s="137" t="str">
        <f t="shared" si="11"/>
        <v>NA</v>
      </c>
      <c r="P9" s="137" t="str">
        <f t="shared" si="12"/>
        <v>NA</v>
      </c>
      <c r="Q9" s="137" t="str">
        <f t="shared" si="13"/>
        <v>NA</v>
      </c>
      <c r="R9" s="147" t="str">
        <f t="shared" si="14"/>
        <v>NA</v>
      </c>
      <c r="S9" s="448">
        <f t="shared" si="15"/>
        <v>0</v>
      </c>
      <c r="T9" s="137" t="str">
        <f t="shared" si="16"/>
        <v>NA</v>
      </c>
      <c r="U9" s="137" t="str">
        <f t="shared" si="17"/>
        <v>NA</v>
      </c>
      <c r="V9" s="137" t="str">
        <f t="shared" si="18"/>
        <v>NA</v>
      </c>
      <c r="W9" s="137" t="str">
        <f t="shared" si="19"/>
        <v>NA</v>
      </c>
      <c r="X9" s="137" t="str">
        <f t="shared" si="20"/>
        <v>NA</v>
      </c>
      <c r="Y9" s="137" t="str">
        <f t="shared" si="21"/>
        <v>NA</v>
      </c>
      <c r="Z9" s="137" t="str">
        <f t="shared" si="22"/>
        <v>NA</v>
      </c>
      <c r="AA9" s="137" t="str">
        <f t="shared" si="23"/>
        <v>NA</v>
      </c>
      <c r="AB9" s="137" t="str">
        <f t="shared" si="24"/>
        <v>NA</v>
      </c>
      <c r="AC9" s="137" t="str">
        <f t="shared" si="25"/>
        <v>NA</v>
      </c>
      <c r="AD9" s="137" t="str">
        <f t="shared" si="26"/>
        <v>NA</v>
      </c>
      <c r="AE9" s="137" t="str">
        <f t="shared" si="27"/>
        <v>NA</v>
      </c>
      <c r="AF9" s="137" t="str">
        <f t="shared" si="28"/>
        <v>NA</v>
      </c>
      <c r="AG9" s="138" t="str">
        <f t="shared" si="29"/>
        <v>NA</v>
      </c>
      <c r="AH9" s="419" t="str">
        <f t="shared" ref="AH9:AH17" si="30">IF(D9=0,"NA",S9/D9-1)</f>
        <v>NA</v>
      </c>
      <c r="AI9" s="420" t="str">
        <f t="shared" ref="AI9:AI17" si="31">IF(D9=0,"NA",T9/E9-1)</f>
        <v>NA</v>
      </c>
      <c r="AJ9" s="421" t="str">
        <f t="shared" ref="AJ9:AJ17" si="32">IF(D9=0,"NA",U9/F9-1)</f>
        <v>NA</v>
      </c>
      <c r="AK9" s="421" t="str">
        <f t="shared" ref="AK9:AK17" si="33">IF(D9=0,"NA",V9/G9-1)</f>
        <v>NA</v>
      </c>
      <c r="AL9" s="421" t="str">
        <f t="shared" ref="AL9:AL17" si="34">IF(D9=0,"NA",W9/H9-1)</f>
        <v>NA</v>
      </c>
      <c r="AM9" s="421" t="str">
        <f t="shared" ref="AM9:AM17" si="35">IF(D9=0,"NA",X9/I9-1)</f>
        <v>NA</v>
      </c>
      <c r="AN9" s="421" t="str">
        <f t="shared" ref="AN9:AN17" si="36">IF(D9=0,"NA",Y9/J9-1)</f>
        <v>NA</v>
      </c>
      <c r="AO9" s="421" t="str">
        <f t="shared" ref="AO9:AO17" si="37">IF(D9=0,"NA",Z9/K9-1)</f>
        <v>NA</v>
      </c>
      <c r="AP9" s="421" t="str">
        <f t="shared" ref="AP9:AP17" si="38">IF(D9=0,"NA",AA9/L9-1)</f>
        <v>NA</v>
      </c>
      <c r="AQ9" s="421" t="str">
        <f t="shared" ref="AQ9:AQ17" si="39">IF(D9=0,"NA",AB9/M9-1)</f>
        <v>NA</v>
      </c>
      <c r="AR9" s="422" t="str">
        <f t="shared" ref="AR9:AR17" si="40">IF(D9=0,"NA",AC9/N9-1)</f>
        <v>NA</v>
      </c>
      <c r="AS9" s="422" t="str">
        <f t="shared" ref="AS9:AS17" si="41">IF(D9=0,"NA",AD9/O9-1)</f>
        <v>NA</v>
      </c>
      <c r="AT9" s="422" t="str">
        <f t="shared" ref="AT9:AT17" si="42">IF(D9=0,"NA",AE9/P9-1)</f>
        <v>NA</v>
      </c>
      <c r="AU9" s="422" t="str">
        <f t="shared" ref="AU9:AU17" si="43">IF(D9=0,"NA",AF9/Q9-1)</f>
        <v>NA</v>
      </c>
      <c r="AV9" s="423" t="str">
        <f t="shared" ref="AV9:AV17" si="44">IF(D9=0,"NA",AG9/R9-1)</f>
        <v>NA</v>
      </c>
    </row>
    <row r="10" spans="2:48" x14ac:dyDescent="0.25">
      <c r="B10" s="148">
        <v>103</v>
      </c>
      <c r="C10" s="151" t="str">
        <f>_xlfn.XLOOKUP(B10, LgProvEntOrgIDs[Advanced Network/Insurer Carrier Org ID], LgProvEntOrgIDs[Advanced Network/Insurance Carrier Overall])</f>
        <v>Connecticut State Medical Society IPA</v>
      </c>
      <c r="D10" s="448">
        <f t="shared" si="0"/>
        <v>0</v>
      </c>
      <c r="E10" s="137" t="str">
        <f t="shared" si="1"/>
        <v>NA</v>
      </c>
      <c r="F10" s="137" t="str">
        <f t="shared" si="2"/>
        <v>NA</v>
      </c>
      <c r="G10" s="137" t="str">
        <f t="shared" si="3"/>
        <v>NA</v>
      </c>
      <c r="H10" s="137" t="str">
        <f t="shared" si="4"/>
        <v>NA</v>
      </c>
      <c r="I10" s="137" t="str">
        <f t="shared" si="5"/>
        <v>NA</v>
      </c>
      <c r="J10" s="137" t="str">
        <f t="shared" si="6"/>
        <v>NA</v>
      </c>
      <c r="K10" s="137" t="str">
        <f t="shared" si="7"/>
        <v>NA</v>
      </c>
      <c r="L10" s="137" t="str">
        <f t="shared" si="8"/>
        <v>NA</v>
      </c>
      <c r="M10" s="137" t="str">
        <f t="shared" si="9"/>
        <v>NA</v>
      </c>
      <c r="N10" s="137" t="str">
        <f t="shared" si="10"/>
        <v>NA</v>
      </c>
      <c r="O10" s="137" t="str">
        <f t="shared" si="11"/>
        <v>NA</v>
      </c>
      <c r="P10" s="137" t="str">
        <f t="shared" si="12"/>
        <v>NA</v>
      </c>
      <c r="Q10" s="137" t="str">
        <f t="shared" si="13"/>
        <v>NA</v>
      </c>
      <c r="R10" s="147" t="str">
        <f t="shared" si="14"/>
        <v>NA</v>
      </c>
      <c r="S10" s="448">
        <f t="shared" si="15"/>
        <v>0</v>
      </c>
      <c r="T10" s="137" t="str">
        <f t="shared" si="16"/>
        <v>NA</v>
      </c>
      <c r="U10" s="137" t="str">
        <f t="shared" si="17"/>
        <v>NA</v>
      </c>
      <c r="V10" s="137" t="str">
        <f t="shared" si="18"/>
        <v>NA</v>
      </c>
      <c r="W10" s="137" t="str">
        <f t="shared" si="19"/>
        <v>NA</v>
      </c>
      <c r="X10" s="137" t="str">
        <f t="shared" si="20"/>
        <v>NA</v>
      </c>
      <c r="Y10" s="137" t="str">
        <f t="shared" si="21"/>
        <v>NA</v>
      </c>
      <c r="Z10" s="137" t="str">
        <f t="shared" si="22"/>
        <v>NA</v>
      </c>
      <c r="AA10" s="137" t="str">
        <f t="shared" si="23"/>
        <v>NA</v>
      </c>
      <c r="AB10" s="137" t="str">
        <f t="shared" si="24"/>
        <v>NA</v>
      </c>
      <c r="AC10" s="137" t="str">
        <f t="shared" si="25"/>
        <v>NA</v>
      </c>
      <c r="AD10" s="137" t="str">
        <f t="shared" si="26"/>
        <v>NA</v>
      </c>
      <c r="AE10" s="137" t="str">
        <f t="shared" si="27"/>
        <v>NA</v>
      </c>
      <c r="AF10" s="137" t="str">
        <f t="shared" si="28"/>
        <v>NA</v>
      </c>
      <c r="AG10" s="138" t="str">
        <f t="shared" si="29"/>
        <v>NA</v>
      </c>
      <c r="AH10" s="419" t="str">
        <f t="shared" si="30"/>
        <v>NA</v>
      </c>
      <c r="AI10" s="420" t="str">
        <f t="shared" si="31"/>
        <v>NA</v>
      </c>
      <c r="AJ10" s="421" t="str">
        <f t="shared" si="32"/>
        <v>NA</v>
      </c>
      <c r="AK10" s="421" t="str">
        <f t="shared" si="33"/>
        <v>NA</v>
      </c>
      <c r="AL10" s="421" t="str">
        <f t="shared" si="34"/>
        <v>NA</v>
      </c>
      <c r="AM10" s="421" t="str">
        <f t="shared" si="35"/>
        <v>NA</v>
      </c>
      <c r="AN10" s="421" t="str">
        <f t="shared" si="36"/>
        <v>NA</v>
      </c>
      <c r="AO10" s="421" t="str">
        <f t="shared" si="37"/>
        <v>NA</v>
      </c>
      <c r="AP10" s="421" t="str">
        <f t="shared" si="38"/>
        <v>NA</v>
      </c>
      <c r="AQ10" s="421" t="str">
        <f t="shared" si="39"/>
        <v>NA</v>
      </c>
      <c r="AR10" s="422" t="str">
        <f t="shared" si="40"/>
        <v>NA</v>
      </c>
      <c r="AS10" s="422" t="str">
        <f t="shared" si="41"/>
        <v>NA</v>
      </c>
      <c r="AT10" s="422" t="str">
        <f t="shared" si="42"/>
        <v>NA</v>
      </c>
      <c r="AU10" s="422" t="str">
        <f t="shared" si="43"/>
        <v>NA</v>
      </c>
      <c r="AV10" s="423" t="str">
        <f t="shared" si="44"/>
        <v>NA</v>
      </c>
    </row>
    <row r="11" spans="2:48" x14ac:dyDescent="0.25">
      <c r="B11" s="148">
        <v>104</v>
      </c>
      <c r="C11" s="151" t="str">
        <f>_xlfn.XLOOKUP(B11, LgProvEntOrgIDs[Advanced Network/Insurer Carrier Org ID], LgProvEntOrgIDs[Advanced Network/Insurance Carrier Overall])</f>
        <v>Hartford Healthcare Integrated Care Partners</v>
      </c>
      <c r="D11" s="448">
        <f t="shared" si="0"/>
        <v>0</v>
      </c>
      <c r="E11" s="137" t="str">
        <f t="shared" si="1"/>
        <v>NA</v>
      </c>
      <c r="F11" s="137" t="str">
        <f t="shared" si="2"/>
        <v>NA</v>
      </c>
      <c r="G11" s="137" t="str">
        <f t="shared" si="3"/>
        <v>NA</v>
      </c>
      <c r="H11" s="137" t="str">
        <f t="shared" si="4"/>
        <v>NA</v>
      </c>
      <c r="I11" s="137" t="str">
        <f t="shared" si="5"/>
        <v>NA</v>
      </c>
      <c r="J11" s="137" t="str">
        <f t="shared" si="6"/>
        <v>NA</v>
      </c>
      <c r="K11" s="137" t="str">
        <f t="shared" si="7"/>
        <v>NA</v>
      </c>
      <c r="L11" s="137" t="str">
        <f t="shared" si="8"/>
        <v>NA</v>
      </c>
      <c r="M11" s="137" t="str">
        <f t="shared" si="9"/>
        <v>NA</v>
      </c>
      <c r="N11" s="137" t="str">
        <f t="shared" si="10"/>
        <v>NA</v>
      </c>
      <c r="O11" s="137" t="str">
        <f t="shared" si="11"/>
        <v>NA</v>
      </c>
      <c r="P11" s="137" t="str">
        <f t="shared" si="12"/>
        <v>NA</v>
      </c>
      <c r="Q11" s="137" t="str">
        <f t="shared" si="13"/>
        <v>NA</v>
      </c>
      <c r="R11" s="147" t="str">
        <f t="shared" si="14"/>
        <v>NA</v>
      </c>
      <c r="S11" s="448">
        <f t="shared" si="15"/>
        <v>0</v>
      </c>
      <c r="T11" s="137" t="str">
        <f t="shared" si="16"/>
        <v>NA</v>
      </c>
      <c r="U11" s="137" t="str">
        <f t="shared" si="17"/>
        <v>NA</v>
      </c>
      <c r="V11" s="137" t="str">
        <f t="shared" si="18"/>
        <v>NA</v>
      </c>
      <c r="W11" s="137" t="str">
        <f t="shared" si="19"/>
        <v>NA</v>
      </c>
      <c r="X11" s="137" t="str">
        <f t="shared" si="20"/>
        <v>NA</v>
      </c>
      <c r="Y11" s="137" t="str">
        <f t="shared" si="21"/>
        <v>NA</v>
      </c>
      <c r="Z11" s="137" t="str">
        <f t="shared" si="22"/>
        <v>NA</v>
      </c>
      <c r="AA11" s="137" t="str">
        <f t="shared" si="23"/>
        <v>NA</v>
      </c>
      <c r="AB11" s="137" t="str">
        <f t="shared" si="24"/>
        <v>NA</v>
      </c>
      <c r="AC11" s="137" t="str">
        <f t="shared" si="25"/>
        <v>NA</v>
      </c>
      <c r="AD11" s="137" t="str">
        <f t="shared" si="26"/>
        <v>NA</v>
      </c>
      <c r="AE11" s="137" t="str">
        <f t="shared" si="27"/>
        <v>NA</v>
      </c>
      <c r="AF11" s="137" t="str">
        <f t="shared" si="28"/>
        <v>NA</v>
      </c>
      <c r="AG11" s="138" t="str">
        <f t="shared" si="29"/>
        <v>NA</v>
      </c>
      <c r="AH11" s="419" t="str">
        <f t="shared" si="30"/>
        <v>NA</v>
      </c>
      <c r="AI11" s="420" t="str">
        <f t="shared" si="31"/>
        <v>NA</v>
      </c>
      <c r="AJ11" s="421" t="str">
        <f t="shared" si="32"/>
        <v>NA</v>
      </c>
      <c r="AK11" s="421" t="str">
        <f t="shared" si="33"/>
        <v>NA</v>
      </c>
      <c r="AL11" s="421" t="str">
        <f t="shared" si="34"/>
        <v>NA</v>
      </c>
      <c r="AM11" s="421" t="str">
        <f t="shared" si="35"/>
        <v>NA</v>
      </c>
      <c r="AN11" s="421" t="str">
        <f t="shared" si="36"/>
        <v>NA</v>
      </c>
      <c r="AO11" s="421" t="str">
        <f t="shared" si="37"/>
        <v>NA</v>
      </c>
      <c r="AP11" s="421" t="str">
        <f t="shared" si="38"/>
        <v>NA</v>
      </c>
      <c r="AQ11" s="421" t="str">
        <f t="shared" si="39"/>
        <v>NA</v>
      </c>
      <c r="AR11" s="422" t="str">
        <f t="shared" si="40"/>
        <v>NA</v>
      </c>
      <c r="AS11" s="422" t="str">
        <f t="shared" si="41"/>
        <v>NA</v>
      </c>
      <c r="AT11" s="422" t="str">
        <f t="shared" si="42"/>
        <v>NA</v>
      </c>
      <c r="AU11" s="422" t="str">
        <f t="shared" si="43"/>
        <v>NA</v>
      </c>
      <c r="AV11" s="423" t="str">
        <f t="shared" si="44"/>
        <v>NA</v>
      </c>
    </row>
    <row r="12" spans="2:48" x14ac:dyDescent="0.25">
      <c r="B12" s="148">
        <v>105</v>
      </c>
      <c r="C12" s="151" t="str">
        <f>_xlfn.XLOOKUP(B12, LgProvEntOrgIDs[Advanced Network/Insurer Carrier Org ID], LgProvEntOrgIDs[Advanced Network/Insurance Carrier Overall])</f>
        <v>NA</v>
      </c>
      <c r="D12" s="448">
        <f t="shared" si="0"/>
        <v>0</v>
      </c>
      <c r="E12" s="137" t="str">
        <f t="shared" si="1"/>
        <v>NA</v>
      </c>
      <c r="F12" s="137" t="str">
        <f t="shared" si="2"/>
        <v>NA</v>
      </c>
      <c r="G12" s="137" t="str">
        <f t="shared" si="3"/>
        <v>NA</v>
      </c>
      <c r="H12" s="137" t="str">
        <f t="shared" si="4"/>
        <v>NA</v>
      </c>
      <c r="I12" s="137" t="str">
        <f t="shared" si="5"/>
        <v>NA</v>
      </c>
      <c r="J12" s="137" t="str">
        <f t="shared" si="6"/>
        <v>NA</v>
      </c>
      <c r="K12" s="137" t="str">
        <f t="shared" si="7"/>
        <v>NA</v>
      </c>
      <c r="L12" s="137" t="str">
        <f t="shared" si="8"/>
        <v>NA</v>
      </c>
      <c r="M12" s="137" t="str">
        <f t="shared" si="9"/>
        <v>NA</v>
      </c>
      <c r="N12" s="137" t="str">
        <f t="shared" si="10"/>
        <v>NA</v>
      </c>
      <c r="O12" s="137" t="str">
        <f t="shared" si="11"/>
        <v>NA</v>
      </c>
      <c r="P12" s="137" t="str">
        <f t="shared" si="12"/>
        <v>NA</v>
      </c>
      <c r="Q12" s="137" t="str">
        <f t="shared" si="13"/>
        <v>NA</v>
      </c>
      <c r="R12" s="147" t="str">
        <f t="shared" si="14"/>
        <v>NA</v>
      </c>
      <c r="S12" s="448">
        <f t="shared" si="15"/>
        <v>0</v>
      </c>
      <c r="T12" s="137" t="str">
        <f t="shared" si="16"/>
        <v>NA</v>
      </c>
      <c r="U12" s="137" t="str">
        <f t="shared" si="17"/>
        <v>NA</v>
      </c>
      <c r="V12" s="137" t="str">
        <f t="shared" si="18"/>
        <v>NA</v>
      </c>
      <c r="W12" s="137" t="str">
        <f t="shared" si="19"/>
        <v>NA</v>
      </c>
      <c r="X12" s="137" t="str">
        <f t="shared" si="20"/>
        <v>NA</v>
      </c>
      <c r="Y12" s="137" t="str">
        <f t="shared" si="21"/>
        <v>NA</v>
      </c>
      <c r="Z12" s="137" t="str">
        <f t="shared" si="22"/>
        <v>NA</v>
      </c>
      <c r="AA12" s="137" t="str">
        <f t="shared" si="23"/>
        <v>NA</v>
      </c>
      <c r="AB12" s="137" t="str">
        <f t="shared" si="24"/>
        <v>NA</v>
      </c>
      <c r="AC12" s="137" t="str">
        <f t="shared" si="25"/>
        <v>NA</v>
      </c>
      <c r="AD12" s="137" t="str">
        <f t="shared" si="26"/>
        <v>NA</v>
      </c>
      <c r="AE12" s="137" t="str">
        <f t="shared" si="27"/>
        <v>NA</v>
      </c>
      <c r="AF12" s="137" t="str">
        <f t="shared" si="28"/>
        <v>NA</v>
      </c>
      <c r="AG12" s="138" t="str">
        <f t="shared" si="29"/>
        <v>NA</v>
      </c>
      <c r="AH12" s="419" t="str">
        <f t="shared" si="30"/>
        <v>NA</v>
      </c>
      <c r="AI12" s="420" t="str">
        <f t="shared" si="31"/>
        <v>NA</v>
      </c>
      <c r="AJ12" s="421" t="str">
        <f t="shared" si="32"/>
        <v>NA</v>
      </c>
      <c r="AK12" s="421" t="str">
        <f t="shared" si="33"/>
        <v>NA</v>
      </c>
      <c r="AL12" s="421" t="str">
        <f t="shared" si="34"/>
        <v>NA</v>
      </c>
      <c r="AM12" s="421" t="str">
        <f t="shared" si="35"/>
        <v>NA</v>
      </c>
      <c r="AN12" s="421" t="str">
        <f t="shared" si="36"/>
        <v>NA</v>
      </c>
      <c r="AO12" s="421" t="str">
        <f t="shared" si="37"/>
        <v>NA</v>
      </c>
      <c r="AP12" s="421" t="str">
        <f t="shared" si="38"/>
        <v>NA</v>
      </c>
      <c r="AQ12" s="421" t="str">
        <f t="shared" si="39"/>
        <v>NA</v>
      </c>
      <c r="AR12" s="422" t="str">
        <f t="shared" si="40"/>
        <v>NA</v>
      </c>
      <c r="AS12" s="422" t="str">
        <f t="shared" si="41"/>
        <v>NA</v>
      </c>
      <c r="AT12" s="422" t="str">
        <f t="shared" si="42"/>
        <v>NA</v>
      </c>
      <c r="AU12" s="422" t="str">
        <f t="shared" si="43"/>
        <v>NA</v>
      </c>
      <c r="AV12" s="423" t="str">
        <f t="shared" si="44"/>
        <v>NA</v>
      </c>
    </row>
    <row r="13" spans="2:48" x14ac:dyDescent="0.25">
      <c r="B13" s="148">
        <v>106</v>
      </c>
      <c r="C13" s="151" t="str">
        <f>_xlfn.XLOOKUP(B13, LgProvEntOrgIDs[Advanced Network/Insurer Carrier Org ID], LgProvEntOrgIDs[Advanced Network/Insurance Carrier Overall])</f>
        <v>Northeast Medical Group</v>
      </c>
      <c r="D13" s="448">
        <f t="shared" si="0"/>
        <v>0</v>
      </c>
      <c r="E13" s="137" t="str">
        <f t="shared" si="1"/>
        <v>NA</v>
      </c>
      <c r="F13" s="137" t="str">
        <f t="shared" si="2"/>
        <v>NA</v>
      </c>
      <c r="G13" s="137" t="str">
        <f t="shared" si="3"/>
        <v>NA</v>
      </c>
      <c r="H13" s="137" t="str">
        <f t="shared" si="4"/>
        <v>NA</v>
      </c>
      <c r="I13" s="137" t="str">
        <f t="shared" si="5"/>
        <v>NA</v>
      </c>
      <c r="J13" s="137" t="str">
        <f t="shared" si="6"/>
        <v>NA</v>
      </c>
      <c r="K13" s="137" t="str">
        <f t="shared" si="7"/>
        <v>NA</v>
      </c>
      <c r="L13" s="137" t="str">
        <f t="shared" si="8"/>
        <v>NA</v>
      </c>
      <c r="M13" s="137" t="str">
        <f t="shared" si="9"/>
        <v>NA</v>
      </c>
      <c r="N13" s="137" t="str">
        <f t="shared" si="10"/>
        <v>NA</v>
      </c>
      <c r="O13" s="137" t="str">
        <f t="shared" si="11"/>
        <v>NA</v>
      </c>
      <c r="P13" s="137" t="str">
        <f t="shared" si="12"/>
        <v>NA</v>
      </c>
      <c r="Q13" s="137" t="str">
        <f t="shared" si="13"/>
        <v>NA</v>
      </c>
      <c r="R13" s="147" t="str">
        <f t="shared" si="14"/>
        <v>NA</v>
      </c>
      <c r="S13" s="448">
        <f t="shared" si="15"/>
        <v>0</v>
      </c>
      <c r="T13" s="137" t="str">
        <f t="shared" si="16"/>
        <v>NA</v>
      </c>
      <c r="U13" s="137" t="str">
        <f t="shared" si="17"/>
        <v>NA</v>
      </c>
      <c r="V13" s="137" t="str">
        <f t="shared" si="18"/>
        <v>NA</v>
      </c>
      <c r="W13" s="137" t="str">
        <f t="shared" si="19"/>
        <v>NA</v>
      </c>
      <c r="X13" s="137" t="str">
        <f t="shared" si="20"/>
        <v>NA</v>
      </c>
      <c r="Y13" s="137" t="str">
        <f t="shared" si="21"/>
        <v>NA</v>
      </c>
      <c r="Z13" s="137" t="str">
        <f t="shared" si="22"/>
        <v>NA</v>
      </c>
      <c r="AA13" s="137" t="str">
        <f t="shared" si="23"/>
        <v>NA</v>
      </c>
      <c r="AB13" s="137" t="str">
        <f t="shared" si="24"/>
        <v>NA</v>
      </c>
      <c r="AC13" s="137" t="str">
        <f t="shared" si="25"/>
        <v>NA</v>
      </c>
      <c r="AD13" s="137" t="str">
        <f t="shared" si="26"/>
        <v>NA</v>
      </c>
      <c r="AE13" s="137" t="str">
        <f t="shared" si="27"/>
        <v>NA</v>
      </c>
      <c r="AF13" s="137" t="str">
        <f t="shared" si="28"/>
        <v>NA</v>
      </c>
      <c r="AG13" s="138" t="str">
        <f t="shared" si="29"/>
        <v>NA</v>
      </c>
      <c r="AH13" s="419" t="str">
        <f t="shared" si="30"/>
        <v>NA</v>
      </c>
      <c r="AI13" s="420" t="str">
        <f t="shared" si="31"/>
        <v>NA</v>
      </c>
      <c r="AJ13" s="421" t="str">
        <f t="shared" si="32"/>
        <v>NA</v>
      </c>
      <c r="AK13" s="421" t="str">
        <f t="shared" si="33"/>
        <v>NA</v>
      </c>
      <c r="AL13" s="421" t="str">
        <f t="shared" si="34"/>
        <v>NA</v>
      </c>
      <c r="AM13" s="421" t="str">
        <f t="shared" si="35"/>
        <v>NA</v>
      </c>
      <c r="AN13" s="421" t="str">
        <f t="shared" si="36"/>
        <v>NA</v>
      </c>
      <c r="AO13" s="421" t="str">
        <f t="shared" si="37"/>
        <v>NA</v>
      </c>
      <c r="AP13" s="421" t="str">
        <f t="shared" si="38"/>
        <v>NA</v>
      </c>
      <c r="AQ13" s="421" t="str">
        <f t="shared" si="39"/>
        <v>NA</v>
      </c>
      <c r="AR13" s="422" t="str">
        <f t="shared" si="40"/>
        <v>NA</v>
      </c>
      <c r="AS13" s="422" t="str">
        <f t="shared" si="41"/>
        <v>NA</v>
      </c>
      <c r="AT13" s="422" t="str">
        <f t="shared" si="42"/>
        <v>NA</v>
      </c>
      <c r="AU13" s="422" t="str">
        <f t="shared" si="43"/>
        <v>NA</v>
      </c>
      <c r="AV13" s="423" t="str">
        <f t="shared" si="44"/>
        <v>NA</v>
      </c>
    </row>
    <row r="14" spans="2:48" ht="30" x14ac:dyDescent="0.25">
      <c r="B14" s="148">
        <v>107</v>
      </c>
      <c r="C14" s="151" t="str">
        <f>_xlfn.XLOOKUP(B14, LgProvEntOrgIDs[Advanced Network/Insurer Carrier Org ID], LgProvEntOrgIDs[Advanced Network/Insurance Carrier Overall])</f>
        <v>Senior Care Network of CT (dba Advantage Plus Network)</v>
      </c>
      <c r="D14" s="448">
        <f t="shared" si="0"/>
        <v>0</v>
      </c>
      <c r="E14" s="137" t="str">
        <f t="shared" si="1"/>
        <v>NA</v>
      </c>
      <c r="F14" s="137" t="str">
        <f t="shared" si="2"/>
        <v>NA</v>
      </c>
      <c r="G14" s="137" t="str">
        <f t="shared" si="3"/>
        <v>NA</v>
      </c>
      <c r="H14" s="137" t="str">
        <f t="shared" si="4"/>
        <v>NA</v>
      </c>
      <c r="I14" s="137" t="str">
        <f t="shared" si="5"/>
        <v>NA</v>
      </c>
      <c r="J14" s="137" t="str">
        <f t="shared" si="6"/>
        <v>NA</v>
      </c>
      <c r="K14" s="137" t="str">
        <f t="shared" si="7"/>
        <v>NA</v>
      </c>
      <c r="L14" s="137" t="str">
        <f t="shared" si="8"/>
        <v>NA</v>
      </c>
      <c r="M14" s="137" t="str">
        <f t="shared" si="9"/>
        <v>NA</v>
      </c>
      <c r="N14" s="137" t="str">
        <f t="shared" si="10"/>
        <v>NA</v>
      </c>
      <c r="O14" s="137" t="str">
        <f t="shared" si="11"/>
        <v>NA</v>
      </c>
      <c r="P14" s="137" t="str">
        <f t="shared" si="12"/>
        <v>NA</v>
      </c>
      <c r="Q14" s="137" t="str">
        <f t="shared" si="13"/>
        <v>NA</v>
      </c>
      <c r="R14" s="147" t="str">
        <f t="shared" si="14"/>
        <v>NA</v>
      </c>
      <c r="S14" s="448">
        <f t="shared" si="15"/>
        <v>0</v>
      </c>
      <c r="T14" s="137" t="str">
        <f t="shared" si="16"/>
        <v>NA</v>
      </c>
      <c r="U14" s="137" t="str">
        <f t="shared" si="17"/>
        <v>NA</v>
      </c>
      <c r="V14" s="137" t="str">
        <f t="shared" si="18"/>
        <v>NA</v>
      </c>
      <c r="W14" s="137" t="str">
        <f t="shared" si="19"/>
        <v>NA</v>
      </c>
      <c r="X14" s="137" t="str">
        <f t="shared" si="20"/>
        <v>NA</v>
      </c>
      <c r="Y14" s="137" t="str">
        <f t="shared" si="21"/>
        <v>NA</v>
      </c>
      <c r="Z14" s="137" t="str">
        <f t="shared" si="22"/>
        <v>NA</v>
      </c>
      <c r="AA14" s="137" t="str">
        <f t="shared" si="23"/>
        <v>NA</v>
      </c>
      <c r="AB14" s="137" t="str">
        <f t="shared" si="24"/>
        <v>NA</v>
      </c>
      <c r="AC14" s="137" t="str">
        <f t="shared" si="25"/>
        <v>NA</v>
      </c>
      <c r="AD14" s="137" t="str">
        <f t="shared" si="26"/>
        <v>NA</v>
      </c>
      <c r="AE14" s="137" t="str">
        <f t="shared" si="27"/>
        <v>NA</v>
      </c>
      <c r="AF14" s="137" t="str">
        <f t="shared" si="28"/>
        <v>NA</v>
      </c>
      <c r="AG14" s="138" t="str">
        <f t="shared" si="29"/>
        <v>NA</v>
      </c>
      <c r="AH14" s="419" t="str">
        <f t="shared" si="30"/>
        <v>NA</v>
      </c>
      <c r="AI14" s="420" t="str">
        <f t="shared" si="31"/>
        <v>NA</v>
      </c>
      <c r="AJ14" s="421" t="str">
        <f t="shared" si="32"/>
        <v>NA</v>
      </c>
      <c r="AK14" s="421" t="str">
        <f t="shared" si="33"/>
        <v>NA</v>
      </c>
      <c r="AL14" s="421" t="str">
        <f t="shared" si="34"/>
        <v>NA</v>
      </c>
      <c r="AM14" s="421" t="str">
        <f t="shared" si="35"/>
        <v>NA</v>
      </c>
      <c r="AN14" s="421" t="str">
        <f t="shared" si="36"/>
        <v>NA</v>
      </c>
      <c r="AO14" s="421" t="str">
        <f t="shared" si="37"/>
        <v>NA</v>
      </c>
      <c r="AP14" s="421" t="str">
        <f t="shared" si="38"/>
        <v>NA</v>
      </c>
      <c r="AQ14" s="421" t="str">
        <f t="shared" si="39"/>
        <v>NA</v>
      </c>
      <c r="AR14" s="422" t="str">
        <f t="shared" si="40"/>
        <v>NA</v>
      </c>
      <c r="AS14" s="422" t="str">
        <f t="shared" si="41"/>
        <v>NA</v>
      </c>
      <c r="AT14" s="422" t="str">
        <f t="shared" si="42"/>
        <v>NA</v>
      </c>
      <c r="AU14" s="422" t="str">
        <f t="shared" si="43"/>
        <v>NA</v>
      </c>
      <c r="AV14" s="423" t="str">
        <f t="shared" si="44"/>
        <v>NA</v>
      </c>
    </row>
    <row r="15" spans="2:48" ht="45" x14ac:dyDescent="0.25">
      <c r="B15" s="148">
        <v>108</v>
      </c>
      <c r="C15" s="151" t="str">
        <f>_xlfn.XLOOKUP(B15, LgProvEntOrgIDs[Advanced Network/Insurer Carrier Org ID], LgProvEntOrgIDs[Advanced Network/Insurance Carrier Overall])</f>
        <v>Prospect Connecticut Medical Foundation Inc. (dba Prospect Medical, Prospect Health Services, Prospect Holdings)</v>
      </c>
      <c r="D15" s="448">
        <f t="shared" si="0"/>
        <v>0</v>
      </c>
      <c r="E15" s="137" t="str">
        <f t="shared" si="1"/>
        <v>NA</v>
      </c>
      <c r="F15" s="137" t="str">
        <f t="shared" si="2"/>
        <v>NA</v>
      </c>
      <c r="G15" s="137" t="str">
        <f t="shared" si="3"/>
        <v>NA</v>
      </c>
      <c r="H15" s="137" t="str">
        <f t="shared" si="4"/>
        <v>NA</v>
      </c>
      <c r="I15" s="137" t="str">
        <f t="shared" si="5"/>
        <v>NA</v>
      </c>
      <c r="J15" s="137" t="str">
        <f t="shared" si="6"/>
        <v>NA</v>
      </c>
      <c r="K15" s="137" t="str">
        <f t="shared" si="7"/>
        <v>NA</v>
      </c>
      <c r="L15" s="137" t="str">
        <f t="shared" si="8"/>
        <v>NA</v>
      </c>
      <c r="M15" s="137" t="str">
        <f t="shared" si="9"/>
        <v>NA</v>
      </c>
      <c r="N15" s="137" t="str">
        <f t="shared" si="10"/>
        <v>NA</v>
      </c>
      <c r="O15" s="137" t="str">
        <f t="shared" si="11"/>
        <v>NA</v>
      </c>
      <c r="P15" s="137" t="str">
        <f t="shared" si="12"/>
        <v>NA</v>
      </c>
      <c r="Q15" s="137" t="str">
        <f t="shared" si="13"/>
        <v>NA</v>
      </c>
      <c r="R15" s="147" t="str">
        <f t="shared" si="14"/>
        <v>NA</v>
      </c>
      <c r="S15" s="448">
        <f t="shared" si="15"/>
        <v>0</v>
      </c>
      <c r="T15" s="137" t="str">
        <f t="shared" si="16"/>
        <v>NA</v>
      </c>
      <c r="U15" s="137" t="str">
        <f t="shared" si="17"/>
        <v>NA</v>
      </c>
      <c r="V15" s="137" t="str">
        <f t="shared" si="18"/>
        <v>NA</v>
      </c>
      <c r="W15" s="137" t="str">
        <f t="shared" si="19"/>
        <v>NA</v>
      </c>
      <c r="X15" s="137" t="str">
        <f t="shared" si="20"/>
        <v>NA</v>
      </c>
      <c r="Y15" s="137" t="str">
        <f t="shared" si="21"/>
        <v>NA</v>
      </c>
      <c r="Z15" s="137" t="str">
        <f t="shared" si="22"/>
        <v>NA</v>
      </c>
      <c r="AA15" s="137" t="str">
        <f t="shared" si="23"/>
        <v>NA</v>
      </c>
      <c r="AB15" s="137" t="str">
        <f t="shared" si="24"/>
        <v>NA</v>
      </c>
      <c r="AC15" s="137" t="str">
        <f t="shared" si="25"/>
        <v>NA</v>
      </c>
      <c r="AD15" s="137" t="str">
        <f t="shared" si="26"/>
        <v>NA</v>
      </c>
      <c r="AE15" s="137" t="str">
        <f t="shared" si="27"/>
        <v>NA</v>
      </c>
      <c r="AF15" s="137" t="str">
        <f t="shared" si="28"/>
        <v>NA</v>
      </c>
      <c r="AG15" s="138" t="str">
        <f t="shared" si="29"/>
        <v>NA</v>
      </c>
      <c r="AH15" s="419" t="str">
        <f t="shared" si="30"/>
        <v>NA</v>
      </c>
      <c r="AI15" s="420" t="str">
        <f t="shared" si="31"/>
        <v>NA</v>
      </c>
      <c r="AJ15" s="421" t="str">
        <f t="shared" si="32"/>
        <v>NA</v>
      </c>
      <c r="AK15" s="421" t="str">
        <f t="shared" si="33"/>
        <v>NA</v>
      </c>
      <c r="AL15" s="421" t="str">
        <f t="shared" si="34"/>
        <v>NA</v>
      </c>
      <c r="AM15" s="421" t="str">
        <f t="shared" si="35"/>
        <v>NA</v>
      </c>
      <c r="AN15" s="421" t="str">
        <f t="shared" si="36"/>
        <v>NA</v>
      </c>
      <c r="AO15" s="421" t="str">
        <f t="shared" si="37"/>
        <v>NA</v>
      </c>
      <c r="AP15" s="421" t="str">
        <f t="shared" si="38"/>
        <v>NA</v>
      </c>
      <c r="AQ15" s="421" t="str">
        <f t="shared" si="39"/>
        <v>NA</v>
      </c>
      <c r="AR15" s="422" t="str">
        <f t="shared" si="40"/>
        <v>NA</v>
      </c>
      <c r="AS15" s="422" t="str">
        <f t="shared" si="41"/>
        <v>NA</v>
      </c>
      <c r="AT15" s="422" t="str">
        <f t="shared" si="42"/>
        <v>NA</v>
      </c>
      <c r="AU15" s="422" t="str">
        <f t="shared" si="43"/>
        <v>NA</v>
      </c>
      <c r="AV15" s="423" t="str">
        <f t="shared" si="44"/>
        <v>NA</v>
      </c>
    </row>
    <row r="16" spans="2:48" ht="30" x14ac:dyDescent="0.25">
      <c r="B16" s="148">
        <v>109</v>
      </c>
      <c r="C16" s="151" t="str">
        <f>_xlfn.XLOOKUP(B16, LgProvEntOrgIDs[Advanced Network/Insurer Carrier Org ID], LgProvEntOrgIDs[Advanced Network/Insurance Carrier Overall])</f>
        <v>Southern New England Health Care Organization (aka SoNE Health)</v>
      </c>
      <c r="D16" s="448">
        <f t="shared" si="0"/>
        <v>0</v>
      </c>
      <c r="E16" s="137" t="str">
        <f t="shared" si="1"/>
        <v>NA</v>
      </c>
      <c r="F16" s="137" t="str">
        <f t="shared" si="2"/>
        <v>NA</v>
      </c>
      <c r="G16" s="137" t="str">
        <f t="shared" si="3"/>
        <v>NA</v>
      </c>
      <c r="H16" s="137" t="str">
        <f t="shared" si="4"/>
        <v>NA</v>
      </c>
      <c r="I16" s="137" t="str">
        <f t="shared" si="5"/>
        <v>NA</v>
      </c>
      <c r="J16" s="137" t="str">
        <f t="shared" si="6"/>
        <v>NA</v>
      </c>
      <c r="K16" s="137" t="str">
        <f t="shared" si="7"/>
        <v>NA</v>
      </c>
      <c r="L16" s="137" t="str">
        <f t="shared" si="8"/>
        <v>NA</v>
      </c>
      <c r="M16" s="137" t="str">
        <f t="shared" si="9"/>
        <v>NA</v>
      </c>
      <c r="N16" s="137" t="str">
        <f t="shared" si="10"/>
        <v>NA</v>
      </c>
      <c r="O16" s="137" t="str">
        <f t="shared" si="11"/>
        <v>NA</v>
      </c>
      <c r="P16" s="137" t="str">
        <f t="shared" si="12"/>
        <v>NA</v>
      </c>
      <c r="Q16" s="137" t="str">
        <f t="shared" si="13"/>
        <v>NA</v>
      </c>
      <c r="R16" s="147" t="str">
        <f t="shared" si="14"/>
        <v>NA</v>
      </c>
      <c r="S16" s="448">
        <f t="shared" si="15"/>
        <v>0</v>
      </c>
      <c r="T16" s="137" t="str">
        <f t="shared" si="16"/>
        <v>NA</v>
      </c>
      <c r="U16" s="137" t="str">
        <f t="shared" si="17"/>
        <v>NA</v>
      </c>
      <c r="V16" s="137" t="str">
        <f t="shared" si="18"/>
        <v>NA</v>
      </c>
      <c r="W16" s="137" t="str">
        <f t="shared" si="19"/>
        <v>NA</v>
      </c>
      <c r="X16" s="137" t="str">
        <f t="shared" si="20"/>
        <v>NA</v>
      </c>
      <c r="Y16" s="137" t="str">
        <f t="shared" si="21"/>
        <v>NA</v>
      </c>
      <c r="Z16" s="137" t="str">
        <f t="shared" si="22"/>
        <v>NA</v>
      </c>
      <c r="AA16" s="137" t="str">
        <f t="shared" si="23"/>
        <v>NA</v>
      </c>
      <c r="AB16" s="137" t="str">
        <f t="shared" si="24"/>
        <v>NA</v>
      </c>
      <c r="AC16" s="137" t="str">
        <f t="shared" si="25"/>
        <v>NA</v>
      </c>
      <c r="AD16" s="137" t="str">
        <f t="shared" si="26"/>
        <v>NA</v>
      </c>
      <c r="AE16" s="137" t="str">
        <f t="shared" si="27"/>
        <v>NA</v>
      </c>
      <c r="AF16" s="137" t="str">
        <f t="shared" si="28"/>
        <v>NA</v>
      </c>
      <c r="AG16" s="138" t="str">
        <f t="shared" si="29"/>
        <v>NA</v>
      </c>
      <c r="AH16" s="419" t="str">
        <f t="shared" si="30"/>
        <v>NA</v>
      </c>
      <c r="AI16" s="420" t="str">
        <f t="shared" si="31"/>
        <v>NA</v>
      </c>
      <c r="AJ16" s="421" t="str">
        <f t="shared" si="32"/>
        <v>NA</v>
      </c>
      <c r="AK16" s="421" t="str">
        <f t="shared" si="33"/>
        <v>NA</v>
      </c>
      <c r="AL16" s="421" t="str">
        <f t="shared" si="34"/>
        <v>NA</v>
      </c>
      <c r="AM16" s="421" t="str">
        <f t="shared" si="35"/>
        <v>NA</v>
      </c>
      <c r="AN16" s="421" t="str">
        <f t="shared" si="36"/>
        <v>NA</v>
      </c>
      <c r="AO16" s="421" t="str">
        <f t="shared" si="37"/>
        <v>NA</v>
      </c>
      <c r="AP16" s="421" t="str">
        <f t="shared" si="38"/>
        <v>NA</v>
      </c>
      <c r="AQ16" s="421" t="str">
        <f t="shared" si="39"/>
        <v>NA</v>
      </c>
      <c r="AR16" s="422" t="str">
        <f t="shared" si="40"/>
        <v>NA</v>
      </c>
      <c r="AS16" s="422" t="str">
        <f t="shared" si="41"/>
        <v>NA</v>
      </c>
      <c r="AT16" s="422" t="str">
        <f t="shared" si="42"/>
        <v>NA</v>
      </c>
      <c r="AU16" s="422" t="str">
        <f t="shared" si="43"/>
        <v>NA</v>
      </c>
      <c r="AV16" s="423" t="str">
        <f t="shared" si="44"/>
        <v>NA</v>
      </c>
    </row>
    <row r="17" spans="2:48" x14ac:dyDescent="0.25">
      <c r="B17" s="148">
        <v>110</v>
      </c>
      <c r="C17" s="151" t="str">
        <f>_xlfn.XLOOKUP(B17, LgProvEntOrgIDs[Advanced Network/Insurer Carrier Org ID], LgProvEntOrgIDs[Advanced Network/Insurance Carrier Overall])</f>
        <v>Value Care Alliance</v>
      </c>
      <c r="D17" s="448">
        <f t="shared" si="0"/>
        <v>0</v>
      </c>
      <c r="E17" s="137" t="str">
        <f t="shared" si="1"/>
        <v>NA</v>
      </c>
      <c r="F17" s="137" t="str">
        <f t="shared" si="2"/>
        <v>NA</v>
      </c>
      <c r="G17" s="137" t="str">
        <f t="shared" si="3"/>
        <v>NA</v>
      </c>
      <c r="H17" s="137" t="str">
        <f t="shared" si="4"/>
        <v>NA</v>
      </c>
      <c r="I17" s="137" t="str">
        <f t="shared" si="5"/>
        <v>NA</v>
      </c>
      <c r="J17" s="137" t="str">
        <f t="shared" si="6"/>
        <v>NA</v>
      </c>
      <c r="K17" s="137" t="str">
        <f t="shared" si="7"/>
        <v>NA</v>
      </c>
      <c r="L17" s="137" t="str">
        <f t="shared" si="8"/>
        <v>NA</v>
      </c>
      <c r="M17" s="137" t="str">
        <f t="shared" si="9"/>
        <v>NA</v>
      </c>
      <c r="N17" s="137" t="str">
        <f t="shared" si="10"/>
        <v>NA</v>
      </c>
      <c r="O17" s="137" t="str">
        <f t="shared" si="11"/>
        <v>NA</v>
      </c>
      <c r="P17" s="137" t="str">
        <f t="shared" si="12"/>
        <v>NA</v>
      </c>
      <c r="Q17" s="137" t="str">
        <f t="shared" si="13"/>
        <v>NA</v>
      </c>
      <c r="R17" s="147" t="str">
        <f t="shared" si="14"/>
        <v>NA</v>
      </c>
      <c r="S17" s="448">
        <f t="shared" si="15"/>
        <v>0</v>
      </c>
      <c r="T17" s="137" t="str">
        <f t="shared" si="16"/>
        <v>NA</v>
      </c>
      <c r="U17" s="137" t="str">
        <f t="shared" si="17"/>
        <v>NA</v>
      </c>
      <c r="V17" s="137" t="str">
        <f t="shared" si="18"/>
        <v>NA</v>
      </c>
      <c r="W17" s="137" t="str">
        <f t="shared" si="19"/>
        <v>NA</v>
      </c>
      <c r="X17" s="137" t="str">
        <f t="shared" si="20"/>
        <v>NA</v>
      </c>
      <c r="Y17" s="137" t="str">
        <f t="shared" si="21"/>
        <v>NA</v>
      </c>
      <c r="Z17" s="137" t="str">
        <f t="shared" si="22"/>
        <v>NA</v>
      </c>
      <c r="AA17" s="137" t="str">
        <f t="shared" si="23"/>
        <v>NA</v>
      </c>
      <c r="AB17" s="137" t="str">
        <f t="shared" si="24"/>
        <v>NA</v>
      </c>
      <c r="AC17" s="137" t="str">
        <f t="shared" si="25"/>
        <v>NA</v>
      </c>
      <c r="AD17" s="137" t="str">
        <f t="shared" si="26"/>
        <v>NA</v>
      </c>
      <c r="AE17" s="137" t="str">
        <f t="shared" si="27"/>
        <v>NA</v>
      </c>
      <c r="AF17" s="137" t="str">
        <f t="shared" si="28"/>
        <v>NA</v>
      </c>
      <c r="AG17" s="138" t="str">
        <f t="shared" si="29"/>
        <v>NA</v>
      </c>
      <c r="AH17" s="419" t="str">
        <f t="shared" si="30"/>
        <v>NA</v>
      </c>
      <c r="AI17" s="420" t="str">
        <f t="shared" si="31"/>
        <v>NA</v>
      </c>
      <c r="AJ17" s="421" t="str">
        <f t="shared" si="32"/>
        <v>NA</v>
      </c>
      <c r="AK17" s="421" t="str">
        <f t="shared" si="33"/>
        <v>NA</v>
      </c>
      <c r="AL17" s="421" t="str">
        <f t="shared" si="34"/>
        <v>NA</v>
      </c>
      <c r="AM17" s="421" t="str">
        <f t="shared" si="35"/>
        <v>NA</v>
      </c>
      <c r="AN17" s="421" t="str">
        <f t="shared" si="36"/>
        <v>NA</v>
      </c>
      <c r="AO17" s="421" t="str">
        <f t="shared" si="37"/>
        <v>NA</v>
      </c>
      <c r="AP17" s="421" t="str">
        <f t="shared" si="38"/>
        <v>NA</v>
      </c>
      <c r="AQ17" s="421" t="str">
        <f t="shared" si="39"/>
        <v>NA</v>
      </c>
      <c r="AR17" s="422" t="str">
        <f t="shared" si="40"/>
        <v>NA</v>
      </c>
      <c r="AS17" s="422" t="str">
        <f t="shared" si="41"/>
        <v>NA</v>
      </c>
      <c r="AT17" s="422" t="str">
        <f t="shared" si="42"/>
        <v>NA</v>
      </c>
      <c r="AU17" s="422" t="str">
        <f t="shared" si="43"/>
        <v>NA</v>
      </c>
      <c r="AV17" s="423" t="str">
        <f t="shared" si="44"/>
        <v>NA</v>
      </c>
    </row>
    <row r="18" spans="2:48" x14ac:dyDescent="0.25">
      <c r="B18" s="148">
        <v>111</v>
      </c>
      <c r="C18" s="151" t="str">
        <f>_xlfn.XLOOKUP(B18, LgProvEntOrgIDs[Advanced Network/Insurer Carrier Org ID], LgProvEntOrgIDs[Advanced Network/Insurance Carrier Overall])</f>
        <v>NA</v>
      </c>
      <c r="D18" s="448">
        <f t="shared" si="0"/>
        <v>0</v>
      </c>
      <c r="E18" s="137" t="str">
        <f t="shared" si="1"/>
        <v>NA</v>
      </c>
      <c r="F18" s="137" t="str">
        <f t="shared" si="2"/>
        <v>NA</v>
      </c>
      <c r="G18" s="137" t="str">
        <f t="shared" si="3"/>
        <v>NA</v>
      </c>
      <c r="H18" s="137" t="str">
        <f t="shared" si="4"/>
        <v>NA</v>
      </c>
      <c r="I18" s="137" t="str">
        <f t="shared" si="5"/>
        <v>NA</v>
      </c>
      <c r="J18" s="137" t="str">
        <f t="shared" si="6"/>
        <v>NA</v>
      </c>
      <c r="K18" s="137" t="str">
        <f t="shared" si="7"/>
        <v>NA</v>
      </c>
      <c r="L18" s="137" t="str">
        <f t="shared" si="8"/>
        <v>NA</v>
      </c>
      <c r="M18" s="137" t="str">
        <f t="shared" si="9"/>
        <v>NA</v>
      </c>
      <c r="N18" s="137" t="str">
        <f t="shared" si="10"/>
        <v>NA</v>
      </c>
      <c r="O18" s="137" t="str">
        <f t="shared" si="11"/>
        <v>NA</v>
      </c>
      <c r="P18" s="137" t="str">
        <f t="shared" si="12"/>
        <v>NA</v>
      </c>
      <c r="Q18" s="137" t="str">
        <f t="shared" si="13"/>
        <v>NA</v>
      </c>
      <c r="R18" s="147" t="str">
        <f t="shared" si="14"/>
        <v>NA</v>
      </c>
      <c r="S18" s="448">
        <f t="shared" si="15"/>
        <v>0</v>
      </c>
      <c r="T18" s="137" t="str">
        <f t="shared" si="16"/>
        <v>NA</v>
      </c>
      <c r="U18" s="137" t="str">
        <f t="shared" si="17"/>
        <v>NA</v>
      </c>
      <c r="V18" s="137" t="str">
        <f t="shared" si="18"/>
        <v>NA</v>
      </c>
      <c r="W18" s="137" t="str">
        <f t="shared" si="19"/>
        <v>NA</v>
      </c>
      <c r="X18" s="137" t="str">
        <f t="shared" si="20"/>
        <v>NA</v>
      </c>
      <c r="Y18" s="137" t="str">
        <f t="shared" si="21"/>
        <v>NA</v>
      </c>
      <c r="Z18" s="137" t="str">
        <f t="shared" si="22"/>
        <v>NA</v>
      </c>
      <c r="AA18" s="137" t="str">
        <f t="shared" si="23"/>
        <v>NA</v>
      </c>
      <c r="AB18" s="137" t="str">
        <f t="shared" si="24"/>
        <v>NA</v>
      </c>
      <c r="AC18" s="137" t="str">
        <f t="shared" si="25"/>
        <v>NA</v>
      </c>
      <c r="AD18" s="137" t="str">
        <f t="shared" si="26"/>
        <v>NA</v>
      </c>
      <c r="AE18" s="137" t="str">
        <f t="shared" si="27"/>
        <v>NA</v>
      </c>
      <c r="AF18" s="137" t="str">
        <f t="shared" si="28"/>
        <v>NA</v>
      </c>
      <c r="AG18" s="138" t="str">
        <f t="shared" si="29"/>
        <v>NA</v>
      </c>
      <c r="AH18" s="419" t="str">
        <f>IF(D18=0,"NA",S18/D18-1)</f>
        <v>NA</v>
      </c>
      <c r="AI18" s="420" t="str">
        <f>IF(D18=0,"NA",T18/E18-1)</f>
        <v>NA</v>
      </c>
      <c r="AJ18" s="421" t="str">
        <f>IF(D18=0,"NA",U18/F18-1)</f>
        <v>NA</v>
      </c>
      <c r="AK18" s="421" t="str">
        <f>IF(D18=0,"NA",V18/G18-1)</f>
        <v>NA</v>
      </c>
      <c r="AL18" s="421" t="str">
        <f>IF(D18=0,"NA",W18/H18-1)</f>
        <v>NA</v>
      </c>
      <c r="AM18" s="421" t="str">
        <f>IF(D18=0,"NA",X18/I18-1)</f>
        <v>NA</v>
      </c>
      <c r="AN18" s="421" t="str">
        <f>IF(D18=0,"NA",Y18/J18-1)</f>
        <v>NA</v>
      </c>
      <c r="AO18" s="421" t="str">
        <f>IF(D18=0,"NA",Z18/K18-1)</f>
        <v>NA</v>
      </c>
      <c r="AP18" s="421" t="str">
        <f>IF(D18=0,"NA",AA18/L18-1)</f>
        <v>NA</v>
      </c>
      <c r="AQ18" s="421" t="str">
        <f>IF(D18=0,"NA",AB18/M18-1)</f>
        <v>NA</v>
      </c>
      <c r="AR18" s="422" t="str">
        <f>IF(D18=0,"NA",AC18/N18-1)</f>
        <v>NA</v>
      </c>
      <c r="AS18" s="422" t="str">
        <f>IF(D18=0,"NA",AD18/O18-1)</f>
        <v>NA</v>
      </c>
      <c r="AT18" s="422" t="str">
        <f>IF(D18=0,"NA",AE18/P18-1)</f>
        <v>NA</v>
      </c>
      <c r="AU18" s="422" t="str">
        <f>IF(D18=0,"NA",AF18/Q18-1)</f>
        <v>NA</v>
      </c>
      <c r="AV18" s="423" t="str">
        <f>IF(D18=0,"NA",AG18/R18-1)</f>
        <v>NA</v>
      </c>
    </row>
    <row r="19" spans="2:48" x14ac:dyDescent="0.25">
      <c r="B19" s="148">
        <v>112</v>
      </c>
      <c r="C19" s="151" t="str">
        <f>_xlfn.XLOOKUP(B19, LgProvEntOrgIDs[Advanced Network/Insurer Carrier Org ID], LgProvEntOrgIDs[Advanced Network/Insurance Carrier Overall])</f>
        <v>Charter Oak Health Center</v>
      </c>
      <c r="D19" s="448">
        <f t="shared" si="0"/>
        <v>0</v>
      </c>
      <c r="E19" s="137" t="str">
        <f t="shared" si="1"/>
        <v>NA</v>
      </c>
      <c r="F19" s="137" t="str">
        <f t="shared" si="2"/>
        <v>NA</v>
      </c>
      <c r="G19" s="137" t="str">
        <f t="shared" si="3"/>
        <v>NA</v>
      </c>
      <c r="H19" s="137" t="str">
        <f t="shared" si="4"/>
        <v>NA</v>
      </c>
      <c r="I19" s="137" t="str">
        <f t="shared" si="5"/>
        <v>NA</v>
      </c>
      <c r="J19" s="137" t="str">
        <f t="shared" si="6"/>
        <v>NA</v>
      </c>
      <c r="K19" s="137" t="str">
        <f t="shared" si="7"/>
        <v>NA</v>
      </c>
      <c r="L19" s="137" t="str">
        <f t="shared" si="8"/>
        <v>NA</v>
      </c>
      <c r="M19" s="137" t="str">
        <f t="shared" si="9"/>
        <v>NA</v>
      </c>
      <c r="N19" s="137" t="str">
        <f t="shared" si="10"/>
        <v>NA</v>
      </c>
      <c r="O19" s="137" t="str">
        <f t="shared" si="11"/>
        <v>NA</v>
      </c>
      <c r="P19" s="137" t="str">
        <f t="shared" si="12"/>
        <v>NA</v>
      </c>
      <c r="Q19" s="137" t="str">
        <f t="shared" si="13"/>
        <v>NA</v>
      </c>
      <c r="R19" s="147" t="str">
        <f t="shared" si="14"/>
        <v>NA</v>
      </c>
      <c r="S19" s="448">
        <f t="shared" si="15"/>
        <v>0</v>
      </c>
      <c r="T19" s="137" t="str">
        <f t="shared" si="16"/>
        <v>NA</v>
      </c>
      <c r="U19" s="137" t="str">
        <f t="shared" si="17"/>
        <v>NA</v>
      </c>
      <c r="V19" s="137" t="str">
        <f t="shared" si="18"/>
        <v>NA</v>
      </c>
      <c r="W19" s="137" t="str">
        <f t="shared" si="19"/>
        <v>NA</v>
      </c>
      <c r="X19" s="137" t="str">
        <f t="shared" si="20"/>
        <v>NA</v>
      </c>
      <c r="Y19" s="137" t="str">
        <f t="shared" si="21"/>
        <v>NA</v>
      </c>
      <c r="Z19" s="137" t="str">
        <f t="shared" si="22"/>
        <v>NA</v>
      </c>
      <c r="AA19" s="137" t="str">
        <f t="shared" si="23"/>
        <v>NA</v>
      </c>
      <c r="AB19" s="137" t="str">
        <f t="shared" si="24"/>
        <v>NA</v>
      </c>
      <c r="AC19" s="137" t="str">
        <f t="shared" si="25"/>
        <v>NA</v>
      </c>
      <c r="AD19" s="137" t="str">
        <f t="shared" si="26"/>
        <v>NA</v>
      </c>
      <c r="AE19" s="137" t="str">
        <f t="shared" si="27"/>
        <v>NA</v>
      </c>
      <c r="AF19" s="137" t="str">
        <f t="shared" si="28"/>
        <v>NA</v>
      </c>
      <c r="AG19" s="138" t="str">
        <f t="shared" si="29"/>
        <v>NA</v>
      </c>
      <c r="AH19" s="419" t="str">
        <f t="shared" ref="AH19:AH38" si="45">IF(D19=0,"NA",S19/D19-1)</f>
        <v>NA</v>
      </c>
      <c r="AI19" s="420" t="str">
        <f t="shared" ref="AI19:AI38" si="46">IF(D19=0,"NA",T19/E19-1)</f>
        <v>NA</v>
      </c>
      <c r="AJ19" s="421" t="str">
        <f t="shared" ref="AJ19:AJ38" si="47">IF(D19=0,"NA",U19/F19-1)</f>
        <v>NA</v>
      </c>
      <c r="AK19" s="421" t="str">
        <f t="shared" ref="AK19:AK38" si="48">IF(D19=0,"NA",V19/G19-1)</f>
        <v>NA</v>
      </c>
      <c r="AL19" s="421" t="str">
        <f t="shared" ref="AL19:AL38" si="49">IF(D19=0,"NA",W19/H19-1)</f>
        <v>NA</v>
      </c>
      <c r="AM19" s="421" t="str">
        <f t="shared" ref="AM19:AM38" si="50">IF(D19=0,"NA",X19/I19-1)</f>
        <v>NA</v>
      </c>
      <c r="AN19" s="421" t="str">
        <f t="shared" ref="AN19:AN38" si="51">IF(D19=0,"NA",Y19/J19-1)</f>
        <v>NA</v>
      </c>
      <c r="AO19" s="421" t="str">
        <f t="shared" ref="AO19:AO38" si="52">IF(D19=0,"NA",Z19/K19-1)</f>
        <v>NA</v>
      </c>
      <c r="AP19" s="421" t="str">
        <f t="shared" ref="AP19:AP38" si="53">IF(D19=0,"NA",AA19/L19-1)</f>
        <v>NA</v>
      </c>
      <c r="AQ19" s="421" t="str">
        <f t="shared" ref="AQ19:AQ38" si="54">IF(D19=0,"NA",AB19/M19-1)</f>
        <v>NA</v>
      </c>
      <c r="AR19" s="422" t="str">
        <f t="shared" ref="AR19:AR38" si="55">IF(D19=0,"NA",AC19/N19-1)</f>
        <v>NA</v>
      </c>
      <c r="AS19" s="422" t="str">
        <f t="shared" ref="AS19:AS38" si="56">IF(D19=0,"NA",AD19/O19-1)</f>
        <v>NA</v>
      </c>
      <c r="AT19" s="422" t="str">
        <f t="shared" ref="AT19:AT38" si="57">IF(D19=0,"NA",AE19/P19-1)</f>
        <v>NA</v>
      </c>
      <c r="AU19" s="422" t="str">
        <f t="shared" ref="AU19:AU38" si="58">IF(D19=0,"NA",AF19/Q19-1)</f>
        <v>NA</v>
      </c>
      <c r="AV19" s="423" t="str">
        <f t="shared" ref="AV19:AV38" si="59">IF(D19=0,"NA",AG19/R19-1)</f>
        <v>NA</v>
      </c>
    </row>
    <row r="20" spans="2:48" x14ac:dyDescent="0.25">
      <c r="B20" s="148">
        <v>113</v>
      </c>
      <c r="C20" s="151" t="str">
        <f>_xlfn.XLOOKUP(B20, LgProvEntOrgIDs[Advanced Network/Insurer Carrier Org ID], LgProvEntOrgIDs[Advanced Network/Insurance Carrier Overall])</f>
        <v>CIFC Greater Danbury Community Health Center</v>
      </c>
      <c r="D20" s="448">
        <f t="shared" si="0"/>
        <v>0</v>
      </c>
      <c r="E20" s="137" t="str">
        <f t="shared" si="1"/>
        <v>NA</v>
      </c>
      <c r="F20" s="137" t="str">
        <f t="shared" si="2"/>
        <v>NA</v>
      </c>
      <c r="G20" s="137" t="str">
        <f t="shared" si="3"/>
        <v>NA</v>
      </c>
      <c r="H20" s="137" t="str">
        <f t="shared" si="4"/>
        <v>NA</v>
      </c>
      <c r="I20" s="137" t="str">
        <f t="shared" si="5"/>
        <v>NA</v>
      </c>
      <c r="J20" s="137" t="str">
        <f t="shared" si="6"/>
        <v>NA</v>
      </c>
      <c r="K20" s="137" t="str">
        <f t="shared" si="7"/>
        <v>NA</v>
      </c>
      <c r="L20" s="137" t="str">
        <f t="shared" si="8"/>
        <v>NA</v>
      </c>
      <c r="M20" s="137" t="str">
        <f t="shared" si="9"/>
        <v>NA</v>
      </c>
      <c r="N20" s="137" t="str">
        <f t="shared" si="10"/>
        <v>NA</v>
      </c>
      <c r="O20" s="137" t="str">
        <f t="shared" si="11"/>
        <v>NA</v>
      </c>
      <c r="P20" s="137" t="str">
        <f t="shared" si="12"/>
        <v>NA</v>
      </c>
      <c r="Q20" s="137" t="str">
        <f t="shared" si="13"/>
        <v>NA</v>
      </c>
      <c r="R20" s="147" t="str">
        <f t="shared" si="14"/>
        <v>NA</v>
      </c>
      <c r="S20" s="448">
        <f t="shared" si="15"/>
        <v>0</v>
      </c>
      <c r="T20" s="137" t="str">
        <f t="shared" si="16"/>
        <v>NA</v>
      </c>
      <c r="U20" s="137" t="str">
        <f t="shared" si="17"/>
        <v>NA</v>
      </c>
      <c r="V20" s="137" t="str">
        <f t="shared" si="18"/>
        <v>NA</v>
      </c>
      <c r="W20" s="137" t="str">
        <f t="shared" si="19"/>
        <v>NA</v>
      </c>
      <c r="X20" s="137" t="str">
        <f t="shared" si="20"/>
        <v>NA</v>
      </c>
      <c r="Y20" s="137" t="str">
        <f t="shared" si="21"/>
        <v>NA</v>
      </c>
      <c r="Z20" s="137" t="str">
        <f t="shared" si="22"/>
        <v>NA</v>
      </c>
      <c r="AA20" s="137" t="str">
        <f t="shared" si="23"/>
        <v>NA</v>
      </c>
      <c r="AB20" s="137" t="str">
        <f t="shared" si="24"/>
        <v>NA</v>
      </c>
      <c r="AC20" s="137" t="str">
        <f t="shared" si="25"/>
        <v>NA</v>
      </c>
      <c r="AD20" s="137" t="str">
        <f t="shared" si="26"/>
        <v>NA</v>
      </c>
      <c r="AE20" s="137" t="str">
        <f t="shared" si="27"/>
        <v>NA</v>
      </c>
      <c r="AF20" s="137" t="str">
        <f t="shared" si="28"/>
        <v>NA</v>
      </c>
      <c r="AG20" s="138" t="str">
        <f t="shared" si="29"/>
        <v>NA</v>
      </c>
      <c r="AH20" s="419" t="str">
        <f t="shared" si="45"/>
        <v>NA</v>
      </c>
      <c r="AI20" s="420" t="str">
        <f t="shared" si="46"/>
        <v>NA</v>
      </c>
      <c r="AJ20" s="421" t="str">
        <f t="shared" si="47"/>
        <v>NA</v>
      </c>
      <c r="AK20" s="421" t="str">
        <f t="shared" si="48"/>
        <v>NA</v>
      </c>
      <c r="AL20" s="421" t="str">
        <f t="shared" si="49"/>
        <v>NA</v>
      </c>
      <c r="AM20" s="421" t="str">
        <f t="shared" si="50"/>
        <v>NA</v>
      </c>
      <c r="AN20" s="421" t="str">
        <f t="shared" si="51"/>
        <v>NA</v>
      </c>
      <c r="AO20" s="421" t="str">
        <f t="shared" si="52"/>
        <v>NA</v>
      </c>
      <c r="AP20" s="421" t="str">
        <f t="shared" si="53"/>
        <v>NA</v>
      </c>
      <c r="AQ20" s="421" t="str">
        <f t="shared" si="54"/>
        <v>NA</v>
      </c>
      <c r="AR20" s="422" t="str">
        <f t="shared" si="55"/>
        <v>NA</v>
      </c>
      <c r="AS20" s="422" t="str">
        <f t="shared" si="56"/>
        <v>NA</v>
      </c>
      <c r="AT20" s="422" t="str">
        <f t="shared" si="57"/>
        <v>NA</v>
      </c>
      <c r="AU20" s="422" t="str">
        <f t="shared" si="58"/>
        <v>NA</v>
      </c>
      <c r="AV20" s="423" t="str">
        <f t="shared" si="59"/>
        <v>NA</v>
      </c>
    </row>
    <row r="21" spans="2:48" ht="30" x14ac:dyDescent="0.25">
      <c r="B21" s="148">
        <v>114</v>
      </c>
      <c r="C21" s="151" t="str">
        <f>_xlfn.XLOOKUP(B21, LgProvEntOrgIDs[Advanced Network/Insurer Carrier Org ID], LgProvEntOrgIDs[Advanced Network/Insurance Carrier Overall])</f>
        <v>Community Health and Wellness Center of Greater Torrington</v>
      </c>
      <c r="D21" s="448">
        <f t="shared" si="0"/>
        <v>0</v>
      </c>
      <c r="E21" s="137" t="str">
        <f t="shared" si="1"/>
        <v>NA</v>
      </c>
      <c r="F21" s="137" t="str">
        <f t="shared" si="2"/>
        <v>NA</v>
      </c>
      <c r="G21" s="137" t="str">
        <f t="shared" si="3"/>
        <v>NA</v>
      </c>
      <c r="H21" s="137" t="str">
        <f t="shared" si="4"/>
        <v>NA</v>
      </c>
      <c r="I21" s="137" t="str">
        <f t="shared" si="5"/>
        <v>NA</v>
      </c>
      <c r="J21" s="137" t="str">
        <f t="shared" si="6"/>
        <v>NA</v>
      </c>
      <c r="K21" s="137" t="str">
        <f t="shared" si="7"/>
        <v>NA</v>
      </c>
      <c r="L21" s="137" t="str">
        <f t="shared" si="8"/>
        <v>NA</v>
      </c>
      <c r="M21" s="137" t="str">
        <f t="shared" si="9"/>
        <v>NA</v>
      </c>
      <c r="N21" s="137" t="str">
        <f t="shared" si="10"/>
        <v>NA</v>
      </c>
      <c r="O21" s="137" t="str">
        <f t="shared" si="11"/>
        <v>NA</v>
      </c>
      <c r="P21" s="137" t="str">
        <f t="shared" si="12"/>
        <v>NA</v>
      </c>
      <c r="Q21" s="137" t="str">
        <f t="shared" si="13"/>
        <v>NA</v>
      </c>
      <c r="R21" s="147" t="str">
        <f t="shared" si="14"/>
        <v>NA</v>
      </c>
      <c r="S21" s="448">
        <f t="shared" si="15"/>
        <v>0</v>
      </c>
      <c r="T21" s="137" t="str">
        <f t="shared" si="16"/>
        <v>NA</v>
      </c>
      <c r="U21" s="137" t="str">
        <f t="shared" si="17"/>
        <v>NA</v>
      </c>
      <c r="V21" s="137" t="str">
        <f t="shared" si="18"/>
        <v>NA</v>
      </c>
      <c r="W21" s="137" t="str">
        <f t="shared" si="19"/>
        <v>NA</v>
      </c>
      <c r="X21" s="137" t="str">
        <f t="shared" si="20"/>
        <v>NA</v>
      </c>
      <c r="Y21" s="137" t="str">
        <f t="shared" si="21"/>
        <v>NA</v>
      </c>
      <c r="Z21" s="137" t="str">
        <f t="shared" si="22"/>
        <v>NA</v>
      </c>
      <c r="AA21" s="137" t="str">
        <f t="shared" si="23"/>
        <v>NA</v>
      </c>
      <c r="AB21" s="137" t="str">
        <f t="shared" si="24"/>
        <v>NA</v>
      </c>
      <c r="AC21" s="137" t="str">
        <f t="shared" si="25"/>
        <v>NA</v>
      </c>
      <c r="AD21" s="137" t="str">
        <f t="shared" si="26"/>
        <v>NA</v>
      </c>
      <c r="AE21" s="137" t="str">
        <f t="shared" si="27"/>
        <v>NA</v>
      </c>
      <c r="AF21" s="137" t="str">
        <f t="shared" si="28"/>
        <v>NA</v>
      </c>
      <c r="AG21" s="138" t="str">
        <f t="shared" si="29"/>
        <v>NA</v>
      </c>
      <c r="AH21" s="419" t="str">
        <f t="shared" si="45"/>
        <v>NA</v>
      </c>
      <c r="AI21" s="420" t="str">
        <f t="shared" si="46"/>
        <v>NA</v>
      </c>
      <c r="AJ21" s="421" t="str">
        <f t="shared" si="47"/>
        <v>NA</v>
      </c>
      <c r="AK21" s="421" t="str">
        <f t="shared" si="48"/>
        <v>NA</v>
      </c>
      <c r="AL21" s="421" t="str">
        <f t="shared" si="49"/>
        <v>NA</v>
      </c>
      <c r="AM21" s="421" t="str">
        <f t="shared" si="50"/>
        <v>NA</v>
      </c>
      <c r="AN21" s="421" t="str">
        <f t="shared" si="51"/>
        <v>NA</v>
      </c>
      <c r="AO21" s="421" t="str">
        <f t="shared" si="52"/>
        <v>NA</v>
      </c>
      <c r="AP21" s="421" t="str">
        <f t="shared" si="53"/>
        <v>NA</v>
      </c>
      <c r="AQ21" s="421" t="str">
        <f t="shared" si="54"/>
        <v>NA</v>
      </c>
      <c r="AR21" s="422" t="str">
        <f t="shared" si="55"/>
        <v>NA</v>
      </c>
      <c r="AS21" s="422" t="str">
        <f t="shared" si="56"/>
        <v>NA</v>
      </c>
      <c r="AT21" s="422" t="str">
        <f t="shared" si="57"/>
        <v>NA</v>
      </c>
      <c r="AU21" s="422" t="str">
        <f t="shared" si="58"/>
        <v>NA</v>
      </c>
      <c r="AV21" s="423" t="str">
        <f t="shared" si="59"/>
        <v>NA</v>
      </c>
    </row>
    <row r="22" spans="2:48" x14ac:dyDescent="0.25">
      <c r="B22" s="148">
        <v>115</v>
      </c>
      <c r="C22" s="151" t="str">
        <f>_xlfn.XLOOKUP(B22, LgProvEntOrgIDs[Advanced Network/Insurer Carrier Org ID], LgProvEntOrgIDs[Advanced Network/Insurance Carrier Overall])</f>
        <v>Community Health Center</v>
      </c>
      <c r="D22" s="448">
        <f t="shared" si="0"/>
        <v>0</v>
      </c>
      <c r="E22" s="137" t="str">
        <f t="shared" si="1"/>
        <v>NA</v>
      </c>
      <c r="F22" s="137" t="str">
        <f t="shared" si="2"/>
        <v>NA</v>
      </c>
      <c r="G22" s="137" t="str">
        <f t="shared" si="3"/>
        <v>NA</v>
      </c>
      <c r="H22" s="137" t="str">
        <f t="shared" si="4"/>
        <v>NA</v>
      </c>
      <c r="I22" s="137" t="str">
        <f t="shared" si="5"/>
        <v>NA</v>
      </c>
      <c r="J22" s="137" t="str">
        <f t="shared" si="6"/>
        <v>NA</v>
      </c>
      <c r="K22" s="137" t="str">
        <f t="shared" si="7"/>
        <v>NA</v>
      </c>
      <c r="L22" s="137" t="str">
        <f t="shared" si="8"/>
        <v>NA</v>
      </c>
      <c r="M22" s="137" t="str">
        <f t="shared" si="9"/>
        <v>NA</v>
      </c>
      <c r="N22" s="137" t="str">
        <f t="shared" si="10"/>
        <v>NA</v>
      </c>
      <c r="O22" s="137" t="str">
        <f t="shared" si="11"/>
        <v>NA</v>
      </c>
      <c r="P22" s="137" t="str">
        <f t="shared" si="12"/>
        <v>NA</v>
      </c>
      <c r="Q22" s="137" t="str">
        <f t="shared" si="13"/>
        <v>NA</v>
      </c>
      <c r="R22" s="147" t="str">
        <f t="shared" si="14"/>
        <v>NA</v>
      </c>
      <c r="S22" s="448">
        <f t="shared" si="15"/>
        <v>0</v>
      </c>
      <c r="T22" s="137" t="str">
        <f t="shared" si="16"/>
        <v>NA</v>
      </c>
      <c r="U22" s="137" t="str">
        <f t="shared" si="17"/>
        <v>NA</v>
      </c>
      <c r="V22" s="137" t="str">
        <f t="shared" si="18"/>
        <v>NA</v>
      </c>
      <c r="W22" s="137" t="str">
        <f t="shared" si="19"/>
        <v>NA</v>
      </c>
      <c r="X22" s="137" t="str">
        <f t="shared" si="20"/>
        <v>NA</v>
      </c>
      <c r="Y22" s="137" t="str">
        <f t="shared" si="21"/>
        <v>NA</v>
      </c>
      <c r="Z22" s="137" t="str">
        <f t="shared" si="22"/>
        <v>NA</v>
      </c>
      <c r="AA22" s="137" t="str">
        <f t="shared" si="23"/>
        <v>NA</v>
      </c>
      <c r="AB22" s="137" t="str">
        <f t="shared" si="24"/>
        <v>NA</v>
      </c>
      <c r="AC22" s="137" t="str">
        <f t="shared" si="25"/>
        <v>NA</v>
      </c>
      <c r="AD22" s="137" t="str">
        <f t="shared" si="26"/>
        <v>NA</v>
      </c>
      <c r="AE22" s="137" t="str">
        <f t="shared" si="27"/>
        <v>NA</v>
      </c>
      <c r="AF22" s="137" t="str">
        <f t="shared" si="28"/>
        <v>NA</v>
      </c>
      <c r="AG22" s="138" t="str">
        <f t="shared" si="29"/>
        <v>NA</v>
      </c>
      <c r="AH22" s="419" t="str">
        <f t="shared" si="45"/>
        <v>NA</v>
      </c>
      <c r="AI22" s="420" t="str">
        <f t="shared" si="46"/>
        <v>NA</v>
      </c>
      <c r="AJ22" s="421" t="str">
        <f t="shared" si="47"/>
        <v>NA</v>
      </c>
      <c r="AK22" s="421" t="str">
        <f t="shared" si="48"/>
        <v>NA</v>
      </c>
      <c r="AL22" s="421" t="str">
        <f t="shared" si="49"/>
        <v>NA</v>
      </c>
      <c r="AM22" s="421" t="str">
        <f t="shared" si="50"/>
        <v>NA</v>
      </c>
      <c r="AN22" s="421" t="str">
        <f t="shared" si="51"/>
        <v>NA</v>
      </c>
      <c r="AO22" s="421" t="str">
        <f t="shared" si="52"/>
        <v>NA</v>
      </c>
      <c r="AP22" s="421" t="str">
        <f t="shared" si="53"/>
        <v>NA</v>
      </c>
      <c r="AQ22" s="421" t="str">
        <f t="shared" si="54"/>
        <v>NA</v>
      </c>
      <c r="AR22" s="422" t="str">
        <f t="shared" si="55"/>
        <v>NA</v>
      </c>
      <c r="AS22" s="422" t="str">
        <f t="shared" si="56"/>
        <v>NA</v>
      </c>
      <c r="AT22" s="422" t="str">
        <f t="shared" si="57"/>
        <v>NA</v>
      </c>
      <c r="AU22" s="422" t="str">
        <f t="shared" si="58"/>
        <v>NA</v>
      </c>
      <c r="AV22" s="423" t="str">
        <f t="shared" si="59"/>
        <v>NA</v>
      </c>
    </row>
    <row r="23" spans="2:48" x14ac:dyDescent="0.25">
      <c r="B23" s="148">
        <v>116</v>
      </c>
      <c r="C23" s="151" t="str">
        <f>_xlfn.XLOOKUP(B23, LgProvEntOrgIDs[Advanced Network/Insurer Carrier Org ID], LgProvEntOrgIDs[Advanced Network/Insurance Carrier Overall])</f>
        <v>Community Health Services</v>
      </c>
      <c r="D23" s="448">
        <f t="shared" si="0"/>
        <v>0</v>
      </c>
      <c r="E23" s="137" t="str">
        <f t="shared" si="1"/>
        <v>NA</v>
      </c>
      <c r="F23" s="137" t="str">
        <f t="shared" si="2"/>
        <v>NA</v>
      </c>
      <c r="G23" s="137" t="str">
        <f t="shared" si="3"/>
        <v>NA</v>
      </c>
      <c r="H23" s="137" t="str">
        <f t="shared" si="4"/>
        <v>NA</v>
      </c>
      <c r="I23" s="137" t="str">
        <f t="shared" si="5"/>
        <v>NA</v>
      </c>
      <c r="J23" s="137" t="str">
        <f t="shared" si="6"/>
        <v>NA</v>
      </c>
      <c r="K23" s="137" t="str">
        <f t="shared" si="7"/>
        <v>NA</v>
      </c>
      <c r="L23" s="137" t="str">
        <f t="shared" si="8"/>
        <v>NA</v>
      </c>
      <c r="M23" s="137" t="str">
        <f t="shared" si="9"/>
        <v>NA</v>
      </c>
      <c r="N23" s="137" t="str">
        <f t="shared" si="10"/>
        <v>NA</v>
      </c>
      <c r="O23" s="137" t="str">
        <f t="shared" si="11"/>
        <v>NA</v>
      </c>
      <c r="P23" s="137" t="str">
        <f t="shared" si="12"/>
        <v>NA</v>
      </c>
      <c r="Q23" s="137" t="str">
        <f t="shared" si="13"/>
        <v>NA</v>
      </c>
      <c r="R23" s="147" t="str">
        <f t="shared" si="14"/>
        <v>NA</v>
      </c>
      <c r="S23" s="448">
        <f t="shared" si="15"/>
        <v>0</v>
      </c>
      <c r="T23" s="137" t="str">
        <f t="shared" si="16"/>
        <v>NA</v>
      </c>
      <c r="U23" s="137" t="str">
        <f t="shared" si="17"/>
        <v>NA</v>
      </c>
      <c r="V23" s="137" t="str">
        <f t="shared" si="18"/>
        <v>NA</v>
      </c>
      <c r="W23" s="137" t="str">
        <f t="shared" si="19"/>
        <v>NA</v>
      </c>
      <c r="X23" s="137" t="str">
        <f t="shared" si="20"/>
        <v>NA</v>
      </c>
      <c r="Y23" s="137" t="str">
        <f t="shared" si="21"/>
        <v>NA</v>
      </c>
      <c r="Z23" s="137" t="str">
        <f t="shared" si="22"/>
        <v>NA</v>
      </c>
      <c r="AA23" s="137" t="str">
        <f t="shared" si="23"/>
        <v>NA</v>
      </c>
      <c r="AB23" s="137" t="str">
        <f t="shared" si="24"/>
        <v>NA</v>
      </c>
      <c r="AC23" s="137" t="str">
        <f t="shared" si="25"/>
        <v>NA</v>
      </c>
      <c r="AD23" s="137" t="str">
        <f t="shared" si="26"/>
        <v>NA</v>
      </c>
      <c r="AE23" s="137" t="str">
        <f t="shared" si="27"/>
        <v>NA</v>
      </c>
      <c r="AF23" s="137" t="str">
        <f t="shared" si="28"/>
        <v>NA</v>
      </c>
      <c r="AG23" s="138" t="str">
        <f t="shared" si="29"/>
        <v>NA</v>
      </c>
      <c r="AH23" s="419" t="str">
        <f t="shared" si="45"/>
        <v>NA</v>
      </c>
      <c r="AI23" s="420" t="str">
        <f t="shared" si="46"/>
        <v>NA</v>
      </c>
      <c r="AJ23" s="421" t="str">
        <f t="shared" si="47"/>
        <v>NA</v>
      </c>
      <c r="AK23" s="421" t="str">
        <f t="shared" si="48"/>
        <v>NA</v>
      </c>
      <c r="AL23" s="421" t="str">
        <f t="shared" si="49"/>
        <v>NA</v>
      </c>
      <c r="AM23" s="421" t="str">
        <f t="shared" si="50"/>
        <v>NA</v>
      </c>
      <c r="AN23" s="421" t="str">
        <f t="shared" si="51"/>
        <v>NA</v>
      </c>
      <c r="AO23" s="421" t="str">
        <f t="shared" si="52"/>
        <v>NA</v>
      </c>
      <c r="AP23" s="421" t="str">
        <f t="shared" si="53"/>
        <v>NA</v>
      </c>
      <c r="AQ23" s="421" t="str">
        <f t="shared" si="54"/>
        <v>NA</v>
      </c>
      <c r="AR23" s="422" t="str">
        <f t="shared" si="55"/>
        <v>NA</v>
      </c>
      <c r="AS23" s="422" t="str">
        <f t="shared" si="56"/>
        <v>NA</v>
      </c>
      <c r="AT23" s="422" t="str">
        <f t="shared" si="57"/>
        <v>NA</v>
      </c>
      <c r="AU23" s="422" t="str">
        <f t="shared" si="58"/>
        <v>NA</v>
      </c>
      <c r="AV23" s="423" t="str">
        <f t="shared" si="59"/>
        <v>NA</v>
      </c>
    </row>
    <row r="24" spans="2:48" x14ac:dyDescent="0.25">
      <c r="B24" s="148">
        <v>117</v>
      </c>
      <c r="C24" s="151" t="str">
        <f>_xlfn.XLOOKUP(B24, LgProvEntOrgIDs[Advanced Network/Insurer Carrier Org ID], LgProvEntOrgIDs[Advanced Network/Insurance Carrier Overall])</f>
        <v>Cornell Scott Hill Health Center</v>
      </c>
      <c r="D24" s="448">
        <f t="shared" si="0"/>
        <v>0</v>
      </c>
      <c r="E24" s="137" t="str">
        <f t="shared" si="1"/>
        <v>NA</v>
      </c>
      <c r="F24" s="137" t="str">
        <f t="shared" si="2"/>
        <v>NA</v>
      </c>
      <c r="G24" s="137" t="str">
        <f t="shared" si="3"/>
        <v>NA</v>
      </c>
      <c r="H24" s="137" t="str">
        <f t="shared" si="4"/>
        <v>NA</v>
      </c>
      <c r="I24" s="137" t="str">
        <f t="shared" si="5"/>
        <v>NA</v>
      </c>
      <c r="J24" s="137" t="str">
        <f t="shared" si="6"/>
        <v>NA</v>
      </c>
      <c r="K24" s="137" t="str">
        <f t="shared" si="7"/>
        <v>NA</v>
      </c>
      <c r="L24" s="137" t="str">
        <f t="shared" si="8"/>
        <v>NA</v>
      </c>
      <c r="M24" s="137" t="str">
        <f t="shared" si="9"/>
        <v>NA</v>
      </c>
      <c r="N24" s="137" t="str">
        <f t="shared" si="10"/>
        <v>NA</v>
      </c>
      <c r="O24" s="137" t="str">
        <f t="shared" si="11"/>
        <v>NA</v>
      </c>
      <c r="P24" s="137" t="str">
        <f t="shared" si="12"/>
        <v>NA</v>
      </c>
      <c r="Q24" s="137" t="str">
        <f t="shared" si="13"/>
        <v>NA</v>
      </c>
      <c r="R24" s="147" t="str">
        <f t="shared" si="14"/>
        <v>NA</v>
      </c>
      <c r="S24" s="448">
        <f t="shared" si="15"/>
        <v>0</v>
      </c>
      <c r="T24" s="137" t="str">
        <f t="shared" si="16"/>
        <v>NA</v>
      </c>
      <c r="U24" s="137" t="str">
        <f t="shared" si="17"/>
        <v>NA</v>
      </c>
      <c r="V24" s="137" t="str">
        <f t="shared" si="18"/>
        <v>NA</v>
      </c>
      <c r="W24" s="137" t="str">
        <f t="shared" si="19"/>
        <v>NA</v>
      </c>
      <c r="X24" s="137" t="str">
        <f t="shared" si="20"/>
        <v>NA</v>
      </c>
      <c r="Y24" s="137" t="str">
        <f t="shared" si="21"/>
        <v>NA</v>
      </c>
      <c r="Z24" s="137" t="str">
        <f t="shared" si="22"/>
        <v>NA</v>
      </c>
      <c r="AA24" s="137" t="str">
        <f t="shared" si="23"/>
        <v>NA</v>
      </c>
      <c r="AB24" s="137" t="str">
        <f t="shared" si="24"/>
        <v>NA</v>
      </c>
      <c r="AC24" s="137" t="str">
        <f t="shared" si="25"/>
        <v>NA</v>
      </c>
      <c r="AD24" s="137" t="str">
        <f t="shared" si="26"/>
        <v>NA</v>
      </c>
      <c r="AE24" s="137" t="str">
        <f t="shared" si="27"/>
        <v>NA</v>
      </c>
      <c r="AF24" s="137" t="str">
        <f t="shared" si="28"/>
        <v>NA</v>
      </c>
      <c r="AG24" s="138" t="str">
        <f t="shared" si="29"/>
        <v>NA</v>
      </c>
      <c r="AH24" s="419" t="str">
        <f t="shared" si="45"/>
        <v>NA</v>
      </c>
      <c r="AI24" s="420" t="str">
        <f t="shared" si="46"/>
        <v>NA</v>
      </c>
      <c r="AJ24" s="421" t="str">
        <f t="shared" si="47"/>
        <v>NA</v>
      </c>
      <c r="AK24" s="421" t="str">
        <f t="shared" si="48"/>
        <v>NA</v>
      </c>
      <c r="AL24" s="421" t="str">
        <f t="shared" si="49"/>
        <v>NA</v>
      </c>
      <c r="AM24" s="421" t="str">
        <f t="shared" si="50"/>
        <v>NA</v>
      </c>
      <c r="AN24" s="421" t="str">
        <f t="shared" si="51"/>
        <v>NA</v>
      </c>
      <c r="AO24" s="421" t="str">
        <f t="shared" si="52"/>
        <v>NA</v>
      </c>
      <c r="AP24" s="421" t="str">
        <f t="shared" si="53"/>
        <v>NA</v>
      </c>
      <c r="AQ24" s="421" t="str">
        <f t="shared" si="54"/>
        <v>NA</v>
      </c>
      <c r="AR24" s="422" t="str">
        <f t="shared" si="55"/>
        <v>NA</v>
      </c>
      <c r="AS24" s="422" t="str">
        <f t="shared" si="56"/>
        <v>NA</v>
      </c>
      <c r="AT24" s="422" t="str">
        <f t="shared" si="57"/>
        <v>NA</v>
      </c>
      <c r="AU24" s="422" t="str">
        <f t="shared" si="58"/>
        <v>NA</v>
      </c>
      <c r="AV24" s="423" t="str">
        <f t="shared" si="59"/>
        <v>NA</v>
      </c>
    </row>
    <row r="25" spans="2:48" x14ac:dyDescent="0.25">
      <c r="B25" s="148">
        <v>118</v>
      </c>
      <c r="C25" s="151" t="str">
        <f>_xlfn.XLOOKUP(B25, LgProvEntOrgIDs[Advanced Network/Insurer Carrier Org ID], LgProvEntOrgIDs[Advanced Network/Insurance Carrier Overall])</f>
        <v>Fair Haven Community Health Center</v>
      </c>
      <c r="D25" s="448">
        <f t="shared" si="0"/>
        <v>0</v>
      </c>
      <c r="E25" s="137" t="str">
        <f t="shared" si="1"/>
        <v>NA</v>
      </c>
      <c r="F25" s="137" t="str">
        <f t="shared" si="2"/>
        <v>NA</v>
      </c>
      <c r="G25" s="137" t="str">
        <f t="shared" si="3"/>
        <v>NA</v>
      </c>
      <c r="H25" s="137" t="str">
        <f t="shared" si="4"/>
        <v>NA</v>
      </c>
      <c r="I25" s="137" t="str">
        <f t="shared" si="5"/>
        <v>NA</v>
      </c>
      <c r="J25" s="137" t="str">
        <f t="shared" si="6"/>
        <v>NA</v>
      </c>
      <c r="K25" s="137" t="str">
        <f t="shared" si="7"/>
        <v>NA</v>
      </c>
      <c r="L25" s="137" t="str">
        <f t="shared" si="8"/>
        <v>NA</v>
      </c>
      <c r="M25" s="137" t="str">
        <f t="shared" si="9"/>
        <v>NA</v>
      </c>
      <c r="N25" s="137" t="str">
        <f t="shared" si="10"/>
        <v>NA</v>
      </c>
      <c r="O25" s="137" t="str">
        <f t="shared" si="11"/>
        <v>NA</v>
      </c>
      <c r="P25" s="137" t="str">
        <f t="shared" si="12"/>
        <v>NA</v>
      </c>
      <c r="Q25" s="137" t="str">
        <f t="shared" si="13"/>
        <v>NA</v>
      </c>
      <c r="R25" s="147" t="str">
        <f t="shared" si="14"/>
        <v>NA</v>
      </c>
      <c r="S25" s="448">
        <f t="shared" si="15"/>
        <v>0</v>
      </c>
      <c r="T25" s="137" t="str">
        <f t="shared" si="16"/>
        <v>NA</v>
      </c>
      <c r="U25" s="137" t="str">
        <f t="shared" si="17"/>
        <v>NA</v>
      </c>
      <c r="V25" s="137" t="str">
        <f t="shared" si="18"/>
        <v>NA</v>
      </c>
      <c r="W25" s="137" t="str">
        <f t="shared" si="19"/>
        <v>NA</v>
      </c>
      <c r="X25" s="137" t="str">
        <f t="shared" si="20"/>
        <v>NA</v>
      </c>
      <c r="Y25" s="137" t="str">
        <f t="shared" si="21"/>
        <v>NA</v>
      </c>
      <c r="Z25" s="137" t="str">
        <f t="shared" si="22"/>
        <v>NA</v>
      </c>
      <c r="AA25" s="137" t="str">
        <f t="shared" si="23"/>
        <v>NA</v>
      </c>
      <c r="AB25" s="137" t="str">
        <f t="shared" si="24"/>
        <v>NA</v>
      </c>
      <c r="AC25" s="137" t="str">
        <f t="shared" si="25"/>
        <v>NA</v>
      </c>
      <c r="AD25" s="137" t="str">
        <f t="shared" si="26"/>
        <v>NA</v>
      </c>
      <c r="AE25" s="137" t="str">
        <f t="shared" si="27"/>
        <v>NA</v>
      </c>
      <c r="AF25" s="137" t="str">
        <f t="shared" si="28"/>
        <v>NA</v>
      </c>
      <c r="AG25" s="138" t="str">
        <f t="shared" si="29"/>
        <v>NA</v>
      </c>
      <c r="AH25" s="419" t="str">
        <f t="shared" si="45"/>
        <v>NA</v>
      </c>
      <c r="AI25" s="420" t="str">
        <f t="shared" si="46"/>
        <v>NA</v>
      </c>
      <c r="AJ25" s="421" t="str">
        <f t="shared" si="47"/>
        <v>NA</v>
      </c>
      <c r="AK25" s="421" t="str">
        <f t="shared" si="48"/>
        <v>NA</v>
      </c>
      <c r="AL25" s="421" t="str">
        <f t="shared" si="49"/>
        <v>NA</v>
      </c>
      <c r="AM25" s="421" t="str">
        <f t="shared" si="50"/>
        <v>NA</v>
      </c>
      <c r="AN25" s="421" t="str">
        <f t="shared" si="51"/>
        <v>NA</v>
      </c>
      <c r="AO25" s="421" t="str">
        <f t="shared" si="52"/>
        <v>NA</v>
      </c>
      <c r="AP25" s="421" t="str">
        <f t="shared" si="53"/>
        <v>NA</v>
      </c>
      <c r="AQ25" s="421" t="str">
        <f t="shared" si="54"/>
        <v>NA</v>
      </c>
      <c r="AR25" s="422" t="str">
        <f t="shared" si="55"/>
        <v>NA</v>
      </c>
      <c r="AS25" s="422" t="str">
        <f t="shared" si="56"/>
        <v>NA</v>
      </c>
      <c r="AT25" s="422" t="str">
        <f t="shared" si="57"/>
        <v>NA</v>
      </c>
      <c r="AU25" s="422" t="str">
        <f t="shared" si="58"/>
        <v>NA</v>
      </c>
      <c r="AV25" s="423" t="str">
        <f t="shared" si="59"/>
        <v>NA</v>
      </c>
    </row>
    <row r="26" spans="2:48" x14ac:dyDescent="0.25">
      <c r="B26" s="148">
        <v>119</v>
      </c>
      <c r="C26" s="151" t="str">
        <f>_xlfn.XLOOKUP(B26, LgProvEntOrgIDs[Advanced Network/Insurer Carrier Org ID], LgProvEntOrgIDs[Advanced Network/Insurance Carrier Overall])</f>
        <v>Family Centers</v>
      </c>
      <c r="D26" s="448">
        <f t="shared" si="0"/>
        <v>0</v>
      </c>
      <c r="E26" s="137" t="str">
        <f t="shared" si="1"/>
        <v>NA</v>
      </c>
      <c r="F26" s="137" t="str">
        <f t="shared" si="2"/>
        <v>NA</v>
      </c>
      <c r="G26" s="137" t="str">
        <f t="shared" si="3"/>
        <v>NA</v>
      </c>
      <c r="H26" s="137" t="str">
        <f t="shared" si="4"/>
        <v>NA</v>
      </c>
      <c r="I26" s="137" t="str">
        <f t="shared" si="5"/>
        <v>NA</v>
      </c>
      <c r="J26" s="137" t="str">
        <f t="shared" si="6"/>
        <v>NA</v>
      </c>
      <c r="K26" s="137" t="str">
        <f t="shared" si="7"/>
        <v>NA</v>
      </c>
      <c r="L26" s="137" t="str">
        <f t="shared" si="8"/>
        <v>NA</v>
      </c>
      <c r="M26" s="137" t="str">
        <f t="shared" si="9"/>
        <v>NA</v>
      </c>
      <c r="N26" s="137" t="str">
        <f t="shared" si="10"/>
        <v>NA</v>
      </c>
      <c r="O26" s="137" t="str">
        <f t="shared" si="11"/>
        <v>NA</v>
      </c>
      <c r="P26" s="137" t="str">
        <f t="shared" si="12"/>
        <v>NA</v>
      </c>
      <c r="Q26" s="137" t="str">
        <f t="shared" si="13"/>
        <v>NA</v>
      </c>
      <c r="R26" s="147" t="str">
        <f t="shared" si="14"/>
        <v>NA</v>
      </c>
      <c r="S26" s="448">
        <f t="shared" si="15"/>
        <v>0</v>
      </c>
      <c r="T26" s="137" t="str">
        <f t="shared" si="16"/>
        <v>NA</v>
      </c>
      <c r="U26" s="137" t="str">
        <f t="shared" si="17"/>
        <v>NA</v>
      </c>
      <c r="V26" s="137" t="str">
        <f t="shared" si="18"/>
        <v>NA</v>
      </c>
      <c r="W26" s="137" t="str">
        <f t="shared" si="19"/>
        <v>NA</v>
      </c>
      <c r="X26" s="137" t="str">
        <f t="shared" si="20"/>
        <v>NA</v>
      </c>
      <c r="Y26" s="137" t="str">
        <f t="shared" si="21"/>
        <v>NA</v>
      </c>
      <c r="Z26" s="137" t="str">
        <f t="shared" si="22"/>
        <v>NA</v>
      </c>
      <c r="AA26" s="137" t="str">
        <f t="shared" si="23"/>
        <v>NA</v>
      </c>
      <c r="AB26" s="137" t="str">
        <f t="shared" si="24"/>
        <v>NA</v>
      </c>
      <c r="AC26" s="137" t="str">
        <f t="shared" si="25"/>
        <v>NA</v>
      </c>
      <c r="AD26" s="137" t="str">
        <f t="shared" si="26"/>
        <v>NA</v>
      </c>
      <c r="AE26" s="137" t="str">
        <f t="shared" si="27"/>
        <v>NA</v>
      </c>
      <c r="AF26" s="137" t="str">
        <f t="shared" si="28"/>
        <v>NA</v>
      </c>
      <c r="AG26" s="138" t="str">
        <f t="shared" si="29"/>
        <v>NA</v>
      </c>
      <c r="AH26" s="419" t="str">
        <f t="shared" si="45"/>
        <v>NA</v>
      </c>
      <c r="AI26" s="420" t="str">
        <f t="shared" si="46"/>
        <v>NA</v>
      </c>
      <c r="AJ26" s="421" t="str">
        <f t="shared" si="47"/>
        <v>NA</v>
      </c>
      <c r="AK26" s="421" t="str">
        <f t="shared" si="48"/>
        <v>NA</v>
      </c>
      <c r="AL26" s="421" t="str">
        <f t="shared" si="49"/>
        <v>NA</v>
      </c>
      <c r="AM26" s="421" t="str">
        <f t="shared" si="50"/>
        <v>NA</v>
      </c>
      <c r="AN26" s="421" t="str">
        <f t="shared" si="51"/>
        <v>NA</v>
      </c>
      <c r="AO26" s="421" t="str">
        <f t="shared" si="52"/>
        <v>NA</v>
      </c>
      <c r="AP26" s="421" t="str">
        <f t="shared" si="53"/>
        <v>NA</v>
      </c>
      <c r="AQ26" s="421" t="str">
        <f t="shared" si="54"/>
        <v>NA</v>
      </c>
      <c r="AR26" s="422" t="str">
        <f t="shared" si="55"/>
        <v>NA</v>
      </c>
      <c r="AS26" s="422" t="str">
        <f t="shared" si="56"/>
        <v>NA</v>
      </c>
      <c r="AT26" s="422" t="str">
        <f t="shared" si="57"/>
        <v>NA</v>
      </c>
      <c r="AU26" s="422" t="str">
        <f t="shared" si="58"/>
        <v>NA</v>
      </c>
      <c r="AV26" s="423" t="str">
        <f t="shared" si="59"/>
        <v>NA</v>
      </c>
    </row>
    <row r="27" spans="2:48" x14ac:dyDescent="0.25">
      <c r="B27" s="148">
        <v>120</v>
      </c>
      <c r="C27" s="151" t="str">
        <f>_xlfn.XLOOKUP(B27, LgProvEntOrgIDs[Advanced Network/Insurer Carrier Org ID], LgProvEntOrgIDs[Advanced Network/Insurance Carrier Overall])</f>
        <v>First Choice Community Health Centers</v>
      </c>
      <c r="D27" s="448">
        <f t="shared" si="0"/>
        <v>0</v>
      </c>
      <c r="E27" s="137" t="str">
        <f t="shared" si="1"/>
        <v>NA</v>
      </c>
      <c r="F27" s="137" t="str">
        <f t="shared" si="2"/>
        <v>NA</v>
      </c>
      <c r="G27" s="137" t="str">
        <f t="shared" si="3"/>
        <v>NA</v>
      </c>
      <c r="H27" s="137" t="str">
        <f t="shared" si="4"/>
        <v>NA</v>
      </c>
      <c r="I27" s="137" t="str">
        <f t="shared" si="5"/>
        <v>NA</v>
      </c>
      <c r="J27" s="137" t="str">
        <f t="shared" si="6"/>
        <v>NA</v>
      </c>
      <c r="K27" s="137" t="str">
        <f t="shared" si="7"/>
        <v>NA</v>
      </c>
      <c r="L27" s="137" t="str">
        <f t="shared" si="8"/>
        <v>NA</v>
      </c>
      <c r="M27" s="137" t="str">
        <f t="shared" si="9"/>
        <v>NA</v>
      </c>
      <c r="N27" s="137" t="str">
        <f t="shared" si="10"/>
        <v>NA</v>
      </c>
      <c r="O27" s="137" t="str">
        <f t="shared" si="11"/>
        <v>NA</v>
      </c>
      <c r="P27" s="137" t="str">
        <f t="shared" si="12"/>
        <v>NA</v>
      </c>
      <c r="Q27" s="137" t="str">
        <f t="shared" si="13"/>
        <v>NA</v>
      </c>
      <c r="R27" s="147" t="str">
        <f t="shared" si="14"/>
        <v>NA</v>
      </c>
      <c r="S27" s="448">
        <f t="shared" si="15"/>
        <v>0</v>
      </c>
      <c r="T27" s="137" t="str">
        <f t="shared" si="16"/>
        <v>NA</v>
      </c>
      <c r="U27" s="137" t="str">
        <f t="shared" si="17"/>
        <v>NA</v>
      </c>
      <c r="V27" s="137" t="str">
        <f t="shared" si="18"/>
        <v>NA</v>
      </c>
      <c r="W27" s="137" t="str">
        <f t="shared" si="19"/>
        <v>NA</v>
      </c>
      <c r="X27" s="137" t="str">
        <f t="shared" si="20"/>
        <v>NA</v>
      </c>
      <c r="Y27" s="137" t="str">
        <f t="shared" si="21"/>
        <v>NA</v>
      </c>
      <c r="Z27" s="137" t="str">
        <f t="shared" si="22"/>
        <v>NA</v>
      </c>
      <c r="AA27" s="137" t="str">
        <f t="shared" si="23"/>
        <v>NA</v>
      </c>
      <c r="AB27" s="137" t="str">
        <f t="shared" si="24"/>
        <v>NA</v>
      </c>
      <c r="AC27" s="137" t="str">
        <f t="shared" si="25"/>
        <v>NA</v>
      </c>
      <c r="AD27" s="137" t="str">
        <f t="shared" si="26"/>
        <v>NA</v>
      </c>
      <c r="AE27" s="137" t="str">
        <f t="shared" si="27"/>
        <v>NA</v>
      </c>
      <c r="AF27" s="137" t="str">
        <f t="shared" si="28"/>
        <v>NA</v>
      </c>
      <c r="AG27" s="138" t="str">
        <f t="shared" si="29"/>
        <v>NA</v>
      </c>
      <c r="AH27" s="419" t="str">
        <f t="shared" si="45"/>
        <v>NA</v>
      </c>
      <c r="AI27" s="420" t="str">
        <f t="shared" si="46"/>
        <v>NA</v>
      </c>
      <c r="AJ27" s="421" t="str">
        <f t="shared" si="47"/>
        <v>NA</v>
      </c>
      <c r="AK27" s="421" t="str">
        <f t="shared" si="48"/>
        <v>NA</v>
      </c>
      <c r="AL27" s="421" t="str">
        <f t="shared" si="49"/>
        <v>NA</v>
      </c>
      <c r="AM27" s="421" t="str">
        <f t="shared" si="50"/>
        <v>NA</v>
      </c>
      <c r="AN27" s="421" t="str">
        <f t="shared" si="51"/>
        <v>NA</v>
      </c>
      <c r="AO27" s="421" t="str">
        <f t="shared" si="52"/>
        <v>NA</v>
      </c>
      <c r="AP27" s="421" t="str">
        <f t="shared" si="53"/>
        <v>NA</v>
      </c>
      <c r="AQ27" s="421" t="str">
        <f t="shared" si="54"/>
        <v>NA</v>
      </c>
      <c r="AR27" s="422" t="str">
        <f t="shared" si="55"/>
        <v>NA</v>
      </c>
      <c r="AS27" s="422" t="str">
        <f t="shared" si="56"/>
        <v>NA</v>
      </c>
      <c r="AT27" s="422" t="str">
        <f t="shared" si="57"/>
        <v>NA</v>
      </c>
      <c r="AU27" s="422" t="str">
        <f t="shared" si="58"/>
        <v>NA</v>
      </c>
      <c r="AV27" s="423" t="str">
        <f t="shared" si="59"/>
        <v>NA</v>
      </c>
    </row>
    <row r="28" spans="2:48" x14ac:dyDescent="0.25">
      <c r="B28" s="148">
        <v>121</v>
      </c>
      <c r="C28" s="151" t="str">
        <f>_xlfn.XLOOKUP(B28, LgProvEntOrgIDs[Advanced Network/Insurer Carrier Org ID], LgProvEntOrgIDs[Advanced Network/Insurance Carrier Overall])</f>
        <v>Generations Family Health Center</v>
      </c>
      <c r="D28" s="448">
        <f t="shared" si="0"/>
        <v>0</v>
      </c>
      <c r="E28" s="137" t="str">
        <f t="shared" si="1"/>
        <v>NA</v>
      </c>
      <c r="F28" s="137" t="str">
        <f t="shared" si="2"/>
        <v>NA</v>
      </c>
      <c r="G28" s="137" t="str">
        <f t="shared" si="3"/>
        <v>NA</v>
      </c>
      <c r="H28" s="137" t="str">
        <f t="shared" si="4"/>
        <v>NA</v>
      </c>
      <c r="I28" s="137" t="str">
        <f t="shared" si="5"/>
        <v>NA</v>
      </c>
      <c r="J28" s="137" t="str">
        <f t="shared" si="6"/>
        <v>NA</v>
      </c>
      <c r="K28" s="137" t="str">
        <f t="shared" si="7"/>
        <v>NA</v>
      </c>
      <c r="L28" s="137" t="str">
        <f t="shared" si="8"/>
        <v>NA</v>
      </c>
      <c r="M28" s="137" t="str">
        <f t="shared" si="9"/>
        <v>NA</v>
      </c>
      <c r="N28" s="137" t="str">
        <f t="shared" si="10"/>
        <v>NA</v>
      </c>
      <c r="O28" s="137" t="str">
        <f t="shared" si="11"/>
        <v>NA</v>
      </c>
      <c r="P28" s="137" t="str">
        <f t="shared" si="12"/>
        <v>NA</v>
      </c>
      <c r="Q28" s="137" t="str">
        <f t="shared" si="13"/>
        <v>NA</v>
      </c>
      <c r="R28" s="147" t="str">
        <f t="shared" si="14"/>
        <v>NA</v>
      </c>
      <c r="S28" s="448">
        <f t="shared" si="15"/>
        <v>0</v>
      </c>
      <c r="T28" s="137" t="str">
        <f t="shared" si="16"/>
        <v>NA</v>
      </c>
      <c r="U28" s="137" t="str">
        <f t="shared" si="17"/>
        <v>NA</v>
      </c>
      <c r="V28" s="137" t="str">
        <f t="shared" si="18"/>
        <v>NA</v>
      </c>
      <c r="W28" s="137" t="str">
        <f t="shared" si="19"/>
        <v>NA</v>
      </c>
      <c r="X28" s="137" t="str">
        <f t="shared" si="20"/>
        <v>NA</v>
      </c>
      <c r="Y28" s="137" t="str">
        <f t="shared" si="21"/>
        <v>NA</v>
      </c>
      <c r="Z28" s="137" t="str">
        <f t="shared" si="22"/>
        <v>NA</v>
      </c>
      <c r="AA28" s="137" t="str">
        <f t="shared" si="23"/>
        <v>NA</v>
      </c>
      <c r="AB28" s="137" t="str">
        <f t="shared" si="24"/>
        <v>NA</v>
      </c>
      <c r="AC28" s="137" t="str">
        <f t="shared" si="25"/>
        <v>NA</v>
      </c>
      <c r="AD28" s="137" t="str">
        <f t="shared" si="26"/>
        <v>NA</v>
      </c>
      <c r="AE28" s="137" t="str">
        <f t="shared" si="27"/>
        <v>NA</v>
      </c>
      <c r="AF28" s="137" t="str">
        <f t="shared" si="28"/>
        <v>NA</v>
      </c>
      <c r="AG28" s="138" t="str">
        <f t="shared" si="29"/>
        <v>NA</v>
      </c>
      <c r="AH28" s="419" t="str">
        <f t="shared" si="45"/>
        <v>NA</v>
      </c>
      <c r="AI28" s="420" t="str">
        <f t="shared" si="46"/>
        <v>NA</v>
      </c>
      <c r="AJ28" s="421" t="str">
        <f t="shared" si="47"/>
        <v>NA</v>
      </c>
      <c r="AK28" s="421" t="str">
        <f t="shared" si="48"/>
        <v>NA</v>
      </c>
      <c r="AL28" s="421" t="str">
        <f t="shared" si="49"/>
        <v>NA</v>
      </c>
      <c r="AM28" s="421" t="str">
        <f t="shared" si="50"/>
        <v>NA</v>
      </c>
      <c r="AN28" s="421" t="str">
        <f t="shared" si="51"/>
        <v>NA</v>
      </c>
      <c r="AO28" s="421" t="str">
        <f t="shared" si="52"/>
        <v>NA</v>
      </c>
      <c r="AP28" s="421" t="str">
        <f t="shared" si="53"/>
        <v>NA</v>
      </c>
      <c r="AQ28" s="421" t="str">
        <f t="shared" si="54"/>
        <v>NA</v>
      </c>
      <c r="AR28" s="422" t="str">
        <f t="shared" si="55"/>
        <v>NA</v>
      </c>
      <c r="AS28" s="422" t="str">
        <f t="shared" si="56"/>
        <v>NA</v>
      </c>
      <c r="AT28" s="422" t="str">
        <f t="shared" si="57"/>
        <v>NA</v>
      </c>
      <c r="AU28" s="422" t="str">
        <f t="shared" si="58"/>
        <v>NA</v>
      </c>
      <c r="AV28" s="423" t="str">
        <f t="shared" si="59"/>
        <v>NA</v>
      </c>
    </row>
    <row r="29" spans="2:48" x14ac:dyDescent="0.25">
      <c r="B29" s="148">
        <v>122</v>
      </c>
      <c r="C29" s="151" t="str">
        <f>_xlfn.XLOOKUP(B29, LgProvEntOrgIDs[Advanced Network/Insurer Carrier Org ID], LgProvEntOrgIDs[Advanced Network/Insurance Carrier Overall])</f>
        <v>Norwalk Community Health Center</v>
      </c>
      <c r="D29" s="448">
        <f t="shared" si="0"/>
        <v>0</v>
      </c>
      <c r="E29" s="137" t="str">
        <f t="shared" si="1"/>
        <v>NA</v>
      </c>
      <c r="F29" s="137" t="str">
        <f t="shared" si="2"/>
        <v>NA</v>
      </c>
      <c r="G29" s="137" t="str">
        <f t="shared" si="3"/>
        <v>NA</v>
      </c>
      <c r="H29" s="137" t="str">
        <f t="shared" si="4"/>
        <v>NA</v>
      </c>
      <c r="I29" s="137" t="str">
        <f t="shared" si="5"/>
        <v>NA</v>
      </c>
      <c r="J29" s="137" t="str">
        <f t="shared" si="6"/>
        <v>NA</v>
      </c>
      <c r="K29" s="137" t="str">
        <f t="shared" si="7"/>
        <v>NA</v>
      </c>
      <c r="L29" s="137" t="str">
        <f t="shared" si="8"/>
        <v>NA</v>
      </c>
      <c r="M29" s="137" t="str">
        <f t="shared" si="9"/>
        <v>NA</v>
      </c>
      <c r="N29" s="137" t="str">
        <f t="shared" si="10"/>
        <v>NA</v>
      </c>
      <c r="O29" s="137" t="str">
        <f t="shared" si="11"/>
        <v>NA</v>
      </c>
      <c r="P29" s="137" t="str">
        <f t="shared" si="12"/>
        <v>NA</v>
      </c>
      <c r="Q29" s="137" t="str">
        <f t="shared" si="13"/>
        <v>NA</v>
      </c>
      <c r="R29" s="147" t="str">
        <f t="shared" si="14"/>
        <v>NA</v>
      </c>
      <c r="S29" s="448">
        <f t="shared" si="15"/>
        <v>0</v>
      </c>
      <c r="T29" s="137" t="str">
        <f t="shared" si="16"/>
        <v>NA</v>
      </c>
      <c r="U29" s="137" t="str">
        <f t="shared" si="17"/>
        <v>NA</v>
      </c>
      <c r="V29" s="137" t="str">
        <f t="shared" si="18"/>
        <v>NA</v>
      </c>
      <c r="W29" s="137" t="str">
        <f t="shared" si="19"/>
        <v>NA</v>
      </c>
      <c r="X29" s="137" t="str">
        <f t="shared" si="20"/>
        <v>NA</v>
      </c>
      <c r="Y29" s="137" t="str">
        <f t="shared" si="21"/>
        <v>NA</v>
      </c>
      <c r="Z29" s="137" t="str">
        <f t="shared" si="22"/>
        <v>NA</v>
      </c>
      <c r="AA29" s="137" t="str">
        <f t="shared" si="23"/>
        <v>NA</v>
      </c>
      <c r="AB29" s="137" t="str">
        <f t="shared" si="24"/>
        <v>NA</v>
      </c>
      <c r="AC29" s="137" t="str">
        <f t="shared" si="25"/>
        <v>NA</v>
      </c>
      <c r="AD29" s="137" t="str">
        <f t="shared" si="26"/>
        <v>NA</v>
      </c>
      <c r="AE29" s="137" t="str">
        <f t="shared" si="27"/>
        <v>NA</v>
      </c>
      <c r="AF29" s="137" t="str">
        <f t="shared" si="28"/>
        <v>NA</v>
      </c>
      <c r="AG29" s="138" t="str">
        <f t="shared" si="29"/>
        <v>NA</v>
      </c>
      <c r="AH29" s="419" t="str">
        <f t="shared" si="45"/>
        <v>NA</v>
      </c>
      <c r="AI29" s="420" t="str">
        <f t="shared" si="46"/>
        <v>NA</v>
      </c>
      <c r="AJ29" s="421" t="str">
        <f t="shared" si="47"/>
        <v>NA</v>
      </c>
      <c r="AK29" s="421" t="str">
        <f t="shared" si="48"/>
        <v>NA</v>
      </c>
      <c r="AL29" s="421" t="str">
        <f t="shared" si="49"/>
        <v>NA</v>
      </c>
      <c r="AM29" s="421" t="str">
        <f t="shared" si="50"/>
        <v>NA</v>
      </c>
      <c r="AN29" s="421" t="str">
        <f t="shared" si="51"/>
        <v>NA</v>
      </c>
      <c r="AO29" s="421" t="str">
        <f t="shared" si="52"/>
        <v>NA</v>
      </c>
      <c r="AP29" s="421" t="str">
        <f t="shared" si="53"/>
        <v>NA</v>
      </c>
      <c r="AQ29" s="421" t="str">
        <f t="shared" si="54"/>
        <v>NA</v>
      </c>
      <c r="AR29" s="422" t="str">
        <f t="shared" si="55"/>
        <v>NA</v>
      </c>
      <c r="AS29" s="422" t="str">
        <f t="shared" si="56"/>
        <v>NA</v>
      </c>
      <c r="AT29" s="422" t="str">
        <f t="shared" si="57"/>
        <v>NA</v>
      </c>
      <c r="AU29" s="422" t="str">
        <f t="shared" si="58"/>
        <v>NA</v>
      </c>
      <c r="AV29" s="423" t="str">
        <f t="shared" si="59"/>
        <v>NA</v>
      </c>
    </row>
    <row r="30" spans="2:48" x14ac:dyDescent="0.25">
      <c r="B30" s="148">
        <v>123</v>
      </c>
      <c r="C30" s="151" t="str">
        <f>_xlfn.XLOOKUP(B30, LgProvEntOrgIDs[Advanced Network/Insurer Carrier Org ID], LgProvEntOrgIDs[Advanced Network/Insurance Carrier Overall])</f>
        <v>Optimus Health Care, Inc.</v>
      </c>
      <c r="D30" s="448">
        <f t="shared" si="0"/>
        <v>0</v>
      </c>
      <c r="E30" s="137" t="str">
        <f t="shared" si="1"/>
        <v>NA</v>
      </c>
      <c r="F30" s="137" t="str">
        <f t="shared" si="2"/>
        <v>NA</v>
      </c>
      <c r="G30" s="137" t="str">
        <f t="shared" si="3"/>
        <v>NA</v>
      </c>
      <c r="H30" s="137" t="str">
        <f t="shared" si="4"/>
        <v>NA</v>
      </c>
      <c r="I30" s="137" t="str">
        <f t="shared" si="5"/>
        <v>NA</v>
      </c>
      <c r="J30" s="137" t="str">
        <f t="shared" si="6"/>
        <v>NA</v>
      </c>
      <c r="K30" s="137" t="str">
        <f t="shared" si="7"/>
        <v>NA</v>
      </c>
      <c r="L30" s="137" t="str">
        <f t="shared" si="8"/>
        <v>NA</v>
      </c>
      <c r="M30" s="137" t="str">
        <f t="shared" si="9"/>
        <v>NA</v>
      </c>
      <c r="N30" s="137" t="str">
        <f t="shared" si="10"/>
        <v>NA</v>
      </c>
      <c r="O30" s="137" t="str">
        <f t="shared" si="11"/>
        <v>NA</v>
      </c>
      <c r="P30" s="137" t="str">
        <f t="shared" si="12"/>
        <v>NA</v>
      </c>
      <c r="Q30" s="137" t="str">
        <f t="shared" si="13"/>
        <v>NA</v>
      </c>
      <c r="R30" s="147" t="str">
        <f t="shared" si="14"/>
        <v>NA</v>
      </c>
      <c r="S30" s="448">
        <f t="shared" si="15"/>
        <v>0</v>
      </c>
      <c r="T30" s="137" t="str">
        <f t="shared" si="16"/>
        <v>NA</v>
      </c>
      <c r="U30" s="137" t="str">
        <f t="shared" si="17"/>
        <v>NA</v>
      </c>
      <c r="V30" s="137" t="str">
        <f t="shared" si="18"/>
        <v>NA</v>
      </c>
      <c r="W30" s="137" t="str">
        <f t="shared" si="19"/>
        <v>NA</v>
      </c>
      <c r="X30" s="137" t="str">
        <f t="shared" si="20"/>
        <v>NA</v>
      </c>
      <c r="Y30" s="137" t="str">
        <f t="shared" si="21"/>
        <v>NA</v>
      </c>
      <c r="Z30" s="137" t="str">
        <f t="shared" si="22"/>
        <v>NA</v>
      </c>
      <c r="AA30" s="137" t="str">
        <f t="shared" si="23"/>
        <v>NA</v>
      </c>
      <c r="AB30" s="137" t="str">
        <f t="shared" si="24"/>
        <v>NA</v>
      </c>
      <c r="AC30" s="137" t="str">
        <f t="shared" si="25"/>
        <v>NA</v>
      </c>
      <c r="AD30" s="137" t="str">
        <f t="shared" si="26"/>
        <v>NA</v>
      </c>
      <c r="AE30" s="137" t="str">
        <f t="shared" si="27"/>
        <v>NA</v>
      </c>
      <c r="AF30" s="137" t="str">
        <f t="shared" si="28"/>
        <v>NA</v>
      </c>
      <c r="AG30" s="138" t="str">
        <f t="shared" si="29"/>
        <v>NA</v>
      </c>
      <c r="AH30" s="419" t="str">
        <f t="shared" si="45"/>
        <v>NA</v>
      </c>
      <c r="AI30" s="420" t="str">
        <f t="shared" si="46"/>
        <v>NA</v>
      </c>
      <c r="AJ30" s="421" t="str">
        <f t="shared" si="47"/>
        <v>NA</v>
      </c>
      <c r="AK30" s="421" t="str">
        <f t="shared" si="48"/>
        <v>NA</v>
      </c>
      <c r="AL30" s="421" t="str">
        <f t="shared" si="49"/>
        <v>NA</v>
      </c>
      <c r="AM30" s="421" t="str">
        <f t="shared" si="50"/>
        <v>NA</v>
      </c>
      <c r="AN30" s="421" t="str">
        <f t="shared" si="51"/>
        <v>NA</v>
      </c>
      <c r="AO30" s="421" t="str">
        <f t="shared" si="52"/>
        <v>NA</v>
      </c>
      <c r="AP30" s="421" t="str">
        <f t="shared" si="53"/>
        <v>NA</v>
      </c>
      <c r="AQ30" s="421" t="str">
        <f t="shared" si="54"/>
        <v>NA</v>
      </c>
      <c r="AR30" s="422" t="str">
        <f t="shared" si="55"/>
        <v>NA</v>
      </c>
      <c r="AS30" s="422" t="str">
        <f t="shared" si="56"/>
        <v>NA</v>
      </c>
      <c r="AT30" s="422" t="str">
        <f t="shared" si="57"/>
        <v>NA</v>
      </c>
      <c r="AU30" s="422" t="str">
        <f t="shared" si="58"/>
        <v>NA</v>
      </c>
      <c r="AV30" s="423" t="str">
        <f t="shared" si="59"/>
        <v>NA</v>
      </c>
    </row>
    <row r="31" spans="2:48" x14ac:dyDescent="0.25">
      <c r="B31" s="148">
        <v>124</v>
      </c>
      <c r="C31" s="151" t="str">
        <f>_xlfn.XLOOKUP(B31, LgProvEntOrgIDs[Advanced Network/Insurer Carrier Org ID], LgProvEntOrgIDs[Advanced Network/Insurance Carrier Overall])</f>
        <v>Southwest Community Health Center, Inc.</v>
      </c>
      <c r="D31" s="448">
        <f t="shared" si="0"/>
        <v>0</v>
      </c>
      <c r="E31" s="137" t="str">
        <f t="shared" si="1"/>
        <v>NA</v>
      </c>
      <c r="F31" s="137" t="str">
        <f t="shared" si="2"/>
        <v>NA</v>
      </c>
      <c r="G31" s="137" t="str">
        <f t="shared" si="3"/>
        <v>NA</v>
      </c>
      <c r="H31" s="137" t="str">
        <f t="shared" si="4"/>
        <v>NA</v>
      </c>
      <c r="I31" s="137" t="str">
        <f t="shared" si="5"/>
        <v>NA</v>
      </c>
      <c r="J31" s="137" t="str">
        <f t="shared" si="6"/>
        <v>NA</v>
      </c>
      <c r="K31" s="137" t="str">
        <f t="shared" si="7"/>
        <v>NA</v>
      </c>
      <c r="L31" s="137" t="str">
        <f t="shared" si="8"/>
        <v>NA</v>
      </c>
      <c r="M31" s="137" t="str">
        <f t="shared" si="9"/>
        <v>NA</v>
      </c>
      <c r="N31" s="137" t="str">
        <f t="shared" si="10"/>
        <v>NA</v>
      </c>
      <c r="O31" s="137" t="str">
        <f t="shared" si="11"/>
        <v>NA</v>
      </c>
      <c r="P31" s="137" t="str">
        <f t="shared" si="12"/>
        <v>NA</v>
      </c>
      <c r="Q31" s="137" t="str">
        <f t="shared" si="13"/>
        <v>NA</v>
      </c>
      <c r="R31" s="147" t="str">
        <f t="shared" si="14"/>
        <v>NA</v>
      </c>
      <c r="S31" s="448">
        <f t="shared" si="15"/>
        <v>0</v>
      </c>
      <c r="T31" s="137" t="str">
        <f t="shared" si="16"/>
        <v>NA</v>
      </c>
      <c r="U31" s="137" t="str">
        <f t="shared" si="17"/>
        <v>NA</v>
      </c>
      <c r="V31" s="137" t="str">
        <f t="shared" si="18"/>
        <v>NA</v>
      </c>
      <c r="W31" s="137" t="str">
        <f t="shared" si="19"/>
        <v>NA</v>
      </c>
      <c r="X31" s="137" t="str">
        <f t="shared" si="20"/>
        <v>NA</v>
      </c>
      <c r="Y31" s="137" t="str">
        <f t="shared" si="21"/>
        <v>NA</v>
      </c>
      <c r="Z31" s="137" t="str">
        <f t="shared" si="22"/>
        <v>NA</v>
      </c>
      <c r="AA31" s="137" t="str">
        <f t="shared" si="23"/>
        <v>NA</v>
      </c>
      <c r="AB31" s="137" t="str">
        <f t="shared" si="24"/>
        <v>NA</v>
      </c>
      <c r="AC31" s="137" t="str">
        <f t="shared" si="25"/>
        <v>NA</v>
      </c>
      <c r="AD31" s="137" t="str">
        <f t="shared" si="26"/>
        <v>NA</v>
      </c>
      <c r="AE31" s="137" t="str">
        <f t="shared" si="27"/>
        <v>NA</v>
      </c>
      <c r="AF31" s="137" t="str">
        <f t="shared" si="28"/>
        <v>NA</v>
      </c>
      <c r="AG31" s="138" t="str">
        <f t="shared" si="29"/>
        <v>NA</v>
      </c>
      <c r="AH31" s="419" t="str">
        <f t="shared" si="45"/>
        <v>NA</v>
      </c>
      <c r="AI31" s="420" t="str">
        <f t="shared" si="46"/>
        <v>NA</v>
      </c>
      <c r="AJ31" s="421" t="str">
        <f t="shared" si="47"/>
        <v>NA</v>
      </c>
      <c r="AK31" s="421" t="str">
        <f t="shared" si="48"/>
        <v>NA</v>
      </c>
      <c r="AL31" s="421" t="str">
        <f t="shared" si="49"/>
        <v>NA</v>
      </c>
      <c r="AM31" s="421" t="str">
        <f t="shared" si="50"/>
        <v>NA</v>
      </c>
      <c r="AN31" s="421" t="str">
        <f t="shared" si="51"/>
        <v>NA</v>
      </c>
      <c r="AO31" s="421" t="str">
        <f t="shared" si="52"/>
        <v>NA</v>
      </c>
      <c r="AP31" s="421" t="str">
        <f t="shared" si="53"/>
        <v>NA</v>
      </c>
      <c r="AQ31" s="421" t="str">
        <f t="shared" si="54"/>
        <v>NA</v>
      </c>
      <c r="AR31" s="422" t="str">
        <f t="shared" si="55"/>
        <v>NA</v>
      </c>
      <c r="AS31" s="422" t="str">
        <f t="shared" si="56"/>
        <v>NA</v>
      </c>
      <c r="AT31" s="422" t="str">
        <f t="shared" si="57"/>
        <v>NA</v>
      </c>
      <c r="AU31" s="422" t="str">
        <f t="shared" si="58"/>
        <v>NA</v>
      </c>
      <c r="AV31" s="423" t="str">
        <f t="shared" si="59"/>
        <v>NA</v>
      </c>
    </row>
    <row r="32" spans="2:48" x14ac:dyDescent="0.25">
      <c r="B32" s="148">
        <v>125</v>
      </c>
      <c r="C32" s="151" t="str">
        <f>_xlfn.XLOOKUP(B32, LgProvEntOrgIDs[Advanced Network/Insurer Carrier Org ID], LgProvEntOrgIDs[Advanced Network/Insurance Carrier Overall])</f>
        <v>Stamford Health Medical Group</v>
      </c>
      <c r="D32" s="448">
        <f t="shared" si="0"/>
        <v>0</v>
      </c>
      <c r="E32" s="137" t="str">
        <f t="shared" si="1"/>
        <v>NA</v>
      </c>
      <c r="F32" s="137" t="str">
        <f t="shared" si="2"/>
        <v>NA</v>
      </c>
      <c r="G32" s="137" t="str">
        <f t="shared" si="3"/>
        <v>NA</v>
      </c>
      <c r="H32" s="137" t="str">
        <f t="shared" si="4"/>
        <v>NA</v>
      </c>
      <c r="I32" s="137" t="str">
        <f t="shared" si="5"/>
        <v>NA</v>
      </c>
      <c r="J32" s="137" t="str">
        <f t="shared" si="6"/>
        <v>NA</v>
      </c>
      <c r="K32" s="137" t="str">
        <f t="shared" si="7"/>
        <v>NA</v>
      </c>
      <c r="L32" s="137" t="str">
        <f t="shared" si="8"/>
        <v>NA</v>
      </c>
      <c r="M32" s="137" t="str">
        <f t="shared" si="9"/>
        <v>NA</v>
      </c>
      <c r="N32" s="137" t="str">
        <f t="shared" si="10"/>
        <v>NA</v>
      </c>
      <c r="O32" s="137" t="str">
        <f t="shared" si="11"/>
        <v>NA</v>
      </c>
      <c r="P32" s="137" t="str">
        <f t="shared" si="12"/>
        <v>NA</v>
      </c>
      <c r="Q32" s="137" t="str">
        <f t="shared" si="13"/>
        <v>NA</v>
      </c>
      <c r="R32" s="147" t="str">
        <f t="shared" si="14"/>
        <v>NA</v>
      </c>
      <c r="S32" s="448">
        <f t="shared" si="15"/>
        <v>0</v>
      </c>
      <c r="T32" s="137" t="str">
        <f t="shared" si="16"/>
        <v>NA</v>
      </c>
      <c r="U32" s="137" t="str">
        <f t="shared" si="17"/>
        <v>NA</v>
      </c>
      <c r="V32" s="137" t="str">
        <f t="shared" si="18"/>
        <v>NA</v>
      </c>
      <c r="W32" s="137" t="str">
        <f t="shared" si="19"/>
        <v>NA</v>
      </c>
      <c r="X32" s="137" t="str">
        <f t="shared" si="20"/>
        <v>NA</v>
      </c>
      <c r="Y32" s="137" t="str">
        <f t="shared" si="21"/>
        <v>NA</v>
      </c>
      <c r="Z32" s="137" t="str">
        <f t="shared" si="22"/>
        <v>NA</v>
      </c>
      <c r="AA32" s="137" t="str">
        <f t="shared" si="23"/>
        <v>NA</v>
      </c>
      <c r="AB32" s="137" t="str">
        <f t="shared" si="24"/>
        <v>NA</v>
      </c>
      <c r="AC32" s="137" t="str">
        <f t="shared" si="25"/>
        <v>NA</v>
      </c>
      <c r="AD32" s="137" t="str">
        <f t="shared" si="26"/>
        <v>NA</v>
      </c>
      <c r="AE32" s="137" t="str">
        <f t="shared" si="27"/>
        <v>NA</v>
      </c>
      <c r="AF32" s="137" t="str">
        <f t="shared" si="28"/>
        <v>NA</v>
      </c>
      <c r="AG32" s="138" t="str">
        <f t="shared" si="29"/>
        <v>NA</v>
      </c>
      <c r="AH32" s="419" t="str">
        <f t="shared" si="45"/>
        <v>NA</v>
      </c>
      <c r="AI32" s="420" t="str">
        <f t="shared" si="46"/>
        <v>NA</v>
      </c>
      <c r="AJ32" s="421" t="str">
        <f t="shared" si="47"/>
        <v>NA</v>
      </c>
      <c r="AK32" s="421" t="str">
        <f t="shared" si="48"/>
        <v>NA</v>
      </c>
      <c r="AL32" s="421" t="str">
        <f t="shared" si="49"/>
        <v>NA</v>
      </c>
      <c r="AM32" s="421" t="str">
        <f t="shared" si="50"/>
        <v>NA</v>
      </c>
      <c r="AN32" s="421" t="str">
        <f t="shared" si="51"/>
        <v>NA</v>
      </c>
      <c r="AO32" s="421" t="str">
        <f t="shared" si="52"/>
        <v>NA</v>
      </c>
      <c r="AP32" s="421" t="str">
        <f t="shared" si="53"/>
        <v>NA</v>
      </c>
      <c r="AQ32" s="421" t="str">
        <f t="shared" si="54"/>
        <v>NA</v>
      </c>
      <c r="AR32" s="422" t="str">
        <f t="shared" si="55"/>
        <v>NA</v>
      </c>
      <c r="AS32" s="422" t="str">
        <f t="shared" si="56"/>
        <v>NA</v>
      </c>
      <c r="AT32" s="422" t="str">
        <f t="shared" si="57"/>
        <v>NA</v>
      </c>
      <c r="AU32" s="422" t="str">
        <f t="shared" si="58"/>
        <v>NA</v>
      </c>
      <c r="AV32" s="423" t="str">
        <f t="shared" si="59"/>
        <v>NA</v>
      </c>
    </row>
    <row r="33" spans="2:48" x14ac:dyDescent="0.25">
      <c r="B33" s="148">
        <v>126</v>
      </c>
      <c r="C33" s="151" t="str">
        <f>_xlfn.XLOOKUP(B33, LgProvEntOrgIDs[Advanced Network/Insurer Carrier Org ID], LgProvEntOrgIDs[Advanced Network/Insurance Carrier Overall])</f>
        <v>Starling Physicians</v>
      </c>
      <c r="D33" s="448">
        <f t="shared" si="0"/>
        <v>0</v>
      </c>
      <c r="E33" s="137" t="str">
        <f t="shared" si="1"/>
        <v>NA</v>
      </c>
      <c r="F33" s="137" t="str">
        <f t="shared" si="2"/>
        <v>NA</v>
      </c>
      <c r="G33" s="137" t="str">
        <f t="shared" si="3"/>
        <v>NA</v>
      </c>
      <c r="H33" s="137" t="str">
        <f t="shared" si="4"/>
        <v>NA</v>
      </c>
      <c r="I33" s="137" t="str">
        <f t="shared" si="5"/>
        <v>NA</v>
      </c>
      <c r="J33" s="137" t="str">
        <f t="shared" si="6"/>
        <v>NA</v>
      </c>
      <c r="K33" s="137" t="str">
        <f t="shared" si="7"/>
        <v>NA</v>
      </c>
      <c r="L33" s="137" t="str">
        <f t="shared" si="8"/>
        <v>NA</v>
      </c>
      <c r="M33" s="137" t="str">
        <f t="shared" si="9"/>
        <v>NA</v>
      </c>
      <c r="N33" s="137" t="str">
        <f t="shared" si="10"/>
        <v>NA</v>
      </c>
      <c r="O33" s="137" t="str">
        <f t="shared" si="11"/>
        <v>NA</v>
      </c>
      <c r="P33" s="137" t="str">
        <f t="shared" si="12"/>
        <v>NA</v>
      </c>
      <c r="Q33" s="137" t="str">
        <f t="shared" si="13"/>
        <v>NA</v>
      </c>
      <c r="R33" s="147" t="str">
        <f t="shared" si="14"/>
        <v>NA</v>
      </c>
      <c r="S33" s="448">
        <f t="shared" si="15"/>
        <v>0</v>
      </c>
      <c r="T33" s="137" t="str">
        <f t="shared" si="16"/>
        <v>NA</v>
      </c>
      <c r="U33" s="137" t="str">
        <f t="shared" si="17"/>
        <v>NA</v>
      </c>
      <c r="V33" s="137" t="str">
        <f t="shared" si="18"/>
        <v>NA</v>
      </c>
      <c r="W33" s="137" t="str">
        <f t="shared" si="19"/>
        <v>NA</v>
      </c>
      <c r="X33" s="137" t="str">
        <f t="shared" si="20"/>
        <v>NA</v>
      </c>
      <c r="Y33" s="137" t="str">
        <f t="shared" si="21"/>
        <v>NA</v>
      </c>
      <c r="Z33" s="137" t="str">
        <f t="shared" si="22"/>
        <v>NA</v>
      </c>
      <c r="AA33" s="137" t="str">
        <f t="shared" si="23"/>
        <v>NA</v>
      </c>
      <c r="AB33" s="137" t="str">
        <f t="shared" si="24"/>
        <v>NA</v>
      </c>
      <c r="AC33" s="137" t="str">
        <f t="shared" si="25"/>
        <v>NA</v>
      </c>
      <c r="AD33" s="137" t="str">
        <f t="shared" si="26"/>
        <v>NA</v>
      </c>
      <c r="AE33" s="137" t="str">
        <f t="shared" si="27"/>
        <v>NA</v>
      </c>
      <c r="AF33" s="137" t="str">
        <f t="shared" si="28"/>
        <v>NA</v>
      </c>
      <c r="AG33" s="138" t="str">
        <f t="shared" si="29"/>
        <v>NA</v>
      </c>
      <c r="AH33" s="419" t="str">
        <f t="shared" si="45"/>
        <v>NA</v>
      </c>
      <c r="AI33" s="420" t="str">
        <f t="shared" si="46"/>
        <v>NA</v>
      </c>
      <c r="AJ33" s="421" t="str">
        <f t="shared" si="47"/>
        <v>NA</v>
      </c>
      <c r="AK33" s="421" t="str">
        <f t="shared" si="48"/>
        <v>NA</v>
      </c>
      <c r="AL33" s="421" t="str">
        <f t="shared" si="49"/>
        <v>NA</v>
      </c>
      <c r="AM33" s="421" t="str">
        <f t="shared" si="50"/>
        <v>NA</v>
      </c>
      <c r="AN33" s="421" t="str">
        <f t="shared" si="51"/>
        <v>NA</v>
      </c>
      <c r="AO33" s="421" t="str">
        <f t="shared" si="52"/>
        <v>NA</v>
      </c>
      <c r="AP33" s="421" t="str">
        <f t="shared" si="53"/>
        <v>NA</v>
      </c>
      <c r="AQ33" s="421" t="str">
        <f t="shared" si="54"/>
        <v>NA</v>
      </c>
      <c r="AR33" s="422" t="str">
        <f t="shared" si="55"/>
        <v>NA</v>
      </c>
      <c r="AS33" s="422" t="str">
        <f t="shared" si="56"/>
        <v>NA</v>
      </c>
      <c r="AT33" s="422" t="str">
        <f t="shared" si="57"/>
        <v>NA</v>
      </c>
      <c r="AU33" s="422" t="str">
        <f t="shared" si="58"/>
        <v>NA</v>
      </c>
      <c r="AV33" s="423" t="str">
        <f t="shared" si="59"/>
        <v>NA</v>
      </c>
    </row>
    <row r="34" spans="2:48" x14ac:dyDescent="0.25">
      <c r="B34" s="148">
        <v>127</v>
      </c>
      <c r="C34" s="151" t="str">
        <f>_xlfn.XLOOKUP(B34, LgProvEntOrgIDs[Advanced Network/Insurer Carrier Org ID], LgProvEntOrgIDs[Advanced Network/Insurance Carrier Overall])</f>
        <v>UConn Medical Group</v>
      </c>
      <c r="D34" s="448">
        <f t="shared" si="0"/>
        <v>0</v>
      </c>
      <c r="E34" s="137" t="str">
        <f t="shared" si="1"/>
        <v>NA</v>
      </c>
      <c r="F34" s="137" t="str">
        <f t="shared" si="2"/>
        <v>NA</v>
      </c>
      <c r="G34" s="137" t="str">
        <f t="shared" si="3"/>
        <v>NA</v>
      </c>
      <c r="H34" s="137" t="str">
        <f t="shared" si="4"/>
        <v>NA</v>
      </c>
      <c r="I34" s="137" t="str">
        <f t="shared" si="5"/>
        <v>NA</v>
      </c>
      <c r="J34" s="137" t="str">
        <f t="shared" si="6"/>
        <v>NA</v>
      </c>
      <c r="K34" s="137" t="str">
        <f t="shared" si="7"/>
        <v>NA</v>
      </c>
      <c r="L34" s="137" t="str">
        <f t="shared" si="8"/>
        <v>NA</v>
      </c>
      <c r="M34" s="137" t="str">
        <f t="shared" si="9"/>
        <v>NA</v>
      </c>
      <c r="N34" s="137" t="str">
        <f t="shared" si="10"/>
        <v>NA</v>
      </c>
      <c r="O34" s="137" t="str">
        <f t="shared" si="11"/>
        <v>NA</v>
      </c>
      <c r="P34" s="137" t="str">
        <f t="shared" si="12"/>
        <v>NA</v>
      </c>
      <c r="Q34" s="137" t="str">
        <f t="shared" si="13"/>
        <v>NA</v>
      </c>
      <c r="R34" s="147" t="str">
        <f t="shared" si="14"/>
        <v>NA</v>
      </c>
      <c r="S34" s="448">
        <f t="shared" si="15"/>
        <v>0</v>
      </c>
      <c r="T34" s="137" t="str">
        <f t="shared" si="16"/>
        <v>NA</v>
      </c>
      <c r="U34" s="137" t="str">
        <f t="shared" si="17"/>
        <v>NA</v>
      </c>
      <c r="V34" s="137" t="str">
        <f t="shared" si="18"/>
        <v>NA</v>
      </c>
      <c r="W34" s="137" t="str">
        <f t="shared" si="19"/>
        <v>NA</v>
      </c>
      <c r="X34" s="137" t="str">
        <f t="shared" si="20"/>
        <v>NA</v>
      </c>
      <c r="Y34" s="137" t="str">
        <f t="shared" si="21"/>
        <v>NA</v>
      </c>
      <c r="Z34" s="137" t="str">
        <f t="shared" si="22"/>
        <v>NA</v>
      </c>
      <c r="AA34" s="137" t="str">
        <f t="shared" si="23"/>
        <v>NA</v>
      </c>
      <c r="AB34" s="137" t="str">
        <f t="shared" si="24"/>
        <v>NA</v>
      </c>
      <c r="AC34" s="137" t="str">
        <f t="shared" si="25"/>
        <v>NA</v>
      </c>
      <c r="AD34" s="137" t="str">
        <f t="shared" si="26"/>
        <v>NA</v>
      </c>
      <c r="AE34" s="137" t="str">
        <f t="shared" si="27"/>
        <v>NA</v>
      </c>
      <c r="AF34" s="137" t="str">
        <f t="shared" si="28"/>
        <v>NA</v>
      </c>
      <c r="AG34" s="138" t="str">
        <f t="shared" si="29"/>
        <v>NA</v>
      </c>
      <c r="AH34" s="419" t="str">
        <f t="shared" si="45"/>
        <v>NA</v>
      </c>
      <c r="AI34" s="420" t="str">
        <f t="shared" si="46"/>
        <v>NA</v>
      </c>
      <c r="AJ34" s="421" t="str">
        <f t="shared" si="47"/>
        <v>NA</v>
      </c>
      <c r="AK34" s="421" t="str">
        <f t="shared" si="48"/>
        <v>NA</v>
      </c>
      <c r="AL34" s="421" t="str">
        <f t="shared" si="49"/>
        <v>NA</v>
      </c>
      <c r="AM34" s="421" t="str">
        <f t="shared" si="50"/>
        <v>NA</v>
      </c>
      <c r="AN34" s="421" t="str">
        <f t="shared" si="51"/>
        <v>NA</v>
      </c>
      <c r="AO34" s="421" t="str">
        <f t="shared" si="52"/>
        <v>NA</v>
      </c>
      <c r="AP34" s="421" t="str">
        <f t="shared" si="53"/>
        <v>NA</v>
      </c>
      <c r="AQ34" s="421" t="str">
        <f t="shared" si="54"/>
        <v>NA</v>
      </c>
      <c r="AR34" s="422" t="str">
        <f t="shared" si="55"/>
        <v>NA</v>
      </c>
      <c r="AS34" s="422" t="str">
        <f t="shared" si="56"/>
        <v>NA</v>
      </c>
      <c r="AT34" s="422" t="str">
        <f t="shared" si="57"/>
        <v>NA</v>
      </c>
      <c r="AU34" s="422" t="str">
        <f t="shared" si="58"/>
        <v>NA</v>
      </c>
      <c r="AV34" s="423" t="str">
        <f t="shared" si="59"/>
        <v>NA</v>
      </c>
    </row>
    <row r="35" spans="2:48" x14ac:dyDescent="0.25">
      <c r="B35" s="148">
        <v>128</v>
      </c>
      <c r="C35" s="151" t="str">
        <f>_xlfn.XLOOKUP(B35, LgProvEntOrgIDs[Advanced Network/Insurer Carrier Org ID], LgProvEntOrgIDs[Advanced Network/Insurance Carrier Overall])</f>
        <v>United Community and Family Services</v>
      </c>
      <c r="D35" s="448">
        <f t="shared" si="0"/>
        <v>0</v>
      </c>
      <c r="E35" s="137" t="str">
        <f t="shared" si="1"/>
        <v>NA</v>
      </c>
      <c r="F35" s="137" t="str">
        <f t="shared" si="2"/>
        <v>NA</v>
      </c>
      <c r="G35" s="137" t="str">
        <f t="shared" si="3"/>
        <v>NA</v>
      </c>
      <c r="H35" s="137" t="str">
        <f t="shared" si="4"/>
        <v>NA</v>
      </c>
      <c r="I35" s="137" t="str">
        <f t="shared" si="5"/>
        <v>NA</v>
      </c>
      <c r="J35" s="137" t="str">
        <f t="shared" si="6"/>
        <v>NA</v>
      </c>
      <c r="K35" s="137" t="str">
        <f t="shared" si="7"/>
        <v>NA</v>
      </c>
      <c r="L35" s="137" t="str">
        <f t="shared" si="8"/>
        <v>NA</v>
      </c>
      <c r="M35" s="137" t="str">
        <f t="shared" si="9"/>
        <v>NA</v>
      </c>
      <c r="N35" s="137" t="str">
        <f t="shared" si="10"/>
        <v>NA</v>
      </c>
      <c r="O35" s="137" t="str">
        <f t="shared" si="11"/>
        <v>NA</v>
      </c>
      <c r="P35" s="137" t="str">
        <f t="shared" si="12"/>
        <v>NA</v>
      </c>
      <c r="Q35" s="137" t="str">
        <f t="shared" si="13"/>
        <v>NA</v>
      </c>
      <c r="R35" s="147" t="str">
        <f t="shared" si="14"/>
        <v>NA</v>
      </c>
      <c r="S35" s="448">
        <f t="shared" si="15"/>
        <v>0</v>
      </c>
      <c r="T35" s="137" t="str">
        <f t="shared" si="16"/>
        <v>NA</v>
      </c>
      <c r="U35" s="137" t="str">
        <f t="shared" si="17"/>
        <v>NA</v>
      </c>
      <c r="V35" s="137" t="str">
        <f t="shared" si="18"/>
        <v>NA</v>
      </c>
      <c r="W35" s="137" t="str">
        <f t="shared" si="19"/>
        <v>NA</v>
      </c>
      <c r="X35" s="137" t="str">
        <f t="shared" si="20"/>
        <v>NA</v>
      </c>
      <c r="Y35" s="137" t="str">
        <f t="shared" si="21"/>
        <v>NA</v>
      </c>
      <c r="Z35" s="137" t="str">
        <f t="shared" si="22"/>
        <v>NA</v>
      </c>
      <c r="AA35" s="137" t="str">
        <f t="shared" si="23"/>
        <v>NA</v>
      </c>
      <c r="AB35" s="137" t="str">
        <f t="shared" si="24"/>
        <v>NA</v>
      </c>
      <c r="AC35" s="137" t="str">
        <f t="shared" si="25"/>
        <v>NA</v>
      </c>
      <c r="AD35" s="137" t="str">
        <f t="shared" si="26"/>
        <v>NA</v>
      </c>
      <c r="AE35" s="137" t="str">
        <f t="shared" si="27"/>
        <v>NA</v>
      </c>
      <c r="AF35" s="137" t="str">
        <f t="shared" si="28"/>
        <v>NA</v>
      </c>
      <c r="AG35" s="138" t="str">
        <f t="shared" si="29"/>
        <v>NA</v>
      </c>
      <c r="AH35" s="419" t="str">
        <f t="shared" si="45"/>
        <v>NA</v>
      </c>
      <c r="AI35" s="420" t="str">
        <f t="shared" si="46"/>
        <v>NA</v>
      </c>
      <c r="AJ35" s="421" t="str">
        <f t="shared" si="47"/>
        <v>NA</v>
      </c>
      <c r="AK35" s="421" t="str">
        <f t="shared" si="48"/>
        <v>NA</v>
      </c>
      <c r="AL35" s="421" t="str">
        <f t="shared" si="49"/>
        <v>NA</v>
      </c>
      <c r="AM35" s="421" t="str">
        <f t="shared" si="50"/>
        <v>NA</v>
      </c>
      <c r="AN35" s="421" t="str">
        <f t="shared" si="51"/>
        <v>NA</v>
      </c>
      <c r="AO35" s="421" t="str">
        <f t="shared" si="52"/>
        <v>NA</v>
      </c>
      <c r="AP35" s="421" t="str">
        <f t="shared" si="53"/>
        <v>NA</v>
      </c>
      <c r="AQ35" s="421" t="str">
        <f t="shared" si="54"/>
        <v>NA</v>
      </c>
      <c r="AR35" s="422" t="str">
        <f t="shared" si="55"/>
        <v>NA</v>
      </c>
      <c r="AS35" s="422" t="str">
        <f t="shared" si="56"/>
        <v>NA</v>
      </c>
      <c r="AT35" s="422" t="str">
        <f t="shared" si="57"/>
        <v>NA</v>
      </c>
      <c r="AU35" s="422" t="str">
        <f t="shared" si="58"/>
        <v>NA</v>
      </c>
      <c r="AV35" s="423" t="str">
        <f t="shared" si="59"/>
        <v>NA</v>
      </c>
    </row>
    <row r="36" spans="2:48" x14ac:dyDescent="0.25">
      <c r="B36" s="148">
        <v>129</v>
      </c>
      <c r="C36" s="151" t="str">
        <f>_xlfn.XLOOKUP(B36, LgProvEntOrgIDs[Advanced Network/Insurer Carrier Org ID], LgProvEntOrgIDs[Advanced Network/Insurance Carrier Overall])</f>
        <v>Westchester Medical Group PLLC (dba WestMed)</v>
      </c>
      <c r="D36" s="448">
        <f t="shared" si="0"/>
        <v>0</v>
      </c>
      <c r="E36" s="137" t="str">
        <f t="shared" si="1"/>
        <v>NA</v>
      </c>
      <c r="F36" s="137" t="str">
        <f t="shared" si="2"/>
        <v>NA</v>
      </c>
      <c r="G36" s="137" t="str">
        <f t="shared" si="3"/>
        <v>NA</v>
      </c>
      <c r="H36" s="137" t="str">
        <f t="shared" si="4"/>
        <v>NA</v>
      </c>
      <c r="I36" s="137" t="str">
        <f t="shared" si="5"/>
        <v>NA</v>
      </c>
      <c r="J36" s="137" t="str">
        <f t="shared" si="6"/>
        <v>NA</v>
      </c>
      <c r="K36" s="137" t="str">
        <f t="shared" si="7"/>
        <v>NA</v>
      </c>
      <c r="L36" s="137" t="str">
        <f t="shared" si="8"/>
        <v>NA</v>
      </c>
      <c r="M36" s="137" t="str">
        <f t="shared" si="9"/>
        <v>NA</v>
      </c>
      <c r="N36" s="137" t="str">
        <f t="shared" si="10"/>
        <v>NA</v>
      </c>
      <c r="O36" s="137" t="str">
        <f t="shared" si="11"/>
        <v>NA</v>
      </c>
      <c r="P36" s="137" t="str">
        <f t="shared" si="12"/>
        <v>NA</v>
      </c>
      <c r="Q36" s="137" t="str">
        <f t="shared" si="13"/>
        <v>NA</v>
      </c>
      <c r="R36" s="147" t="str">
        <f t="shared" si="14"/>
        <v>NA</v>
      </c>
      <c r="S36" s="448">
        <f t="shared" si="15"/>
        <v>0</v>
      </c>
      <c r="T36" s="137" t="str">
        <f t="shared" si="16"/>
        <v>NA</v>
      </c>
      <c r="U36" s="137" t="str">
        <f t="shared" si="17"/>
        <v>NA</v>
      </c>
      <c r="V36" s="137" t="str">
        <f t="shared" si="18"/>
        <v>NA</v>
      </c>
      <c r="W36" s="137" t="str">
        <f t="shared" si="19"/>
        <v>NA</v>
      </c>
      <c r="X36" s="137" t="str">
        <f t="shared" si="20"/>
        <v>NA</v>
      </c>
      <c r="Y36" s="137" t="str">
        <f t="shared" si="21"/>
        <v>NA</v>
      </c>
      <c r="Z36" s="137" t="str">
        <f t="shared" si="22"/>
        <v>NA</v>
      </c>
      <c r="AA36" s="137" t="str">
        <f t="shared" si="23"/>
        <v>NA</v>
      </c>
      <c r="AB36" s="137" t="str">
        <f t="shared" si="24"/>
        <v>NA</v>
      </c>
      <c r="AC36" s="137" t="str">
        <f t="shared" si="25"/>
        <v>NA</v>
      </c>
      <c r="AD36" s="137" t="str">
        <f t="shared" si="26"/>
        <v>NA</v>
      </c>
      <c r="AE36" s="137" t="str">
        <f t="shared" si="27"/>
        <v>NA</v>
      </c>
      <c r="AF36" s="137" t="str">
        <f t="shared" si="28"/>
        <v>NA</v>
      </c>
      <c r="AG36" s="138" t="str">
        <f t="shared" si="29"/>
        <v>NA</v>
      </c>
      <c r="AH36" s="419" t="str">
        <f t="shared" si="45"/>
        <v>NA</v>
      </c>
      <c r="AI36" s="420" t="str">
        <f t="shared" si="46"/>
        <v>NA</v>
      </c>
      <c r="AJ36" s="421" t="str">
        <f t="shared" si="47"/>
        <v>NA</v>
      </c>
      <c r="AK36" s="421" t="str">
        <f t="shared" si="48"/>
        <v>NA</v>
      </c>
      <c r="AL36" s="421" t="str">
        <f t="shared" si="49"/>
        <v>NA</v>
      </c>
      <c r="AM36" s="421" t="str">
        <f t="shared" si="50"/>
        <v>NA</v>
      </c>
      <c r="AN36" s="421" t="str">
        <f t="shared" si="51"/>
        <v>NA</v>
      </c>
      <c r="AO36" s="421" t="str">
        <f t="shared" si="52"/>
        <v>NA</v>
      </c>
      <c r="AP36" s="421" t="str">
        <f t="shared" si="53"/>
        <v>NA</v>
      </c>
      <c r="AQ36" s="421" t="str">
        <f t="shared" si="54"/>
        <v>NA</v>
      </c>
      <c r="AR36" s="422" t="str">
        <f t="shared" si="55"/>
        <v>NA</v>
      </c>
      <c r="AS36" s="422" t="str">
        <f t="shared" si="56"/>
        <v>NA</v>
      </c>
      <c r="AT36" s="422" t="str">
        <f t="shared" si="57"/>
        <v>NA</v>
      </c>
      <c r="AU36" s="422" t="str">
        <f t="shared" si="58"/>
        <v>NA</v>
      </c>
      <c r="AV36" s="423" t="str">
        <f t="shared" si="59"/>
        <v>NA</v>
      </c>
    </row>
    <row r="37" spans="2:48" x14ac:dyDescent="0.25">
      <c r="B37" s="148">
        <v>130</v>
      </c>
      <c r="C37" s="151" t="str">
        <f>_xlfn.XLOOKUP(B37, LgProvEntOrgIDs[Advanced Network/Insurer Carrier Org ID], LgProvEntOrgIDs[Advanced Network/Insurance Carrier Overall])</f>
        <v>Wheeler Clinic</v>
      </c>
      <c r="D37" s="448">
        <f t="shared" si="0"/>
        <v>0</v>
      </c>
      <c r="E37" s="137" t="str">
        <f t="shared" si="1"/>
        <v>NA</v>
      </c>
      <c r="F37" s="137" t="str">
        <f t="shared" si="2"/>
        <v>NA</v>
      </c>
      <c r="G37" s="137" t="str">
        <f t="shared" si="3"/>
        <v>NA</v>
      </c>
      <c r="H37" s="137" t="str">
        <f t="shared" si="4"/>
        <v>NA</v>
      </c>
      <c r="I37" s="137" t="str">
        <f t="shared" si="5"/>
        <v>NA</v>
      </c>
      <c r="J37" s="137" t="str">
        <f t="shared" si="6"/>
        <v>NA</v>
      </c>
      <c r="K37" s="137" t="str">
        <f t="shared" si="7"/>
        <v>NA</v>
      </c>
      <c r="L37" s="137" t="str">
        <f t="shared" si="8"/>
        <v>NA</v>
      </c>
      <c r="M37" s="137" t="str">
        <f t="shared" si="9"/>
        <v>NA</v>
      </c>
      <c r="N37" s="137" t="str">
        <f t="shared" si="10"/>
        <v>NA</v>
      </c>
      <c r="O37" s="137" t="str">
        <f t="shared" si="11"/>
        <v>NA</v>
      </c>
      <c r="P37" s="137" t="str">
        <f t="shared" si="12"/>
        <v>NA</v>
      </c>
      <c r="Q37" s="137" t="str">
        <f t="shared" si="13"/>
        <v>NA</v>
      </c>
      <c r="R37" s="147" t="str">
        <f t="shared" si="14"/>
        <v>NA</v>
      </c>
      <c r="S37" s="448">
        <f t="shared" si="15"/>
        <v>0</v>
      </c>
      <c r="T37" s="137" t="str">
        <f t="shared" si="16"/>
        <v>NA</v>
      </c>
      <c r="U37" s="137" t="str">
        <f t="shared" si="17"/>
        <v>NA</v>
      </c>
      <c r="V37" s="137" t="str">
        <f t="shared" si="18"/>
        <v>NA</v>
      </c>
      <c r="W37" s="137" t="str">
        <f t="shared" si="19"/>
        <v>NA</v>
      </c>
      <c r="X37" s="137" t="str">
        <f t="shared" si="20"/>
        <v>NA</v>
      </c>
      <c r="Y37" s="137" t="str">
        <f t="shared" si="21"/>
        <v>NA</v>
      </c>
      <c r="Z37" s="137" t="str">
        <f t="shared" si="22"/>
        <v>NA</v>
      </c>
      <c r="AA37" s="137" t="str">
        <f t="shared" si="23"/>
        <v>NA</v>
      </c>
      <c r="AB37" s="137" t="str">
        <f t="shared" si="24"/>
        <v>NA</v>
      </c>
      <c r="AC37" s="137" t="str">
        <f t="shared" si="25"/>
        <v>NA</v>
      </c>
      <c r="AD37" s="137" t="str">
        <f t="shared" si="26"/>
        <v>NA</v>
      </c>
      <c r="AE37" s="137" t="str">
        <f t="shared" si="27"/>
        <v>NA</v>
      </c>
      <c r="AF37" s="137" t="str">
        <f t="shared" si="28"/>
        <v>NA</v>
      </c>
      <c r="AG37" s="138" t="str">
        <f t="shared" si="29"/>
        <v>NA</v>
      </c>
      <c r="AH37" s="419" t="str">
        <f t="shared" si="45"/>
        <v>NA</v>
      </c>
      <c r="AI37" s="420" t="str">
        <f t="shared" si="46"/>
        <v>NA</v>
      </c>
      <c r="AJ37" s="421" t="str">
        <f t="shared" si="47"/>
        <v>NA</v>
      </c>
      <c r="AK37" s="421" t="str">
        <f t="shared" si="48"/>
        <v>NA</v>
      </c>
      <c r="AL37" s="421" t="str">
        <f t="shared" si="49"/>
        <v>NA</v>
      </c>
      <c r="AM37" s="421" t="str">
        <f t="shared" si="50"/>
        <v>NA</v>
      </c>
      <c r="AN37" s="421" t="str">
        <f t="shared" si="51"/>
        <v>NA</v>
      </c>
      <c r="AO37" s="421" t="str">
        <f t="shared" si="52"/>
        <v>NA</v>
      </c>
      <c r="AP37" s="421" t="str">
        <f t="shared" si="53"/>
        <v>NA</v>
      </c>
      <c r="AQ37" s="421" t="str">
        <f t="shared" si="54"/>
        <v>NA</v>
      </c>
      <c r="AR37" s="422" t="str">
        <f t="shared" si="55"/>
        <v>NA</v>
      </c>
      <c r="AS37" s="422" t="str">
        <f t="shared" si="56"/>
        <v>NA</v>
      </c>
      <c r="AT37" s="422" t="str">
        <f t="shared" si="57"/>
        <v>NA</v>
      </c>
      <c r="AU37" s="422" t="str">
        <f t="shared" si="58"/>
        <v>NA</v>
      </c>
      <c r="AV37" s="423" t="str">
        <f t="shared" si="59"/>
        <v>NA</v>
      </c>
    </row>
    <row r="38" spans="2:48" x14ac:dyDescent="0.25">
      <c r="B38" s="148">
        <v>131</v>
      </c>
      <c r="C38" s="151" t="str">
        <f>_xlfn.XLOOKUP(B38, LgProvEntOrgIDs[Advanced Network/Insurer Carrier Org ID], LgProvEntOrgIDs[Advanced Network/Insurance Carrier Overall])</f>
        <v>Yale Medicine</v>
      </c>
      <c r="D38" s="448">
        <f t="shared" si="0"/>
        <v>0</v>
      </c>
      <c r="E38" s="137" t="str">
        <f t="shared" si="1"/>
        <v>NA</v>
      </c>
      <c r="F38" s="137" t="str">
        <f t="shared" si="2"/>
        <v>NA</v>
      </c>
      <c r="G38" s="137" t="str">
        <f t="shared" si="3"/>
        <v>NA</v>
      </c>
      <c r="H38" s="137" t="str">
        <f t="shared" si="4"/>
        <v>NA</v>
      </c>
      <c r="I38" s="137" t="str">
        <f t="shared" si="5"/>
        <v>NA</v>
      </c>
      <c r="J38" s="137" t="str">
        <f t="shared" si="6"/>
        <v>NA</v>
      </c>
      <c r="K38" s="137" t="str">
        <f t="shared" si="7"/>
        <v>NA</v>
      </c>
      <c r="L38" s="137" t="str">
        <f t="shared" si="8"/>
        <v>NA</v>
      </c>
      <c r="M38" s="137" t="str">
        <f t="shared" si="9"/>
        <v>NA</v>
      </c>
      <c r="N38" s="137" t="str">
        <f t="shared" si="10"/>
        <v>NA</v>
      </c>
      <c r="O38" s="137" t="str">
        <f t="shared" si="11"/>
        <v>NA</v>
      </c>
      <c r="P38" s="137" t="str">
        <f t="shared" si="12"/>
        <v>NA</v>
      </c>
      <c r="Q38" s="137" t="str">
        <f t="shared" si="13"/>
        <v>NA</v>
      </c>
      <c r="R38" s="147" t="str">
        <f t="shared" si="14"/>
        <v>NA</v>
      </c>
      <c r="S38" s="448">
        <f t="shared" si="15"/>
        <v>0</v>
      </c>
      <c r="T38" s="137" t="str">
        <f t="shared" si="16"/>
        <v>NA</v>
      </c>
      <c r="U38" s="137" t="str">
        <f t="shared" si="17"/>
        <v>NA</v>
      </c>
      <c r="V38" s="137" t="str">
        <f t="shared" si="18"/>
        <v>NA</v>
      </c>
      <c r="W38" s="137" t="str">
        <f t="shared" si="19"/>
        <v>NA</v>
      </c>
      <c r="X38" s="137" t="str">
        <f t="shared" si="20"/>
        <v>NA</v>
      </c>
      <c r="Y38" s="137" t="str">
        <f t="shared" si="21"/>
        <v>NA</v>
      </c>
      <c r="Z38" s="137" t="str">
        <f t="shared" si="22"/>
        <v>NA</v>
      </c>
      <c r="AA38" s="137" t="str">
        <f t="shared" si="23"/>
        <v>NA</v>
      </c>
      <c r="AB38" s="137" t="str">
        <f t="shared" si="24"/>
        <v>NA</v>
      </c>
      <c r="AC38" s="137" t="str">
        <f t="shared" si="25"/>
        <v>NA</v>
      </c>
      <c r="AD38" s="137" t="str">
        <f t="shared" si="26"/>
        <v>NA</v>
      </c>
      <c r="AE38" s="137" t="str">
        <f t="shared" si="27"/>
        <v>NA</v>
      </c>
      <c r="AF38" s="137" t="str">
        <f t="shared" si="28"/>
        <v>NA</v>
      </c>
      <c r="AG38" s="138" t="str">
        <f t="shared" si="29"/>
        <v>NA</v>
      </c>
      <c r="AH38" s="419" t="str">
        <f t="shared" si="45"/>
        <v>NA</v>
      </c>
      <c r="AI38" s="420" t="str">
        <f t="shared" si="46"/>
        <v>NA</v>
      </c>
      <c r="AJ38" s="421" t="str">
        <f t="shared" si="47"/>
        <v>NA</v>
      </c>
      <c r="AK38" s="421" t="str">
        <f t="shared" si="48"/>
        <v>NA</v>
      </c>
      <c r="AL38" s="421" t="str">
        <f t="shared" si="49"/>
        <v>NA</v>
      </c>
      <c r="AM38" s="421" t="str">
        <f t="shared" si="50"/>
        <v>NA</v>
      </c>
      <c r="AN38" s="421" t="str">
        <f t="shared" si="51"/>
        <v>NA</v>
      </c>
      <c r="AO38" s="421" t="str">
        <f t="shared" si="52"/>
        <v>NA</v>
      </c>
      <c r="AP38" s="421" t="str">
        <f t="shared" si="53"/>
        <v>NA</v>
      </c>
      <c r="AQ38" s="421" t="str">
        <f t="shared" si="54"/>
        <v>NA</v>
      </c>
      <c r="AR38" s="422" t="str">
        <f t="shared" si="55"/>
        <v>NA</v>
      </c>
      <c r="AS38" s="422" t="str">
        <f t="shared" si="56"/>
        <v>NA</v>
      </c>
      <c r="AT38" s="422" t="str">
        <f t="shared" si="57"/>
        <v>NA</v>
      </c>
      <c r="AU38" s="422" t="str">
        <f t="shared" si="58"/>
        <v>NA</v>
      </c>
      <c r="AV38" s="423" t="str">
        <f t="shared" si="59"/>
        <v>NA</v>
      </c>
    </row>
    <row r="39" spans="2:48" x14ac:dyDescent="0.25">
      <c r="B39" s="148">
        <v>132</v>
      </c>
      <c r="C39" s="151" t="str">
        <f>_xlfn.XLOOKUP(B39, LgProvEntOrgIDs[Advanced Network/Insurer Carrier Org ID], LgProvEntOrgIDs[Advanced Network/Insurance Carrier Overall])</f>
        <v>InterCommunity Health Care</v>
      </c>
      <c r="D39" s="448">
        <f>D83+D124</f>
        <v>0</v>
      </c>
      <c r="E39" s="137" t="str">
        <f>IF(D39=0,"NA",(SUMPRODUCT(E83,D83)+SUMPRODUCT(E124,D124))/D39)</f>
        <v>NA</v>
      </c>
      <c r="F39" s="137" t="str">
        <f>IF(D39=0,"NA",(SUMPRODUCT(F83,D83)+SUMPRODUCT(F124,D124))/D39)</f>
        <v>NA</v>
      </c>
      <c r="G39" s="137" t="str">
        <f>IF(D39=0,"NA",(SUMPRODUCT(G83,D83)+SUMPRODUCT(G124,D124))/D39)</f>
        <v>NA</v>
      </c>
      <c r="H39" s="137" t="str">
        <f>IF(D39=0,"NA",(SUMPRODUCT(H83,D83)+SUMPRODUCT(H124,D124))/D39)</f>
        <v>NA</v>
      </c>
      <c r="I39" s="137" t="str">
        <f>IF(D39=0,"NA",(SUMPRODUCT(I83,D83)+SUMPRODUCT(I124,D124))/D39)</f>
        <v>NA</v>
      </c>
      <c r="J39" s="137" t="str">
        <f>IF(D39=0,"NA",(SUMPRODUCT(J83,D83)+SUMPRODUCT(J124,D124))/D39)</f>
        <v>NA</v>
      </c>
      <c r="K39" s="137" t="str">
        <f>IF(D39=0,"NA",(SUMPRODUCT(K83,D83)+SUMPRODUCT(K124,D124))/D39)</f>
        <v>NA</v>
      </c>
      <c r="L39" s="137" t="str">
        <f>IF(D39=0,"NA",(SUMPRODUCT(L83,D83)+SUMPRODUCT(L124,D124))/D39)</f>
        <v>NA</v>
      </c>
      <c r="M39" s="137" t="str">
        <f>IF(D39=0,"NA",(SUMPRODUCT(M83,D83)+SUMPRODUCT(M124,D124))/D39)</f>
        <v>NA</v>
      </c>
      <c r="N39" s="137" t="str">
        <f>IF(D39=0,"NA",(SUMPRODUCT(N83,D83)+SUMPRODUCT(N124,D124))/D39)</f>
        <v>NA</v>
      </c>
      <c r="O39" s="137" t="str">
        <f>IF(D39=0,"NA",(SUMPRODUCT(O83,D83)+SUMPRODUCT(O124,D124))/D39)</f>
        <v>NA</v>
      </c>
      <c r="P39" s="137" t="str">
        <f>IF(D39=0,"NA",(SUMPRODUCT(P83,D83)+SUMPRODUCT(P124,D124))/D39)</f>
        <v>NA</v>
      </c>
      <c r="Q39" s="137" t="str">
        <f>IF(D39=0,"NA",(SUMPRODUCT(Q83,D83)+SUMPRODUCT(Q124,D124))/D39)</f>
        <v>NA</v>
      </c>
      <c r="R39" s="147" t="str">
        <f>IF(D39=0,"NA",(SUMPRODUCT(R83,D83)+SUMPRODUCT(R124,D124))/D39)</f>
        <v>NA</v>
      </c>
      <c r="S39" s="448">
        <f>S83+S124</f>
        <v>0</v>
      </c>
      <c r="T39" s="137" t="str">
        <f>IF(S39=0,"NA",(SUMPRODUCT(T83,S83)+SUMPRODUCT(T124,S124))/S39)</f>
        <v>NA</v>
      </c>
      <c r="U39" s="137" t="str">
        <f>IF(S39=0,"NA",(SUMPRODUCT(U83,S83)+SUMPRODUCT(U124,S124))/S39)</f>
        <v>NA</v>
      </c>
      <c r="V39" s="137" t="str">
        <f>IF(S39=0,"NA",(SUMPRODUCT(V83,S83)+SUMPRODUCT(V124,S124))/S39)</f>
        <v>NA</v>
      </c>
      <c r="W39" s="137" t="str">
        <f>IF(S39=0,"NA",(SUMPRODUCT(W83,S83)+SUMPRODUCT(W124,S124))/S39)</f>
        <v>NA</v>
      </c>
      <c r="X39" s="137" t="str">
        <f>IF(S39=0,"NA",(SUMPRODUCT(X83,S83)+SUMPRODUCT(X124,S124))/S39)</f>
        <v>NA</v>
      </c>
      <c r="Y39" s="137" t="str">
        <f>IF(S39=0,"NA",(SUMPRODUCT(Y83,S83)+SUMPRODUCT(Y124,S124))/S39)</f>
        <v>NA</v>
      </c>
      <c r="Z39" s="137" t="str">
        <f>IF(S39=0,"NA",(SUMPRODUCT(Z83,S83)+SUMPRODUCT(Z124,S124))/S39)</f>
        <v>NA</v>
      </c>
      <c r="AA39" s="137" t="str">
        <f>IF(S39=0,"NA",(SUMPRODUCT(AA83,S83)+SUMPRODUCT(AA124,S124))/S39)</f>
        <v>NA</v>
      </c>
      <c r="AB39" s="137" t="str">
        <f>IF(S39=0,"NA",(SUMPRODUCT(AB83,S83)+SUMPRODUCT(AB124,S124))/S39)</f>
        <v>NA</v>
      </c>
      <c r="AC39" s="137" t="str">
        <f>IF(S39=0,"NA",(SUMPRODUCT(AC83,S83)+SUMPRODUCT(AC124,S124))/S39)</f>
        <v>NA</v>
      </c>
      <c r="AD39" s="137" t="str">
        <f>IF(S39=0,"NA",(SUMPRODUCT(AD83,S83)+SUMPRODUCT(AD124,S124))/S39)</f>
        <v>NA</v>
      </c>
      <c r="AE39" s="137" t="str">
        <f>IF(S39=0,"NA",(SUMPRODUCT(AE83,S83)+SUMPRODUCT(AE124,S124))/S39)</f>
        <v>NA</v>
      </c>
      <c r="AF39" s="137" t="str">
        <f>IF(S39=0,"NA",(SUMPRODUCT(AF83,S83)+SUMPRODUCT(AF124,S124))/S39)</f>
        <v>NA</v>
      </c>
      <c r="AG39" s="138" t="str">
        <f>IF(S39=0,"NA",(SUMPRODUCT(AG83,S83)+SUMPRODUCT(AG124,S124))/S39)</f>
        <v>NA</v>
      </c>
      <c r="AH39" s="419" t="str">
        <f t="shared" ref="AH39:AH41" si="60">IF(D39=0,"NA",S39/D39-1)</f>
        <v>NA</v>
      </c>
      <c r="AI39" s="420" t="str">
        <f t="shared" ref="AI39:AI41" si="61">IF(D39=0,"NA",T39/E39-1)</f>
        <v>NA</v>
      </c>
      <c r="AJ39" s="421" t="str">
        <f t="shared" ref="AJ39:AJ41" si="62">IF(D39=0,"NA",U39/F39-1)</f>
        <v>NA</v>
      </c>
      <c r="AK39" s="421" t="str">
        <f t="shared" ref="AK39:AK41" si="63">IF(D39=0,"NA",V39/G39-1)</f>
        <v>NA</v>
      </c>
      <c r="AL39" s="421" t="str">
        <f t="shared" ref="AL39:AL41" si="64">IF(D39=0,"NA",W39/H39-1)</f>
        <v>NA</v>
      </c>
      <c r="AM39" s="421" t="str">
        <f t="shared" ref="AM39:AM41" si="65">IF(D39=0,"NA",X39/I39-1)</f>
        <v>NA</v>
      </c>
      <c r="AN39" s="421" t="str">
        <f t="shared" ref="AN39:AN41" si="66">IF(D39=0,"NA",Y39/J39-1)</f>
        <v>NA</v>
      </c>
      <c r="AO39" s="421" t="str">
        <f t="shared" ref="AO39:AO41" si="67">IF(D39=0,"NA",Z39/K39-1)</f>
        <v>NA</v>
      </c>
      <c r="AP39" s="421" t="str">
        <f t="shared" ref="AP39:AP41" si="68">IF(D39=0,"NA",AA39/L39-1)</f>
        <v>NA</v>
      </c>
      <c r="AQ39" s="421" t="str">
        <f t="shared" ref="AQ39:AQ41" si="69">IF(D39=0,"NA",AB39/M39-1)</f>
        <v>NA</v>
      </c>
      <c r="AR39" s="422" t="str">
        <f t="shared" ref="AR39:AR41" si="70">IF(D39=0,"NA",AC39/N39-1)</f>
        <v>NA</v>
      </c>
      <c r="AS39" s="422" t="str">
        <f t="shared" ref="AS39:AS41" si="71">IF(D39=0,"NA",AD39/O39-1)</f>
        <v>NA</v>
      </c>
      <c r="AT39" s="422" t="str">
        <f t="shared" ref="AT39:AT41" si="72">IF(D39=0,"NA",AE39/P39-1)</f>
        <v>NA</v>
      </c>
      <c r="AU39" s="422" t="str">
        <f t="shared" ref="AU39:AU41" si="73">IF(D39=0,"NA",AF39/Q39-1)</f>
        <v>NA</v>
      </c>
      <c r="AV39" s="423" t="str">
        <f t="shared" ref="AV39:AV41" si="74">IF(D39=0,"NA",AG39/R39-1)</f>
        <v>NA</v>
      </c>
    </row>
    <row r="40" spans="2:48" x14ac:dyDescent="0.25">
      <c r="B40" s="148">
        <v>133</v>
      </c>
      <c r="C40" s="151" t="str">
        <f>_xlfn.XLOOKUP(B40, LgProvEntOrgIDs[Advanced Network/Insurer Carrier Org ID], LgProvEntOrgIDs[Advanced Network/Insurance Carrier Overall])</f>
        <v>Trinity Health, Inc.</v>
      </c>
      <c r="D40" s="448">
        <f>D84+D125</f>
        <v>0</v>
      </c>
      <c r="E40" s="137" t="str">
        <f>IF(D40=0,"NA",(SUMPRODUCT(E84,D84)+SUMPRODUCT(E125,D125))/D40)</f>
        <v>NA</v>
      </c>
      <c r="F40" s="137" t="str">
        <f>IF(D40=0,"NA",(SUMPRODUCT(F84,D84)+SUMPRODUCT(F125,D125))/D40)</f>
        <v>NA</v>
      </c>
      <c r="G40" s="137" t="str">
        <f>IF(D40=0,"NA",(SUMPRODUCT(G84,D84)+SUMPRODUCT(G125,D125))/D40)</f>
        <v>NA</v>
      </c>
      <c r="H40" s="137" t="str">
        <f>IF(D40=0,"NA",(SUMPRODUCT(H84,D84)+SUMPRODUCT(H125,D125))/D40)</f>
        <v>NA</v>
      </c>
      <c r="I40" s="137" t="str">
        <f>IF(D40=0,"NA",(SUMPRODUCT(I84,D84)+SUMPRODUCT(I125,D125))/D40)</f>
        <v>NA</v>
      </c>
      <c r="J40" s="137" t="str">
        <f>IF(D40=0,"NA",(SUMPRODUCT(J84,D84)+SUMPRODUCT(J125,D125))/D40)</f>
        <v>NA</v>
      </c>
      <c r="K40" s="137" t="str">
        <f>IF(D40=0,"NA",(SUMPRODUCT(K84,D84)+SUMPRODUCT(K125,D125))/D40)</f>
        <v>NA</v>
      </c>
      <c r="L40" s="137" t="str">
        <f>IF(D40=0,"NA",(SUMPRODUCT(L84,D84)+SUMPRODUCT(L125,D125))/D40)</f>
        <v>NA</v>
      </c>
      <c r="M40" s="137" t="str">
        <f>IF(D40=0,"NA",(SUMPRODUCT(M84,D84)+SUMPRODUCT(M125,D125))/D40)</f>
        <v>NA</v>
      </c>
      <c r="N40" s="137" t="str">
        <f>IF(D40=0,"NA",(SUMPRODUCT(N84,D84)+SUMPRODUCT(N125,D125))/D40)</f>
        <v>NA</v>
      </c>
      <c r="O40" s="137" t="str">
        <f>IF(D40=0,"NA",(SUMPRODUCT(O84,D84)+SUMPRODUCT(O125,D125))/D40)</f>
        <v>NA</v>
      </c>
      <c r="P40" s="137" t="str">
        <f>IF(D40=0,"NA",(SUMPRODUCT(P84,D84)+SUMPRODUCT(P125,D125))/D40)</f>
        <v>NA</v>
      </c>
      <c r="Q40" s="137" t="str">
        <f>IF(D40=0,"NA",(SUMPRODUCT(Q84,D84)+SUMPRODUCT(Q125,D125))/D40)</f>
        <v>NA</v>
      </c>
      <c r="R40" s="147" t="str">
        <f>IF(D40=0,"NA",(SUMPRODUCT(R84,D84)+SUMPRODUCT(R125,D125))/D40)</f>
        <v>NA</v>
      </c>
      <c r="S40" s="448">
        <f>S84+S125</f>
        <v>0</v>
      </c>
      <c r="T40" s="137" t="str">
        <f>IF(S40=0,"NA",(SUMPRODUCT(T84,S84)+SUMPRODUCT(T125,S125))/S40)</f>
        <v>NA</v>
      </c>
      <c r="U40" s="137" t="str">
        <f>IF(S40=0,"NA",(SUMPRODUCT(U84,S84)+SUMPRODUCT(U125,S125))/S40)</f>
        <v>NA</v>
      </c>
      <c r="V40" s="137" t="str">
        <f>IF(S40=0,"NA",(SUMPRODUCT(V84,S84)+SUMPRODUCT(V125,S125))/S40)</f>
        <v>NA</v>
      </c>
      <c r="W40" s="137" t="str">
        <f>IF(S40=0,"NA",(SUMPRODUCT(W84,S84)+SUMPRODUCT(W125,S125))/S40)</f>
        <v>NA</v>
      </c>
      <c r="X40" s="137" t="str">
        <f>IF(S40=0,"NA",(SUMPRODUCT(X84,S84)+SUMPRODUCT(X125,S125))/S40)</f>
        <v>NA</v>
      </c>
      <c r="Y40" s="137" t="str">
        <f>IF(S40=0,"NA",(SUMPRODUCT(Y84,S84)+SUMPRODUCT(Y125,S125))/S40)</f>
        <v>NA</v>
      </c>
      <c r="Z40" s="137" t="str">
        <f>IF(S40=0,"NA",(SUMPRODUCT(Z84,S84)+SUMPRODUCT(Z125,S125))/S40)</f>
        <v>NA</v>
      </c>
      <c r="AA40" s="137" t="str">
        <f>IF(S40=0,"NA",(SUMPRODUCT(AA84,S84)+SUMPRODUCT(AA125,S125))/S40)</f>
        <v>NA</v>
      </c>
      <c r="AB40" s="137" t="str">
        <f>IF(S40=0,"NA",(SUMPRODUCT(AB84,S84)+SUMPRODUCT(AB125,S125))/S40)</f>
        <v>NA</v>
      </c>
      <c r="AC40" s="137" t="str">
        <f>IF(S40=0,"NA",(SUMPRODUCT(AC84,S84)+SUMPRODUCT(AC125,S125))/S40)</f>
        <v>NA</v>
      </c>
      <c r="AD40" s="137" t="str">
        <f>IF(S40=0,"NA",(SUMPRODUCT(AD84,S84)+SUMPRODUCT(AD125,S125))/S40)</f>
        <v>NA</v>
      </c>
      <c r="AE40" s="137" t="str">
        <f>IF(S40=0,"NA",(SUMPRODUCT(AE84,S84)+SUMPRODUCT(AE125,S125))/S40)</f>
        <v>NA</v>
      </c>
      <c r="AF40" s="137" t="str">
        <f>IF(S40=0,"NA",(SUMPRODUCT(AF84,S84)+SUMPRODUCT(AF125,S125))/S40)</f>
        <v>NA</v>
      </c>
      <c r="AG40" s="138" t="str">
        <f>IF(S40=0,"NA",(SUMPRODUCT(AG84,S84)+SUMPRODUCT(AG125,S125))/S40)</f>
        <v>NA</v>
      </c>
      <c r="AH40" s="419" t="str">
        <f t="shared" si="60"/>
        <v>NA</v>
      </c>
      <c r="AI40" s="420" t="str">
        <f t="shared" si="61"/>
        <v>NA</v>
      </c>
      <c r="AJ40" s="421" t="str">
        <f t="shared" si="62"/>
        <v>NA</v>
      </c>
      <c r="AK40" s="421" t="str">
        <f t="shared" si="63"/>
        <v>NA</v>
      </c>
      <c r="AL40" s="421" t="str">
        <f t="shared" si="64"/>
        <v>NA</v>
      </c>
      <c r="AM40" s="421" t="str">
        <f t="shared" si="65"/>
        <v>NA</v>
      </c>
      <c r="AN40" s="421" t="str">
        <f t="shared" si="66"/>
        <v>NA</v>
      </c>
      <c r="AO40" s="421" t="str">
        <f t="shared" si="67"/>
        <v>NA</v>
      </c>
      <c r="AP40" s="421" t="str">
        <f t="shared" si="68"/>
        <v>NA</v>
      </c>
      <c r="AQ40" s="421" t="str">
        <f t="shared" si="69"/>
        <v>NA</v>
      </c>
      <c r="AR40" s="422" t="str">
        <f t="shared" si="70"/>
        <v>NA</v>
      </c>
      <c r="AS40" s="422" t="str">
        <f t="shared" si="71"/>
        <v>NA</v>
      </c>
      <c r="AT40" s="422" t="str">
        <f t="shared" si="72"/>
        <v>NA</v>
      </c>
      <c r="AU40" s="422" t="str">
        <f t="shared" si="73"/>
        <v>NA</v>
      </c>
      <c r="AV40" s="423" t="str">
        <f t="shared" si="74"/>
        <v>NA</v>
      </c>
    </row>
    <row r="41" spans="2:48" ht="30" x14ac:dyDescent="0.25">
      <c r="B41" s="148">
        <v>134</v>
      </c>
      <c r="C41" s="151" t="str">
        <f>_xlfn.XLOOKUP(B41, LgProvEntOrgIDs[Advanced Network/Insurer Carrier Org ID], LgProvEntOrgIDs[Advanced Network/Insurance Carrier Overall])</f>
        <v>Western Connecticut Health Network (WCHN) Physician Hospital Organization</v>
      </c>
      <c r="D41" s="448">
        <f>D85+D126</f>
        <v>0</v>
      </c>
      <c r="E41" s="137" t="str">
        <f>IF(D41=0,"NA",(SUMPRODUCT(E85,D85)+SUMPRODUCT(E126,D126))/D41)</f>
        <v>NA</v>
      </c>
      <c r="F41" s="137" t="str">
        <f>IF(D41=0,"NA",(SUMPRODUCT(F85,D85)+SUMPRODUCT(F126,D126))/D41)</f>
        <v>NA</v>
      </c>
      <c r="G41" s="137" t="str">
        <f>IF(D41=0,"NA",(SUMPRODUCT(G85,D85)+SUMPRODUCT(G126,D126))/D41)</f>
        <v>NA</v>
      </c>
      <c r="H41" s="137" t="str">
        <f>IF(D41=0,"NA",(SUMPRODUCT(H85,D85)+SUMPRODUCT(H126,D126))/D41)</f>
        <v>NA</v>
      </c>
      <c r="I41" s="137" t="str">
        <f>IF(D41=0,"NA",(SUMPRODUCT(I85,D85)+SUMPRODUCT(I126,D126))/D41)</f>
        <v>NA</v>
      </c>
      <c r="J41" s="137" t="str">
        <f>IF(D41=0,"NA",(SUMPRODUCT(J85,D85)+SUMPRODUCT(J126,D126))/D41)</f>
        <v>NA</v>
      </c>
      <c r="K41" s="137" t="str">
        <f>IF(D41=0,"NA",(SUMPRODUCT(K85,D85)+SUMPRODUCT(K126,D126))/D41)</f>
        <v>NA</v>
      </c>
      <c r="L41" s="137" t="str">
        <f>IF(D41=0,"NA",(SUMPRODUCT(L85,D85)+SUMPRODUCT(L126,D126))/D41)</f>
        <v>NA</v>
      </c>
      <c r="M41" s="137" t="str">
        <f>IF(D41=0,"NA",(SUMPRODUCT(M85,D85)+SUMPRODUCT(M126,D126))/D41)</f>
        <v>NA</v>
      </c>
      <c r="N41" s="137" t="str">
        <f>IF(D41=0,"NA",(SUMPRODUCT(N85,D85)+SUMPRODUCT(N126,D126))/D41)</f>
        <v>NA</v>
      </c>
      <c r="O41" s="137" t="str">
        <f>IF(D41=0,"NA",(SUMPRODUCT(O85,D85)+SUMPRODUCT(O126,D126))/D41)</f>
        <v>NA</v>
      </c>
      <c r="P41" s="137" t="str">
        <f>IF(D41=0,"NA",(SUMPRODUCT(P85,D85)+SUMPRODUCT(P126,D126))/D41)</f>
        <v>NA</v>
      </c>
      <c r="Q41" s="137" t="str">
        <f>IF(D41=0,"NA",(SUMPRODUCT(Q85,D85)+SUMPRODUCT(Q126,D126))/D41)</f>
        <v>NA</v>
      </c>
      <c r="R41" s="147" t="str">
        <f>IF(D41=0,"NA",(SUMPRODUCT(R85,D85)+SUMPRODUCT(R126,D126))/D41)</f>
        <v>NA</v>
      </c>
      <c r="S41" s="448">
        <f>S85+S126</f>
        <v>0</v>
      </c>
      <c r="T41" s="137" t="str">
        <f>IF(S41=0,"NA",(SUMPRODUCT(T85,S85)+SUMPRODUCT(T126,S126))/S41)</f>
        <v>NA</v>
      </c>
      <c r="U41" s="137" t="str">
        <f>IF(S41=0,"NA",(SUMPRODUCT(U85,S85)+SUMPRODUCT(U126,S126))/S41)</f>
        <v>NA</v>
      </c>
      <c r="V41" s="137" t="str">
        <f>IF(S41=0,"NA",(SUMPRODUCT(V85,S85)+SUMPRODUCT(V126,S126))/S41)</f>
        <v>NA</v>
      </c>
      <c r="W41" s="137" t="str">
        <f>IF(S41=0,"NA",(SUMPRODUCT(W85,S85)+SUMPRODUCT(W126,S126))/S41)</f>
        <v>NA</v>
      </c>
      <c r="X41" s="137" t="str">
        <f>IF(S41=0,"NA",(SUMPRODUCT(X85,S85)+SUMPRODUCT(X126,S126))/S41)</f>
        <v>NA</v>
      </c>
      <c r="Y41" s="137" t="str">
        <f>IF(S41=0,"NA",(SUMPRODUCT(Y85,S85)+SUMPRODUCT(Y126,S126))/S41)</f>
        <v>NA</v>
      </c>
      <c r="Z41" s="137" t="str">
        <f>IF(S41=0,"NA",(SUMPRODUCT(Z85,S85)+SUMPRODUCT(Z126,S126))/S41)</f>
        <v>NA</v>
      </c>
      <c r="AA41" s="137" t="str">
        <f>IF(S41=0,"NA",(SUMPRODUCT(AA85,S85)+SUMPRODUCT(AA126,S126))/S41)</f>
        <v>NA</v>
      </c>
      <c r="AB41" s="137" t="str">
        <f>IF(S41=0,"NA",(SUMPRODUCT(AB85,S85)+SUMPRODUCT(AB126,S126))/S41)</f>
        <v>NA</v>
      </c>
      <c r="AC41" s="137" t="str">
        <f>IF(S41=0,"NA",(SUMPRODUCT(AC85,S85)+SUMPRODUCT(AC126,S126))/S41)</f>
        <v>NA</v>
      </c>
      <c r="AD41" s="137" t="str">
        <f>IF(S41=0,"NA",(SUMPRODUCT(AD85,S85)+SUMPRODUCT(AD126,S126))/S41)</f>
        <v>NA</v>
      </c>
      <c r="AE41" s="137" t="str">
        <f>IF(S41=0,"NA",(SUMPRODUCT(AE85,S85)+SUMPRODUCT(AE126,S126))/S41)</f>
        <v>NA</v>
      </c>
      <c r="AF41" s="137" t="str">
        <f>IF(S41=0,"NA",(SUMPRODUCT(AF85,S85)+SUMPRODUCT(AF126,S126))/S41)</f>
        <v>NA</v>
      </c>
      <c r="AG41" s="138" t="str">
        <f>IF(S41=0,"NA",(SUMPRODUCT(AG85,S85)+SUMPRODUCT(AG126,S126))/S41)</f>
        <v>NA</v>
      </c>
      <c r="AH41" s="419" t="str">
        <f t="shared" si="60"/>
        <v>NA</v>
      </c>
      <c r="AI41" s="420" t="str">
        <f t="shared" si="61"/>
        <v>NA</v>
      </c>
      <c r="AJ41" s="421" t="str">
        <f t="shared" si="62"/>
        <v>NA</v>
      </c>
      <c r="AK41" s="421" t="str">
        <f t="shared" si="63"/>
        <v>NA</v>
      </c>
      <c r="AL41" s="421" t="str">
        <f t="shared" si="64"/>
        <v>NA</v>
      </c>
      <c r="AM41" s="421" t="str">
        <f t="shared" si="65"/>
        <v>NA</v>
      </c>
      <c r="AN41" s="421" t="str">
        <f t="shared" si="66"/>
        <v>NA</v>
      </c>
      <c r="AO41" s="421" t="str">
        <f t="shared" si="67"/>
        <v>NA</v>
      </c>
      <c r="AP41" s="421" t="str">
        <f t="shared" si="68"/>
        <v>NA</v>
      </c>
      <c r="AQ41" s="421" t="str">
        <f t="shared" si="69"/>
        <v>NA</v>
      </c>
      <c r="AR41" s="422" t="str">
        <f t="shared" si="70"/>
        <v>NA</v>
      </c>
      <c r="AS41" s="422" t="str">
        <f t="shared" si="71"/>
        <v>NA</v>
      </c>
      <c r="AT41" s="422" t="str">
        <f t="shared" si="72"/>
        <v>NA</v>
      </c>
      <c r="AU41" s="422" t="str">
        <f t="shared" si="73"/>
        <v>NA</v>
      </c>
      <c r="AV41" s="423" t="str">
        <f t="shared" si="74"/>
        <v>NA</v>
      </c>
    </row>
    <row r="42" spans="2:48" x14ac:dyDescent="0.25">
      <c r="B42" s="148">
        <v>999</v>
      </c>
      <c r="C42" s="151" t="str">
        <f>_xlfn.XLOOKUP(B42, LgProvEntOrgIDs[Advanced Network/Insurer Carrier Org ID], LgProvEntOrgIDs[Advanced Network/Insurance Carrier Overall])</f>
        <v>Members Not Attributed to an Advanced Network</v>
      </c>
      <c r="D42" s="448">
        <f>D83+D124</f>
        <v>0</v>
      </c>
      <c r="E42" s="137" t="str">
        <f>IF(D42=0,"NA",(SUMPRODUCT(E83,D83)+SUMPRODUCT(E124,D124))/D42)</f>
        <v>NA</v>
      </c>
      <c r="F42" s="137" t="str">
        <f>IF(D42=0,"NA",(SUMPRODUCT(F83,D83)+SUMPRODUCT(F124,D124))/D42)</f>
        <v>NA</v>
      </c>
      <c r="G42" s="137" t="str">
        <f>IF(D42=0,"NA",(SUMPRODUCT(G83,D83)+SUMPRODUCT(G124,D124))/D42)</f>
        <v>NA</v>
      </c>
      <c r="H42" s="137" t="str">
        <f>IF(D42=0,"NA",(SUMPRODUCT(H83,D83)+SUMPRODUCT(H124,D124))/D42)</f>
        <v>NA</v>
      </c>
      <c r="I42" s="137" t="str">
        <f>IF(D42=0,"NA",(SUMPRODUCT(I83,D83)+SUMPRODUCT(I124,D124))/D42)</f>
        <v>NA</v>
      </c>
      <c r="J42" s="137" t="str">
        <f>IF(D42=0,"NA",(SUMPRODUCT(J83,D83)+SUMPRODUCT(J124,D124))/D42)</f>
        <v>NA</v>
      </c>
      <c r="K42" s="137" t="str">
        <f>IF(D42=0,"NA",(SUMPRODUCT(K83,D83)+SUMPRODUCT(K124,D124))/D42)</f>
        <v>NA</v>
      </c>
      <c r="L42" s="137" t="str">
        <f>IF(D42=0,"NA",(SUMPRODUCT(L83,D83)+SUMPRODUCT(L124,D124))/D42)</f>
        <v>NA</v>
      </c>
      <c r="M42" s="137" t="str">
        <f>IF(D42=0,"NA",(SUMPRODUCT(M83,D83)+SUMPRODUCT(M124,D124))/D42)</f>
        <v>NA</v>
      </c>
      <c r="N42" s="137" t="str">
        <f>IF(D42=0,"NA",(SUMPRODUCT(N83,D83)+SUMPRODUCT(N124,D124))/D42)</f>
        <v>NA</v>
      </c>
      <c r="O42" s="137" t="str">
        <f>IF(D42=0,"NA",(SUMPRODUCT(O83,D83)+SUMPRODUCT(O124,D124))/D42)</f>
        <v>NA</v>
      </c>
      <c r="P42" s="137" t="str">
        <f>IF(D42=0,"NA",(SUMPRODUCT(P83,D83)+SUMPRODUCT(P124,D124))/D42)</f>
        <v>NA</v>
      </c>
      <c r="Q42" s="137" t="str">
        <f>IF(D42=0,"NA",(SUMPRODUCT(Q83,D83)+SUMPRODUCT(Q124,D124))/D42)</f>
        <v>NA</v>
      </c>
      <c r="R42" s="147" t="str">
        <f>IF(D42=0,"NA",(SUMPRODUCT(R83,D83)+SUMPRODUCT(R124,D124))/D42)</f>
        <v>NA</v>
      </c>
      <c r="S42" s="448">
        <f>S83+S124</f>
        <v>0</v>
      </c>
      <c r="T42" s="137" t="str">
        <f>IF(S42=0,"NA",(SUMPRODUCT(T83,S83)+SUMPRODUCT(T124,S124))/S42)</f>
        <v>NA</v>
      </c>
      <c r="U42" s="137" t="str">
        <f>IF(S42=0,"NA",(SUMPRODUCT(U83,S83)+SUMPRODUCT(U124,S124))/S42)</f>
        <v>NA</v>
      </c>
      <c r="V42" s="137" t="str">
        <f>IF(S42=0,"NA",(SUMPRODUCT(V83,S83)+SUMPRODUCT(V124,S124))/S42)</f>
        <v>NA</v>
      </c>
      <c r="W42" s="137" t="str">
        <f>IF(S42=0,"NA",(SUMPRODUCT(W83,S83)+SUMPRODUCT(W124,S124))/S42)</f>
        <v>NA</v>
      </c>
      <c r="X42" s="137" t="str">
        <f>IF(S42=0,"NA",(SUMPRODUCT(X83,S83)+SUMPRODUCT(X124,S124))/S42)</f>
        <v>NA</v>
      </c>
      <c r="Y42" s="137" t="str">
        <f>IF(S42=0,"NA",(SUMPRODUCT(Y83,S83)+SUMPRODUCT(Y124,S124))/S42)</f>
        <v>NA</v>
      </c>
      <c r="Z42" s="137" t="str">
        <f>IF(S42=0,"NA",(SUMPRODUCT(Z83,S83)+SUMPRODUCT(Z124,S124))/S42)</f>
        <v>NA</v>
      </c>
      <c r="AA42" s="137" t="str">
        <f>IF(S42=0,"NA",(SUMPRODUCT(AA83,S83)+SUMPRODUCT(AA124,S124))/S42)</f>
        <v>NA</v>
      </c>
      <c r="AB42" s="137" t="str">
        <f>IF(S42=0,"NA",(SUMPRODUCT(AB83,S83)+SUMPRODUCT(AB124,S124))/S42)</f>
        <v>NA</v>
      </c>
      <c r="AC42" s="137" t="str">
        <f>IF(S42=0,"NA",(SUMPRODUCT(AC83,S83)+SUMPRODUCT(AC124,S124))/S42)</f>
        <v>NA</v>
      </c>
      <c r="AD42" s="137" t="str">
        <f>IF(S42=0,"NA",(SUMPRODUCT(AD83,S83)+SUMPRODUCT(AD124,S124))/S42)</f>
        <v>NA</v>
      </c>
      <c r="AE42" s="137" t="str">
        <f>IF(S42=0,"NA",(SUMPRODUCT(AE83,S83)+SUMPRODUCT(AE124,S124))/S42)</f>
        <v>NA</v>
      </c>
      <c r="AF42" s="137" t="str">
        <f>IF(S42=0,"NA",(SUMPRODUCT(AF83,S83)+SUMPRODUCT(AF124,S124))/S42)</f>
        <v>NA</v>
      </c>
      <c r="AG42" s="138" t="str">
        <f>IF(S42=0,"NA",(SUMPRODUCT(AG83,S83)+SUMPRODUCT(AG124,S124))/S42)</f>
        <v>NA</v>
      </c>
      <c r="AH42" s="419" t="str">
        <f>IF(D42=0,"NA",S42/D42-1)</f>
        <v>NA</v>
      </c>
      <c r="AI42" s="420" t="str">
        <f>IF(D42=0,"NA",T42/E42-1)</f>
        <v>NA</v>
      </c>
      <c r="AJ42" s="421" t="str">
        <f>IF(D42=0,"NA",U42/F42-1)</f>
        <v>NA</v>
      </c>
      <c r="AK42" s="421" t="str">
        <f>IF(D42=0,"NA",V42/G42-1)</f>
        <v>NA</v>
      </c>
      <c r="AL42" s="421" t="str">
        <f>IF(D42=0,"NA",W42/H42-1)</f>
        <v>NA</v>
      </c>
      <c r="AM42" s="421" t="str">
        <f>IF(D42=0,"NA",X42/I42-1)</f>
        <v>NA</v>
      </c>
      <c r="AN42" s="421" t="str">
        <f>IF(D42=0,"NA",Y42/J42-1)</f>
        <v>NA</v>
      </c>
      <c r="AO42" s="421" t="str">
        <f>IF(D42=0,"NA",Z42/K42-1)</f>
        <v>NA</v>
      </c>
      <c r="AP42" s="421" t="str">
        <f>IF(D42=0,"NA",AA42/L42-1)</f>
        <v>NA</v>
      </c>
      <c r="AQ42" s="421" t="str">
        <f>IF(D42=0,"NA",AB42/M42-1)</f>
        <v>NA</v>
      </c>
      <c r="AR42" s="422" t="str">
        <f>IF(D42=0,"NA",AC42/N42-1)</f>
        <v>NA</v>
      </c>
      <c r="AS42" s="422" t="str">
        <f>IF(D42=0,"NA",AD42/O42-1)</f>
        <v>NA</v>
      </c>
      <c r="AT42" s="422" t="str">
        <f>IF(D42=0,"NA",AE42/P42-1)</f>
        <v>NA</v>
      </c>
      <c r="AU42" s="422" t="str">
        <f>IF(D42=0,"NA",AF42/Q42-1)</f>
        <v>NA</v>
      </c>
      <c r="AV42" s="423" t="str">
        <f>IF(D42=0,"NA",AG42/R42-1)</f>
        <v>NA</v>
      </c>
    </row>
    <row r="43" spans="2:48" x14ac:dyDescent="0.25">
      <c r="B43" s="149"/>
      <c r="C43" s="152" t="s">
        <v>332</v>
      </c>
      <c r="D43" s="449">
        <f>SUM(D8:D42)</f>
        <v>0</v>
      </c>
      <c r="E43" s="139" t="str">
        <f>IF(D43=0,"NA",(SUMPRODUCT(E84,D84)+SUMPRODUCT(E125,D125))/D43)</f>
        <v>NA</v>
      </c>
      <c r="F43" s="109" t="str">
        <f>IF(D43=0,"NA",(SUMPRODUCT(F84,D84)+SUMPRODUCT(F125,D125))/D43)</f>
        <v>NA</v>
      </c>
      <c r="G43" s="109" t="str">
        <f>IF(D43=0,"NA",(SUMPRODUCT(G84,D84)+SUMPRODUCT(G125,D125))/D43)</f>
        <v>NA</v>
      </c>
      <c r="H43" s="109" t="str">
        <f>IF(D43=0,"NA",(SUMPRODUCT(H84,D84)+SUMPRODUCT(H125,D125))/D43)</f>
        <v>NA</v>
      </c>
      <c r="I43" s="109" t="str">
        <f>IF(D43=0,"NA",(SUMPRODUCT(I84,D84)+SUMPRODUCT(I125,D125))/D43)</f>
        <v>NA</v>
      </c>
      <c r="J43" s="109" t="str">
        <f>IF(D43=0,"NA",(SUMPRODUCT(J84,D84)+SUMPRODUCT(J125,D125))/D43)</f>
        <v>NA</v>
      </c>
      <c r="K43" s="109" t="str">
        <f>IF(D43=0,"NA",(SUMPRODUCT(K84,D84)+SUMPRODUCT(K125,D125))/D43)</f>
        <v>NA</v>
      </c>
      <c r="L43" s="109" t="str">
        <f>IF(D43=0,"NA",(SUMPRODUCT(L84,D84)+SUMPRODUCT(L125,D125))/D43)</f>
        <v>NA</v>
      </c>
      <c r="M43" s="109" t="str">
        <f>IF(D43=0,"NA",(SUMPRODUCT(M84,D84)+SUMPRODUCT(M125,D125))/D43)</f>
        <v>NA</v>
      </c>
      <c r="N43" s="140" t="str">
        <f>IF(D43=0,"NA",(SUMPRODUCT(N84,D84)+SUMPRODUCT(N125,D125))/D43)</f>
        <v>NA</v>
      </c>
      <c r="O43" s="140" t="str">
        <f>IF(D43=0,"NA",(SUMPRODUCT(O84,D84)+SUMPRODUCT(O125,D125))/D43)</f>
        <v>NA</v>
      </c>
      <c r="P43" s="140" t="str">
        <f>IF(D43=0,"NA",(SUMPRODUCT(P84,D84)+SUMPRODUCT(P125,D125))/D43)</f>
        <v>NA</v>
      </c>
      <c r="Q43" s="140" t="str">
        <f>IF(D43=0,"NA",(SUMPRODUCT(Q84,D84)+SUMPRODUCT(Q125,D125))/D43)</f>
        <v>NA</v>
      </c>
      <c r="R43" s="140" t="str">
        <f>IF(D43=0,"NA",(SUMPRODUCT(R84,D84)+SUMPRODUCT(R125,D125))/D43)</f>
        <v>NA</v>
      </c>
      <c r="S43" s="449">
        <f>SUM(S8:S42)</f>
        <v>0</v>
      </c>
      <c r="T43" s="139" t="str">
        <f>IF(S43=0,"NA",(SUMPRODUCT(T84,S84)+SUMPRODUCT(T125,S125))/S43)</f>
        <v>NA</v>
      </c>
      <c r="U43" s="109" t="str">
        <f>IF(S43=0,"NA",(SUMPRODUCT(U84,S84)+SUMPRODUCT(U125,S125))/S43)</f>
        <v>NA</v>
      </c>
      <c r="V43" s="109" t="str">
        <f>IF(S43=0,"NA",(SUMPRODUCT(V84,S84)+SUMPRODUCT(V125,S125))/S43)</f>
        <v>NA</v>
      </c>
      <c r="W43" s="109" t="str">
        <f>IF(S43=0,"NA",(SUMPRODUCT(W84,S84)+SUMPRODUCT(W125,S125))/S43)</f>
        <v>NA</v>
      </c>
      <c r="X43" s="109" t="str">
        <f>IF(S43=0,"NA",(SUMPRODUCT(X84,S84)+SUMPRODUCT(X125,S125))/S43)</f>
        <v>NA</v>
      </c>
      <c r="Y43" s="109" t="str">
        <f>IF(S43=0,"NA",(SUMPRODUCT(Y84,S84)+SUMPRODUCT(Y125,S125))/S43)</f>
        <v>NA</v>
      </c>
      <c r="Z43" s="109" t="str">
        <f>IF(S43=0,"NA",(SUMPRODUCT(Z84,S84)+SUMPRODUCT(Z125,S125))/S43)</f>
        <v>NA</v>
      </c>
      <c r="AA43" s="109" t="str">
        <f>IF(S43=0,"NA",(SUMPRODUCT(AA84,S84)+SUMPRODUCT(AA125,S125))/S43)</f>
        <v>NA</v>
      </c>
      <c r="AB43" s="109" t="str">
        <f>IF(S43=0,"NA",(SUMPRODUCT(AB84,S84)+SUMPRODUCT(AB125,S125))/S43)</f>
        <v>NA</v>
      </c>
      <c r="AC43" s="140" t="str">
        <f>IF(S43=0,"NA",(SUMPRODUCT(AC84,S84)+SUMPRODUCT(AC125,S125))/S43)</f>
        <v>NA</v>
      </c>
      <c r="AD43" s="140" t="str">
        <f>IF(S43=0,"NA",(SUMPRODUCT(AD84,S84)+SUMPRODUCT(AD125,S125))/S43)</f>
        <v>NA</v>
      </c>
      <c r="AE43" s="140" t="str">
        <f>IF(S43=0,"NA",(SUMPRODUCT(AE84,S84)+SUMPRODUCT(AE125,S125))/S43)</f>
        <v>NA</v>
      </c>
      <c r="AF43" s="140" t="str">
        <f>IF(S43=0,"NA",(SUMPRODUCT(AF84,S84)+SUMPRODUCT(AF125,S125))/S43)</f>
        <v>NA</v>
      </c>
      <c r="AG43" s="141" t="str">
        <f>IF(S43=0,"NA",(SUMPRODUCT(AG84,S84)+SUMPRODUCT(AG125,S125))/S43)</f>
        <v>NA</v>
      </c>
      <c r="AH43" s="424" t="str">
        <f>IF(D43=0,"NA",S43/D43-1)</f>
        <v>NA</v>
      </c>
      <c r="AI43" s="425" t="str">
        <f>IF(D43=0,"NA",T43/E43-1)</f>
        <v>NA</v>
      </c>
      <c r="AJ43" s="426" t="str">
        <f>IF(D43=0,"NA",U43/F43-1)</f>
        <v>NA</v>
      </c>
      <c r="AK43" s="426" t="str">
        <f>IF(D43=0,"NA",V43/G43-1)</f>
        <v>NA</v>
      </c>
      <c r="AL43" s="426" t="str">
        <f>IF(D43=0,"NA",W43/H43-1)</f>
        <v>NA</v>
      </c>
      <c r="AM43" s="426" t="str">
        <f>IF(D43=0,"NA",X43/I43-1)</f>
        <v>NA</v>
      </c>
      <c r="AN43" s="426" t="str">
        <f>IF(D43=0,"NA",Y43/J43-1)</f>
        <v>NA</v>
      </c>
      <c r="AO43" s="426" t="str">
        <f>IF(D43=0,"NA",Z43/K43-1)</f>
        <v>NA</v>
      </c>
      <c r="AP43" s="426" t="str">
        <f>IF(D43=0,"NA",AA43/L43-1)</f>
        <v>NA</v>
      </c>
      <c r="AQ43" s="426" t="str">
        <f>IF(D43=0,"NA",AB43/M43-1)</f>
        <v>NA</v>
      </c>
      <c r="AR43" s="427" t="str">
        <f>IF(D43=0,"NA",AC43/N43-1)</f>
        <v>NA</v>
      </c>
      <c r="AS43" s="427" t="str">
        <f>IF(D43=0,"NA",AD43/O43-1)</f>
        <v>NA</v>
      </c>
      <c r="AT43" s="427" t="str">
        <f>IF(D43=0,"NA",AE43/P43-1)</f>
        <v>NA</v>
      </c>
      <c r="AU43" s="427" t="str">
        <f>IF(D43=0,"NA",AF43/Q43-1)</f>
        <v>NA</v>
      </c>
      <c r="AV43" s="428" t="str">
        <f>IF(D43=0,"NA",AG43/R43-1)</f>
        <v>NA</v>
      </c>
    </row>
    <row r="44" spans="2:48" ht="15.75" thickBot="1" x14ac:dyDescent="0.3">
      <c r="B44" s="150"/>
      <c r="C44" s="153" t="s">
        <v>333</v>
      </c>
      <c r="D44" s="450">
        <f>D43</f>
        <v>0</v>
      </c>
      <c r="E44" s="142" t="str">
        <f>IF(D44=0,"NA",(SUMPRODUCT(E85,D85)+SUMPRODUCT(E126,D126))/D44)</f>
        <v>NA</v>
      </c>
      <c r="F44" s="143" t="str">
        <f>IF(D44=0,"NA",(SUMPRODUCT(F85,D85)+SUMPRODUCT(F126,D126))/D44)</f>
        <v>NA</v>
      </c>
      <c r="G44" s="143" t="str">
        <f>IF(D44=0,"NA",(SUMPRODUCT(G85,D85)+SUMPRODUCT(G126,D126))/D44)</f>
        <v>NA</v>
      </c>
      <c r="H44" s="143" t="str">
        <f>IF(D44=0,"NA",(SUMPRODUCT(H85,D85)+SUMPRODUCT(H126,D126))/D44)</f>
        <v>NA</v>
      </c>
      <c r="I44" s="143" t="str">
        <f>IF(D44=0,"NA",(SUMPRODUCT(I85,D85)+SUMPRODUCT(I126,D126))/D44)</f>
        <v>NA</v>
      </c>
      <c r="J44" s="143" t="str">
        <f>IF(D44=0,"NA",(SUMPRODUCT(J85,D85)+SUMPRODUCT(J126,D126))/D44)</f>
        <v>NA</v>
      </c>
      <c r="K44" s="143" t="str">
        <f>IF(D44=0,"NA",(SUMPRODUCT(K85,D85)+SUMPRODUCT(K126,D126))/D44)</f>
        <v>NA</v>
      </c>
      <c r="L44" s="143" t="str">
        <f>IF(D44=0,"NA",(SUMPRODUCT(L85,D85)+SUMPRODUCT(L126,D126))/D44)</f>
        <v>NA</v>
      </c>
      <c r="M44" s="143" t="str">
        <f>IF(D44=0,"NA",(SUMPRODUCT(M85,D85)+SUMPRODUCT(M126,D126))/D44)</f>
        <v>NA</v>
      </c>
      <c r="N44" s="144" t="str">
        <f>IF(D44=0,"NA",(SUMPRODUCT(N85,D85)+SUMPRODUCT(N126,D126))/D44)</f>
        <v>NA</v>
      </c>
      <c r="O44" s="144" t="str">
        <f>IF(D44=0,"NA",(SUMPRODUCT(O85,D85)+SUMPRODUCT(O126,D126))/D44)</f>
        <v>NA</v>
      </c>
      <c r="P44" s="144" t="str">
        <f>IF(D44=0,"NA",(SUMPRODUCT(P85,D85)+SUMPRODUCT(P126,D126))/D44)</f>
        <v>NA</v>
      </c>
      <c r="Q44" s="144" t="str">
        <f>IF(D44=0,"NA",(SUMPRODUCT(Q85,D85)+SUMPRODUCT(Q126,D126))/D44)</f>
        <v>NA</v>
      </c>
      <c r="R44" s="144" t="str">
        <f>IF(D44=0,"NA",(SUMPRODUCT(R85,D85)+SUMPRODUCT(R126,D126))/D44)</f>
        <v>NA</v>
      </c>
      <c r="S44" s="450">
        <f>S43</f>
        <v>0</v>
      </c>
      <c r="T44" s="142" t="str">
        <f>IF(S44=0,"NA",(SUMPRODUCT(T85,S85)+SUMPRODUCT(T126,S126))/S44)</f>
        <v>NA</v>
      </c>
      <c r="U44" s="143" t="str">
        <f>IF(S44=0,"NA",(SUMPRODUCT(U85,S85)+SUMPRODUCT(U126,S126))/S44)</f>
        <v>NA</v>
      </c>
      <c r="V44" s="143" t="str">
        <f>IF(S44=0,"NA",(SUMPRODUCT(V85,S85)+SUMPRODUCT(V126,S126))/S44)</f>
        <v>NA</v>
      </c>
      <c r="W44" s="143" t="str">
        <f>IF(S44=0,"NA",(SUMPRODUCT(W85,S85)+SUMPRODUCT(W126,S126))/S44)</f>
        <v>NA</v>
      </c>
      <c r="X44" s="143" t="str">
        <f>IF(S44=0,"NA",(SUMPRODUCT(X85,S85)+SUMPRODUCT(X126,S126))/S44)</f>
        <v>NA</v>
      </c>
      <c r="Y44" s="143" t="str">
        <f>IF(S44=0,"NA",(SUMPRODUCT(Y85,S85)+SUMPRODUCT(Y126,S126))/S44)</f>
        <v>NA</v>
      </c>
      <c r="Z44" s="143" t="str">
        <f>IF(S44=0,"NA",(SUMPRODUCT(Z85,S85)+SUMPRODUCT(Z126,S126))/S44)</f>
        <v>NA</v>
      </c>
      <c r="AA44" s="143" t="str">
        <f>IF(S44=0,"NA",(SUMPRODUCT(AA85,S85)+SUMPRODUCT(AA126,S126))/S44)</f>
        <v>NA</v>
      </c>
      <c r="AB44" s="143" t="str">
        <f>IF(S44=0,"NA",(SUMPRODUCT(AB85,S85)+SUMPRODUCT(AB126,S126))/S44)</f>
        <v>NA</v>
      </c>
      <c r="AC44" s="144" t="str">
        <f>IF(S44=0,"NA",(SUMPRODUCT(AC85,S85)+SUMPRODUCT(AC126,S126))/S44)</f>
        <v>NA</v>
      </c>
      <c r="AD44" s="144" t="str">
        <f>IF(S44=0,"NA",(SUMPRODUCT(AD85,S85)+SUMPRODUCT(AD126,S126))/S44)</f>
        <v>NA</v>
      </c>
      <c r="AE44" s="144" t="str">
        <f>IF(S44=0,"NA",(SUMPRODUCT(AE85,S85)+SUMPRODUCT(AE126,S126))/S44)</f>
        <v>NA</v>
      </c>
      <c r="AF44" s="144" t="str">
        <f>IF(S44=0,"NA",(SUMPRODUCT(AF85,S85)+SUMPRODUCT(AF126,S126))/S44)</f>
        <v>NA</v>
      </c>
      <c r="AG44" s="145" t="str">
        <f>IF(S44=0,"NA",(SUMPRODUCT(AG85,S85)+SUMPRODUCT(AG126,S126))/S44)</f>
        <v>NA</v>
      </c>
      <c r="AH44" s="429" t="str">
        <f>IF(D44=0,"NA",S44/D44-1)</f>
        <v>NA</v>
      </c>
      <c r="AI44" s="430" t="str">
        <f>IF(D44=0,"NA",T44/E44-1)</f>
        <v>NA</v>
      </c>
      <c r="AJ44" s="431" t="str">
        <f>IF(D44=0,"NA",U44/F44-1)</f>
        <v>NA</v>
      </c>
      <c r="AK44" s="431" t="str">
        <f>IF(D44=0,"NA",V44/G44-1)</f>
        <v>NA</v>
      </c>
      <c r="AL44" s="431" t="str">
        <f>IF(D44=0,"NA",W44/H44-1)</f>
        <v>NA</v>
      </c>
      <c r="AM44" s="431" t="str">
        <f>IF(D44=0,"NA",X44/I44-1)</f>
        <v>NA</v>
      </c>
      <c r="AN44" s="431" t="str">
        <f>IF(D44=0,"NA",Y44/J44-1)</f>
        <v>NA</v>
      </c>
      <c r="AO44" s="431" t="str">
        <f>IF(D44=0,"NA",Z44/K44-1)</f>
        <v>NA</v>
      </c>
      <c r="AP44" s="431" t="str">
        <f>IF(D44=0,"NA",AA44/L44-1)</f>
        <v>NA</v>
      </c>
      <c r="AQ44" s="431" t="str">
        <f>IF(D44=0,"NA",AB44/M44-1)</f>
        <v>NA</v>
      </c>
      <c r="AR44" s="432" t="str">
        <f>IF(D44=0,"NA",AC44/N44-1)</f>
        <v>NA</v>
      </c>
      <c r="AS44" s="432" t="str">
        <f>IF(D44=0,"NA",AD44/O44-1)</f>
        <v>NA</v>
      </c>
      <c r="AT44" s="432" t="str">
        <f>IF(D44=0,"NA",AE44/P44-1)</f>
        <v>NA</v>
      </c>
      <c r="AU44" s="432" t="str">
        <f>IF(D44=0,"NA",AF44/Q44-1)</f>
        <v>NA</v>
      </c>
      <c r="AV44" s="433" t="str">
        <f>IF(D44=0,"NA",AG44/R44-1)</f>
        <v>NA</v>
      </c>
    </row>
    <row r="46" spans="2:48" ht="16.5" thickBot="1" x14ac:dyDescent="0.3">
      <c r="B46" s="53" t="s">
        <v>334</v>
      </c>
      <c r="C46" s="464"/>
    </row>
    <row r="47" spans="2:48" x14ac:dyDescent="0.25">
      <c r="B47" s="615" t="s">
        <v>322</v>
      </c>
      <c r="C47" s="616"/>
      <c r="D47" s="577">
        <v>2023</v>
      </c>
      <c r="E47" s="578"/>
      <c r="F47" s="578"/>
      <c r="G47" s="578"/>
      <c r="H47" s="578"/>
      <c r="I47" s="578"/>
      <c r="J47" s="578"/>
      <c r="K47" s="578"/>
      <c r="L47" s="578"/>
      <c r="M47" s="578"/>
      <c r="N47" s="578"/>
      <c r="O47" s="578"/>
      <c r="P47" s="578"/>
      <c r="Q47" s="578"/>
      <c r="R47" s="578"/>
      <c r="S47" s="577">
        <v>2024</v>
      </c>
      <c r="T47" s="578"/>
      <c r="U47" s="578"/>
      <c r="V47" s="578"/>
      <c r="W47" s="578"/>
      <c r="X47" s="578"/>
      <c r="Y47" s="578"/>
      <c r="Z47" s="578"/>
      <c r="AA47" s="578"/>
      <c r="AB47" s="578"/>
      <c r="AC47" s="578"/>
      <c r="AD47" s="578"/>
      <c r="AE47" s="578"/>
      <c r="AF47" s="578"/>
      <c r="AG47" s="579"/>
      <c r="AH47" s="585" t="s">
        <v>292</v>
      </c>
      <c r="AI47" s="586"/>
      <c r="AJ47" s="587"/>
      <c r="AK47" s="587"/>
      <c r="AL47" s="587"/>
      <c r="AM47" s="587"/>
      <c r="AN47" s="587"/>
      <c r="AO47" s="587"/>
      <c r="AP47" s="587"/>
      <c r="AQ47" s="587"/>
      <c r="AR47" s="588"/>
      <c r="AS47" s="588"/>
      <c r="AT47" s="588"/>
      <c r="AU47" s="588"/>
      <c r="AV47" s="589"/>
    </row>
    <row r="48" spans="2:48" ht="30" x14ac:dyDescent="0.25">
      <c r="B48" s="66" t="s">
        <v>323</v>
      </c>
      <c r="C48" s="67" t="s">
        <v>324</v>
      </c>
      <c r="D48" s="66" t="s">
        <v>212</v>
      </c>
      <c r="E48" s="126" t="s">
        <v>124</v>
      </c>
      <c r="F48" s="61" t="s">
        <v>125</v>
      </c>
      <c r="G48" s="61" t="s">
        <v>127</v>
      </c>
      <c r="H48" s="61" t="s">
        <v>325</v>
      </c>
      <c r="I48" s="61" t="s">
        <v>129</v>
      </c>
      <c r="J48" s="61" t="s">
        <v>130</v>
      </c>
      <c r="K48" s="61" t="s">
        <v>326</v>
      </c>
      <c r="L48" s="61" t="s">
        <v>327</v>
      </c>
      <c r="M48" s="61" t="s">
        <v>134</v>
      </c>
      <c r="N48" s="132" t="s">
        <v>328</v>
      </c>
      <c r="O48" s="132" t="s">
        <v>329</v>
      </c>
      <c r="P48" s="132" t="s">
        <v>218</v>
      </c>
      <c r="Q48" s="132" t="s">
        <v>330</v>
      </c>
      <c r="R48" s="132" t="s">
        <v>331</v>
      </c>
      <c r="S48" s="66" t="s">
        <v>212</v>
      </c>
      <c r="T48" s="126" t="s">
        <v>124</v>
      </c>
      <c r="U48" s="61" t="s">
        <v>125</v>
      </c>
      <c r="V48" s="61" t="s">
        <v>127</v>
      </c>
      <c r="W48" s="61" t="s">
        <v>325</v>
      </c>
      <c r="X48" s="61" t="s">
        <v>129</v>
      </c>
      <c r="Y48" s="61" t="s">
        <v>130</v>
      </c>
      <c r="Z48" s="61" t="s">
        <v>326</v>
      </c>
      <c r="AA48" s="61" t="s">
        <v>327</v>
      </c>
      <c r="AB48" s="61" t="s">
        <v>134</v>
      </c>
      <c r="AC48" s="132" t="s">
        <v>328</v>
      </c>
      <c r="AD48" s="132" t="s">
        <v>329</v>
      </c>
      <c r="AE48" s="132" t="s">
        <v>218</v>
      </c>
      <c r="AF48" s="132" t="s">
        <v>330</v>
      </c>
      <c r="AG48" s="67" t="s">
        <v>331</v>
      </c>
      <c r="AH48" s="66" t="s">
        <v>212</v>
      </c>
      <c r="AI48" s="126" t="s">
        <v>124</v>
      </c>
      <c r="AJ48" s="61" t="s">
        <v>125</v>
      </c>
      <c r="AK48" s="61" t="s">
        <v>127</v>
      </c>
      <c r="AL48" s="61" t="s">
        <v>325</v>
      </c>
      <c r="AM48" s="61" t="s">
        <v>129</v>
      </c>
      <c r="AN48" s="61" t="s">
        <v>130</v>
      </c>
      <c r="AO48" s="61" t="s">
        <v>326</v>
      </c>
      <c r="AP48" s="61" t="s">
        <v>327</v>
      </c>
      <c r="AQ48" s="61" t="s">
        <v>134</v>
      </c>
      <c r="AR48" s="132" t="s">
        <v>328</v>
      </c>
      <c r="AS48" s="132" t="s">
        <v>329</v>
      </c>
      <c r="AT48" s="132" t="s">
        <v>218</v>
      </c>
      <c r="AU48" s="132" t="s">
        <v>330</v>
      </c>
      <c r="AV48" s="67" t="s">
        <v>331</v>
      </c>
    </row>
    <row r="49" spans="1:48" ht="15" customHeight="1" x14ac:dyDescent="0.25">
      <c r="A49" s="146"/>
      <c r="B49" s="148">
        <v>101</v>
      </c>
      <c r="C49" s="151" t="str">
        <f>_xlfn.XLOOKUP(B49, LgProvEntOrgIDs[Advanced Network/Insurer Carrier Org ID], LgProvEntOrgIDs[Advanced Network/Insurance Carrier Overall])</f>
        <v>Privia Quality Network of Connecticut (PQN CT) (formerly Community Medical Group)</v>
      </c>
      <c r="D49" s="448">
        <f>SUMIFS(AN_TME_BY[[#All],[Member Months]],AN_TME_BY[[#All],[Insurance Category Code]],3,AN_TME_BY[[#All],[Advanced Network/Insurance Carrier Org ID]],B49)</f>
        <v>0</v>
      </c>
      <c r="E49" s="137" t="str">
        <f>IF(D49=0,"NA",SUMIFS(AN_TME_BY[[#All],[Claims: Hospital Inpatient]],AN_TME_BY[[#All],[Insurance Category Code]],3,AN_TME_BY[[#All],[Advanced Network/Insurance Carrier Org ID]],B49)/D49)</f>
        <v>NA</v>
      </c>
      <c r="F49" s="108" t="str">
        <f>IF(D49=0,"NA",SUMIFS(AN_TME_BY[[#All],[Claims: Hospital Outpatient]],AN_TME_BY[[#All],[Insurance Category Code]],3,AN_TME_BY[[#All],[Advanced Network/Insurance Carrier Org ID]],B49)/D49)</f>
        <v>NA</v>
      </c>
      <c r="G49" s="108" t="str">
        <f>IF(D49=0,"NA",SUMIFS(AN_TME_BY[[#All],[Claims: Professional, Primary Care]],AN_TME_BY[[#All],[Insurance Category Code]],3,AN_TME_BY[[#All],[Advanced Network/Insurance Carrier Org ID]],B49)/D49)</f>
        <v>NA</v>
      </c>
      <c r="H49" s="108" t="str">
        <f>IF(D49=0,"NA",SUMIFS(AN_TME_BY[[#All],[Claims: Professional, Primary Care (for Monitoring Purposes)]],AN_TME_BY[[#All],[Insurance Category Code]],3,AN_TME_BY[[#All],[Advanced Network/Insurance Carrier Org ID]],B49)/D49)</f>
        <v>NA</v>
      </c>
      <c r="I49" s="108" t="str">
        <f>IF(D49=0,"NA",SUMIFS(AN_TME_BY[[#All],[Claims: Professional, Specialty]],AN_TME_BY[[#All],[Insurance Category Code]],3,AN_TME_BY[[#All],[Advanced Network/Insurance Carrier Org ID]],B49)/D49)</f>
        <v>NA</v>
      </c>
      <c r="J49" s="108" t="str">
        <f>IF(D49=0,"NA",SUMIFS(AN_TME_BY[[#All],[Claims: Professional Other]],AN_TME_BY[[#All],[Insurance Category Code]],3,AN_TME_BY[[#All],[Advanced Network/Insurance Carrier Org ID]],B49)/D49)</f>
        <v>NA</v>
      </c>
      <c r="K49" s="108" t="str">
        <f>IF(D49=0,"NA",SUMIFS(AN_TME_BY[[#All],[Claims: Pharmacy]],AN_TME_BY[[#All],[Insurance Category Code]],3,AN_TME_BY[[#All],[Advanced Network/Insurance Carrier Org ID]],B49)/D49)</f>
        <v>NA</v>
      </c>
      <c r="L49" s="108" t="str">
        <f>IF(D49=0,"NA",SUMIFS(AN_TME_BY[[#All],[Claims: Long-Term Care]],AN_TME_BY[[#All],[Insurance Category Code]],3,AN_TME_BY[[#All],[Advanced Network/Insurance Carrier Org ID]],B49)/D49)</f>
        <v>NA</v>
      </c>
      <c r="M49" s="108" t="str">
        <f>IF(D49=0,"NA",SUMIFS(AN_TME_BY[[#All],[Claims: Other]],AN_TME_BY[[#All],[Insurance Category Code]],3,AN_TME_BY[[#All],[Advanced Network/Insurance Carrier Org ID]],B49)/D49)</f>
        <v>NA</v>
      </c>
      <c r="N49" s="147" t="str">
        <f>IF(D49=0,"NA",SUMIFS(AN_TME_BY[[#All],[TOTAL Non-Truncated Unadjusted Claims Expenses]],AN_TME_BY[[#All],[Insurance Category Code]],3,AN_TME_BY[[#All],[Advanced Network/Insurance Carrier Org ID]],B49)/D49)</f>
        <v>NA</v>
      </c>
      <c r="O49" s="147" t="str">
        <f>IF(D49=0,"NA",SUMIFS(AN_TME_BY[[#All],[TOTAL Truncated Unadjusted Claims Expenses (A21 -A19)]],AN_TME_BY[[#All],[Insurance Category Code]],3,AN_TME_BY[[#All],[Advanced Network/Insurance Carrier Org ID]],B49)/D49)</f>
        <v>NA</v>
      </c>
      <c r="P49" s="147" t="str">
        <f>IF(D49=0,"NA",SUMIFS(AN_TME_BY[[#All],[TOTAL Non-Claims Expenses]],AN_TME_BY[[#All],[Insurance Category Code]],3,AN_TME_BY[[#All],[Advanced Network/Insurance Carrier Org ID]],B49)/D49)</f>
        <v>NA</v>
      </c>
      <c r="Q49" s="147" t="str">
        <f>IF(D49=0,"NA",SUMIFS(AN_TME_BY[[#All],[TOTAL Non-Truncated Unadjusted Expenses (A21 + A23)]],AN_TME_BY[[#All],[Insurance Category Code]],3,AN_TME_BY[[#All],[Advanced Network/Insurance Carrier Org ID]],B49)/D49)</f>
        <v>NA</v>
      </c>
      <c r="R49" s="147" t="str">
        <f>IF(D49=0,"NA",SUMIFS(AN_TME_BY[[#All],[TOTAL Truncated Unadjusted Expenses (A22 + A23)]],AN_TME_BY[[#All],[Insurance Category Code]],3,AN_TME_BY[[#All],[Advanced Network/Insurance Carrier Org ID]],B49)/D49)</f>
        <v>NA</v>
      </c>
      <c r="S49" s="448">
        <f>SUMIFS(AN_TME_PY[[#All],[Member Months]],AN_TME_PY[[#All],[Insurance Category Code]],3,AN_TME_PY[[#All],[Advanced Network/Insurance Carrier Org ID]],B49)</f>
        <v>0</v>
      </c>
      <c r="T49" s="137" t="str">
        <f>IF(S49=0,"NA",SUMIFS(AN_TME_PY[[#All],[Claims: Hospital Inpatient]],AN_TME_PY[[#All],[Insurance Category Code]],3,AN_TME_PY[[#All],[Advanced Network/Insurance Carrier Org ID]],B49)/S49)</f>
        <v>NA</v>
      </c>
      <c r="U49" s="108" t="str">
        <f>IF(S49=0,"NA",SUMIFS(AN_TME_PY[[#All],[Claims: Hospital Outpatient]],AN_TME_PY[[#All],[Insurance Category Code]],3,AN_TME_PY[[#All],[Advanced Network/Insurance Carrier Org ID]],B49)/S49)</f>
        <v>NA</v>
      </c>
      <c r="V49" s="108" t="str">
        <f>IF(S49=0,"NA",SUMIFS(AN_TME_PY[[#All],[Claims: Professional, Primary Care]],AN_TME_PY[[#All],[Insurance Category Code]],3,AN_TME_PY[[#All],[Advanced Network/Insurance Carrier Org ID]],B49)/S49)</f>
        <v>NA</v>
      </c>
      <c r="W49" s="108" t="str">
        <f>IF(S49=0,"NA",SUMIFS(AN_TME_PY[[#All],[Claims: Professional, Primary Care (for Monitoring Purposes)]],AN_TME_PY[[#All],[Insurance Category Code]],3,AN_TME_PY[[#All],[Advanced Network/Insurance Carrier Org ID]],B49)/S49)</f>
        <v>NA</v>
      </c>
      <c r="X49" s="108" t="str">
        <f>IF(S49=0,"NA",SUMIFS(AN_TME_PY[[#All],[Claims: Professional, Specialty]],AN_TME_PY[[#All],[Insurance Category Code]],3,AN_TME_PY[[#All],[Advanced Network/Insurance Carrier Org ID]],B49)/S49)</f>
        <v>NA</v>
      </c>
      <c r="Y49" s="108" t="str">
        <f>IF(S49=0,"NA",SUMIFS(AN_TME_PY[[#All],[Claims: Professional Other]],AN_TME_PY[[#All],[Insurance Category Code]],3,AN_TME_PY[[#All],[Advanced Network/Insurance Carrier Org ID]],B49)/S49)</f>
        <v>NA</v>
      </c>
      <c r="Z49" s="108" t="str">
        <f>IF(S49=0,"NA",SUMIFS(AN_TME_PY[[#All],[Claims: Pharmacy]],AN_TME_PY[[#All],[Insurance Category Code]],3,AN_TME_PY[[#All],[Advanced Network/Insurance Carrier Org ID]],B49)/S49)</f>
        <v>NA</v>
      </c>
      <c r="AA49" s="108" t="str">
        <f>IF(S49=0,"NA",SUMIFS(AN_TME_PY[[#All],[Claims: Long-Term Care]],AN_TME_PY[[#All],[Insurance Category Code]],3,AN_TME_PY[[#All],[Advanced Network/Insurance Carrier Org ID]],B49)/S49)</f>
        <v>NA</v>
      </c>
      <c r="AB49" s="108" t="str">
        <f>IF(S49=0,"NA",SUMIFS(AN_TME_PY[[#All],[Claims: Other]],AN_TME_PY[[#All],[Insurance Category Code]],3,AN_TME_PY[[#All],[Advanced Network/Insurance Carrier Org ID]],B49)/S49)</f>
        <v>NA</v>
      </c>
      <c r="AC49" s="147" t="str">
        <f>IF(S49=0,"NA",SUMIFS(AN_TME_PY[[#All],[TOTAL Non-Truncated Unadjusted Claims Expenses]],AN_TME_PY[[#All],[Insurance Category Code]],3,AN_TME_PY[[#All],[Advanced Network/Insurance Carrier Org ID]],B49)/S49)</f>
        <v>NA</v>
      </c>
      <c r="AD49" s="147" t="str">
        <f>IF(S49=0,"NA",SUMIFS(AN_TME_PY[[#All],[TOTAL Truncated Unadjusted Claims Expenses (A21 -A19)]],AN_TME_PY[[#All],[Insurance Category Code]],3,AN_TME_PY[[#All],[Advanced Network/Insurance Carrier Org ID]],B49)/S49)</f>
        <v>NA</v>
      </c>
      <c r="AE49" s="147" t="str">
        <f>IF(S49=0,"NA",SUMIFS(AN_TME_PY[[#All],[TOTAL Non-Claims Expenses]],AN_TME_PY[[#All],[Insurance Category Code]],3,AN_TME_PY[[#All],[Advanced Network/Insurance Carrier Org ID]],B49)/S49)</f>
        <v>NA</v>
      </c>
      <c r="AF49" s="147" t="str">
        <f>IF(S49=0,"NA",SUMIFS(AN_TME_PY[[#All],[TOTAL Non-Truncated Unadjusted Expenses (A21 + A23)]],AN_TME_PY[[#All],[Insurance Category Code]],3,AN_TME_PY[[#All],[Advanced Network/Insurance Carrier Org ID]],B49)/S49)</f>
        <v>NA</v>
      </c>
      <c r="AG49" s="138" t="str">
        <f>IF(S49=0,"NA",SUMIFS(AN_TME_PY[[#All],[TOTAL Truncated Unadjusted Expenses (A22 + A23)]],AN_TME_PY[[#All],[Insurance Category Code]],3,AN_TME_PY[[#All],[Advanced Network/Insurance Carrier Org ID]],B49)/S49)</f>
        <v>NA</v>
      </c>
      <c r="AH49" s="419" t="str">
        <f>IF(D49=0,"NA",S49/D49-1)</f>
        <v>NA</v>
      </c>
      <c r="AI49" s="420" t="str">
        <f>IF(D49=0,"NA",T49/E49-1)</f>
        <v>NA</v>
      </c>
      <c r="AJ49" s="421" t="str">
        <f>IF(D49=0,"NA",U49/F49-1)</f>
        <v>NA</v>
      </c>
      <c r="AK49" s="421" t="str">
        <f>IF(D49=0,"NA",V49/G49-1)</f>
        <v>NA</v>
      </c>
      <c r="AL49" s="421" t="str">
        <f>IF(D49=0,"NA",W49/H49-1)</f>
        <v>NA</v>
      </c>
      <c r="AM49" s="421" t="str">
        <f>IF(D49=0,"NA",X49/I49-1)</f>
        <v>NA</v>
      </c>
      <c r="AN49" s="421" t="str">
        <f>IF(D49=0,"NA",Y49/J49-1)</f>
        <v>NA</v>
      </c>
      <c r="AO49" s="421" t="str">
        <f>IF(D49=0,"NA",Z49/K49-1)</f>
        <v>NA</v>
      </c>
      <c r="AP49" s="421" t="str">
        <f>IF(D49=0,"NA",AA49/L49-1)</f>
        <v>NA</v>
      </c>
      <c r="AQ49" s="421" t="str">
        <f>IF(D49=0,"NA",AB49/M49-1)</f>
        <v>NA</v>
      </c>
      <c r="AR49" s="422" t="str">
        <f>IF(D49=0,"NA",AC49/N49-1)</f>
        <v>NA</v>
      </c>
      <c r="AS49" s="422" t="str">
        <f>IF(D49=0,"NA",AD49/O49-1)</f>
        <v>NA</v>
      </c>
      <c r="AT49" s="422" t="str">
        <f>IF(D49=0,"NA",AE49/P49-1)</f>
        <v>NA</v>
      </c>
      <c r="AU49" s="422" t="str">
        <f>IF(D49=0,"NA",AF49/Q49-1)</f>
        <v>NA</v>
      </c>
      <c r="AV49" s="423" t="str">
        <f>IF(D49=0,"NA",AG49/R49-1)</f>
        <v>NA</v>
      </c>
    </row>
    <row r="50" spans="1:48" ht="15" customHeight="1" x14ac:dyDescent="0.25">
      <c r="A50" s="146"/>
      <c r="B50" s="148">
        <v>102</v>
      </c>
      <c r="C50" s="151" t="str">
        <f>_xlfn.XLOOKUP(B50, LgProvEntOrgIDs[Advanced Network/Insurer Carrier Org ID], LgProvEntOrgIDs[Advanced Network/Insurance Carrier Overall])</f>
        <v>Connecticut Children's Care Network</v>
      </c>
      <c r="D50" s="448">
        <f>SUMIFS(AN_TME_BY[[#All],[Member Months]],AN_TME_BY[[#All],[Insurance Category Code]],3,AN_TME_BY[[#All],[Advanced Network/Insurance Carrier Org ID]],B50)</f>
        <v>0</v>
      </c>
      <c r="E50" s="137" t="str">
        <f>IF(D50=0,"NA",SUMIFS(AN_TME_BY[[#All],[Claims: Hospital Inpatient]],AN_TME_BY[[#All],[Insurance Category Code]],3,AN_TME_BY[[#All],[Advanced Network/Insurance Carrier Org ID]],B50)/D50)</f>
        <v>NA</v>
      </c>
      <c r="F50" s="108" t="str">
        <f>IF(D50=0,"NA",SUMIFS(AN_TME_BY[[#All],[Claims: Hospital Outpatient]],AN_TME_BY[[#All],[Insurance Category Code]],3,AN_TME_BY[[#All],[Advanced Network/Insurance Carrier Org ID]],B50)/D50)</f>
        <v>NA</v>
      </c>
      <c r="G50" s="108" t="str">
        <f>IF(D50=0,"NA",SUMIFS(AN_TME_BY[[#All],[Claims: Professional, Primary Care]],AN_TME_BY[[#All],[Insurance Category Code]],3,AN_TME_BY[[#All],[Advanced Network/Insurance Carrier Org ID]],B50)/D50)</f>
        <v>NA</v>
      </c>
      <c r="H50" s="108" t="str">
        <f>IF(D50=0,"NA",SUMIFS(AN_TME_BY[[#All],[Claims: Professional, Primary Care (for Monitoring Purposes)]],AN_TME_BY[[#All],[Insurance Category Code]],3,AN_TME_BY[[#All],[Advanced Network/Insurance Carrier Org ID]],B50)/D50)</f>
        <v>NA</v>
      </c>
      <c r="I50" s="108" t="str">
        <f>IF(D50=0,"NA",SUMIFS(AN_TME_BY[[#All],[Claims: Professional, Specialty]],AN_TME_BY[[#All],[Insurance Category Code]],3,AN_TME_BY[[#All],[Advanced Network/Insurance Carrier Org ID]],B50)/D50)</f>
        <v>NA</v>
      </c>
      <c r="J50" s="108" t="str">
        <f>IF(D50=0,"NA",SUMIFS(AN_TME_BY[[#All],[Claims: Professional Other]],AN_TME_BY[[#All],[Insurance Category Code]],3,AN_TME_BY[[#All],[Advanced Network/Insurance Carrier Org ID]],B50)/D50)</f>
        <v>NA</v>
      </c>
      <c r="K50" s="108" t="str">
        <f>IF(D50=0,"NA",SUMIFS(AN_TME_BY[[#All],[Claims: Pharmacy]],AN_TME_BY[[#All],[Insurance Category Code]],3,AN_TME_BY[[#All],[Advanced Network/Insurance Carrier Org ID]],B50)/D50)</f>
        <v>NA</v>
      </c>
      <c r="L50" s="108" t="str">
        <f>IF(D50=0,"NA",SUMIFS(AN_TME_BY[[#All],[Claims: Long-Term Care]],AN_TME_BY[[#All],[Insurance Category Code]],3,AN_TME_BY[[#All],[Advanced Network/Insurance Carrier Org ID]],B50)/D50)</f>
        <v>NA</v>
      </c>
      <c r="M50" s="108" t="str">
        <f>IF(D50=0,"NA",SUMIFS(AN_TME_BY[[#All],[Claims: Other]],AN_TME_BY[[#All],[Insurance Category Code]],3,AN_TME_BY[[#All],[Advanced Network/Insurance Carrier Org ID]],B50)/D50)</f>
        <v>NA</v>
      </c>
      <c r="N50" s="147" t="str">
        <f>IF(D50=0,"NA",SUMIFS(AN_TME_BY[[#All],[TOTAL Non-Truncated Unadjusted Claims Expenses]],AN_TME_BY[[#All],[Insurance Category Code]],3,AN_TME_BY[[#All],[Advanced Network/Insurance Carrier Org ID]],B50)/D50)</f>
        <v>NA</v>
      </c>
      <c r="O50" s="147" t="str">
        <f>IF(D50=0,"NA",SUMIFS(AN_TME_BY[[#All],[TOTAL Truncated Unadjusted Claims Expenses (A21 -A19)]],AN_TME_BY[[#All],[Insurance Category Code]],3,AN_TME_BY[[#All],[Advanced Network/Insurance Carrier Org ID]],B50)/D50)</f>
        <v>NA</v>
      </c>
      <c r="P50" s="147" t="str">
        <f>IF(D50=0,"NA",SUMIFS(AN_TME_BY[[#All],[TOTAL Non-Claims Expenses]],AN_TME_BY[[#All],[Insurance Category Code]],3,AN_TME_BY[[#All],[Advanced Network/Insurance Carrier Org ID]],B50)/D50)</f>
        <v>NA</v>
      </c>
      <c r="Q50" s="147" t="str">
        <f>IF(D50=0,"NA",SUMIFS(AN_TME_BY[[#All],[TOTAL Non-Truncated Unadjusted Expenses (A21 + A23)]],AN_TME_BY[[#All],[Insurance Category Code]],3,AN_TME_BY[[#All],[Advanced Network/Insurance Carrier Org ID]],B50)/D50)</f>
        <v>NA</v>
      </c>
      <c r="R50" s="147" t="str">
        <f>IF(D50=0,"NA",SUMIFS(AN_TME_BY[[#All],[TOTAL Truncated Unadjusted Expenses (A22 + A23)]],AN_TME_BY[[#All],[Insurance Category Code]],3,AN_TME_BY[[#All],[Advanced Network/Insurance Carrier Org ID]],B50)/D50)</f>
        <v>NA</v>
      </c>
      <c r="S50" s="448">
        <f>SUMIFS(AN_TME_PY[[#All],[Member Months]],AN_TME_PY[[#All],[Insurance Category Code]],3,AN_TME_PY[[#All],[Advanced Network/Insurance Carrier Org ID]],B50)</f>
        <v>0</v>
      </c>
      <c r="T50" s="137" t="str">
        <f>IF(S50=0,"NA",SUMIFS(AN_TME_PY[[#All],[Claims: Hospital Inpatient]],AN_TME_PY[[#All],[Insurance Category Code]],3,AN_TME_PY[[#All],[Advanced Network/Insurance Carrier Org ID]],B50)/S50)</f>
        <v>NA</v>
      </c>
      <c r="U50" s="108" t="str">
        <f>IF(S50=0,"NA",SUMIFS(AN_TME_PY[[#All],[Claims: Hospital Outpatient]],AN_TME_PY[[#All],[Insurance Category Code]],3,AN_TME_PY[[#All],[Advanced Network/Insurance Carrier Org ID]],B50)/S50)</f>
        <v>NA</v>
      </c>
      <c r="V50" s="108" t="str">
        <f>IF(S50=0,"NA",SUMIFS(AN_TME_PY[[#All],[Claims: Professional, Primary Care]],AN_TME_PY[[#All],[Insurance Category Code]],3,AN_TME_PY[[#All],[Advanced Network/Insurance Carrier Org ID]],B50)/S50)</f>
        <v>NA</v>
      </c>
      <c r="W50" s="108" t="str">
        <f>IF(S50=0,"NA",SUMIFS(AN_TME_PY[[#All],[Claims: Professional, Primary Care (for Monitoring Purposes)]],AN_TME_PY[[#All],[Insurance Category Code]],3,AN_TME_PY[[#All],[Advanced Network/Insurance Carrier Org ID]],B50)/S50)</f>
        <v>NA</v>
      </c>
      <c r="X50" s="108" t="str">
        <f>IF(S50=0,"NA",SUMIFS(AN_TME_PY[[#All],[Claims: Professional, Specialty]],AN_TME_PY[[#All],[Insurance Category Code]],3,AN_TME_PY[[#All],[Advanced Network/Insurance Carrier Org ID]],B50)/S50)</f>
        <v>NA</v>
      </c>
      <c r="Y50" s="108" t="str">
        <f>IF(S50=0,"NA",SUMIFS(AN_TME_PY[[#All],[Claims: Professional Other]],AN_TME_PY[[#All],[Insurance Category Code]],3,AN_TME_PY[[#All],[Advanced Network/Insurance Carrier Org ID]],B50)/S50)</f>
        <v>NA</v>
      </c>
      <c r="Z50" s="108" t="str">
        <f>IF(S50=0,"NA",SUMIFS(AN_TME_PY[[#All],[Claims: Pharmacy]],AN_TME_PY[[#All],[Insurance Category Code]],3,AN_TME_PY[[#All],[Advanced Network/Insurance Carrier Org ID]],B50)/S50)</f>
        <v>NA</v>
      </c>
      <c r="AA50" s="108" t="str">
        <f>IF(S50=0,"NA",SUMIFS(AN_TME_PY[[#All],[Claims: Long-Term Care]],AN_TME_PY[[#All],[Insurance Category Code]],3,AN_TME_PY[[#All],[Advanced Network/Insurance Carrier Org ID]],B50)/S50)</f>
        <v>NA</v>
      </c>
      <c r="AB50" s="108" t="str">
        <f>IF(S50=0,"NA",SUMIFS(AN_TME_PY[[#All],[Claims: Other]],AN_TME_PY[[#All],[Insurance Category Code]],3,AN_TME_PY[[#All],[Advanced Network/Insurance Carrier Org ID]],B50)/S50)</f>
        <v>NA</v>
      </c>
      <c r="AC50" s="147" t="str">
        <f>IF(S50=0,"NA",SUMIFS(AN_TME_PY[[#All],[TOTAL Non-Truncated Unadjusted Claims Expenses]],AN_TME_PY[[#All],[Insurance Category Code]],3,AN_TME_PY[[#All],[Advanced Network/Insurance Carrier Org ID]],B50)/S50)</f>
        <v>NA</v>
      </c>
      <c r="AD50" s="147" t="str">
        <f>IF(S50=0,"NA",SUMIFS(AN_TME_PY[[#All],[TOTAL Truncated Unadjusted Claims Expenses (A21 -A19)]],AN_TME_PY[[#All],[Insurance Category Code]],3,AN_TME_PY[[#All],[Advanced Network/Insurance Carrier Org ID]],B50)/S50)</f>
        <v>NA</v>
      </c>
      <c r="AE50" s="147" t="str">
        <f>IF(S50=0,"NA",SUMIFS(AN_TME_PY[[#All],[TOTAL Non-Claims Expenses]],AN_TME_PY[[#All],[Insurance Category Code]],3,AN_TME_PY[[#All],[Advanced Network/Insurance Carrier Org ID]],B50)/S50)</f>
        <v>NA</v>
      </c>
      <c r="AF50" s="147" t="str">
        <f>IF(S50=0,"NA",SUMIFS(AN_TME_PY[[#All],[TOTAL Non-Truncated Unadjusted Expenses (A21 + A23)]],AN_TME_PY[[#All],[Insurance Category Code]],3,AN_TME_PY[[#All],[Advanced Network/Insurance Carrier Org ID]],B50)/S50)</f>
        <v>NA</v>
      </c>
      <c r="AG50" s="138" t="str">
        <f>IF(S50=0,"NA",SUMIFS(AN_TME_PY[[#All],[TOTAL Truncated Unadjusted Expenses (A22 + A23)]],AN_TME_PY[[#All],[Insurance Category Code]],3,AN_TME_PY[[#All],[Advanced Network/Insurance Carrier Org ID]],B50)/S50)</f>
        <v>NA</v>
      </c>
      <c r="AH50" s="419" t="str">
        <f t="shared" ref="AH50:AH58" si="75">IF(D50=0,"NA",S50/D50-1)</f>
        <v>NA</v>
      </c>
      <c r="AI50" s="420" t="str">
        <f t="shared" ref="AI50:AI58" si="76">IF(D50=0,"NA",T50/E50-1)</f>
        <v>NA</v>
      </c>
      <c r="AJ50" s="421" t="str">
        <f t="shared" ref="AJ50:AJ58" si="77">IF(D50=0,"NA",U50/F50-1)</f>
        <v>NA</v>
      </c>
      <c r="AK50" s="421" t="str">
        <f t="shared" ref="AK50:AK58" si="78">IF(D50=0,"NA",V50/G50-1)</f>
        <v>NA</v>
      </c>
      <c r="AL50" s="421" t="str">
        <f t="shared" ref="AL50:AL58" si="79">IF(D50=0,"NA",W50/H50-1)</f>
        <v>NA</v>
      </c>
      <c r="AM50" s="421" t="str">
        <f t="shared" ref="AM50:AM58" si="80">IF(D50=0,"NA",X50/I50-1)</f>
        <v>NA</v>
      </c>
      <c r="AN50" s="421" t="str">
        <f t="shared" ref="AN50:AN58" si="81">IF(D50=0,"NA",Y50/J50-1)</f>
        <v>NA</v>
      </c>
      <c r="AO50" s="421" t="str">
        <f t="shared" ref="AO50:AO58" si="82">IF(D50=0,"NA",Z50/K50-1)</f>
        <v>NA</v>
      </c>
      <c r="AP50" s="421" t="str">
        <f t="shared" ref="AP50:AP58" si="83">IF(D50=0,"NA",AA50/L50-1)</f>
        <v>NA</v>
      </c>
      <c r="AQ50" s="421" t="str">
        <f t="shared" ref="AQ50:AQ58" si="84">IF(D50=0,"NA",AB50/M50-1)</f>
        <v>NA</v>
      </c>
      <c r="AR50" s="422" t="str">
        <f t="shared" ref="AR50:AR58" si="85">IF(D50=0,"NA",AC50/N50-1)</f>
        <v>NA</v>
      </c>
      <c r="AS50" s="422" t="str">
        <f t="shared" ref="AS50:AS58" si="86">IF(D50=0,"NA",AD50/O50-1)</f>
        <v>NA</v>
      </c>
      <c r="AT50" s="422" t="str">
        <f t="shared" ref="AT50:AT58" si="87">IF(D50=0,"NA",AE50/P50-1)</f>
        <v>NA</v>
      </c>
      <c r="AU50" s="422" t="str">
        <f t="shared" ref="AU50:AU58" si="88">IF(D50=0,"NA",AF50/Q50-1)</f>
        <v>NA</v>
      </c>
      <c r="AV50" s="423" t="str">
        <f t="shared" ref="AV50:AV58" si="89">IF(D50=0,"NA",AG50/R50-1)</f>
        <v>NA</v>
      </c>
    </row>
    <row r="51" spans="1:48" ht="15" customHeight="1" x14ac:dyDescent="0.25">
      <c r="A51" s="146"/>
      <c r="B51" s="148">
        <v>103</v>
      </c>
      <c r="C51" s="151" t="str">
        <f>_xlfn.XLOOKUP(B51, LgProvEntOrgIDs[Advanced Network/Insurer Carrier Org ID], LgProvEntOrgIDs[Advanced Network/Insurance Carrier Overall])</f>
        <v>Connecticut State Medical Society IPA</v>
      </c>
      <c r="D51" s="448">
        <f>SUMIFS(AN_TME_BY[[#All],[Member Months]],AN_TME_BY[[#All],[Insurance Category Code]],3,AN_TME_BY[[#All],[Advanced Network/Insurance Carrier Org ID]],B51)</f>
        <v>0</v>
      </c>
      <c r="E51" s="137" t="str">
        <f>IF(D51=0,"NA",SUMIFS(AN_TME_BY[[#All],[Claims: Hospital Inpatient]],AN_TME_BY[[#All],[Insurance Category Code]],3,AN_TME_BY[[#All],[Advanced Network/Insurance Carrier Org ID]],B51)/D51)</f>
        <v>NA</v>
      </c>
      <c r="F51" s="108" t="str">
        <f>IF(D51=0,"NA",SUMIFS(AN_TME_BY[[#All],[Claims: Hospital Outpatient]],AN_TME_BY[[#All],[Insurance Category Code]],3,AN_TME_BY[[#All],[Advanced Network/Insurance Carrier Org ID]],B51)/D51)</f>
        <v>NA</v>
      </c>
      <c r="G51" s="108" t="str">
        <f>IF(D51=0,"NA",SUMIFS(AN_TME_BY[[#All],[Claims: Professional, Primary Care]],AN_TME_BY[[#All],[Insurance Category Code]],3,AN_TME_BY[[#All],[Advanced Network/Insurance Carrier Org ID]],B51)/D51)</f>
        <v>NA</v>
      </c>
      <c r="H51" s="108" t="str">
        <f>IF(D51=0,"NA",SUMIFS(AN_TME_BY[[#All],[Claims: Professional, Primary Care (for Monitoring Purposes)]],AN_TME_BY[[#All],[Insurance Category Code]],3,AN_TME_BY[[#All],[Advanced Network/Insurance Carrier Org ID]],B51)/D51)</f>
        <v>NA</v>
      </c>
      <c r="I51" s="108" t="str">
        <f>IF(D51=0,"NA",SUMIFS(AN_TME_BY[[#All],[Claims: Professional, Specialty]],AN_TME_BY[[#All],[Insurance Category Code]],3,AN_TME_BY[[#All],[Advanced Network/Insurance Carrier Org ID]],B51)/D51)</f>
        <v>NA</v>
      </c>
      <c r="J51" s="108" t="str">
        <f>IF(D51=0,"NA",SUMIFS(AN_TME_BY[[#All],[Claims: Professional Other]],AN_TME_BY[[#All],[Insurance Category Code]],3,AN_TME_BY[[#All],[Advanced Network/Insurance Carrier Org ID]],B51)/D51)</f>
        <v>NA</v>
      </c>
      <c r="K51" s="108" t="str">
        <f>IF(D51=0,"NA",SUMIFS(AN_TME_BY[[#All],[Claims: Pharmacy]],AN_TME_BY[[#All],[Insurance Category Code]],3,AN_TME_BY[[#All],[Advanced Network/Insurance Carrier Org ID]],B51)/D51)</f>
        <v>NA</v>
      </c>
      <c r="L51" s="108" t="str">
        <f>IF(D51=0,"NA",SUMIFS(AN_TME_BY[[#All],[Claims: Long-Term Care]],AN_TME_BY[[#All],[Insurance Category Code]],3,AN_TME_BY[[#All],[Advanced Network/Insurance Carrier Org ID]],B51)/D51)</f>
        <v>NA</v>
      </c>
      <c r="M51" s="108" t="str">
        <f>IF(D51=0,"NA",SUMIFS(AN_TME_BY[[#All],[Claims: Other]],AN_TME_BY[[#All],[Insurance Category Code]],3,AN_TME_BY[[#All],[Advanced Network/Insurance Carrier Org ID]],B51)/D51)</f>
        <v>NA</v>
      </c>
      <c r="N51" s="147" t="str">
        <f>IF(D51=0,"NA",SUMIFS(AN_TME_BY[[#All],[TOTAL Non-Truncated Unadjusted Claims Expenses]],AN_TME_BY[[#All],[Insurance Category Code]],3,AN_TME_BY[[#All],[Advanced Network/Insurance Carrier Org ID]],B51)/D51)</f>
        <v>NA</v>
      </c>
      <c r="O51" s="147" t="str">
        <f>IF(D51=0,"NA",SUMIFS(AN_TME_BY[[#All],[TOTAL Truncated Unadjusted Claims Expenses (A21 -A19)]],AN_TME_BY[[#All],[Insurance Category Code]],3,AN_TME_BY[[#All],[Advanced Network/Insurance Carrier Org ID]],B51)/D51)</f>
        <v>NA</v>
      </c>
      <c r="P51" s="147" t="str">
        <f>IF(D51=0,"NA",SUMIFS(AN_TME_BY[[#All],[TOTAL Non-Claims Expenses]],AN_TME_BY[[#All],[Insurance Category Code]],3,AN_TME_BY[[#All],[Advanced Network/Insurance Carrier Org ID]],B51)/D51)</f>
        <v>NA</v>
      </c>
      <c r="Q51" s="147" t="str">
        <f>IF(D51=0,"NA",SUMIFS(AN_TME_BY[[#All],[TOTAL Non-Truncated Unadjusted Expenses (A21 + A23)]],AN_TME_BY[[#All],[Insurance Category Code]],3,AN_TME_BY[[#All],[Advanced Network/Insurance Carrier Org ID]],B51)/D51)</f>
        <v>NA</v>
      </c>
      <c r="R51" s="147" t="str">
        <f>IF(D51=0,"NA",SUMIFS(AN_TME_BY[[#All],[TOTAL Truncated Unadjusted Expenses (A22 + A23)]],AN_TME_BY[[#All],[Insurance Category Code]],3,AN_TME_BY[[#All],[Advanced Network/Insurance Carrier Org ID]],B51)/D51)</f>
        <v>NA</v>
      </c>
      <c r="S51" s="448">
        <f>SUMIFS(AN_TME_PY[[#All],[Member Months]],AN_TME_PY[[#All],[Insurance Category Code]],3,AN_TME_PY[[#All],[Advanced Network/Insurance Carrier Org ID]],B51)</f>
        <v>0</v>
      </c>
      <c r="T51" s="137" t="str">
        <f>IF(S51=0,"NA",SUMIFS(AN_TME_PY[[#All],[Claims: Hospital Inpatient]],AN_TME_PY[[#All],[Insurance Category Code]],3,AN_TME_PY[[#All],[Advanced Network/Insurance Carrier Org ID]],B51)/S51)</f>
        <v>NA</v>
      </c>
      <c r="U51" s="108" t="str">
        <f>IF(S51=0,"NA",SUMIFS(AN_TME_PY[[#All],[Claims: Hospital Outpatient]],AN_TME_PY[[#All],[Insurance Category Code]],3,AN_TME_PY[[#All],[Advanced Network/Insurance Carrier Org ID]],B51)/S51)</f>
        <v>NA</v>
      </c>
      <c r="V51" s="108" t="str">
        <f>IF(S51=0,"NA",SUMIFS(AN_TME_PY[[#All],[Claims: Professional, Primary Care]],AN_TME_PY[[#All],[Insurance Category Code]],3,AN_TME_PY[[#All],[Advanced Network/Insurance Carrier Org ID]],B51)/S51)</f>
        <v>NA</v>
      </c>
      <c r="W51" s="108" t="str">
        <f>IF(S51=0,"NA",SUMIFS(AN_TME_PY[[#All],[Claims: Professional, Primary Care (for Monitoring Purposes)]],AN_TME_PY[[#All],[Insurance Category Code]],3,AN_TME_PY[[#All],[Advanced Network/Insurance Carrier Org ID]],B51)/S51)</f>
        <v>NA</v>
      </c>
      <c r="X51" s="108" t="str">
        <f>IF(S51=0,"NA",SUMIFS(AN_TME_PY[[#All],[Claims: Professional, Specialty]],AN_TME_PY[[#All],[Insurance Category Code]],3,AN_TME_PY[[#All],[Advanced Network/Insurance Carrier Org ID]],B51)/S51)</f>
        <v>NA</v>
      </c>
      <c r="Y51" s="108" t="str">
        <f>IF(S51=0,"NA",SUMIFS(AN_TME_PY[[#All],[Claims: Professional Other]],AN_TME_PY[[#All],[Insurance Category Code]],3,AN_TME_PY[[#All],[Advanced Network/Insurance Carrier Org ID]],B51)/S51)</f>
        <v>NA</v>
      </c>
      <c r="Z51" s="108" t="str">
        <f>IF(S51=0,"NA",SUMIFS(AN_TME_PY[[#All],[Claims: Pharmacy]],AN_TME_PY[[#All],[Insurance Category Code]],3,AN_TME_PY[[#All],[Advanced Network/Insurance Carrier Org ID]],B51)/S51)</f>
        <v>NA</v>
      </c>
      <c r="AA51" s="108" t="str">
        <f>IF(S51=0,"NA",SUMIFS(AN_TME_PY[[#All],[Claims: Long-Term Care]],AN_TME_PY[[#All],[Insurance Category Code]],3,AN_TME_PY[[#All],[Advanced Network/Insurance Carrier Org ID]],B51)/S51)</f>
        <v>NA</v>
      </c>
      <c r="AB51" s="108" t="str">
        <f>IF(S51=0,"NA",SUMIFS(AN_TME_PY[[#All],[Claims: Other]],AN_TME_PY[[#All],[Insurance Category Code]],3,AN_TME_PY[[#All],[Advanced Network/Insurance Carrier Org ID]],B51)/S51)</f>
        <v>NA</v>
      </c>
      <c r="AC51" s="147" t="str">
        <f>IF(S51=0,"NA",SUMIFS(AN_TME_PY[[#All],[TOTAL Non-Truncated Unadjusted Claims Expenses]],AN_TME_PY[[#All],[Insurance Category Code]],3,AN_TME_PY[[#All],[Advanced Network/Insurance Carrier Org ID]],B51)/S51)</f>
        <v>NA</v>
      </c>
      <c r="AD51" s="147" t="str">
        <f>IF(S51=0,"NA",SUMIFS(AN_TME_PY[[#All],[TOTAL Truncated Unadjusted Claims Expenses (A21 -A19)]],AN_TME_PY[[#All],[Insurance Category Code]],3,AN_TME_PY[[#All],[Advanced Network/Insurance Carrier Org ID]],B51)/S51)</f>
        <v>NA</v>
      </c>
      <c r="AE51" s="147" t="str">
        <f>IF(S51=0,"NA",SUMIFS(AN_TME_PY[[#All],[TOTAL Non-Claims Expenses]],AN_TME_PY[[#All],[Insurance Category Code]],3,AN_TME_PY[[#All],[Advanced Network/Insurance Carrier Org ID]],B51)/S51)</f>
        <v>NA</v>
      </c>
      <c r="AF51" s="147" t="str">
        <f>IF(S51=0,"NA",SUMIFS(AN_TME_PY[[#All],[TOTAL Non-Truncated Unadjusted Expenses (A21 + A23)]],AN_TME_PY[[#All],[Insurance Category Code]],3,AN_TME_PY[[#All],[Advanced Network/Insurance Carrier Org ID]],B51)/S51)</f>
        <v>NA</v>
      </c>
      <c r="AG51" s="138" t="str">
        <f>IF(S51=0,"NA",SUMIFS(AN_TME_PY[[#All],[TOTAL Truncated Unadjusted Expenses (A22 + A23)]],AN_TME_PY[[#All],[Insurance Category Code]],3,AN_TME_PY[[#All],[Advanced Network/Insurance Carrier Org ID]],B51)/S51)</f>
        <v>NA</v>
      </c>
      <c r="AH51" s="419" t="str">
        <f t="shared" si="75"/>
        <v>NA</v>
      </c>
      <c r="AI51" s="420" t="str">
        <f t="shared" si="76"/>
        <v>NA</v>
      </c>
      <c r="AJ51" s="421" t="str">
        <f t="shared" si="77"/>
        <v>NA</v>
      </c>
      <c r="AK51" s="421" t="str">
        <f t="shared" si="78"/>
        <v>NA</v>
      </c>
      <c r="AL51" s="421" t="str">
        <f t="shared" si="79"/>
        <v>NA</v>
      </c>
      <c r="AM51" s="421" t="str">
        <f t="shared" si="80"/>
        <v>NA</v>
      </c>
      <c r="AN51" s="421" t="str">
        <f t="shared" si="81"/>
        <v>NA</v>
      </c>
      <c r="AO51" s="421" t="str">
        <f t="shared" si="82"/>
        <v>NA</v>
      </c>
      <c r="AP51" s="421" t="str">
        <f t="shared" si="83"/>
        <v>NA</v>
      </c>
      <c r="AQ51" s="421" t="str">
        <f t="shared" si="84"/>
        <v>NA</v>
      </c>
      <c r="AR51" s="422" t="str">
        <f t="shared" si="85"/>
        <v>NA</v>
      </c>
      <c r="AS51" s="422" t="str">
        <f t="shared" si="86"/>
        <v>NA</v>
      </c>
      <c r="AT51" s="422" t="str">
        <f t="shared" si="87"/>
        <v>NA</v>
      </c>
      <c r="AU51" s="422" t="str">
        <f t="shared" si="88"/>
        <v>NA</v>
      </c>
      <c r="AV51" s="423" t="str">
        <f t="shared" si="89"/>
        <v>NA</v>
      </c>
    </row>
    <row r="52" spans="1:48" ht="15" customHeight="1" x14ac:dyDescent="0.25">
      <c r="A52" s="146"/>
      <c r="B52" s="148">
        <v>104</v>
      </c>
      <c r="C52" s="151" t="str">
        <f>_xlfn.XLOOKUP(B52, LgProvEntOrgIDs[Advanced Network/Insurer Carrier Org ID], LgProvEntOrgIDs[Advanced Network/Insurance Carrier Overall])</f>
        <v>Hartford Healthcare Integrated Care Partners</v>
      </c>
      <c r="D52" s="448">
        <f>SUMIFS(AN_TME_BY[[#All],[Member Months]],AN_TME_BY[[#All],[Insurance Category Code]],3,AN_TME_BY[[#All],[Advanced Network/Insurance Carrier Org ID]],B52)</f>
        <v>0</v>
      </c>
      <c r="E52" s="137" t="str">
        <f>IF(D52=0,"NA",SUMIFS(AN_TME_BY[[#All],[Claims: Hospital Inpatient]],AN_TME_BY[[#All],[Insurance Category Code]],3,AN_TME_BY[[#All],[Advanced Network/Insurance Carrier Org ID]],B52)/D52)</f>
        <v>NA</v>
      </c>
      <c r="F52" s="108" t="str">
        <f>IF(D52=0,"NA",SUMIFS(AN_TME_BY[[#All],[Claims: Hospital Outpatient]],AN_TME_BY[[#All],[Insurance Category Code]],3,AN_TME_BY[[#All],[Advanced Network/Insurance Carrier Org ID]],B52)/D52)</f>
        <v>NA</v>
      </c>
      <c r="G52" s="108" t="str">
        <f>IF(D52=0,"NA",SUMIFS(AN_TME_BY[[#All],[Claims: Professional, Primary Care]],AN_TME_BY[[#All],[Insurance Category Code]],3,AN_TME_BY[[#All],[Advanced Network/Insurance Carrier Org ID]],B52)/D52)</f>
        <v>NA</v>
      </c>
      <c r="H52" s="108" t="str">
        <f>IF(D52=0,"NA",SUMIFS(AN_TME_BY[[#All],[Claims: Professional, Primary Care (for Monitoring Purposes)]],AN_TME_BY[[#All],[Insurance Category Code]],3,AN_TME_BY[[#All],[Advanced Network/Insurance Carrier Org ID]],B52)/D52)</f>
        <v>NA</v>
      </c>
      <c r="I52" s="108" t="str">
        <f>IF(D52=0,"NA",SUMIFS(AN_TME_BY[[#All],[Claims: Professional, Specialty]],AN_TME_BY[[#All],[Insurance Category Code]],3,AN_TME_BY[[#All],[Advanced Network/Insurance Carrier Org ID]],B52)/D52)</f>
        <v>NA</v>
      </c>
      <c r="J52" s="108" t="str">
        <f>IF(D52=0,"NA",SUMIFS(AN_TME_BY[[#All],[Claims: Professional Other]],AN_TME_BY[[#All],[Insurance Category Code]],3,AN_TME_BY[[#All],[Advanced Network/Insurance Carrier Org ID]],B52)/D52)</f>
        <v>NA</v>
      </c>
      <c r="K52" s="108" t="str">
        <f>IF(D52=0,"NA",SUMIFS(AN_TME_BY[[#All],[Claims: Pharmacy]],AN_TME_BY[[#All],[Insurance Category Code]],3,AN_TME_BY[[#All],[Advanced Network/Insurance Carrier Org ID]],B52)/D52)</f>
        <v>NA</v>
      </c>
      <c r="L52" s="108" t="str">
        <f>IF(D52=0,"NA",SUMIFS(AN_TME_BY[[#All],[Claims: Long-Term Care]],AN_TME_BY[[#All],[Insurance Category Code]],3,AN_TME_BY[[#All],[Advanced Network/Insurance Carrier Org ID]],B52)/D52)</f>
        <v>NA</v>
      </c>
      <c r="M52" s="108" t="str">
        <f>IF(D52=0,"NA",SUMIFS(AN_TME_BY[[#All],[Claims: Other]],AN_TME_BY[[#All],[Insurance Category Code]],3,AN_TME_BY[[#All],[Advanced Network/Insurance Carrier Org ID]],B52)/D52)</f>
        <v>NA</v>
      </c>
      <c r="N52" s="147" t="str">
        <f>IF(D52=0,"NA",SUMIFS(AN_TME_BY[[#All],[TOTAL Non-Truncated Unadjusted Claims Expenses]],AN_TME_BY[[#All],[Insurance Category Code]],3,AN_TME_BY[[#All],[Advanced Network/Insurance Carrier Org ID]],B52)/D52)</f>
        <v>NA</v>
      </c>
      <c r="O52" s="147" t="str">
        <f>IF(D52=0,"NA",SUMIFS(AN_TME_BY[[#All],[TOTAL Truncated Unadjusted Claims Expenses (A21 -A19)]],AN_TME_BY[[#All],[Insurance Category Code]],3,AN_TME_BY[[#All],[Advanced Network/Insurance Carrier Org ID]],B52)/D52)</f>
        <v>NA</v>
      </c>
      <c r="P52" s="147" t="str">
        <f>IF(D52=0,"NA",SUMIFS(AN_TME_BY[[#All],[TOTAL Non-Claims Expenses]],AN_TME_BY[[#All],[Insurance Category Code]],3,AN_TME_BY[[#All],[Advanced Network/Insurance Carrier Org ID]],B52)/D52)</f>
        <v>NA</v>
      </c>
      <c r="Q52" s="147" t="str">
        <f>IF(D52=0,"NA",SUMIFS(AN_TME_BY[[#All],[TOTAL Non-Truncated Unadjusted Expenses (A21 + A23)]],AN_TME_BY[[#All],[Insurance Category Code]],3,AN_TME_BY[[#All],[Advanced Network/Insurance Carrier Org ID]],B52)/D52)</f>
        <v>NA</v>
      </c>
      <c r="R52" s="147" t="str">
        <f>IF(D52=0,"NA",SUMIFS(AN_TME_BY[[#All],[TOTAL Truncated Unadjusted Expenses (A22 + A23)]],AN_TME_BY[[#All],[Insurance Category Code]],3,AN_TME_BY[[#All],[Advanced Network/Insurance Carrier Org ID]],B52)/D52)</f>
        <v>NA</v>
      </c>
      <c r="S52" s="448">
        <f>SUMIFS(AN_TME_PY[[#All],[Member Months]],AN_TME_PY[[#All],[Insurance Category Code]],3,AN_TME_PY[[#All],[Advanced Network/Insurance Carrier Org ID]],B52)</f>
        <v>0</v>
      </c>
      <c r="T52" s="137" t="str">
        <f>IF(S52=0,"NA",SUMIFS(AN_TME_PY[[#All],[Claims: Hospital Inpatient]],AN_TME_PY[[#All],[Insurance Category Code]],3,AN_TME_PY[[#All],[Advanced Network/Insurance Carrier Org ID]],B52)/S52)</f>
        <v>NA</v>
      </c>
      <c r="U52" s="108" t="str">
        <f>IF(S52=0,"NA",SUMIFS(AN_TME_PY[[#All],[Claims: Hospital Outpatient]],AN_TME_PY[[#All],[Insurance Category Code]],3,AN_TME_PY[[#All],[Advanced Network/Insurance Carrier Org ID]],B52)/S52)</f>
        <v>NA</v>
      </c>
      <c r="V52" s="108" t="str">
        <f>IF(S52=0,"NA",SUMIFS(AN_TME_PY[[#All],[Claims: Professional, Primary Care]],AN_TME_PY[[#All],[Insurance Category Code]],3,AN_TME_PY[[#All],[Advanced Network/Insurance Carrier Org ID]],B52)/S52)</f>
        <v>NA</v>
      </c>
      <c r="W52" s="108" t="str">
        <f>IF(S52=0,"NA",SUMIFS(AN_TME_PY[[#All],[Claims: Professional, Primary Care (for Monitoring Purposes)]],AN_TME_PY[[#All],[Insurance Category Code]],3,AN_TME_PY[[#All],[Advanced Network/Insurance Carrier Org ID]],B52)/S52)</f>
        <v>NA</v>
      </c>
      <c r="X52" s="108" t="str">
        <f>IF(S52=0,"NA",SUMIFS(AN_TME_PY[[#All],[Claims: Professional, Specialty]],AN_TME_PY[[#All],[Insurance Category Code]],3,AN_TME_PY[[#All],[Advanced Network/Insurance Carrier Org ID]],B52)/S52)</f>
        <v>NA</v>
      </c>
      <c r="Y52" s="108" t="str">
        <f>IF(S52=0,"NA",SUMIFS(AN_TME_PY[[#All],[Claims: Professional Other]],AN_TME_PY[[#All],[Insurance Category Code]],3,AN_TME_PY[[#All],[Advanced Network/Insurance Carrier Org ID]],B52)/S52)</f>
        <v>NA</v>
      </c>
      <c r="Z52" s="108" t="str">
        <f>IF(S52=0,"NA",SUMIFS(AN_TME_PY[[#All],[Claims: Pharmacy]],AN_TME_PY[[#All],[Insurance Category Code]],3,AN_TME_PY[[#All],[Advanced Network/Insurance Carrier Org ID]],B52)/S52)</f>
        <v>NA</v>
      </c>
      <c r="AA52" s="108" t="str">
        <f>IF(S52=0,"NA",SUMIFS(AN_TME_PY[[#All],[Claims: Long-Term Care]],AN_TME_PY[[#All],[Insurance Category Code]],3,AN_TME_PY[[#All],[Advanced Network/Insurance Carrier Org ID]],B52)/S52)</f>
        <v>NA</v>
      </c>
      <c r="AB52" s="108" t="str">
        <f>IF(S52=0,"NA",SUMIFS(AN_TME_PY[[#All],[Claims: Other]],AN_TME_PY[[#All],[Insurance Category Code]],3,AN_TME_PY[[#All],[Advanced Network/Insurance Carrier Org ID]],B52)/S52)</f>
        <v>NA</v>
      </c>
      <c r="AC52" s="147" t="str">
        <f>IF(S52=0,"NA",SUMIFS(AN_TME_PY[[#All],[TOTAL Non-Truncated Unadjusted Claims Expenses]],AN_TME_PY[[#All],[Insurance Category Code]],3,AN_TME_PY[[#All],[Advanced Network/Insurance Carrier Org ID]],B52)/S52)</f>
        <v>NA</v>
      </c>
      <c r="AD52" s="147" t="str">
        <f>IF(S52=0,"NA",SUMIFS(AN_TME_PY[[#All],[TOTAL Truncated Unadjusted Claims Expenses (A21 -A19)]],AN_TME_PY[[#All],[Insurance Category Code]],3,AN_TME_PY[[#All],[Advanced Network/Insurance Carrier Org ID]],B52)/S52)</f>
        <v>NA</v>
      </c>
      <c r="AE52" s="147" t="str">
        <f>IF(S52=0,"NA",SUMIFS(AN_TME_PY[[#All],[TOTAL Non-Claims Expenses]],AN_TME_PY[[#All],[Insurance Category Code]],3,AN_TME_PY[[#All],[Advanced Network/Insurance Carrier Org ID]],B52)/S52)</f>
        <v>NA</v>
      </c>
      <c r="AF52" s="147" t="str">
        <f>IF(S52=0,"NA",SUMIFS(AN_TME_PY[[#All],[TOTAL Non-Truncated Unadjusted Expenses (A21 + A23)]],AN_TME_PY[[#All],[Insurance Category Code]],3,AN_TME_PY[[#All],[Advanced Network/Insurance Carrier Org ID]],B52)/S52)</f>
        <v>NA</v>
      </c>
      <c r="AG52" s="138" t="str">
        <f>IF(S52=0,"NA",SUMIFS(AN_TME_PY[[#All],[TOTAL Truncated Unadjusted Expenses (A22 + A23)]],AN_TME_PY[[#All],[Insurance Category Code]],3,AN_TME_PY[[#All],[Advanced Network/Insurance Carrier Org ID]],B52)/S52)</f>
        <v>NA</v>
      </c>
      <c r="AH52" s="419" t="str">
        <f t="shared" si="75"/>
        <v>NA</v>
      </c>
      <c r="AI52" s="420" t="str">
        <f t="shared" si="76"/>
        <v>NA</v>
      </c>
      <c r="AJ52" s="421" t="str">
        <f t="shared" si="77"/>
        <v>NA</v>
      </c>
      <c r="AK52" s="421" t="str">
        <f t="shared" si="78"/>
        <v>NA</v>
      </c>
      <c r="AL52" s="421" t="str">
        <f t="shared" si="79"/>
        <v>NA</v>
      </c>
      <c r="AM52" s="421" t="str">
        <f t="shared" si="80"/>
        <v>NA</v>
      </c>
      <c r="AN52" s="421" t="str">
        <f t="shared" si="81"/>
        <v>NA</v>
      </c>
      <c r="AO52" s="421" t="str">
        <f t="shared" si="82"/>
        <v>NA</v>
      </c>
      <c r="AP52" s="421" t="str">
        <f t="shared" si="83"/>
        <v>NA</v>
      </c>
      <c r="AQ52" s="421" t="str">
        <f t="shared" si="84"/>
        <v>NA</v>
      </c>
      <c r="AR52" s="422" t="str">
        <f t="shared" si="85"/>
        <v>NA</v>
      </c>
      <c r="AS52" s="422" t="str">
        <f t="shared" si="86"/>
        <v>NA</v>
      </c>
      <c r="AT52" s="422" t="str">
        <f t="shared" si="87"/>
        <v>NA</v>
      </c>
      <c r="AU52" s="422" t="str">
        <f t="shared" si="88"/>
        <v>NA</v>
      </c>
      <c r="AV52" s="423" t="str">
        <f t="shared" si="89"/>
        <v>NA</v>
      </c>
    </row>
    <row r="53" spans="1:48" ht="15" customHeight="1" x14ac:dyDescent="0.25">
      <c r="A53" s="146"/>
      <c r="B53" s="148">
        <v>105</v>
      </c>
      <c r="C53" s="151" t="str">
        <f>_xlfn.XLOOKUP(B53, LgProvEntOrgIDs[Advanced Network/Insurer Carrier Org ID], LgProvEntOrgIDs[Advanced Network/Insurance Carrier Overall])</f>
        <v>NA</v>
      </c>
      <c r="D53" s="448">
        <f>SUMIFS(AN_TME_BY[[#All],[Member Months]],AN_TME_BY[[#All],[Insurance Category Code]],3,AN_TME_BY[[#All],[Advanced Network/Insurance Carrier Org ID]],B53)</f>
        <v>0</v>
      </c>
      <c r="E53" s="137" t="str">
        <f>IF(D53=0,"NA",SUMIFS(AN_TME_BY[[#All],[Claims: Hospital Inpatient]],AN_TME_BY[[#All],[Insurance Category Code]],3,AN_TME_BY[[#All],[Advanced Network/Insurance Carrier Org ID]],B53)/D53)</f>
        <v>NA</v>
      </c>
      <c r="F53" s="108" t="str">
        <f>IF(D53=0,"NA",SUMIFS(AN_TME_BY[[#All],[Claims: Hospital Outpatient]],AN_TME_BY[[#All],[Insurance Category Code]],3,AN_TME_BY[[#All],[Advanced Network/Insurance Carrier Org ID]],B53)/D53)</f>
        <v>NA</v>
      </c>
      <c r="G53" s="108" t="str">
        <f>IF(D53=0,"NA",SUMIFS(AN_TME_BY[[#All],[Claims: Professional, Primary Care]],AN_TME_BY[[#All],[Insurance Category Code]],3,AN_TME_BY[[#All],[Advanced Network/Insurance Carrier Org ID]],B53)/D53)</f>
        <v>NA</v>
      </c>
      <c r="H53" s="108" t="str">
        <f>IF(D53=0,"NA",SUMIFS(AN_TME_BY[[#All],[Claims: Professional, Primary Care (for Monitoring Purposes)]],AN_TME_BY[[#All],[Insurance Category Code]],3,AN_TME_BY[[#All],[Advanced Network/Insurance Carrier Org ID]],B53)/D53)</f>
        <v>NA</v>
      </c>
      <c r="I53" s="108" t="str">
        <f>IF(D53=0,"NA",SUMIFS(AN_TME_BY[[#All],[Claims: Professional, Specialty]],AN_TME_BY[[#All],[Insurance Category Code]],3,AN_TME_BY[[#All],[Advanced Network/Insurance Carrier Org ID]],B53)/D53)</f>
        <v>NA</v>
      </c>
      <c r="J53" s="108" t="str">
        <f>IF(D53=0,"NA",SUMIFS(AN_TME_BY[[#All],[Claims: Professional Other]],AN_TME_BY[[#All],[Insurance Category Code]],3,AN_TME_BY[[#All],[Advanced Network/Insurance Carrier Org ID]],B53)/D53)</f>
        <v>NA</v>
      </c>
      <c r="K53" s="108" t="str">
        <f>IF(D53=0,"NA",SUMIFS(AN_TME_BY[[#All],[Claims: Pharmacy]],AN_TME_BY[[#All],[Insurance Category Code]],3,AN_TME_BY[[#All],[Advanced Network/Insurance Carrier Org ID]],B53)/D53)</f>
        <v>NA</v>
      </c>
      <c r="L53" s="108" t="str">
        <f>IF(D53=0,"NA",SUMIFS(AN_TME_BY[[#All],[Claims: Long-Term Care]],AN_TME_BY[[#All],[Insurance Category Code]],3,AN_TME_BY[[#All],[Advanced Network/Insurance Carrier Org ID]],B53)/D53)</f>
        <v>NA</v>
      </c>
      <c r="M53" s="108" t="str">
        <f>IF(D53=0,"NA",SUMIFS(AN_TME_BY[[#All],[Claims: Other]],AN_TME_BY[[#All],[Insurance Category Code]],3,AN_TME_BY[[#All],[Advanced Network/Insurance Carrier Org ID]],B53)/D53)</f>
        <v>NA</v>
      </c>
      <c r="N53" s="147" t="str">
        <f>IF(D53=0,"NA",SUMIFS(AN_TME_BY[[#All],[TOTAL Non-Truncated Unadjusted Claims Expenses]],AN_TME_BY[[#All],[Insurance Category Code]],3,AN_TME_BY[[#All],[Advanced Network/Insurance Carrier Org ID]],B53)/D53)</f>
        <v>NA</v>
      </c>
      <c r="O53" s="147" t="str">
        <f>IF(D53=0,"NA",SUMIFS(AN_TME_BY[[#All],[TOTAL Truncated Unadjusted Claims Expenses (A21 -A19)]],AN_TME_BY[[#All],[Insurance Category Code]],3,AN_TME_BY[[#All],[Advanced Network/Insurance Carrier Org ID]],B53)/D53)</f>
        <v>NA</v>
      </c>
      <c r="P53" s="147" t="str">
        <f>IF(D53=0,"NA",SUMIFS(AN_TME_BY[[#All],[TOTAL Non-Claims Expenses]],AN_TME_BY[[#All],[Insurance Category Code]],3,AN_TME_BY[[#All],[Advanced Network/Insurance Carrier Org ID]],B53)/D53)</f>
        <v>NA</v>
      </c>
      <c r="Q53" s="147" t="str">
        <f>IF(D53=0,"NA",SUMIFS(AN_TME_BY[[#All],[TOTAL Non-Truncated Unadjusted Expenses (A21 + A23)]],AN_TME_BY[[#All],[Insurance Category Code]],3,AN_TME_BY[[#All],[Advanced Network/Insurance Carrier Org ID]],B53)/D53)</f>
        <v>NA</v>
      </c>
      <c r="R53" s="147" t="str">
        <f>IF(D53=0,"NA",SUMIFS(AN_TME_BY[[#All],[TOTAL Truncated Unadjusted Expenses (A22 + A23)]],AN_TME_BY[[#All],[Insurance Category Code]],3,AN_TME_BY[[#All],[Advanced Network/Insurance Carrier Org ID]],B53)/D53)</f>
        <v>NA</v>
      </c>
      <c r="S53" s="448">
        <f>SUMIFS(AN_TME_PY[[#All],[Member Months]],AN_TME_PY[[#All],[Insurance Category Code]],3,AN_TME_PY[[#All],[Advanced Network/Insurance Carrier Org ID]],B53)</f>
        <v>0</v>
      </c>
      <c r="T53" s="137" t="str">
        <f>IF(S53=0,"NA",SUMIFS(AN_TME_PY[[#All],[Claims: Hospital Inpatient]],AN_TME_PY[[#All],[Insurance Category Code]],3,AN_TME_PY[[#All],[Advanced Network/Insurance Carrier Org ID]],B53)/S53)</f>
        <v>NA</v>
      </c>
      <c r="U53" s="108" t="str">
        <f>IF(S53=0,"NA",SUMIFS(AN_TME_PY[[#All],[Claims: Hospital Outpatient]],AN_TME_PY[[#All],[Insurance Category Code]],3,AN_TME_PY[[#All],[Advanced Network/Insurance Carrier Org ID]],B53)/S53)</f>
        <v>NA</v>
      </c>
      <c r="V53" s="108" t="str">
        <f>IF(S53=0,"NA",SUMIFS(AN_TME_PY[[#All],[Claims: Professional, Primary Care]],AN_TME_PY[[#All],[Insurance Category Code]],3,AN_TME_PY[[#All],[Advanced Network/Insurance Carrier Org ID]],B53)/S53)</f>
        <v>NA</v>
      </c>
      <c r="W53" s="108" t="str">
        <f>IF(S53=0,"NA",SUMIFS(AN_TME_PY[[#All],[Claims: Professional, Primary Care (for Monitoring Purposes)]],AN_TME_PY[[#All],[Insurance Category Code]],3,AN_TME_PY[[#All],[Advanced Network/Insurance Carrier Org ID]],B53)/S53)</f>
        <v>NA</v>
      </c>
      <c r="X53" s="108" t="str">
        <f>IF(S53=0,"NA",SUMIFS(AN_TME_PY[[#All],[Claims: Professional, Specialty]],AN_TME_PY[[#All],[Insurance Category Code]],3,AN_TME_PY[[#All],[Advanced Network/Insurance Carrier Org ID]],B53)/S53)</f>
        <v>NA</v>
      </c>
      <c r="Y53" s="108" t="str">
        <f>IF(S53=0,"NA",SUMIFS(AN_TME_PY[[#All],[Claims: Professional Other]],AN_TME_PY[[#All],[Insurance Category Code]],3,AN_TME_PY[[#All],[Advanced Network/Insurance Carrier Org ID]],B53)/S53)</f>
        <v>NA</v>
      </c>
      <c r="Z53" s="108" t="str">
        <f>IF(S53=0,"NA",SUMIFS(AN_TME_PY[[#All],[Claims: Pharmacy]],AN_TME_PY[[#All],[Insurance Category Code]],3,AN_TME_PY[[#All],[Advanced Network/Insurance Carrier Org ID]],B53)/S53)</f>
        <v>NA</v>
      </c>
      <c r="AA53" s="108" t="str">
        <f>IF(S53=0,"NA",SUMIFS(AN_TME_PY[[#All],[Claims: Long-Term Care]],AN_TME_PY[[#All],[Insurance Category Code]],3,AN_TME_PY[[#All],[Advanced Network/Insurance Carrier Org ID]],B53)/S53)</f>
        <v>NA</v>
      </c>
      <c r="AB53" s="108" t="str">
        <f>IF(S53=0,"NA",SUMIFS(AN_TME_PY[[#All],[Claims: Other]],AN_TME_PY[[#All],[Insurance Category Code]],3,AN_TME_PY[[#All],[Advanced Network/Insurance Carrier Org ID]],B53)/S53)</f>
        <v>NA</v>
      </c>
      <c r="AC53" s="147" t="str">
        <f>IF(S53=0,"NA",SUMIFS(AN_TME_PY[[#All],[TOTAL Non-Truncated Unadjusted Claims Expenses]],AN_TME_PY[[#All],[Insurance Category Code]],3,AN_TME_PY[[#All],[Advanced Network/Insurance Carrier Org ID]],B53)/S53)</f>
        <v>NA</v>
      </c>
      <c r="AD53" s="147" t="str">
        <f>IF(S53=0,"NA",SUMIFS(AN_TME_PY[[#All],[TOTAL Truncated Unadjusted Claims Expenses (A21 -A19)]],AN_TME_PY[[#All],[Insurance Category Code]],3,AN_TME_PY[[#All],[Advanced Network/Insurance Carrier Org ID]],B53)/S53)</f>
        <v>NA</v>
      </c>
      <c r="AE53" s="147" t="str">
        <f>IF(S53=0,"NA",SUMIFS(AN_TME_PY[[#All],[TOTAL Non-Claims Expenses]],AN_TME_PY[[#All],[Insurance Category Code]],3,AN_TME_PY[[#All],[Advanced Network/Insurance Carrier Org ID]],B53)/S53)</f>
        <v>NA</v>
      </c>
      <c r="AF53" s="147" t="str">
        <f>IF(S53=0,"NA",SUMIFS(AN_TME_PY[[#All],[TOTAL Non-Truncated Unadjusted Expenses (A21 + A23)]],AN_TME_PY[[#All],[Insurance Category Code]],3,AN_TME_PY[[#All],[Advanced Network/Insurance Carrier Org ID]],B53)/S53)</f>
        <v>NA</v>
      </c>
      <c r="AG53" s="138" t="str">
        <f>IF(S53=0,"NA",SUMIFS(AN_TME_PY[[#All],[TOTAL Truncated Unadjusted Expenses (A22 + A23)]],AN_TME_PY[[#All],[Insurance Category Code]],3,AN_TME_PY[[#All],[Advanced Network/Insurance Carrier Org ID]],B53)/S53)</f>
        <v>NA</v>
      </c>
      <c r="AH53" s="419" t="str">
        <f t="shared" si="75"/>
        <v>NA</v>
      </c>
      <c r="AI53" s="420" t="str">
        <f t="shared" si="76"/>
        <v>NA</v>
      </c>
      <c r="AJ53" s="421" t="str">
        <f t="shared" si="77"/>
        <v>NA</v>
      </c>
      <c r="AK53" s="421" t="str">
        <f t="shared" si="78"/>
        <v>NA</v>
      </c>
      <c r="AL53" s="421" t="str">
        <f t="shared" si="79"/>
        <v>NA</v>
      </c>
      <c r="AM53" s="421" t="str">
        <f t="shared" si="80"/>
        <v>NA</v>
      </c>
      <c r="AN53" s="421" t="str">
        <f t="shared" si="81"/>
        <v>NA</v>
      </c>
      <c r="AO53" s="421" t="str">
        <f t="shared" si="82"/>
        <v>NA</v>
      </c>
      <c r="AP53" s="421" t="str">
        <f t="shared" si="83"/>
        <v>NA</v>
      </c>
      <c r="AQ53" s="421" t="str">
        <f t="shared" si="84"/>
        <v>NA</v>
      </c>
      <c r="AR53" s="422" t="str">
        <f t="shared" si="85"/>
        <v>NA</v>
      </c>
      <c r="AS53" s="422" t="str">
        <f t="shared" si="86"/>
        <v>NA</v>
      </c>
      <c r="AT53" s="422" t="str">
        <f t="shared" si="87"/>
        <v>NA</v>
      </c>
      <c r="AU53" s="422" t="str">
        <f t="shared" si="88"/>
        <v>NA</v>
      </c>
      <c r="AV53" s="423" t="str">
        <f t="shared" si="89"/>
        <v>NA</v>
      </c>
    </row>
    <row r="54" spans="1:48" ht="15" customHeight="1" x14ac:dyDescent="0.25">
      <c r="A54" s="146"/>
      <c r="B54" s="148">
        <v>106</v>
      </c>
      <c r="C54" s="151" t="str">
        <f>_xlfn.XLOOKUP(B54, LgProvEntOrgIDs[Advanced Network/Insurer Carrier Org ID], LgProvEntOrgIDs[Advanced Network/Insurance Carrier Overall])</f>
        <v>Northeast Medical Group</v>
      </c>
      <c r="D54" s="448">
        <f>SUMIFS(AN_TME_BY[[#All],[Member Months]],AN_TME_BY[[#All],[Insurance Category Code]],3,AN_TME_BY[[#All],[Advanced Network/Insurance Carrier Org ID]],B54)</f>
        <v>0</v>
      </c>
      <c r="E54" s="137" t="str">
        <f>IF(D54=0,"NA",SUMIFS(AN_TME_BY[[#All],[Claims: Hospital Inpatient]],AN_TME_BY[[#All],[Insurance Category Code]],3,AN_TME_BY[[#All],[Advanced Network/Insurance Carrier Org ID]],B54)/D54)</f>
        <v>NA</v>
      </c>
      <c r="F54" s="108" t="str">
        <f>IF(D54=0,"NA",SUMIFS(AN_TME_BY[[#All],[Claims: Hospital Outpatient]],AN_TME_BY[[#All],[Insurance Category Code]],3,AN_TME_BY[[#All],[Advanced Network/Insurance Carrier Org ID]],B54)/D54)</f>
        <v>NA</v>
      </c>
      <c r="G54" s="108" t="str">
        <f>IF(D54=0,"NA",SUMIFS(AN_TME_BY[[#All],[Claims: Professional, Primary Care]],AN_TME_BY[[#All],[Insurance Category Code]],3,AN_TME_BY[[#All],[Advanced Network/Insurance Carrier Org ID]],B54)/D54)</f>
        <v>NA</v>
      </c>
      <c r="H54" s="108" t="str">
        <f>IF(D54=0,"NA",SUMIFS(AN_TME_BY[[#All],[Claims: Professional, Primary Care (for Monitoring Purposes)]],AN_TME_BY[[#All],[Insurance Category Code]],3,AN_TME_BY[[#All],[Advanced Network/Insurance Carrier Org ID]],B54)/D54)</f>
        <v>NA</v>
      </c>
      <c r="I54" s="108" t="str">
        <f>IF(D54=0,"NA",SUMIFS(AN_TME_BY[[#All],[Claims: Professional, Specialty]],AN_TME_BY[[#All],[Insurance Category Code]],3,AN_TME_BY[[#All],[Advanced Network/Insurance Carrier Org ID]],B54)/D54)</f>
        <v>NA</v>
      </c>
      <c r="J54" s="108" t="str">
        <f>IF(D54=0,"NA",SUMIFS(AN_TME_BY[[#All],[Claims: Professional Other]],AN_TME_BY[[#All],[Insurance Category Code]],3,AN_TME_BY[[#All],[Advanced Network/Insurance Carrier Org ID]],B54)/D54)</f>
        <v>NA</v>
      </c>
      <c r="K54" s="108" t="str">
        <f>IF(D54=0,"NA",SUMIFS(AN_TME_BY[[#All],[Claims: Pharmacy]],AN_TME_BY[[#All],[Insurance Category Code]],3,AN_TME_BY[[#All],[Advanced Network/Insurance Carrier Org ID]],B54)/D54)</f>
        <v>NA</v>
      </c>
      <c r="L54" s="108" t="str">
        <f>IF(D54=0,"NA",SUMIFS(AN_TME_BY[[#All],[Claims: Long-Term Care]],AN_TME_BY[[#All],[Insurance Category Code]],3,AN_TME_BY[[#All],[Advanced Network/Insurance Carrier Org ID]],B54)/D54)</f>
        <v>NA</v>
      </c>
      <c r="M54" s="108" t="str">
        <f>IF(D54=0,"NA",SUMIFS(AN_TME_BY[[#All],[Claims: Other]],AN_TME_BY[[#All],[Insurance Category Code]],3,AN_TME_BY[[#All],[Advanced Network/Insurance Carrier Org ID]],B54)/D54)</f>
        <v>NA</v>
      </c>
      <c r="N54" s="147" t="str">
        <f>IF(D54=0,"NA",SUMIFS(AN_TME_BY[[#All],[TOTAL Non-Truncated Unadjusted Claims Expenses]],AN_TME_BY[[#All],[Insurance Category Code]],3,AN_TME_BY[[#All],[Advanced Network/Insurance Carrier Org ID]],B54)/D54)</f>
        <v>NA</v>
      </c>
      <c r="O54" s="147" t="str">
        <f>IF(D54=0,"NA",SUMIFS(AN_TME_BY[[#All],[TOTAL Truncated Unadjusted Claims Expenses (A21 -A19)]],AN_TME_BY[[#All],[Insurance Category Code]],3,AN_TME_BY[[#All],[Advanced Network/Insurance Carrier Org ID]],B54)/D54)</f>
        <v>NA</v>
      </c>
      <c r="P54" s="147" t="str">
        <f>IF(D54=0,"NA",SUMIFS(AN_TME_BY[[#All],[TOTAL Non-Claims Expenses]],AN_TME_BY[[#All],[Insurance Category Code]],3,AN_TME_BY[[#All],[Advanced Network/Insurance Carrier Org ID]],B54)/D54)</f>
        <v>NA</v>
      </c>
      <c r="Q54" s="147" t="str">
        <f>IF(D54=0,"NA",SUMIFS(AN_TME_BY[[#All],[TOTAL Non-Truncated Unadjusted Expenses (A21 + A23)]],AN_TME_BY[[#All],[Insurance Category Code]],3,AN_TME_BY[[#All],[Advanced Network/Insurance Carrier Org ID]],B54)/D54)</f>
        <v>NA</v>
      </c>
      <c r="R54" s="147" t="str">
        <f>IF(D54=0,"NA",SUMIFS(AN_TME_BY[[#All],[TOTAL Truncated Unadjusted Expenses (A22 + A23)]],AN_TME_BY[[#All],[Insurance Category Code]],3,AN_TME_BY[[#All],[Advanced Network/Insurance Carrier Org ID]],B54)/D54)</f>
        <v>NA</v>
      </c>
      <c r="S54" s="448">
        <f>SUMIFS(AN_TME_PY[[#All],[Member Months]],AN_TME_PY[[#All],[Insurance Category Code]],3,AN_TME_PY[[#All],[Advanced Network/Insurance Carrier Org ID]],B54)</f>
        <v>0</v>
      </c>
      <c r="T54" s="137" t="str">
        <f>IF(S54=0,"NA",SUMIFS(AN_TME_PY[[#All],[Claims: Hospital Inpatient]],AN_TME_PY[[#All],[Insurance Category Code]],3,AN_TME_PY[[#All],[Advanced Network/Insurance Carrier Org ID]],B54)/S54)</f>
        <v>NA</v>
      </c>
      <c r="U54" s="108" t="str">
        <f>IF(S54=0,"NA",SUMIFS(AN_TME_PY[[#All],[Claims: Hospital Outpatient]],AN_TME_PY[[#All],[Insurance Category Code]],3,AN_TME_PY[[#All],[Advanced Network/Insurance Carrier Org ID]],B54)/S54)</f>
        <v>NA</v>
      </c>
      <c r="V54" s="108" t="str">
        <f>IF(S54=0,"NA",SUMIFS(AN_TME_PY[[#All],[Claims: Professional, Primary Care]],AN_TME_PY[[#All],[Insurance Category Code]],3,AN_TME_PY[[#All],[Advanced Network/Insurance Carrier Org ID]],B54)/S54)</f>
        <v>NA</v>
      </c>
      <c r="W54" s="108" t="str">
        <f>IF(S54=0,"NA",SUMIFS(AN_TME_PY[[#All],[Claims: Professional, Primary Care (for Monitoring Purposes)]],AN_TME_PY[[#All],[Insurance Category Code]],3,AN_TME_PY[[#All],[Advanced Network/Insurance Carrier Org ID]],B54)/S54)</f>
        <v>NA</v>
      </c>
      <c r="X54" s="108" t="str">
        <f>IF(S54=0,"NA",SUMIFS(AN_TME_PY[[#All],[Claims: Professional, Specialty]],AN_TME_PY[[#All],[Insurance Category Code]],3,AN_TME_PY[[#All],[Advanced Network/Insurance Carrier Org ID]],B54)/S54)</f>
        <v>NA</v>
      </c>
      <c r="Y54" s="108" t="str">
        <f>IF(S54=0,"NA",SUMIFS(AN_TME_PY[[#All],[Claims: Professional Other]],AN_TME_PY[[#All],[Insurance Category Code]],3,AN_TME_PY[[#All],[Advanced Network/Insurance Carrier Org ID]],B54)/S54)</f>
        <v>NA</v>
      </c>
      <c r="Z54" s="108" t="str">
        <f>IF(S54=0,"NA",SUMIFS(AN_TME_PY[[#All],[Claims: Pharmacy]],AN_TME_PY[[#All],[Insurance Category Code]],3,AN_TME_PY[[#All],[Advanced Network/Insurance Carrier Org ID]],B54)/S54)</f>
        <v>NA</v>
      </c>
      <c r="AA54" s="108" t="str">
        <f>IF(S54=0,"NA",SUMIFS(AN_TME_PY[[#All],[Claims: Long-Term Care]],AN_TME_PY[[#All],[Insurance Category Code]],3,AN_TME_PY[[#All],[Advanced Network/Insurance Carrier Org ID]],B54)/S54)</f>
        <v>NA</v>
      </c>
      <c r="AB54" s="108" t="str">
        <f>IF(S54=0,"NA",SUMIFS(AN_TME_PY[[#All],[Claims: Other]],AN_TME_PY[[#All],[Insurance Category Code]],3,AN_TME_PY[[#All],[Advanced Network/Insurance Carrier Org ID]],B54)/S54)</f>
        <v>NA</v>
      </c>
      <c r="AC54" s="147" t="str">
        <f>IF(S54=0,"NA",SUMIFS(AN_TME_PY[[#All],[TOTAL Non-Truncated Unadjusted Claims Expenses]],AN_TME_PY[[#All],[Insurance Category Code]],3,AN_TME_PY[[#All],[Advanced Network/Insurance Carrier Org ID]],B54)/S54)</f>
        <v>NA</v>
      </c>
      <c r="AD54" s="147" t="str">
        <f>IF(S54=0,"NA",SUMIFS(AN_TME_PY[[#All],[TOTAL Truncated Unadjusted Claims Expenses (A21 -A19)]],AN_TME_PY[[#All],[Insurance Category Code]],3,AN_TME_PY[[#All],[Advanced Network/Insurance Carrier Org ID]],B54)/S54)</f>
        <v>NA</v>
      </c>
      <c r="AE54" s="147" t="str">
        <f>IF(S54=0,"NA",SUMIFS(AN_TME_PY[[#All],[TOTAL Non-Claims Expenses]],AN_TME_PY[[#All],[Insurance Category Code]],3,AN_TME_PY[[#All],[Advanced Network/Insurance Carrier Org ID]],B54)/S54)</f>
        <v>NA</v>
      </c>
      <c r="AF54" s="147" t="str">
        <f>IF(S54=0,"NA",SUMIFS(AN_TME_PY[[#All],[TOTAL Non-Truncated Unadjusted Expenses (A21 + A23)]],AN_TME_PY[[#All],[Insurance Category Code]],3,AN_TME_PY[[#All],[Advanced Network/Insurance Carrier Org ID]],B54)/S54)</f>
        <v>NA</v>
      </c>
      <c r="AG54" s="138" t="str">
        <f>IF(S54=0,"NA",SUMIFS(AN_TME_PY[[#All],[TOTAL Truncated Unadjusted Expenses (A22 + A23)]],AN_TME_PY[[#All],[Insurance Category Code]],3,AN_TME_PY[[#All],[Advanced Network/Insurance Carrier Org ID]],B54)/S54)</f>
        <v>NA</v>
      </c>
      <c r="AH54" s="419" t="str">
        <f t="shared" si="75"/>
        <v>NA</v>
      </c>
      <c r="AI54" s="420" t="str">
        <f t="shared" si="76"/>
        <v>NA</v>
      </c>
      <c r="AJ54" s="421" t="str">
        <f t="shared" si="77"/>
        <v>NA</v>
      </c>
      <c r="AK54" s="421" t="str">
        <f t="shared" si="78"/>
        <v>NA</v>
      </c>
      <c r="AL54" s="421" t="str">
        <f t="shared" si="79"/>
        <v>NA</v>
      </c>
      <c r="AM54" s="421" t="str">
        <f t="shared" si="80"/>
        <v>NA</v>
      </c>
      <c r="AN54" s="421" t="str">
        <f t="shared" si="81"/>
        <v>NA</v>
      </c>
      <c r="AO54" s="421" t="str">
        <f t="shared" si="82"/>
        <v>NA</v>
      </c>
      <c r="AP54" s="421" t="str">
        <f t="shared" si="83"/>
        <v>NA</v>
      </c>
      <c r="AQ54" s="421" t="str">
        <f t="shared" si="84"/>
        <v>NA</v>
      </c>
      <c r="AR54" s="422" t="str">
        <f t="shared" si="85"/>
        <v>NA</v>
      </c>
      <c r="AS54" s="422" t="str">
        <f t="shared" si="86"/>
        <v>NA</v>
      </c>
      <c r="AT54" s="422" t="str">
        <f t="shared" si="87"/>
        <v>NA</v>
      </c>
      <c r="AU54" s="422" t="str">
        <f t="shared" si="88"/>
        <v>NA</v>
      </c>
      <c r="AV54" s="423" t="str">
        <f t="shared" si="89"/>
        <v>NA</v>
      </c>
    </row>
    <row r="55" spans="1:48" ht="15" customHeight="1" x14ac:dyDescent="0.25">
      <c r="A55" s="146"/>
      <c r="B55" s="148">
        <v>107</v>
      </c>
      <c r="C55" s="151" t="str">
        <f>_xlfn.XLOOKUP(B55, LgProvEntOrgIDs[Advanced Network/Insurer Carrier Org ID], LgProvEntOrgIDs[Advanced Network/Insurance Carrier Overall])</f>
        <v>Senior Care Network of CT (dba Advantage Plus Network)</v>
      </c>
      <c r="D55" s="448">
        <f>SUMIFS(AN_TME_BY[[#All],[Member Months]],AN_TME_BY[[#All],[Insurance Category Code]],3,AN_TME_BY[[#All],[Advanced Network/Insurance Carrier Org ID]],B55)</f>
        <v>0</v>
      </c>
      <c r="E55" s="137" t="str">
        <f>IF(D55=0,"NA",SUMIFS(AN_TME_BY[[#All],[Claims: Hospital Inpatient]],AN_TME_BY[[#All],[Insurance Category Code]],3,AN_TME_BY[[#All],[Advanced Network/Insurance Carrier Org ID]],B55)/D55)</f>
        <v>NA</v>
      </c>
      <c r="F55" s="108" t="str">
        <f>IF(D55=0,"NA",SUMIFS(AN_TME_BY[[#All],[Claims: Hospital Outpatient]],AN_TME_BY[[#All],[Insurance Category Code]],3,AN_TME_BY[[#All],[Advanced Network/Insurance Carrier Org ID]],B55)/D55)</f>
        <v>NA</v>
      </c>
      <c r="G55" s="108" t="str">
        <f>IF(D55=0,"NA",SUMIFS(AN_TME_BY[[#All],[Claims: Professional, Primary Care]],AN_TME_BY[[#All],[Insurance Category Code]],3,AN_TME_BY[[#All],[Advanced Network/Insurance Carrier Org ID]],B55)/D55)</f>
        <v>NA</v>
      </c>
      <c r="H55" s="108" t="str">
        <f>IF(D55=0,"NA",SUMIFS(AN_TME_BY[[#All],[Claims: Professional, Primary Care (for Monitoring Purposes)]],AN_TME_BY[[#All],[Insurance Category Code]],3,AN_TME_BY[[#All],[Advanced Network/Insurance Carrier Org ID]],B55)/D55)</f>
        <v>NA</v>
      </c>
      <c r="I55" s="108" t="str">
        <f>IF(D55=0,"NA",SUMIFS(AN_TME_BY[[#All],[Claims: Professional, Specialty]],AN_TME_BY[[#All],[Insurance Category Code]],3,AN_TME_BY[[#All],[Advanced Network/Insurance Carrier Org ID]],B55)/D55)</f>
        <v>NA</v>
      </c>
      <c r="J55" s="108" t="str">
        <f>IF(D55=0,"NA",SUMIFS(AN_TME_BY[[#All],[Claims: Professional Other]],AN_TME_BY[[#All],[Insurance Category Code]],3,AN_TME_BY[[#All],[Advanced Network/Insurance Carrier Org ID]],B55)/D55)</f>
        <v>NA</v>
      </c>
      <c r="K55" s="108" t="str">
        <f>IF(D55=0,"NA",SUMIFS(AN_TME_BY[[#All],[Claims: Pharmacy]],AN_TME_BY[[#All],[Insurance Category Code]],3,AN_TME_BY[[#All],[Advanced Network/Insurance Carrier Org ID]],B55)/D55)</f>
        <v>NA</v>
      </c>
      <c r="L55" s="108" t="str">
        <f>IF(D55=0,"NA",SUMIFS(AN_TME_BY[[#All],[Claims: Long-Term Care]],AN_TME_BY[[#All],[Insurance Category Code]],3,AN_TME_BY[[#All],[Advanced Network/Insurance Carrier Org ID]],B55)/D55)</f>
        <v>NA</v>
      </c>
      <c r="M55" s="108" t="str">
        <f>IF(D55=0,"NA",SUMIFS(AN_TME_BY[[#All],[Claims: Other]],AN_TME_BY[[#All],[Insurance Category Code]],3,AN_TME_BY[[#All],[Advanced Network/Insurance Carrier Org ID]],B55)/D55)</f>
        <v>NA</v>
      </c>
      <c r="N55" s="147" t="str">
        <f>IF(D55=0,"NA",SUMIFS(AN_TME_BY[[#All],[TOTAL Non-Truncated Unadjusted Claims Expenses]],AN_TME_BY[[#All],[Insurance Category Code]],3,AN_TME_BY[[#All],[Advanced Network/Insurance Carrier Org ID]],B55)/D55)</f>
        <v>NA</v>
      </c>
      <c r="O55" s="147" t="str">
        <f>IF(D55=0,"NA",SUMIFS(AN_TME_BY[[#All],[TOTAL Truncated Unadjusted Claims Expenses (A21 -A19)]],AN_TME_BY[[#All],[Insurance Category Code]],3,AN_TME_BY[[#All],[Advanced Network/Insurance Carrier Org ID]],B55)/D55)</f>
        <v>NA</v>
      </c>
      <c r="P55" s="147" t="str">
        <f>IF(D55=0,"NA",SUMIFS(AN_TME_BY[[#All],[TOTAL Non-Claims Expenses]],AN_TME_BY[[#All],[Insurance Category Code]],3,AN_TME_BY[[#All],[Advanced Network/Insurance Carrier Org ID]],B55)/D55)</f>
        <v>NA</v>
      </c>
      <c r="Q55" s="147" t="str">
        <f>IF(D55=0,"NA",SUMIFS(AN_TME_BY[[#All],[TOTAL Non-Truncated Unadjusted Expenses (A21 + A23)]],AN_TME_BY[[#All],[Insurance Category Code]],3,AN_TME_BY[[#All],[Advanced Network/Insurance Carrier Org ID]],B55)/D55)</f>
        <v>NA</v>
      </c>
      <c r="R55" s="147" t="str">
        <f>IF(D55=0,"NA",SUMIFS(AN_TME_BY[[#All],[TOTAL Truncated Unadjusted Expenses (A22 + A23)]],AN_TME_BY[[#All],[Insurance Category Code]],3,AN_TME_BY[[#All],[Advanced Network/Insurance Carrier Org ID]],B55)/D55)</f>
        <v>NA</v>
      </c>
      <c r="S55" s="448">
        <f>SUMIFS(AN_TME_PY[[#All],[Member Months]],AN_TME_PY[[#All],[Insurance Category Code]],3,AN_TME_PY[[#All],[Advanced Network/Insurance Carrier Org ID]],B55)</f>
        <v>0</v>
      </c>
      <c r="T55" s="137" t="str">
        <f>IF(S55=0,"NA",SUMIFS(AN_TME_PY[[#All],[Claims: Hospital Inpatient]],AN_TME_PY[[#All],[Insurance Category Code]],3,AN_TME_PY[[#All],[Advanced Network/Insurance Carrier Org ID]],B55)/S55)</f>
        <v>NA</v>
      </c>
      <c r="U55" s="108" t="str">
        <f>IF(S55=0,"NA",SUMIFS(AN_TME_PY[[#All],[Claims: Hospital Outpatient]],AN_TME_PY[[#All],[Insurance Category Code]],3,AN_TME_PY[[#All],[Advanced Network/Insurance Carrier Org ID]],B55)/S55)</f>
        <v>NA</v>
      </c>
      <c r="V55" s="108" t="str">
        <f>IF(S55=0,"NA",SUMIFS(AN_TME_PY[[#All],[Claims: Professional, Primary Care]],AN_TME_PY[[#All],[Insurance Category Code]],3,AN_TME_PY[[#All],[Advanced Network/Insurance Carrier Org ID]],B55)/S55)</f>
        <v>NA</v>
      </c>
      <c r="W55" s="108" t="str">
        <f>IF(S55=0,"NA",SUMIFS(AN_TME_PY[[#All],[Claims: Professional, Primary Care (for Monitoring Purposes)]],AN_TME_PY[[#All],[Insurance Category Code]],3,AN_TME_PY[[#All],[Advanced Network/Insurance Carrier Org ID]],B55)/S55)</f>
        <v>NA</v>
      </c>
      <c r="X55" s="108" t="str">
        <f>IF(S55=0,"NA",SUMIFS(AN_TME_PY[[#All],[Claims: Professional, Specialty]],AN_TME_PY[[#All],[Insurance Category Code]],3,AN_TME_PY[[#All],[Advanced Network/Insurance Carrier Org ID]],B55)/S55)</f>
        <v>NA</v>
      </c>
      <c r="Y55" s="108" t="str">
        <f>IF(S55=0,"NA",SUMIFS(AN_TME_PY[[#All],[Claims: Professional Other]],AN_TME_PY[[#All],[Insurance Category Code]],3,AN_TME_PY[[#All],[Advanced Network/Insurance Carrier Org ID]],B55)/S55)</f>
        <v>NA</v>
      </c>
      <c r="Z55" s="108" t="str">
        <f>IF(S55=0,"NA",SUMIFS(AN_TME_PY[[#All],[Claims: Pharmacy]],AN_TME_PY[[#All],[Insurance Category Code]],3,AN_TME_PY[[#All],[Advanced Network/Insurance Carrier Org ID]],B55)/S55)</f>
        <v>NA</v>
      </c>
      <c r="AA55" s="108" t="str">
        <f>IF(S55=0,"NA",SUMIFS(AN_TME_PY[[#All],[Claims: Long-Term Care]],AN_TME_PY[[#All],[Insurance Category Code]],3,AN_TME_PY[[#All],[Advanced Network/Insurance Carrier Org ID]],B55)/S55)</f>
        <v>NA</v>
      </c>
      <c r="AB55" s="108" t="str">
        <f>IF(S55=0,"NA",SUMIFS(AN_TME_PY[[#All],[Claims: Other]],AN_TME_PY[[#All],[Insurance Category Code]],3,AN_TME_PY[[#All],[Advanced Network/Insurance Carrier Org ID]],B55)/S55)</f>
        <v>NA</v>
      </c>
      <c r="AC55" s="147" t="str">
        <f>IF(S55=0,"NA",SUMIFS(AN_TME_PY[[#All],[TOTAL Non-Truncated Unadjusted Claims Expenses]],AN_TME_PY[[#All],[Insurance Category Code]],3,AN_TME_PY[[#All],[Advanced Network/Insurance Carrier Org ID]],B55)/S55)</f>
        <v>NA</v>
      </c>
      <c r="AD55" s="147" t="str">
        <f>IF(S55=0,"NA",SUMIFS(AN_TME_PY[[#All],[TOTAL Truncated Unadjusted Claims Expenses (A21 -A19)]],AN_TME_PY[[#All],[Insurance Category Code]],3,AN_TME_PY[[#All],[Advanced Network/Insurance Carrier Org ID]],B55)/S55)</f>
        <v>NA</v>
      </c>
      <c r="AE55" s="147" t="str">
        <f>IF(S55=0,"NA",SUMIFS(AN_TME_PY[[#All],[TOTAL Non-Claims Expenses]],AN_TME_PY[[#All],[Insurance Category Code]],3,AN_TME_PY[[#All],[Advanced Network/Insurance Carrier Org ID]],B55)/S55)</f>
        <v>NA</v>
      </c>
      <c r="AF55" s="147" t="str">
        <f>IF(S55=0,"NA",SUMIFS(AN_TME_PY[[#All],[TOTAL Non-Truncated Unadjusted Expenses (A21 + A23)]],AN_TME_PY[[#All],[Insurance Category Code]],3,AN_TME_PY[[#All],[Advanced Network/Insurance Carrier Org ID]],B55)/S55)</f>
        <v>NA</v>
      </c>
      <c r="AG55" s="138" t="str">
        <f>IF(S55=0,"NA",SUMIFS(AN_TME_PY[[#All],[TOTAL Truncated Unadjusted Expenses (A22 + A23)]],AN_TME_PY[[#All],[Insurance Category Code]],3,AN_TME_PY[[#All],[Advanced Network/Insurance Carrier Org ID]],B55)/S55)</f>
        <v>NA</v>
      </c>
      <c r="AH55" s="419" t="str">
        <f t="shared" si="75"/>
        <v>NA</v>
      </c>
      <c r="AI55" s="420" t="str">
        <f t="shared" si="76"/>
        <v>NA</v>
      </c>
      <c r="AJ55" s="421" t="str">
        <f t="shared" si="77"/>
        <v>NA</v>
      </c>
      <c r="AK55" s="421" t="str">
        <f t="shared" si="78"/>
        <v>NA</v>
      </c>
      <c r="AL55" s="421" t="str">
        <f t="shared" si="79"/>
        <v>NA</v>
      </c>
      <c r="AM55" s="421" t="str">
        <f t="shared" si="80"/>
        <v>NA</v>
      </c>
      <c r="AN55" s="421" t="str">
        <f t="shared" si="81"/>
        <v>NA</v>
      </c>
      <c r="AO55" s="421" t="str">
        <f t="shared" si="82"/>
        <v>NA</v>
      </c>
      <c r="AP55" s="421" t="str">
        <f t="shared" si="83"/>
        <v>NA</v>
      </c>
      <c r="AQ55" s="421" t="str">
        <f t="shared" si="84"/>
        <v>NA</v>
      </c>
      <c r="AR55" s="422" t="str">
        <f t="shared" si="85"/>
        <v>NA</v>
      </c>
      <c r="AS55" s="422" t="str">
        <f t="shared" si="86"/>
        <v>NA</v>
      </c>
      <c r="AT55" s="422" t="str">
        <f t="shared" si="87"/>
        <v>NA</v>
      </c>
      <c r="AU55" s="422" t="str">
        <f t="shared" si="88"/>
        <v>NA</v>
      </c>
      <c r="AV55" s="423" t="str">
        <f t="shared" si="89"/>
        <v>NA</v>
      </c>
    </row>
    <row r="56" spans="1:48" ht="45" customHeight="1" x14ac:dyDescent="0.25">
      <c r="A56" s="146"/>
      <c r="B56" s="148">
        <v>108</v>
      </c>
      <c r="C56" s="151" t="str">
        <f>_xlfn.XLOOKUP(B56, LgProvEntOrgIDs[Advanced Network/Insurer Carrier Org ID], LgProvEntOrgIDs[Advanced Network/Insurance Carrier Overall])</f>
        <v>Prospect Connecticut Medical Foundation Inc. (dba Prospect Medical, Prospect Health Services, Prospect Holdings)</v>
      </c>
      <c r="D56" s="448">
        <f>SUMIFS(AN_TME_BY[[#All],[Member Months]],AN_TME_BY[[#All],[Insurance Category Code]],3,AN_TME_BY[[#All],[Advanced Network/Insurance Carrier Org ID]],B56)</f>
        <v>0</v>
      </c>
      <c r="E56" s="137" t="str">
        <f>IF(D56=0,"NA",SUMIFS(AN_TME_BY[[#All],[Claims: Hospital Inpatient]],AN_TME_BY[[#All],[Insurance Category Code]],3,AN_TME_BY[[#All],[Advanced Network/Insurance Carrier Org ID]],B56)/D56)</f>
        <v>NA</v>
      </c>
      <c r="F56" s="108" t="str">
        <f>IF(D56=0,"NA",SUMIFS(AN_TME_BY[[#All],[Claims: Hospital Outpatient]],AN_TME_BY[[#All],[Insurance Category Code]],3,AN_TME_BY[[#All],[Advanced Network/Insurance Carrier Org ID]],B56)/D56)</f>
        <v>NA</v>
      </c>
      <c r="G56" s="108" t="str">
        <f>IF(D56=0,"NA",SUMIFS(AN_TME_BY[[#All],[Claims: Professional, Primary Care]],AN_TME_BY[[#All],[Insurance Category Code]],3,AN_TME_BY[[#All],[Advanced Network/Insurance Carrier Org ID]],B56)/D56)</f>
        <v>NA</v>
      </c>
      <c r="H56" s="108" t="str">
        <f>IF(D56=0,"NA",SUMIFS(AN_TME_BY[[#All],[Claims: Professional, Primary Care (for Monitoring Purposes)]],AN_TME_BY[[#All],[Insurance Category Code]],3,AN_TME_BY[[#All],[Advanced Network/Insurance Carrier Org ID]],B56)/D56)</f>
        <v>NA</v>
      </c>
      <c r="I56" s="108" t="str">
        <f>IF(D56=0,"NA",SUMIFS(AN_TME_BY[[#All],[Claims: Professional, Specialty]],AN_TME_BY[[#All],[Insurance Category Code]],3,AN_TME_BY[[#All],[Advanced Network/Insurance Carrier Org ID]],B56)/D56)</f>
        <v>NA</v>
      </c>
      <c r="J56" s="108" t="str">
        <f>IF(D56=0,"NA",SUMIFS(AN_TME_BY[[#All],[Claims: Professional Other]],AN_TME_BY[[#All],[Insurance Category Code]],3,AN_TME_BY[[#All],[Advanced Network/Insurance Carrier Org ID]],B56)/D56)</f>
        <v>NA</v>
      </c>
      <c r="K56" s="108" t="str">
        <f>IF(D56=0,"NA",SUMIFS(AN_TME_BY[[#All],[Claims: Pharmacy]],AN_TME_BY[[#All],[Insurance Category Code]],3,AN_TME_BY[[#All],[Advanced Network/Insurance Carrier Org ID]],B56)/D56)</f>
        <v>NA</v>
      </c>
      <c r="L56" s="108" t="str">
        <f>IF(D56=0,"NA",SUMIFS(AN_TME_BY[[#All],[Claims: Long-Term Care]],AN_TME_BY[[#All],[Insurance Category Code]],3,AN_TME_BY[[#All],[Advanced Network/Insurance Carrier Org ID]],B56)/D56)</f>
        <v>NA</v>
      </c>
      <c r="M56" s="108" t="str">
        <f>IF(D56=0,"NA",SUMIFS(AN_TME_BY[[#All],[Claims: Other]],AN_TME_BY[[#All],[Insurance Category Code]],3,AN_TME_BY[[#All],[Advanced Network/Insurance Carrier Org ID]],B56)/D56)</f>
        <v>NA</v>
      </c>
      <c r="N56" s="147" t="str">
        <f>IF(D56=0,"NA",SUMIFS(AN_TME_BY[[#All],[TOTAL Non-Truncated Unadjusted Claims Expenses]],AN_TME_BY[[#All],[Insurance Category Code]],3,AN_TME_BY[[#All],[Advanced Network/Insurance Carrier Org ID]],B56)/D56)</f>
        <v>NA</v>
      </c>
      <c r="O56" s="147" t="str">
        <f>IF(D56=0,"NA",SUMIFS(AN_TME_BY[[#All],[TOTAL Truncated Unadjusted Claims Expenses (A21 -A19)]],AN_TME_BY[[#All],[Insurance Category Code]],3,AN_TME_BY[[#All],[Advanced Network/Insurance Carrier Org ID]],B56)/D56)</f>
        <v>NA</v>
      </c>
      <c r="P56" s="147" t="str">
        <f>IF(D56=0,"NA",SUMIFS(AN_TME_BY[[#All],[TOTAL Non-Claims Expenses]],AN_TME_BY[[#All],[Insurance Category Code]],3,AN_TME_BY[[#All],[Advanced Network/Insurance Carrier Org ID]],B56)/D56)</f>
        <v>NA</v>
      </c>
      <c r="Q56" s="147" t="str">
        <f>IF(D56=0,"NA",SUMIFS(AN_TME_BY[[#All],[TOTAL Non-Truncated Unadjusted Expenses (A21 + A23)]],AN_TME_BY[[#All],[Insurance Category Code]],3,AN_TME_BY[[#All],[Advanced Network/Insurance Carrier Org ID]],B56)/D56)</f>
        <v>NA</v>
      </c>
      <c r="R56" s="147" t="str">
        <f>IF(D56=0,"NA",SUMIFS(AN_TME_BY[[#All],[TOTAL Truncated Unadjusted Expenses (A22 + A23)]],AN_TME_BY[[#All],[Insurance Category Code]],3,AN_TME_BY[[#All],[Advanced Network/Insurance Carrier Org ID]],B56)/D56)</f>
        <v>NA</v>
      </c>
      <c r="S56" s="448">
        <f>SUMIFS(AN_TME_PY[[#All],[Member Months]],AN_TME_PY[[#All],[Insurance Category Code]],3,AN_TME_PY[[#All],[Advanced Network/Insurance Carrier Org ID]],B56)</f>
        <v>0</v>
      </c>
      <c r="T56" s="137" t="str">
        <f>IF(S56=0,"NA",SUMIFS(AN_TME_PY[[#All],[Claims: Hospital Inpatient]],AN_TME_PY[[#All],[Insurance Category Code]],3,AN_TME_PY[[#All],[Advanced Network/Insurance Carrier Org ID]],B56)/S56)</f>
        <v>NA</v>
      </c>
      <c r="U56" s="108" t="str">
        <f>IF(S56=0,"NA",SUMIFS(AN_TME_PY[[#All],[Claims: Hospital Outpatient]],AN_TME_PY[[#All],[Insurance Category Code]],3,AN_TME_PY[[#All],[Advanced Network/Insurance Carrier Org ID]],B56)/S56)</f>
        <v>NA</v>
      </c>
      <c r="V56" s="108" t="str">
        <f>IF(S56=0,"NA",SUMIFS(AN_TME_PY[[#All],[Claims: Professional, Primary Care]],AN_TME_PY[[#All],[Insurance Category Code]],3,AN_TME_PY[[#All],[Advanced Network/Insurance Carrier Org ID]],B56)/S56)</f>
        <v>NA</v>
      </c>
      <c r="W56" s="108" t="str">
        <f>IF(S56=0,"NA",SUMIFS(AN_TME_PY[[#All],[Claims: Professional, Primary Care (for Monitoring Purposes)]],AN_TME_PY[[#All],[Insurance Category Code]],3,AN_TME_PY[[#All],[Advanced Network/Insurance Carrier Org ID]],B56)/S56)</f>
        <v>NA</v>
      </c>
      <c r="X56" s="108" t="str">
        <f>IF(S56=0,"NA",SUMIFS(AN_TME_PY[[#All],[Claims: Professional, Specialty]],AN_TME_PY[[#All],[Insurance Category Code]],3,AN_TME_PY[[#All],[Advanced Network/Insurance Carrier Org ID]],B56)/S56)</f>
        <v>NA</v>
      </c>
      <c r="Y56" s="108" t="str">
        <f>IF(S56=0,"NA",SUMIFS(AN_TME_PY[[#All],[Claims: Professional Other]],AN_TME_PY[[#All],[Insurance Category Code]],3,AN_TME_PY[[#All],[Advanced Network/Insurance Carrier Org ID]],B56)/S56)</f>
        <v>NA</v>
      </c>
      <c r="Z56" s="108" t="str">
        <f>IF(S56=0,"NA",SUMIFS(AN_TME_PY[[#All],[Claims: Pharmacy]],AN_TME_PY[[#All],[Insurance Category Code]],3,AN_TME_PY[[#All],[Advanced Network/Insurance Carrier Org ID]],B56)/S56)</f>
        <v>NA</v>
      </c>
      <c r="AA56" s="108" t="str">
        <f>IF(S56=0,"NA",SUMIFS(AN_TME_PY[[#All],[Claims: Long-Term Care]],AN_TME_PY[[#All],[Insurance Category Code]],3,AN_TME_PY[[#All],[Advanced Network/Insurance Carrier Org ID]],B56)/S56)</f>
        <v>NA</v>
      </c>
      <c r="AB56" s="108" t="str">
        <f>IF(S56=0,"NA",SUMIFS(AN_TME_PY[[#All],[Claims: Other]],AN_TME_PY[[#All],[Insurance Category Code]],3,AN_TME_PY[[#All],[Advanced Network/Insurance Carrier Org ID]],B56)/S56)</f>
        <v>NA</v>
      </c>
      <c r="AC56" s="147" t="str">
        <f>IF(S56=0,"NA",SUMIFS(AN_TME_PY[[#All],[TOTAL Non-Truncated Unadjusted Claims Expenses]],AN_TME_PY[[#All],[Insurance Category Code]],3,AN_TME_PY[[#All],[Advanced Network/Insurance Carrier Org ID]],B56)/S56)</f>
        <v>NA</v>
      </c>
      <c r="AD56" s="147" t="str">
        <f>IF(S56=0,"NA",SUMIFS(AN_TME_PY[[#All],[TOTAL Truncated Unadjusted Claims Expenses (A21 -A19)]],AN_TME_PY[[#All],[Insurance Category Code]],3,AN_TME_PY[[#All],[Advanced Network/Insurance Carrier Org ID]],B56)/S56)</f>
        <v>NA</v>
      </c>
      <c r="AE56" s="147" t="str">
        <f>IF(S56=0,"NA",SUMIFS(AN_TME_PY[[#All],[TOTAL Non-Claims Expenses]],AN_TME_PY[[#All],[Insurance Category Code]],3,AN_TME_PY[[#All],[Advanced Network/Insurance Carrier Org ID]],B56)/S56)</f>
        <v>NA</v>
      </c>
      <c r="AF56" s="147" t="str">
        <f>IF(S56=0,"NA",SUMIFS(AN_TME_PY[[#All],[TOTAL Non-Truncated Unadjusted Expenses (A21 + A23)]],AN_TME_PY[[#All],[Insurance Category Code]],3,AN_TME_PY[[#All],[Advanced Network/Insurance Carrier Org ID]],B56)/S56)</f>
        <v>NA</v>
      </c>
      <c r="AG56" s="138" t="str">
        <f>IF(S56=0,"NA",SUMIFS(AN_TME_PY[[#All],[TOTAL Truncated Unadjusted Expenses (A22 + A23)]],AN_TME_PY[[#All],[Insurance Category Code]],3,AN_TME_PY[[#All],[Advanced Network/Insurance Carrier Org ID]],B56)/S56)</f>
        <v>NA</v>
      </c>
      <c r="AH56" s="419" t="str">
        <f t="shared" si="75"/>
        <v>NA</v>
      </c>
      <c r="AI56" s="420" t="str">
        <f t="shared" si="76"/>
        <v>NA</v>
      </c>
      <c r="AJ56" s="421" t="str">
        <f t="shared" si="77"/>
        <v>NA</v>
      </c>
      <c r="AK56" s="421" t="str">
        <f t="shared" si="78"/>
        <v>NA</v>
      </c>
      <c r="AL56" s="421" t="str">
        <f t="shared" si="79"/>
        <v>NA</v>
      </c>
      <c r="AM56" s="421" t="str">
        <f t="shared" si="80"/>
        <v>NA</v>
      </c>
      <c r="AN56" s="421" t="str">
        <f t="shared" si="81"/>
        <v>NA</v>
      </c>
      <c r="AO56" s="421" t="str">
        <f t="shared" si="82"/>
        <v>NA</v>
      </c>
      <c r="AP56" s="421" t="str">
        <f t="shared" si="83"/>
        <v>NA</v>
      </c>
      <c r="AQ56" s="421" t="str">
        <f t="shared" si="84"/>
        <v>NA</v>
      </c>
      <c r="AR56" s="422" t="str">
        <f t="shared" si="85"/>
        <v>NA</v>
      </c>
      <c r="AS56" s="422" t="str">
        <f t="shared" si="86"/>
        <v>NA</v>
      </c>
      <c r="AT56" s="422" t="str">
        <f t="shared" si="87"/>
        <v>NA</v>
      </c>
      <c r="AU56" s="422" t="str">
        <f t="shared" si="88"/>
        <v>NA</v>
      </c>
      <c r="AV56" s="423" t="str">
        <f t="shared" si="89"/>
        <v>NA</v>
      </c>
    </row>
    <row r="57" spans="1:48" ht="45" customHeight="1" x14ac:dyDescent="0.25">
      <c r="A57" s="146"/>
      <c r="B57" s="148">
        <v>109</v>
      </c>
      <c r="C57" s="151" t="str">
        <f>_xlfn.XLOOKUP(B57, LgProvEntOrgIDs[Advanced Network/Insurer Carrier Org ID], LgProvEntOrgIDs[Advanced Network/Insurance Carrier Overall])</f>
        <v>Southern New England Health Care Organization (aka SoNE Health)</v>
      </c>
      <c r="D57" s="448">
        <f>SUMIFS(AN_TME_BY[[#All],[Member Months]],AN_TME_BY[[#All],[Insurance Category Code]],3,AN_TME_BY[[#All],[Advanced Network/Insurance Carrier Org ID]],B57)</f>
        <v>0</v>
      </c>
      <c r="E57" s="137" t="str">
        <f>IF(D57=0,"NA",SUMIFS(AN_TME_BY[[#All],[Claims: Hospital Inpatient]],AN_TME_BY[[#All],[Insurance Category Code]],3,AN_TME_BY[[#All],[Advanced Network/Insurance Carrier Org ID]],B57)/D57)</f>
        <v>NA</v>
      </c>
      <c r="F57" s="108" t="str">
        <f>IF(D57=0,"NA",SUMIFS(AN_TME_BY[[#All],[Claims: Hospital Outpatient]],AN_TME_BY[[#All],[Insurance Category Code]],3,AN_TME_BY[[#All],[Advanced Network/Insurance Carrier Org ID]],B57)/D57)</f>
        <v>NA</v>
      </c>
      <c r="G57" s="108" t="str">
        <f>IF(D57=0,"NA",SUMIFS(AN_TME_BY[[#All],[Claims: Professional, Primary Care]],AN_TME_BY[[#All],[Insurance Category Code]],3,AN_TME_BY[[#All],[Advanced Network/Insurance Carrier Org ID]],B57)/D57)</f>
        <v>NA</v>
      </c>
      <c r="H57" s="108" t="str">
        <f>IF(D57=0,"NA",SUMIFS(AN_TME_BY[[#All],[Claims: Professional, Primary Care (for Monitoring Purposes)]],AN_TME_BY[[#All],[Insurance Category Code]],3,AN_TME_BY[[#All],[Advanced Network/Insurance Carrier Org ID]],B57)/D57)</f>
        <v>NA</v>
      </c>
      <c r="I57" s="108" t="str">
        <f>IF(D57=0,"NA",SUMIFS(AN_TME_BY[[#All],[Claims: Professional, Specialty]],AN_TME_BY[[#All],[Insurance Category Code]],3,AN_TME_BY[[#All],[Advanced Network/Insurance Carrier Org ID]],B57)/D57)</f>
        <v>NA</v>
      </c>
      <c r="J57" s="108" t="str">
        <f>IF(D57=0,"NA",SUMIFS(AN_TME_BY[[#All],[Claims: Professional Other]],AN_TME_BY[[#All],[Insurance Category Code]],3,AN_TME_BY[[#All],[Advanced Network/Insurance Carrier Org ID]],B57)/D57)</f>
        <v>NA</v>
      </c>
      <c r="K57" s="108" t="str">
        <f>IF(D57=0,"NA",SUMIFS(AN_TME_BY[[#All],[Claims: Pharmacy]],AN_TME_BY[[#All],[Insurance Category Code]],3,AN_TME_BY[[#All],[Advanced Network/Insurance Carrier Org ID]],B57)/D57)</f>
        <v>NA</v>
      </c>
      <c r="L57" s="108" t="str">
        <f>IF(D57=0,"NA",SUMIFS(AN_TME_BY[[#All],[Claims: Long-Term Care]],AN_TME_BY[[#All],[Insurance Category Code]],3,AN_TME_BY[[#All],[Advanced Network/Insurance Carrier Org ID]],B57)/D57)</f>
        <v>NA</v>
      </c>
      <c r="M57" s="108" t="str">
        <f>IF(D57=0,"NA",SUMIFS(AN_TME_BY[[#All],[Claims: Other]],AN_TME_BY[[#All],[Insurance Category Code]],3,AN_TME_BY[[#All],[Advanced Network/Insurance Carrier Org ID]],B57)/D57)</f>
        <v>NA</v>
      </c>
      <c r="N57" s="147" t="str">
        <f>IF(D57=0,"NA",SUMIFS(AN_TME_BY[[#All],[TOTAL Non-Truncated Unadjusted Claims Expenses]],AN_TME_BY[[#All],[Insurance Category Code]],3,AN_TME_BY[[#All],[Advanced Network/Insurance Carrier Org ID]],B57)/D57)</f>
        <v>NA</v>
      </c>
      <c r="O57" s="147" t="str">
        <f>IF(D57=0,"NA",SUMIFS(AN_TME_BY[[#All],[TOTAL Truncated Unadjusted Claims Expenses (A21 -A19)]],AN_TME_BY[[#All],[Insurance Category Code]],3,AN_TME_BY[[#All],[Advanced Network/Insurance Carrier Org ID]],B57)/D57)</f>
        <v>NA</v>
      </c>
      <c r="P57" s="147" t="str">
        <f>IF(D57=0,"NA",SUMIFS(AN_TME_BY[[#All],[TOTAL Non-Claims Expenses]],AN_TME_BY[[#All],[Insurance Category Code]],3,AN_TME_BY[[#All],[Advanced Network/Insurance Carrier Org ID]],B57)/D57)</f>
        <v>NA</v>
      </c>
      <c r="Q57" s="147" t="str">
        <f>IF(D57=0,"NA",SUMIFS(AN_TME_BY[[#All],[TOTAL Non-Truncated Unadjusted Expenses (A21 + A23)]],AN_TME_BY[[#All],[Insurance Category Code]],3,AN_TME_BY[[#All],[Advanced Network/Insurance Carrier Org ID]],B57)/D57)</f>
        <v>NA</v>
      </c>
      <c r="R57" s="147" t="str">
        <f>IF(D57=0,"NA",SUMIFS(AN_TME_BY[[#All],[TOTAL Truncated Unadjusted Expenses (A22 + A23)]],AN_TME_BY[[#All],[Insurance Category Code]],3,AN_TME_BY[[#All],[Advanced Network/Insurance Carrier Org ID]],B57)/D57)</f>
        <v>NA</v>
      </c>
      <c r="S57" s="448">
        <f>SUMIFS(AN_TME_PY[[#All],[Member Months]],AN_TME_PY[[#All],[Insurance Category Code]],3,AN_TME_PY[[#All],[Advanced Network/Insurance Carrier Org ID]],B57)</f>
        <v>0</v>
      </c>
      <c r="T57" s="137" t="str">
        <f>IF(S57=0,"NA",SUMIFS(AN_TME_PY[[#All],[Claims: Hospital Inpatient]],AN_TME_PY[[#All],[Insurance Category Code]],3,AN_TME_PY[[#All],[Advanced Network/Insurance Carrier Org ID]],B57)/S57)</f>
        <v>NA</v>
      </c>
      <c r="U57" s="108" t="str">
        <f>IF(S57=0,"NA",SUMIFS(AN_TME_PY[[#All],[Claims: Hospital Outpatient]],AN_TME_PY[[#All],[Insurance Category Code]],3,AN_TME_PY[[#All],[Advanced Network/Insurance Carrier Org ID]],B57)/S57)</f>
        <v>NA</v>
      </c>
      <c r="V57" s="108" t="str">
        <f>IF(S57=0,"NA",SUMIFS(AN_TME_PY[[#All],[Claims: Professional, Primary Care]],AN_TME_PY[[#All],[Insurance Category Code]],3,AN_TME_PY[[#All],[Advanced Network/Insurance Carrier Org ID]],B57)/S57)</f>
        <v>NA</v>
      </c>
      <c r="W57" s="108" t="str">
        <f>IF(S57=0,"NA",SUMIFS(AN_TME_PY[[#All],[Claims: Professional, Primary Care (for Monitoring Purposes)]],AN_TME_PY[[#All],[Insurance Category Code]],3,AN_TME_PY[[#All],[Advanced Network/Insurance Carrier Org ID]],B57)/S57)</f>
        <v>NA</v>
      </c>
      <c r="X57" s="108" t="str">
        <f>IF(S57=0,"NA",SUMIFS(AN_TME_PY[[#All],[Claims: Professional, Specialty]],AN_TME_PY[[#All],[Insurance Category Code]],3,AN_TME_PY[[#All],[Advanced Network/Insurance Carrier Org ID]],B57)/S57)</f>
        <v>NA</v>
      </c>
      <c r="Y57" s="108" t="str">
        <f>IF(S57=0,"NA",SUMIFS(AN_TME_PY[[#All],[Claims: Professional Other]],AN_TME_PY[[#All],[Insurance Category Code]],3,AN_TME_PY[[#All],[Advanced Network/Insurance Carrier Org ID]],B57)/S57)</f>
        <v>NA</v>
      </c>
      <c r="Z57" s="108" t="str">
        <f>IF(S57=0,"NA",SUMIFS(AN_TME_PY[[#All],[Claims: Pharmacy]],AN_TME_PY[[#All],[Insurance Category Code]],3,AN_TME_PY[[#All],[Advanced Network/Insurance Carrier Org ID]],B57)/S57)</f>
        <v>NA</v>
      </c>
      <c r="AA57" s="108" t="str">
        <f>IF(S57=0,"NA",SUMIFS(AN_TME_PY[[#All],[Claims: Long-Term Care]],AN_TME_PY[[#All],[Insurance Category Code]],3,AN_TME_PY[[#All],[Advanced Network/Insurance Carrier Org ID]],B57)/S57)</f>
        <v>NA</v>
      </c>
      <c r="AB57" s="108" t="str">
        <f>IF(S57=0,"NA",SUMIFS(AN_TME_PY[[#All],[Claims: Other]],AN_TME_PY[[#All],[Insurance Category Code]],3,AN_TME_PY[[#All],[Advanced Network/Insurance Carrier Org ID]],B57)/S57)</f>
        <v>NA</v>
      </c>
      <c r="AC57" s="147" t="str">
        <f>IF(S57=0,"NA",SUMIFS(AN_TME_PY[[#All],[TOTAL Non-Truncated Unadjusted Claims Expenses]],AN_TME_PY[[#All],[Insurance Category Code]],3,AN_TME_PY[[#All],[Advanced Network/Insurance Carrier Org ID]],B57)/S57)</f>
        <v>NA</v>
      </c>
      <c r="AD57" s="147" t="str">
        <f>IF(S57=0,"NA",SUMIFS(AN_TME_PY[[#All],[TOTAL Truncated Unadjusted Claims Expenses (A21 -A19)]],AN_TME_PY[[#All],[Insurance Category Code]],3,AN_TME_PY[[#All],[Advanced Network/Insurance Carrier Org ID]],B57)/S57)</f>
        <v>NA</v>
      </c>
      <c r="AE57" s="147" t="str">
        <f>IF(S57=0,"NA",SUMIFS(AN_TME_PY[[#All],[TOTAL Non-Claims Expenses]],AN_TME_PY[[#All],[Insurance Category Code]],3,AN_TME_PY[[#All],[Advanced Network/Insurance Carrier Org ID]],B57)/S57)</f>
        <v>NA</v>
      </c>
      <c r="AF57" s="147" t="str">
        <f>IF(S57=0,"NA",SUMIFS(AN_TME_PY[[#All],[TOTAL Non-Truncated Unadjusted Expenses (A21 + A23)]],AN_TME_PY[[#All],[Insurance Category Code]],3,AN_TME_PY[[#All],[Advanced Network/Insurance Carrier Org ID]],B57)/S57)</f>
        <v>NA</v>
      </c>
      <c r="AG57" s="138" t="str">
        <f>IF(S57=0,"NA",SUMIFS(AN_TME_PY[[#All],[TOTAL Truncated Unadjusted Expenses (A22 + A23)]],AN_TME_PY[[#All],[Insurance Category Code]],3,AN_TME_PY[[#All],[Advanced Network/Insurance Carrier Org ID]],B57)/S57)</f>
        <v>NA</v>
      </c>
      <c r="AH57" s="419" t="str">
        <f t="shared" si="75"/>
        <v>NA</v>
      </c>
      <c r="AI57" s="420" t="str">
        <f t="shared" si="76"/>
        <v>NA</v>
      </c>
      <c r="AJ57" s="421" t="str">
        <f t="shared" si="77"/>
        <v>NA</v>
      </c>
      <c r="AK57" s="421" t="str">
        <f t="shared" si="78"/>
        <v>NA</v>
      </c>
      <c r="AL57" s="421" t="str">
        <f t="shared" si="79"/>
        <v>NA</v>
      </c>
      <c r="AM57" s="421" t="str">
        <f t="shared" si="80"/>
        <v>NA</v>
      </c>
      <c r="AN57" s="421" t="str">
        <f t="shared" si="81"/>
        <v>NA</v>
      </c>
      <c r="AO57" s="421" t="str">
        <f t="shared" si="82"/>
        <v>NA</v>
      </c>
      <c r="AP57" s="421" t="str">
        <f t="shared" si="83"/>
        <v>NA</v>
      </c>
      <c r="AQ57" s="421" t="str">
        <f t="shared" si="84"/>
        <v>NA</v>
      </c>
      <c r="AR57" s="422" t="str">
        <f t="shared" si="85"/>
        <v>NA</v>
      </c>
      <c r="AS57" s="422" t="str">
        <f t="shared" si="86"/>
        <v>NA</v>
      </c>
      <c r="AT57" s="422" t="str">
        <f t="shared" si="87"/>
        <v>NA</v>
      </c>
      <c r="AU57" s="422" t="str">
        <f t="shared" si="88"/>
        <v>NA</v>
      </c>
      <c r="AV57" s="423" t="str">
        <f t="shared" si="89"/>
        <v>NA</v>
      </c>
    </row>
    <row r="58" spans="1:48" ht="15" customHeight="1" x14ac:dyDescent="0.25">
      <c r="A58" s="146"/>
      <c r="B58" s="148">
        <v>110</v>
      </c>
      <c r="C58" s="151" t="str">
        <f>_xlfn.XLOOKUP(B58, LgProvEntOrgIDs[Advanced Network/Insurer Carrier Org ID], LgProvEntOrgIDs[Advanced Network/Insurance Carrier Overall])</f>
        <v>Value Care Alliance</v>
      </c>
      <c r="D58" s="448">
        <f>SUMIFS(AN_TME_BY[[#All],[Member Months]],AN_TME_BY[[#All],[Insurance Category Code]],3,AN_TME_BY[[#All],[Advanced Network/Insurance Carrier Org ID]],B58)</f>
        <v>0</v>
      </c>
      <c r="E58" s="137" t="str">
        <f>IF(D58=0,"NA",SUMIFS(AN_TME_BY[[#All],[Claims: Hospital Inpatient]],AN_TME_BY[[#All],[Insurance Category Code]],3,AN_TME_BY[[#All],[Advanced Network/Insurance Carrier Org ID]],B58)/D58)</f>
        <v>NA</v>
      </c>
      <c r="F58" s="108" t="str">
        <f>IF(D58=0,"NA",SUMIFS(AN_TME_BY[[#All],[Claims: Hospital Outpatient]],AN_TME_BY[[#All],[Insurance Category Code]],3,AN_TME_BY[[#All],[Advanced Network/Insurance Carrier Org ID]],B58)/D58)</f>
        <v>NA</v>
      </c>
      <c r="G58" s="108" t="str">
        <f>IF(D58=0,"NA",SUMIFS(AN_TME_BY[[#All],[Claims: Professional, Primary Care]],AN_TME_BY[[#All],[Insurance Category Code]],3,AN_TME_BY[[#All],[Advanced Network/Insurance Carrier Org ID]],B58)/D58)</f>
        <v>NA</v>
      </c>
      <c r="H58" s="108" t="str">
        <f>IF(D58=0,"NA",SUMIFS(AN_TME_BY[[#All],[Claims: Professional, Primary Care (for Monitoring Purposes)]],AN_TME_BY[[#All],[Insurance Category Code]],3,AN_TME_BY[[#All],[Advanced Network/Insurance Carrier Org ID]],B58)/D58)</f>
        <v>NA</v>
      </c>
      <c r="I58" s="108" t="str">
        <f>IF(D58=0,"NA",SUMIFS(AN_TME_BY[[#All],[Claims: Professional, Specialty]],AN_TME_BY[[#All],[Insurance Category Code]],3,AN_TME_BY[[#All],[Advanced Network/Insurance Carrier Org ID]],B58)/D58)</f>
        <v>NA</v>
      </c>
      <c r="J58" s="108" t="str">
        <f>IF(D58=0,"NA",SUMIFS(AN_TME_BY[[#All],[Claims: Professional Other]],AN_TME_BY[[#All],[Insurance Category Code]],3,AN_TME_BY[[#All],[Advanced Network/Insurance Carrier Org ID]],B58)/D58)</f>
        <v>NA</v>
      </c>
      <c r="K58" s="108" t="str">
        <f>IF(D58=0,"NA",SUMIFS(AN_TME_BY[[#All],[Claims: Pharmacy]],AN_TME_BY[[#All],[Insurance Category Code]],3,AN_TME_BY[[#All],[Advanced Network/Insurance Carrier Org ID]],B58)/D58)</f>
        <v>NA</v>
      </c>
      <c r="L58" s="108" t="str">
        <f>IF(D58=0,"NA",SUMIFS(AN_TME_BY[[#All],[Claims: Long-Term Care]],AN_TME_BY[[#All],[Insurance Category Code]],3,AN_TME_BY[[#All],[Advanced Network/Insurance Carrier Org ID]],B58)/D58)</f>
        <v>NA</v>
      </c>
      <c r="M58" s="108" t="str">
        <f>IF(D58=0,"NA",SUMIFS(AN_TME_BY[[#All],[Claims: Other]],AN_TME_BY[[#All],[Insurance Category Code]],3,AN_TME_BY[[#All],[Advanced Network/Insurance Carrier Org ID]],B58)/D58)</f>
        <v>NA</v>
      </c>
      <c r="N58" s="147" t="str">
        <f>IF(D58=0,"NA",SUMIFS(AN_TME_BY[[#All],[TOTAL Non-Truncated Unadjusted Claims Expenses]],AN_TME_BY[[#All],[Insurance Category Code]],3,AN_TME_BY[[#All],[Advanced Network/Insurance Carrier Org ID]],B58)/D58)</f>
        <v>NA</v>
      </c>
      <c r="O58" s="147" t="str">
        <f>IF(D58=0,"NA",SUMIFS(AN_TME_BY[[#All],[TOTAL Truncated Unadjusted Claims Expenses (A21 -A19)]],AN_TME_BY[[#All],[Insurance Category Code]],3,AN_TME_BY[[#All],[Advanced Network/Insurance Carrier Org ID]],B58)/D58)</f>
        <v>NA</v>
      </c>
      <c r="P58" s="147" t="str">
        <f>IF(D58=0,"NA",SUMIFS(AN_TME_BY[[#All],[TOTAL Non-Claims Expenses]],AN_TME_BY[[#All],[Insurance Category Code]],3,AN_TME_BY[[#All],[Advanced Network/Insurance Carrier Org ID]],B58)/D58)</f>
        <v>NA</v>
      </c>
      <c r="Q58" s="147" t="str">
        <f>IF(D58=0,"NA",SUMIFS(AN_TME_BY[[#All],[TOTAL Non-Truncated Unadjusted Expenses (A21 + A23)]],AN_TME_BY[[#All],[Insurance Category Code]],3,AN_TME_BY[[#All],[Advanced Network/Insurance Carrier Org ID]],B58)/D58)</f>
        <v>NA</v>
      </c>
      <c r="R58" s="147" t="str">
        <f>IF(D58=0,"NA",SUMIFS(AN_TME_BY[[#All],[TOTAL Truncated Unadjusted Expenses (A22 + A23)]],AN_TME_BY[[#All],[Insurance Category Code]],3,AN_TME_BY[[#All],[Advanced Network/Insurance Carrier Org ID]],B58)/D58)</f>
        <v>NA</v>
      </c>
      <c r="S58" s="448">
        <f>SUMIFS(AN_TME_PY[[#All],[Member Months]],AN_TME_PY[[#All],[Insurance Category Code]],3,AN_TME_PY[[#All],[Advanced Network/Insurance Carrier Org ID]],B58)</f>
        <v>0</v>
      </c>
      <c r="T58" s="137" t="str">
        <f>IF(S58=0,"NA",SUMIFS(AN_TME_PY[[#All],[Claims: Hospital Inpatient]],AN_TME_PY[[#All],[Insurance Category Code]],3,AN_TME_PY[[#All],[Advanced Network/Insurance Carrier Org ID]],B58)/S58)</f>
        <v>NA</v>
      </c>
      <c r="U58" s="108" t="str">
        <f>IF(S58=0,"NA",SUMIFS(AN_TME_PY[[#All],[Claims: Hospital Outpatient]],AN_TME_PY[[#All],[Insurance Category Code]],3,AN_TME_PY[[#All],[Advanced Network/Insurance Carrier Org ID]],B58)/S58)</f>
        <v>NA</v>
      </c>
      <c r="V58" s="108" t="str">
        <f>IF(S58=0,"NA",SUMIFS(AN_TME_PY[[#All],[Claims: Professional, Primary Care]],AN_TME_PY[[#All],[Insurance Category Code]],3,AN_TME_PY[[#All],[Advanced Network/Insurance Carrier Org ID]],B58)/S58)</f>
        <v>NA</v>
      </c>
      <c r="W58" s="108" t="str">
        <f>IF(S58=0,"NA",SUMIFS(AN_TME_PY[[#All],[Claims: Professional, Primary Care (for Monitoring Purposes)]],AN_TME_PY[[#All],[Insurance Category Code]],3,AN_TME_PY[[#All],[Advanced Network/Insurance Carrier Org ID]],B58)/S58)</f>
        <v>NA</v>
      </c>
      <c r="X58" s="108" t="str">
        <f>IF(S58=0,"NA",SUMIFS(AN_TME_PY[[#All],[Claims: Professional, Specialty]],AN_TME_PY[[#All],[Insurance Category Code]],3,AN_TME_PY[[#All],[Advanced Network/Insurance Carrier Org ID]],B58)/S58)</f>
        <v>NA</v>
      </c>
      <c r="Y58" s="108" t="str">
        <f>IF(S58=0,"NA",SUMIFS(AN_TME_PY[[#All],[Claims: Professional Other]],AN_TME_PY[[#All],[Insurance Category Code]],3,AN_TME_PY[[#All],[Advanced Network/Insurance Carrier Org ID]],B58)/S58)</f>
        <v>NA</v>
      </c>
      <c r="Z58" s="108" t="str">
        <f>IF(S58=0,"NA",SUMIFS(AN_TME_PY[[#All],[Claims: Pharmacy]],AN_TME_PY[[#All],[Insurance Category Code]],3,AN_TME_PY[[#All],[Advanced Network/Insurance Carrier Org ID]],B58)/S58)</f>
        <v>NA</v>
      </c>
      <c r="AA58" s="108" t="str">
        <f>IF(S58=0,"NA",SUMIFS(AN_TME_PY[[#All],[Claims: Long-Term Care]],AN_TME_PY[[#All],[Insurance Category Code]],3,AN_TME_PY[[#All],[Advanced Network/Insurance Carrier Org ID]],B58)/S58)</f>
        <v>NA</v>
      </c>
      <c r="AB58" s="108" t="str">
        <f>IF(S58=0,"NA",SUMIFS(AN_TME_PY[[#All],[Claims: Other]],AN_TME_PY[[#All],[Insurance Category Code]],3,AN_TME_PY[[#All],[Advanced Network/Insurance Carrier Org ID]],B58)/S58)</f>
        <v>NA</v>
      </c>
      <c r="AC58" s="147" t="str">
        <f>IF(S58=0,"NA",SUMIFS(AN_TME_PY[[#All],[TOTAL Non-Truncated Unadjusted Claims Expenses]],AN_TME_PY[[#All],[Insurance Category Code]],3,AN_TME_PY[[#All],[Advanced Network/Insurance Carrier Org ID]],B58)/S58)</f>
        <v>NA</v>
      </c>
      <c r="AD58" s="147" t="str">
        <f>IF(S58=0,"NA",SUMIFS(AN_TME_PY[[#All],[TOTAL Truncated Unadjusted Claims Expenses (A21 -A19)]],AN_TME_PY[[#All],[Insurance Category Code]],3,AN_TME_PY[[#All],[Advanced Network/Insurance Carrier Org ID]],B58)/S58)</f>
        <v>NA</v>
      </c>
      <c r="AE58" s="147" t="str">
        <f>IF(S58=0,"NA",SUMIFS(AN_TME_PY[[#All],[TOTAL Non-Claims Expenses]],AN_TME_PY[[#All],[Insurance Category Code]],3,AN_TME_PY[[#All],[Advanced Network/Insurance Carrier Org ID]],B58)/S58)</f>
        <v>NA</v>
      </c>
      <c r="AF58" s="147" t="str">
        <f>IF(S58=0,"NA",SUMIFS(AN_TME_PY[[#All],[TOTAL Non-Truncated Unadjusted Expenses (A21 + A23)]],AN_TME_PY[[#All],[Insurance Category Code]],3,AN_TME_PY[[#All],[Advanced Network/Insurance Carrier Org ID]],B58)/S58)</f>
        <v>NA</v>
      </c>
      <c r="AG58" s="138" t="str">
        <f>IF(S58=0,"NA",SUMIFS(AN_TME_PY[[#All],[TOTAL Truncated Unadjusted Expenses (A22 + A23)]],AN_TME_PY[[#All],[Insurance Category Code]],3,AN_TME_PY[[#All],[Advanced Network/Insurance Carrier Org ID]],B58)/S58)</f>
        <v>NA</v>
      </c>
      <c r="AH58" s="419" t="str">
        <f t="shared" si="75"/>
        <v>NA</v>
      </c>
      <c r="AI58" s="420" t="str">
        <f t="shared" si="76"/>
        <v>NA</v>
      </c>
      <c r="AJ58" s="421" t="str">
        <f t="shared" si="77"/>
        <v>NA</v>
      </c>
      <c r="AK58" s="421" t="str">
        <f t="shared" si="78"/>
        <v>NA</v>
      </c>
      <c r="AL58" s="421" t="str">
        <f t="shared" si="79"/>
        <v>NA</v>
      </c>
      <c r="AM58" s="421" t="str">
        <f t="shared" si="80"/>
        <v>NA</v>
      </c>
      <c r="AN58" s="421" t="str">
        <f t="shared" si="81"/>
        <v>NA</v>
      </c>
      <c r="AO58" s="421" t="str">
        <f t="shared" si="82"/>
        <v>NA</v>
      </c>
      <c r="AP58" s="421" t="str">
        <f t="shared" si="83"/>
        <v>NA</v>
      </c>
      <c r="AQ58" s="421" t="str">
        <f t="shared" si="84"/>
        <v>NA</v>
      </c>
      <c r="AR58" s="422" t="str">
        <f t="shared" si="85"/>
        <v>NA</v>
      </c>
      <c r="AS58" s="422" t="str">
        <f t="shared" si="86"/>
        <v>NA</v>
      </c>
      <c r="AT58" s="422" t="str">
        <f t="shared" si="87"/>
        <v>NA</v>
      </c>
      <c r="AU58" s="422" t="str">
        <f t="shared" si="88"/>
        <v>NA</v>
      </c>
      <c r="AV58" s="423" t="str">
        <f t="shared" si="89"/>
        <v>NA</v>
      </c>
    </row>
    <row r="59" spans="1:48" ht="15" customHeight="1" x14ac:dyDescent="0.25">
      <c r="A59" s="146"/>
      <c r="B59" s="148">
        <v>111</v>
      </c>
      <c r="C59" s="151" t="str">
        <f>_xlfn.XLOOKUP(B59, LgProvEntOrgIDs[Advanced Network/Insurer Carrier Org ID], LgProvEntOrgIDs[Advanced Network/Insurance Carrier Overall])</f>
        <v>NA</v>
      </c>
      <c r="D59" s="448">
        <f>SUMIFS(AN_TME_BY[[#All],[Member Months]],AN_TME_BY[[#All],[Insurance Category Code]],3,AN_TME_BY[[#All],[Advanced Network/Insurance Carrier Org ID]],B59)</f>
        <v>0</v>
      </c>
      <c r="E59" s="137" t="str">
        <f>IF(D59=0,"NA",SUMIFS(AN_TME_BY[[#All],[Claims: Hospital Inpatient]],AN_TME_BY[[#All],[Insurance Category Code]],3,AN_TME_BY[[#All],[Advanced Network/Insurance Carrier Org ID]],B59)/D59)</f>
        <v>NA</v>
      </c>
      <c r="F59" s="108" t="str">
        <f>IF(D59=0,"NA",SUMIFS(AN_TME_BY[[#All],[Claims: Hospital Outpatient]],AN_TME_BY[[#All],[Insurance Category Code]],3,AN_TME_BY[[#All],[Advanced Network/Insurance Carrier Org ID]],B59)/D59)</f>
        <v>NA</v>
      </c>
      <c r="G59" s="108" t="str">
        <f>IF(D59=0,"NA",SUMIFS(AN_TME_BY[[#All],[Claims: Professional, Primary Care]],AN_TME_BY[[#All],[Insurance Category Code]],3,AN_TME_BY[[#All],[Advanced Network/Insurance Carrier Org ID]],B59)/D59)</f>
        <v>NA</v>
      </c>
      <c r="H59" s="108" t="str">
        <f>IF(D59=0,"NA",SUMIFS(AN_TME_BY[[#All],[Claims: Professional, Primary Care (for Monitoring Purposes)]],AN_TME_BY[[#All],[Insurance Category Code]],3,AN_TME_BY[[#All],[Advanced Network/Insurance Carrier Org ID]],B59)/D59)</f>
        <v>NA</v>
      </c>
      <c r="I59" s="108" t="str">
        <f>IF(D59=0,"NA",SUMIFS(AN_TME_BY[[#All],[Claims: Professional, Specialty]],AN_TME_BY[[#All],[Insurance Category Code]],3,AN_TME_BY[[#All],[Advanced Network/Insurance Carrier Org ID]],B59)/D59)</f>
        <v>NA</v>
      </c>
      <c r="J59" s="108" t="str">
        <f>IF(D59=0,"NA",SUMIFS(AN_TME_BY[[#All],[Claims: Professional Other]],AN_TME_BY[[#All],[Insurance Category Code]],3,AN_TME_BY[[#All],[Advanced Network/Insurance Carrier Org ID]],B59)/D59)</f>
        <v>NA</v>
      </c>
      <c r="K59" s="108" t="str">
        <f>IF(D59=0,"NA",SUMIFS(AN_TME_BY[[#All],[Claims: Pharmacy]],AN_TME_BY[[#All],[Insurance Category Code]],3,AN_TME_BY[[#All],[Advanced Network/Insurance Carrier Org ID]],B59)/D59)</f>
        <v>NA</v>
      </c>
      <c r="L59" s="108" t="str">
        <f>IF(D59=0,"NA",SUMIFS(AN_TME_BY[[#All],[Claims: Long-Term Care]],AN_TME_BY[[#All],[Insurance Category Code]],3,AN_TME_BY[[#All],[Advanced Network/Insurance Carrier Org ID]],B59)/D59)</f>
        <v>NA</v>
      </c>
      <c r="M59" s="108" t="str">
        <f>IF(D59=0,"NA",SUMIFS(AN_TME_BY[[#All],[Claims: Other]],AN_TME_BY[[#All],[Insurance Category Code]],3,AN_TME_BY[[#All],[Advanced Network/Insurance Carrier Org ID]],B59)/D59)</f>
        <v>NA</v>
      </c>
      <c r="N59" s="147" t="str">
        <f>IF(D59=0,"NA",SUMIFS(AN_TME_BY[[#All],[TOTAL Non-Truncated Unadjusted Claims Expenses]],AN_TME_BY[[#All],[Insurance Category Code]],3,AN_TME_BY[[#All],[Advanced Network/Insurance Carrier Org ID]],B59)/D59)</f>
        <v>NA</v>
      </c>
      <c r="O59" s="147" t="str">
        <f>IF(D59=0,"NA",SUMIFS(AN_TME_BY[[#All],[TOTAL Truncated Unadjusted Claims Expenses (A21 -A19)]],AN_TME_BY[[#All],[Insurance Category Code]],3,AN_TME_BY[[#All],[Advanced Network/Insurance Carrier Org ID]],B59)/D59)</f>
        <v>NA</v>
      </c>
      <c r="P59" s="147" t="str">
        <f>IF(D59=0,"NA",SUMIFS(AN_TME_BY[[#All],[TOTAL Non-Claims Expenses]],AN_TME_BY[[#All],[Insurance Category Code]],3,AN_TME_BY[[#All],[Advanced Network/Insurance Carrier Org ID]],B59)/D59)</f>
        <v>NA</v>
      </c>
      <c r="Q59" s="147" t="str">
        <f>IF(D59=0,"NA",SUMIFS(AN_TME_BY[[#All],[TOTAL Non-Truncated Unadjusted Expenses (A21 + A23)]],AN_TME_BY[[#All],[Insurance Category Code]],3,AN_TME_BY[[#All],[Advanced Network/Insurance Carrier Org ID]],B59)/D59)</f>
        <v>NA</v>
      </c>
      <c r="R59" s="147" t="str">
        <f>IF(D59=0,"NA",SUMIFS(AN_TME_BY[[#All],[TOTAL Truncated Unadjusted Expenses (A22 + A23)]],AN_TME_BY[[#All],[Insurance Category Code]],3,AN_TME_BY[[#All],[Advanced Network/Insurance Carrier Org ID]],B59)/D59)</f>
        <v>NA</v>
      </c>
      <c r="S59" s="448">
        <f>SUMIFS(AN_TME_PY[[#All],[Member Months]],AN_TME_PY[[#All],[Insurance Category Code]],3,AN_TME_PY[[#All],[Advanced Network/Insurance Carrier Org ID]],B59)</f>
        <v>0</v>
      </c>
      <c r="T59" s="137" t="str">
        <f>IF(S59=0,"NA",SUMIFS(AN_TME_PY[[#All],[Claims: Hospital Inpatient]],AN_TME_PY[[#All],[Insurance Category Code]],3,AN_TME_PY[[#All],[Advanced Network/Insurance Carrier Org ID]],B59)/S59)</f>
        <v>NA</v>
      </c>
      <c r="U59" s="108" t="str">
        <f>IF(S59=0,"NA",SUMIFS(AN_TME_PY[[#All],[Claims: Hospital Outpatient]],AN_TME_PY[[#All],[Insurance Category Code]],3,AN_TME_PY[[#All],[Advanced Network/Insurance Carrier Org ID]],B59)/S59)</f>
        <v>NA</v>
      </c>
      <c r="V59" s="108" t="str">
        <f>IF(S59=0,"NA",SUMIFS(AN_TME_PY[[#All],[Claims: Professional, Primary Care]],AN_TME_PY[[#All],[Insurance Category Code]],3,AN_TME_PY[[#All],[Advanced Network/Insurance Carrier Org ID]],B59)/S59)</f>
        <v>NA</v>
      </c>
      <c r="W59" s="108" t="str">
        <f>IF(S59=0,"NA",SUMIFS(AN_TME_PY[[#All],[Claims: Professional, Primary Care (for Monitoring Purposes)]],AN_TME_PY[[#All],[Insurance Category Code]],3,AN_TME_PY[[#All],[Advanced Network/Insurance Carrier Org ID]],B59)/S59)</f>
        <v>NA</v>
      </c>
      <c r="X59" s="108" t="str">
        <f>IF(S59=0,"NA",SUMIFS(AN_TME_PY[[#All],[Claims: Professional, Specialty]],AN_TME_PY[[#All],[Insurance Category Code]],3,AN_TME_PY[[#All],[Advanced Network/Insurance Carrier Org ID]],B59)/S59)</f>
        <v>NA</v>
      </c>
      <c r="Y59" s="108" t="str">
        <f>IF(S59=0,"NA",SUMIFS(AN_TME_PY[[#All],[Claims: Professional Other]],AN_TME_PY[[#All],[Insurance Category Code]],3,AN_TME_PY[[#All],[Advanced Network/Insurance Carrier Org ID]],B59)/S59)</f>
        <v>NA</v>
      </c>
      <c r="Z59" s="108" t="str">
        <f>IF(S59=0,"NA",SUMIFS(AN_TME_PY[[#All],[Claims: Pharmacy]],AN_TME_PY[[#All],[Insurance Category Code]],3,AN_TME_PY[[#All],[Advanced Network/Insurance Carrier Org ID]],B59)/S59)</f>
        <v>NA</v>
      </c>
      <c r="AA59" s="108" t="str">
        <f>IF(S59=0,"NA",SUMIFS(AN_TME_PY[[#All],[Claims: Long-Term Care]],AN_TME_PY[[#All],[Insurance Category Code]],3,AN_TME_PY[[#All],[Advanced Network/Insurance Carrier Org ID]],B59)/S59)</f>
        <v>NA</v>
      </c>
      <c r="AB59" s="108" t="str">
        <f>IF(S59=0,"NA",SUMIFS(AN_TME_PY[[#All],[Claims: Other]],AN_TME_PY[[#All],[Insurance Category Code]],3,AN_TME_PY[[#All],[Advanced Network/Insurance Carrier Org ID]],B59)/S59)</f>
        <v>NA</v>
      </c>
      <c r="AC59" s="147" t="str">
        <f>IF(S59=0,"NA",SUMIFS(AN_TME_PY[[#All],[TOTAL Non-Truncated Unadjusted Claims Expenses]],AN_TME_PY[[#All],[Insurance Category Code]],3,AN_TME_PY[[#All],[Advanced Network/Insurance Carrier Org ID]],B59)/S59)</f>
        <v>NA</v>
      </c>
      <c r="AD59" s="147" t="str">
        <f>IF(S59=0,"NA",SUMIFS(AN_TME_PY[[#All],[TOTAL Truncated Unadjusted Claims Expenses (A21 -A19)]],AN_TME_PY[[#All],[Insurance Category Code]],3,AN_TME_PY[[#All],[Advanced Network/Insurance Carrier Org ID]],B59)/S59)</f>
        <v>NA</v>
      </c>
      <c r="AE59" s="147" t="str">
        <f>IF(S59=0,"NA",SUMIFS(AN_TME_PY[[#All],[TOTAL Non-Claims Expenses]],AN_TME_PY[[#All],[Insurance Category Code]],3,AN_TME_PY[[#All],[Advanced Network/Insurance Carrier Org ID]],B59)/S59)</f>
        <v>NA</v>
      </c>
      <c r="AF59" s="147" t="str">
        <f>IF(S59=0,"NA",SUMIFS(AN_TME_PY[[#All],[TOTAL Non-Truncated Unadjusted Expenses (A21 + A23)]],AN_TME_PY[[#All],[Insurance Category Code]],3,AN_TME_PY[[#All],[Advanced Network/Insurance Carrier Org ID]],B59)/S59)</f>
        <v>NA</v>
      </c>
      <c r="AG59" s="138" t="str">
        <f>IF(S59=0,"NA",SUMIFS(AN_TME_PY[[#All],[TOTAL Truncated Unadjusted Expenses (A22 + A23)]],AN_TME_PY[[#All],[Insurance Category Code]],3,AN_TME_PY[[#All],[Advanced Network/Insurance Carrier Org ID]],B59)/S59)</f>
        <v>NA</v>
      </c>
      <c r="AH59" s="419" t="str">
        <f>IF(D59=0,"NA",S59/D59-1)</f>
        <v>NA</v>
      </c>
      <c r="AI59" s="420" t="str">
        <f>IF(D59=0,"NA",T59/E59-1)</f>
        <v>NA</v>
      </c>
      <c r="AJ59" s="421" t="str">
        <f>IF(D59=0,"NA",U59/F59-1)</f>
        <v>NA</v>
      </c>
      <c r="AK59" s="421" t="str">
        <f>IF(D59=0,"NA",V59/G59-1)</f>
        <v>NA</v>
      </c>
      <c r="AL59" s="421" t="str">
        <f>IF(D59=0,"NA",W59/H59-1)</f>
        <v>NA</v>
      </c>
      <c r="AM59" s="421" t="str">
        <f>IF(D59=0,"NA",X59/I59-1)</f>
        <v>NA</v>
      </c>
      <c r="AN59" s="421" t="str">
        <f>IF(D59=0,"NA",Y59/J59-1)</f>
        <v>NA</v>
      </c>
      <c r="AO59" s="421" t="str">
        <f>IF(D59=0,"NA",Z59/K59-1)</f>
        <v>NA</v>
      </c>
      <c r="AP59" s="421" t="str">
        <f>IF(D59=0,"NA",AA59/L59-1)</f>
        <v>NA</v>
      </c>
      <c r="AQ59" s="421" t="str">
        <f>IF(D59=0,"NA",AB59/M59-1)</f>
        <v>NA</v>
      </c>
      <c r="AR59" s="422" t="str">
        <f>IF(D59=0,"NA",AC59/N59-1)</f>
        <v>NA</v>
      </c>
      <c r="AS59" s="422" t="str">
        <f>IF(D59=0,"NA",AD59/O59-1)</f>
        <v>NA</v>
      </c>
      <c r="AT59" s="422" t="str">
        <f>IF(D59=0,"NA",AE59/P59-1)</f>
        <v>NA</v>
      </c>
      <c r="AU59" s="422" t="str">
        <f>IF(D59=0,"NA",AF59/Q59-1)</f>
        <v>NA</v>
      </c>
      <c r="AV59" s="423" t="str">
        <f>IF(D59=0,"NA",AG59/R59-1)</f>
        <v>NA</v>
      </c>
    </row>
    <row r="60" spans="1:48" ht="15" customHeight="1" x14ac:dyDescent="0.25">
      <c r="A60" s="146"/>
      <c r="B60" s="148">
        <v>112</v>
      </c>
      <c r="C60" s="151" t="str">
        <f>_xlfn.XLOOKUP(B60, LgProvEntOrgIDs[Advanced Network/Insurer Carrier Org ID], LgProvEntOrgIDs[Advanced Network/Insurance Carrier Overall])</f>
        <v>Charter Oak Health Center</v>
      </c>
      <c r="D60" s="448">
        <f>SUMIFS(AN_TME_BY[[#All],[Member Months]],AN_TME_BY[[#All],[Insurance Category Code]],3,AN_TME_BY[[#All],[Advanced Network/Insurance Carrier Org ID]],B60)</f>
        <v>0</v>
      </c>
      <c r="E60" s="137" t="str">
        <f>IF(D60=0,"NA",SUMIFS(AN_TME_BY[[#All],[Claims: Hospital Inpatient]],AN_TME_BY[[#All],[Insurance Category Code]],3,AN_TME_BY[[#All],[Advanced Network/Insurance Carrier Org ID]],B60)/D60)</f>
        <v>NA</v>
      </c>
      <c r="F60" s="108" t="str">
        <f>IF(D60=0,"NA",SUMIFS(AN_TME_BY[[#All],[Claims: Hospital Outpatient]],AN_TME_BY[[#All],[Insurance Category Code]],3,AN_TME_BY[[#All],[Advanced Network/Insurance Carrier Org ID]],B60)/D60)</f>
        <v>NA</v>
      </c>
      <c r="G60" s="108" t="str">
        <f>IF(D60=0,"NA",SUMIFS(AN_TME_BY[[#All],[Claims: Professional, Primary Care]],AN_TME_BY[[#All],[Insurance Category Code]],3,AN_TME_BY[[#All],[Advanced Network/Insurance Carrier Org ID]],B60)/D60)</f>
        <v>NA</v>
      </c>
      <c r="H60" s="108" t="str">
        <f>IF(D60=0,"NA",SUMIFS(AN_TME_BY[[#All],[Claims: Professional, Primary Care (for Monitoring Purposes)]],AN_TME_BY[[#All],[Insurance Category Code]],3,AN_TME_BY[[#All],[Advanced Network/Insurance Carrier Org ID]],B60)/D60)</f>
        <v>NA</v>
      </c>
      <c r="I60" s="108" t="str">
        <f>IF(D60=0,"NA",SUMIFS(AN_TME_BY[[#All],[Claims: Professional, Specialty]],AN_TME_BY[[#All],[Insurance Category Code]],3,AN_TME_BY[[#All],[Advanced Network/Insurance Carrier Org ID]],B60)/D60)</f>
        <v>NA</v>
      </c>
      <c r="J60" s="108" t="str">
        <f>IF(D60=0,"NA",SUMIFS(AN_TME_BY[[#All],[Claims: Professional Other]],AN_TME_BY[[#All],[Insurance Category Code]],3,AN_TME_BY[[#All],[Advanced Network/Insurance Carrier Org ID]],B60)/D60)</f>
        <v>NA</v>
      </c>
      <c r="K60" s="108" t="str">
        <f>IF(D60=0,"NA",SUMIFS(AN_TME_BY[[#All],[Claims: Pharmacy]],AN_TME_BY[[#All],[Insurance Category Code]],3,AN_TME_BY[[#All],[Advanced Network/Insurance Carrier Org ID]],B60)/D60)</f>
        <v>NA</v>
      </c>
      <c r="L60" s="108" t="str">
        <f>IF(D60=0,"NA",SUMIFS(AN_TME_BY[[#All],[Claims: Long-Term Care]],AN_TME_BY[[#All],[Insurance Category Code]],3,AN_TME_BY[[#All],[Advanced Network/Insurance Carrier Org ID]],B60)/D60)</f>
        <v>NA</v>
      </c>
      <c r="M60" s="108" t="str">
        <f>IF(D60=0,"NA",SUMIFS(AN_TME_BY[[#All],[Claims: Other]],AN_TME_BY[[#All],[Insurance Category Code]],3,AN_TME_BY[[#All],[Advanced Network/Insurance Carrier Org ID]],B60)/D60)</f>
        <v>NA</v>
      </c>
      <c r="N60" s="147" t="str">
        <f>IF(D60=0,"NA",SUMIFS(AN_TME_BY[[#All],[TOTAL Non-Truncated Unadjusted Claims Expenses]],AN_TME_BY[[#All],[Insurance Category Code]],3,AN_TME_BY[[#All],[Advanced Network/Insurance Carrier Org ID]],B60)/D60)</f>
        <v>NA</v>
      </c>
      <c r="O60" s="147" t="str">
        <f>IF(D60=0,"NA",SUMIFS(AN_TME_BY[[#All],[TOTAL Truncated Unadjusted Claims Expenses (A21 -A19)]],AN_TME_BY[[#All],[Insurance Category Code]],3,AN_TME_BY[[#All],[Advanced Network/Insurance Carrier Org ID]],B60)/D60)</f>
        <v>NA</v>
      </c>
      <c r="P60" s="147" t="str">
        <f>IF(D60=0,"NA",SUMIFS(AN_TME_BY[[#All],[TOTAL Non-Claims Expenses]],AN_TME_BY[[#All],[Insurance Category Code]],3,AN_TME_BY[[#All],[Advanced Network/Insurance Carrier Org ID]],B60)/D60)</f>
        <v>NA</v>
      </c>
      <c r="Q60" s="147" t="str">
        <f>IF(D60=0,"NA",SUMIFS(AN_TME_BY[[#All],[TOTAL Non-Truncated Unadjusted Expenses (A21 + A23)]],AN_TME_BY[[#All],[Insurance Category Code]],3,AN_TME_BY[[#All],[Advanced Network/Insurance Carrier Org ID]],B60)/D60)</f>
        <v>NA</v>
      </c>
      <c r="R60" s="147" t="str">
        <f>IF(D60=0,"NA",SUMIFS(AN_TME_BY[[#All],[TOTAL Truncated Unadjusted Expenses (A22 + A23)]],AN_TME_BY[[#All],[Insurance Category Code]],3,AN_TME_BY[[#All],[Advanced Network/Insurance Carrier Org ID]],B60)/D60)</f>
        <v>NA</v>
      </c>
      <c r="S60" s="448">
        <f>SUMIFS(AN_TME_PY[[#All],[Member Months]],AN_TME_PY[[#All],[Insurance Category Code]],3,AN_TME_PY[[#All],[Advanced Network/Insurance Carrier Org ID]],B60)</f>
        <v>0</v>
      </c>
      <c r="T60" s="137" t="str">
        <f>IF(S60=0,"NA",SUMIFS(AN_TME_PY[[#All],[Claims: Hospital Inpatient]],AN_TME_PY[[#All],[Insurance Category Code]],3,AN_TME_PY[[#All],[Advanced Network/Insurance Carrier Org ID]],B60)/S60)</f>
        <v>NA</v>
      </c>
      <c r="U60" s="108" t="str">
        <f>IF(S60=0,"NA",SUMIFS(AN_TME_PY[[#All],[Claims: Hospital Outpatient]],AN_TME_PY[[#All],[Insurance Category Code]],3,AN_TME_PY[[#All],[Advanced Network/Insurance Carrier Org ID]],B60)/S60)</f>
        <v>NA</v>
      </c>
      <c r="V60" s="108" t="str">
        <f>IF(S60=0,"NA",SUMIFS(AN_TME_PY[[#All],[Claims: Professional, Primary Care]],AN_TME_PY[[#All],[Insurance Category Code]],3,AN_TME_PY[[#All],[Advanced Network/Insurance Carrier Org ID]],B60)/S60)</f>
        <v>NA</v>
      </c>
      <c r="W60" s="108" t="str">
        <f>IF(S60=0,"NA",SUMIFS(AN_TME_PY[[#All],[Claims: Professional, Primary Care (for Monitoring Purposes)]],AN_TME_PY[[#All],[Insurance Category Code]],3,AN_TME_PY[[#All],[Advanced Network/Insurance Carrier Org ID]],B60)/S60)</f>
        <v>NA</v>
      </c>
      <c r="X60" s="108" t="str">
        <f>IF(S60=0,"NA",SUMIFS(AN_TME_PY[[#All],[Claims: Professional, Specialty]],AN_TME_PY[[#All],[Insurance Category Code]],3,AN_TME_PY[[#All],[Advanced Network/Insurance Carrier Org ID]],B60)/S60)</f>
        <v>NA</v>
      </c>
      <c r="Y60" s="108" t="str">
        <f>IF(S60=0,"NA",SUMIFS(AN_TME_PY[[#All],[Claims: Professional Other]],AN_TME_PY[[#All],[Insurance Category Code]],3,AN_TME_PY[[#All],[Advanced Network/Insurance Carrier Org ID]],B60)/S60)</f>
        <v>NA</v>
      </c>
      <c r="Z60" s="108" t="str">
        <f>IF(S60=0,"NA",SUMIFS(AN_TME_PY[[#All],[Claims: Pharmacy]],AN_TME_PY[[#All],[Insurance Category Code]],3,AN_TME_PY[[#All],[Advanced Network/Insurance Carrier Org ID]],B60)/S60)</f>
        <v>NA</v>
      </c>
      <c r="AA60" s="108" t="str">
        <f>IF(S60=0,"NA",SUMIFS(AN_TME_PY[[#All],[Claims: Long-Term Care]],AN_TME_PY[[#All],[Insurance Category Code]],3,AN_TME_PY[[#All],[Advanced Network/Insurance Carrier Org ID]],B60)/S60)</f>
        <v>NA</v>
      </c>
      <c r="AB60" s="108" t="str">
        <f>IF(S60=0,"NA",SUMIFS(AN_TME_PY[[#All],[Claims: Other]],AN_TME_PY[[#All],[Insurance Category Code]],3,AN_TME_PY[[#All],[Advanced Network/Insurance Carrier Org ID]],B60)/S60)</f>
        <v>NA</v>
      </c>
      <c r="AC60" s="147" t="str">
        <f>IF(S60=0,"NA",SUMIFS(AN_TME_PY[[#All],[TOTAL Non-Truncated Unadjusted Claims Expenses]],AN_TME_PY[[#All],[Insurance Category Code]],3,AN_TME_PY[[#All],[Advanced Network/Insurance Carrier Org ID]],B60)/S60)</f>
        <v>NA</v>
      </c>
      <c r="AD60" s="147" t="str">
        <f>IF(S60=0,"NA",SUMIFS(AN_TME_PY[[#All],[TOTAL Truncated Unadjusted Claims Expenses (A21 -A19)]],AN_TME_PY[[#All],[Insurance Category Code]],3,AN_TME_PY[[#All],[Advanced Network/Insurance Carrier Org ID]],B60)/S60)</f>
        <v>NA</v>
      </c>
      <c r="AE60" s="147" t="str">
        <f>IF(S60=0,"NA",SUMIFS(AN_TME_PY[[#All],[TOTAL Non-Claims Expenses]],AN_TME_PY[[#All],[Insurance Category Code]],3,AN_TME_PY[[#All],[Advanced Network/Insurance Carrier Org ID]],B60)/S60)</f>
        <v>NA</v>
      </c>
      <c r="AF60" s="147" t="str">
        <f>IF(S60=0,"NA",SUMIFS(AN_TME_PY[[#All],[TOTAL Non-Truncated Unadjusted Expenses (A21 + A23)]],AN_TME_PY[[#All],[Insurance Category Code]],3,AN_TME_PY[[#All],[Advanced Network/Insurance Carrier Org ID]],B60)/S60)</f>
        <v>NA</v>
      </c>
      <c r="AG60" s="138" t="str">
        <f>IF(S60=0,"NA",SUMIFS(AN_TME_PY[[#All],[TOTAL Truncated Unadjusted Expenses (A22 + A23)]],AN_TME_PY[[#All],[Insurance Category Code]],3,AN_TME_PY[[#All],[Advanced Network/Insurance Carrier Org ID]],B60)/S60)</f>
        <v>NA</v>
      </c>
      <c r="AH60" s="419" t="str">
        <f t="shared" ref="AH60:AH79" si="90">IF(D60=0,"NA",S60/D60-1)</f>
        <v>NA</v>
      </c>
      <c r="AI60" s="420" t="str">
        <f t="shared" ref="AI60:AI79" si="91">IF(D60=0,"NA",T60/E60-1)</f>
        <v>NA</v>
      </c>
      <c r="AJ60" s="421" t="str">
        <f t="shared" ref="AJ60:AJ79" si="92">IF(D60=0,"NA",U60/F60-1)</f>
        <v>NA</v>
      </c>
      <c r="AK60" s="421" t="str">
        <f t="shared" ref="AK60:AK79" si="93">IF(D60=0,"NA",V60/G60-1)</f>
        <v>NA</v>
      </c>
      <c r="AL60" s="421" t="str">
        <f t="shared" ref="AL60:AL79" si="94">IF(D60=0,"NA",W60/H60-1)</f>
        <v>NA</v>
      </c>
      <c r="AM60" s="421" t="str">
        <f t="shared" ref="AM60:AM79" si="95">IF(D60=0,"NA",X60/I60-1)</f>
        <v>NA</v>
      </c>
      <c r="AN60" s="421" t="str">
        <f t="shared" ref="AN60:AN79" si="96">IF(D60=0,"NA",Y60/J60-1)</f>
        <v>NA</v>
      </c>
      <c r="AO60" s="421" t="str">
        <f t="shared" ref="AO60:AO79" si="97">IF(D60=0,"NA",Z60/K60-1)</f>
        <v>NA</v>
      </c>
      <c r="AP60" s="421" t="str">
        <f t="shared" ref="AP60:AP79" si="98">IF(D60=0,"NA",AA60/L60-1)</f>
        <v>NA</v>
      </c>
      <c r="AQ60" s="421" t="str">
        <f t="shared" ref="AQ60:AQ79" si="99">IF(D60=0,"NA",AB60/M60-1)</f>
        <v>NA</v>
      </c>
      <c r="AR60" s="422" t="str">
        <f t="shared" ref="AR60:AR79" si="100">IF(D60=0,"NA",AC60/N60-1)</f>
        <v>NA</v>
      </c>
      <c r="AS60" s="422" t="str">
        <f t="shared" ref="AS60:AS79" si="101">IF(D60=0,"NA",AD60/O60-1)</f>
        <v>NA</v>
      </c>
      <c r="AT60" s="422" t="str">
        <f t="shared" ref="AT60:AT79" si="102">IF(D60=0,"NA",AE60/P60-1)</f>
        <v>NA</v>
      </c>
      <c r="AU60" s="422" t="str">
        <f t="shared" ref="AU60:AU79" si="103">IF(D60=0,"NA",AF60/Q60-1)</f>
        <v>NA</v>
      </c>
      <c r="AV60" s="423" t="str">
        <f t="shared" ref="AV60:AV79" si="104">IF(D60=0,"NA",AG60/R60-1)</f>
        <v>NA</v>
      </c>
    </row>
    <row r="61" spans="1:48" ht="15" customHeight="1" x14ac:dyDescent="0.25">
      <c r="A61" s="146"/>
      <c r="B61" s="148">
        <v>113</v>
      </c>
      <c r="C61" s="151" t="str">
        <f>_xlfn.XLOOKUP(B61, LgProvEntOrgIDs[Advanced Network/Insurer Carrier Org ID], LgProvEntOrgIDs[Advanced Network/Insurance Carrier Overall])</f>
        <v>CIFC Greater Danbury Community Health Center</v>
      </c>
      <c r="D61" s="448">
        <f>SUMIFS(AN_TME_BY[[#All],[Member Months]],AN_TME_BY[[#All],[Insurance Category Code]],3,AN_TME_BY[[#All],[Advanced Network/Insurance Carrier Org ID]],B61)</f>
        <v>0</v>
      </c>
      <c r="E61" s="137" t="str">
        <f>IF(D61=0,"NA",SUMIFS(AN_TME_BY[[#All],[Claims: Hospital Inpatient]],AN_TME_BY[[#All],[Insurance Category Code]],3,AN_TME_BY[[#All],[Advanced Network/Insurance Carrier Org ID]],B61)/D61)</f>
        <v>NA</v>
      </c>
      <c r="F61" s="108" t="str">
        <f>IF(D61=0,"NA",SUMIFS(AN_TME_BY[[#All],[Claims: Hospital Outpatient]],AN_TME_BY[[#All],[Insurance Category Code]],3,AN_TME_BY[[#All],[Advanced Network/Insurance Carrier Org ID]],B61)/D61)</f>
        <v>NA</v>
      </c>
      <c r="G61" s="108" t="str">
        <f>IF(D61=0,"NA",SUMIFS(AN_TME_BY[[#All],[Claims: Professional, Primary Care]],AN_TME_BY[[#All],[Insurance Category Code]],3,AN_TME_BY[[#All],[Advanced Network/Insurance Carrier Org ID]],B61)/D61)</f>
        <v>NA</v>
      </c>
      <c r="H61" s="108" t="str">
        <f>IF(D61=0,"NA",SUMIFS(AN_TME_BY[[#All],[Claims: Professional, Primary Care (for Monitoring Purposes)]],AN_TME_BY[[#All],[Insurance Category Code]],3,AN_TME_BY[[#All],[Advanced Network/Insurance Carrier Org ID]],B61)/D61)</f>
        <v>NA</v>
      </c>
      <c r="I61" s="108" t="str">
        <f>IF(D61=0,"NA",SUMIFS(AN_TME_BY[[#All],[Claims: Professional, Specialty]],AN_TME_BY[[#All],[Insurance Category Code]],3,AN_TME_BY[[#All],[Advanced Network/Insurance Carrier Org ID]],B61)/D61)</f>
        <v>NA</v>
      </c>
      <c r="J61" s="108" t="str">
        <f>IF(D61=0,"NA",SUMIFS(AN_TME_BY[[#All],[Claims: Professional Other]],AN_TME_BY[[#All],[Insurance Category Code]],3,AN_TME_BY[[#All],[Advanced Network/Insurance Carrier Org ID]],B61)/D61)</f>
        <v>NA</v>
      </c>
      <c r="K61" s="108" t="str">
        <f>IF(D61=0,"NA",SUMIFS(AN_TME_BY[[#All],[Claims: Pharmacy]],AN_TME_BY[[#All],[Insurance Category Code]],3,AN_TME_BY[[#All],[Advanced Network/Insurance Carrier Org ID]],B61)/D61)</f>
        <v>NA</v>
      </c>
      <c r="L61" s="108" t="str">
        <f>IF(D61=0,"NA",SUMIFS(AN_TME_BY[[#All],[Claims: Long-Term Care]],AN_TME_BY[[#All],[Insurance Category Code]],3,AN_TME_BY[[#All],[Advanced Network/Insurance Carrier Org ID]],B61)/D61)</f>
        <v>NA</v>
      </c>
      <c r="M61" s="108" t="str">
        <f>IF(D61=0,"NA",SUMIFS(AN_TME_BY[[#All],[Claims: Other]],AN_TME_BY[[#All],[Insurance Category Code]],3,AN_TME_BY[[#All],[Advanced Network/Insurance Carrier Org ID]],B61)/D61)</f>
        <v>NA</v>
      </c>
      <c r="N61" s="147" t="str">
        <f>IF(D61=0,"NA",SUMIFS(AN_TME_BY[[#All],[TOTAL Non-Truncated Unadjusted Claims Expenses]],AN_TME_BY[[#All],[Insurance Category Code]],3,AN_TME_BY[[#All],[Advanced Network/Insurance Carrier Org ID]],B61)/D61)</f>
        <v>NA</v>
      </c>
      <c r="O61" s="147" t="str">
        <f>IF(D61=0,"NA",SUMIFS(AN_TME_BY[[#All],[TOTAL Truncated Unadjusted Claims Expenses (A21 -A19)]],AN_TME_BY[[#All],[Insurance Category Code]],3,AN_TME_BY[[#All],[Advanced Network/Insurance Carrier Org ID]],B61)/D61)</f>
        <v>NA</v>
      </c>
      <c r="P61" s="147" t="str">
        <f>IF(D61=0,"NA",SUMIFS(AN_TME_BY[[#All],[TOTAL Non-Claims Expenses]],AN_TME_BY[[#All],[Insurance Category Code]],3,AN_TME_BY[[#All],[Advanced Network/Insurance Carrier Org ID]],B61)/D61)</f>
        <v>NA</v>
      </c>
      <c r="Q61" s="147" t="str">
        <f>IF(D61=0,"NA",SUMIFS(AN_TME_BY[[#All],[TOTAL Non-Truncated Unadjusted Expenses (A21 + A23)]],AN_TME_BY[[#All],[Insurance Category Code]],3,AN_TME_BY[[#All],[Advanced Network/Insurance Carrier Org ID]],B61)/D61)</f>
        <v>NA</v>
      </c>
      <c r="R61" s="147" t="str">
        <f>IF(D61=0,"NA",SUMIFS(AN_TME_BY[[#All],[TOTAL Truncated Unadjusted Expenses (A22 + A23)]],AN_TME_BY[[#All],[Insurance Category Code]],3,AN_TME_BY[[#All],[Advanced Network/Insurance Carrier Org ID]],B61)/D61)</f>
        <v>NA</v>
      </c>
      <c r="S61" s="448">
        <f>SUMIFS(AN_TME_PY[[#All],[Member Months]],AN_TME_PY[[#All],[Insurance Category Code]],3,AN_TME_PY[[#All],[Advanced Network/Insurance Carrier Org ID]],B61)</f>
        <v>0</v>
      </c>
      <c r="T61" s="137" t="str">
        <f>IF(S61=0,"NA",SUMIFS(AN_TME_PY[[#All],[Claims: Hospital Inpatient]],AN_TME_PY[[#All],[Insurance Category Code]],3,AN_TME_PY[[#All],[Advanced Network/Insurance Carrier Org ID]],B61)/S61)</f>
        <v>NA</v>
      </c>
      <c r="U61" s="108" t="str">
        <f>IF(S61=0,"NA",SUMIFS(AN_TME_PY[[#All],[Claims: Hospital Outpatient]],AN_TME_PY[[#All],[Insurance Category Code]],3,AN_TME_PY[[#All],[Advanced Network/Insurance Carrier Org ID]],B61)/S61)</f>
        <v>NA</v>
      </c>
      <c r="V61" s="108" t="str">
        <f>IF(S61=0,"NA",SUMIFS(AN_TME_PY[[#All],[Claims: Professional, Primary Care]],AN_TME_PY[[#All],[Insurance Category Code]],3,AN_TME_PY[[#All],[Advanced Network/Insurance Carrier Org ID]],B61)/S61)</f>
        <v>NA</v>
      </c>
      <c r="W61" s="108" t="str">
        <f>IF(S61=0,"NA",SUMIFS(AN_TME_PY[[#All],[Claims: Professional, Primary Care (for Monitoring Purposes)]],AN_TME_PY[[#All],[Insurance Category Code]],3,AN_TME_PY[[#All],[Advanced Network/Insurance Carrier Org ID]],B61)/S61)</f>
        <v>NA</v>
      </c>
      <c r="X61" s="108" t="str">
        <f>IF(S61=0,"NA",SUMIFS(AN_TME_PY[[#All],[Claims: Professional, Specialty]],AN_TME_PY[[#All],[Insurance Category Code]],3,AN_TME_PY[[#All],[Advanced Network/Insurance Carrier Org ID]],B61)/S61)</f>
        <v>NA</v>
      </c>
      <c r="Y61" s="108" t="str">
        <f>IF(S61=0,"NA",SUMIFS(AN_TME_PY[[#All],[Claims: Professional Other]],AN_TME_PY[[#All],[Insurance Category Code]],3,AN_TME_PY[[#All],[Advanced Network/Insurance Carrier Org ID]],B61)/S61)</f>
        <v>NA</v>
      </c>
      <c r="Z61" s="108" t="str">
        <f>IF(S61=0,"NA",SUMIFS(AN_TME_PY[[#All],[Claims: Pharmacy]],AN_TME_PY[[#All],[Insurance Category Code]],3,AN_TME_PY[[#All],[Advanced Network/Insurance Carrier Org ID]],B61)/S61)</f>
        <v>NA</v>
      </c>
      <c r="AA61" s="108" t="str">
        <f>IF(S61=0,"NA",SUMIFS(AN_TME_PY[[#All],[Claims: Long-Term Care]],AN_TME_PY[[#All],[Insurance Category Code]],3,AN_TME_PY[[#All],[Advanced Network/Insurance Carrier Org ID]],B61)/S61)</f>
        <v>NA</v>
      </c>
      <c r="AB61" s="108" t="str">
        <f>IF(S61=0,"NA",SUMIFS(AN_TME_PY[[#All],[Claims: Other]],AN_TME_PY[[#All],[Insurance Category Code]],3,AN_TME_PY[[#All],[Advanced Network/Insurance Carrier Org ID]],B61)/S61)</f>
        <v>NA</v>
      </c>
      <c r="AC61" s="147" t="str">
        <f>IF(S61=0,"NA",SUMIFS(AN_TME_PY[[#All],[TOTAL Non-Truncated Unadjusted Claims Expenses]],AN_TME_PY[[#All],[Insurance Category Code]],3,AN_TME_PY[[#All],[Advanced Network/Insurance Carrier Org ID]],B61)/S61)</f>
        <v>NA</v>
      </c>
      <c r="AD61" s="147" t="str">
        <f>IF(S61=0,"NA",SUMIFS(AN_TME_PY[[#All],[TOTAL Truncated Unadjusted Claims Expenses (A21 -A19)]],AN_TME_PY[[#All],[Insurance Category Code]],3,AN_TME_PY[[#All],[Advanced Network/Insurance Carrier Org ID]],B61)/S61)</f>
        <v>NA</v>
      </c>
      <c r="AE61" s="147" t="str">
        <f>IF(S61=0,"NA",SUMIFS(AN_TME_PY[[#All],[TOTAL Non-Claims Expenses]],AN_TME_PY[[#All],[Insurance Category Code]],3,AN_TME_PY[[#All],[Advanced Network/Insurance Carrier Org ID]],B61)/S61)</f>
        <v>NA</v>
      </c>
      <c r="AF61" s="147" t="str">
        <f>IF(S61=0,"NA",SUMIFS(AN_TME_PY[[#All],[TOTAL Non-Truncated Unadjusted Expenses (A21 + A23)]],AN_TME_PY[[#All],[Insurance Category Code]],3,AN_TME_PY[[#All],[Advanced Network/Insurance Carrier Org ID]],B61)/S61)</f>
        <v>NA</v>
      </c>
      <c r="AG61" s="138" t="str">
        <f>IF(S61=0,"NA",SUMIFS(AN_TME_PY[[#All],[TOTAL Truncated Unadjusted Expenses (A22 + A23)]],AN_TME_PY[[#All],[Insurance Category Code]],3,AN_TME_PY[[#All],[Advanced Network/Insurance Carrier Org ID]],B61)/S61)</f>
        <v>NA</v>
      </c>
      <c r="AH61" s="419" t="str">
        <f t="shared" si="90"/>
        <v>NA</v>
      </c>
      <c r="AI61" s="420" t="str">
        <f t="shared" si="91"/>
        <v>NA</v>
      </c>
      <c r="AJ61" s="421" t="str">
        <f t="shared" si="92"/>
        <v>NA</v>
      </c>
      <c r="AK61" s="421" t="str">
        <f t="shared" si="93"/>
        <v>NA</v>
      </c>
      <c r="AL61" s="421" t="str">
        <f t="shared" si="94"/>
        <v>NA</v>
      </c>
      <c r="AM61" s="421" t="str">
        <f t="shared" si="95"/>
        <v>NA</v>
      </c>
      <c r="AN61" s="421" t="str">
        <f t="shared" si="96"/>
        <v>NA</v>
      </c>
      <c r="AO61" s="421" t="str">
        <f t="shared" si="97"/>
        <v>NA</v>
      </c>
      <c r="AP61" s="421" t="str">
        <f t="shared" si="98"/>
        <v>NA</v>
      </c>
      <c r="AQ61" s="421" t="str">
        <f t="shared" si="99"/>
        <v>NA</v>
      </c>
      <c r="AR61" s="422" t="str">
        <f t="shared" si="100"/>
        <v>NA</v>
      </c>
      <c r="AS61" s="422" t="str">
        <f t="shared" si="101"/>
        <v>NA</v>
      </c>
      <c r="AT61" s="422" t="str">
        <f t="shared" si="102"/>
        <v>NA</v>
      </c>
      <c r="AU61" s="422" t="str">
        <f t="shared" si="103"/>
        <v>NA</v>
      </c>
      <c r="AV61" s="423" t="str">
        <f t="shared" si="104"/>
        <v>NA</v>
      </c>
    </row>
    <row r="62" spans="1:48" ht="15" customHeight="1" x14ac:dyDescent="0.25">
      <c r="A62" s="146"/>
      <c r="B62" s="148">
        <v>114</v>
      </c>
      <c r="C62" s="151" t="str">
        <f>_xlfn.XLOOKUP(B62, LgProvEntOrgIDs[Advanced Network/Insurer Carrier Org ID], LgProvEntOrgIDs[Advanced Network/Insurance Carrier Overall])</f>
        <v>Community Health and Wellness Center of Greater Torrington</v>
      </c>
      <c r="D62" s="448">
        <f>SUMIFS(AN_TME_BY[[#All],[Member Months]],AN_TME_BY[[#All],[Insurance Category Code]],3,AN_TME_BY[[#All],[Advanced Network/Insurance Carrier Org ID]],B62)</f>
        <v>0</v>
      </c>
      <c r="E62" s="137" t="str">
        <f>IF(D62=0,"NA",SUMIFS(AN_TME_BY[[#All],[Claims: Hospital Inpatient]],AN_TME_BY[[#All],[Insurance Category Code]],3,AN_TME_BY[[#All],[Advanced Network/Insurance Carrier Org ID]],B62)/D62)</f>
        <v>NA</v>
      </c>
      <c r="F62" s="108" t="str">
        <f>IF(D62=0,"NA",SUMIFS(AN_TME_BY[[#All],[Claims: Hospital Outpatient]],AN_TME_BY[[#All],[Insurance Category Code]],3,AN_TME_BY[[#All],[Advanced Network/Insurance Carrier Org ID]],B62)/D62)</f>
        <v>NA</v>
      </c>
      <c r="G62" s="108" t="str">
        <f>IF(D62=0,"NA",SUMIFS(AN_TME_BY[[#All],[Claims: Professional, Primary Care]],AN_TME_BY[[#All],[Insurance Category Code]],3,AN_TME_BY[[#All],[Advanced Network/Insurance Carrier Org ID]],B62)/D62)</f>
        <v>NA</v>
      </c>
      <c r="H62" s="108" t="str">
        <f>IF(D62=0,"NA",SUMIFS(AN_TME_BY[[#All],[Claims: Professional, Primary Care (for Monitoring Purposes)]],AN_TME_BY[[#All],[Insurance Category Code]],3,AN_TME_BY[[#All],[Advanced Network/Insurance Carrier Org ID]],B62)/D62)</f>
        <v>NA</v>
      </c>
      <c r="I62" s="108" t="str">
        <f>IF(D62=0,"NA",SUMIFS(AN_TME_BY[[#All],[Claims: Professional, Specialty]],AN_TME_BY[[#All],[Insurance Category Code]],3,AN_TME_BY[[#All],[Advanced Network/Insurance Carrier Org ID]],B62)/D62)</f>
        <v>NA</v>
      </c>
      <c r="J62" s="108" t="str">
        <f>IF(D62=0,"NA",SUMIFS(AN_TME_BY[[#All],[Claims: Professional Other]],AN_TME_BY[[#All],[Insurance Category Code]],3,AN_TME_BY[[#All],[Advanced Network/Insurance Carrier Org ID]],B62)/D62)</f>
        <v>NA</v>
      </c>
      <c r="K62" s="108" t="str">
        <f>IF(D62=0,"NA",SUMIFS(AN_TME_BY[[#All],[Claims: Pharmacy]],AN_TME_BY[[#All],[Insurance Category Code]],3,AN_TME_BY[[#All],[Advanced Network/Insurance Carrier Org ID]],B62)/D62)</f>
        <v>NA</v>
      </c>
      <c r="L62" s="108" t="str">
        <f>IF(D62=0,"NA",SUMIFS(AN_TME_BY[[#All],[Claims: Long-Term Care]],AN_TME_BY[[#All],[Insurance Category Code]],3,AN_TME_BY[[#All],[Advanced Network/Insurance Carrier Org ID]],B62)/D62)</f>
        <v>NA</v>
      </c>
      <c r="M62" s="108" t="str">
        <f>IF(D62=0,"NA",SUMIFS(AN_TME_BY[[#All],[Claims: Other]],AN_TME_BY[[#All],[Insurance Category Code]],3,AN_TME_BY[[#All],[Advanced Network/Insurance Carrier Org ID]],B62)/D62)</f>
        <v>NA</v>
      </c>
      <c r="N62" s="147" t="str">
        <f>IF(D62=0,"NA",SUMIFS(AN_TME_BY[[#All],[TOTAL Non-Truncated Unadjusted Claims Expenses]],AN_TME_BY[[#All],[Insurance Category Code]],3,AN_TME_BY[[#All],[Advanced Network/Insurance Carrier Org ID]],B62)/D62)</f>
        <v>NA</v>
      </c>
      <c r="O62" s="147" t="str">
        <f>IF(D62=0,"NA",SUMIFS(AN_TME_BY[[#All],[TOTAL Truncated Unadjusted Claims Expenses (A21 -A19)]],AN_TME_BY[[#All],[Insurance Category Code]],3,AN_TME_BY[[#All],[Advanced Network/Insurance Carrier Org ID]],B62)/D62)</f>
        <v>NA</v>
      </c>
      <c r="P62" s="147" t="str">
        <f>IF(D62=0,"NA",SUMIFS(AN_TME_BY[[#All],[TOTAL Non-Claims Expenses]],AN_TME_BY[[#All],[Insurance Category Code]],3,AN_TME_BY[[#All],[Advanced Network/Insurance Carrier Org ID]],B62)/D62)</f>
        <v>NA</v>
      </c>
      <c r="Q62" s="147" t="str">
        <f>IF(D62=0,"NA",SUMIFS(AN_TME_BY[[#All],[TOTAL Non-Truncated Unadjusted Expenses (A21 + A23)]],AN_TME_BY[[#All],[Insurance Category Code]],3,AN_TME_BY[[#All],[Advanced Network/Insurance Carrier Org ID]],B62)/D62)</f>
        <v>NA</v>
      </c>
      <c r="R62" s="147" t="str">
        <f>IF(D62=0,"NA",SUMIFS(AN_TME_BY[[#All],[TOTAL Truncated Unadjusted Expenses (A22 + A23)]],AN_TME_BY[[#All],[Insurance Category Code]],3,AN_TME_BY[[#All],[Advanced Network/Insurance Carrier Org ID]],B62)/D62)</f>
        <v>NA</v>
      </c>
      <c r="S62" s="448">
        <f>SUMIFS(AN_TME_PY[[#All],[Member Months]],AN_TME_PY[[#All],[Insurance Category Code]],3,AN_TME_PY[[#All],[Advanced Network/Insurance Carrier Org ID]],B62)</f>
        <v>0</v>
      </c>
      <c r="T62" s="137" t="str">
        <f>IF(S62=0,"NA",SUMIFS(AN_TME_PY[[#All],[Claims: Hospital Inpatient]],AN_TME_PY[[#All],[Insurance Category Code]],3,AN_TME_PY[[#All],[Advanced Network/Insurance Carrier Org ID]],B62)/S62)</f>
        <v>NA</v>
      </c>
      <c r="U62" s="108" t="str">
        <f>IF(S62=0,"NA",SUMIFS(AN_TME_PY[[#All],[Claims: Hospital Outpatient]],AN_TME_PY[[#All],[Insurance Category Code]],3,AN_TME_PY[[#All],[Advanced Network/Insurance Carrier Org ID]],B62)/S62)</f>
        <v>NA</v>
      </c>
      <c r="V62" s="108" t="str">
        <f>IF(S62=0,"NA",SUMIFS(AN_TME_PY[[#All],[Claims: Professional, Primary Care]],AN_TME_PY[[#All],[Insurance Category Code]],3,AN_TME_PY[[#All],[Advanced Network/Insurance Carrier Org ID]],B62)/S62)</f>
        <v>NA</v>
      </c>
      <c r="W62" s="108" t="str">
        <f>IF(S62=0,"NA",SUMIFS(AN_TME_PY[[#All],[Claims: Professional, Primary Care (for Monitoring Purposes)]],AN_TME_PY[[#All],[Insurance Category Code]],3,AN_TME_PY[[#All],[Advanced Network/Insurance Carrier Org ID]],B62)/S62)</f>
        <v>NA</v>
      </c>
      <c r="X62" s="108" t="str">
        <f>IF(S62=0,"NA",SUMIFS(AN_TME_PY[[#All],[Claims: Professional, Specialty]],AN_TME_PY[[#All],[Insurance Category Code]],3,AN_TME_PY[[#All],[Advanced Network/Insurance Carrier Org ID]],B62)/S62)</f>
        <v>NA</v>
      </c>
      <c r="Y62" s="108" t="str">
        <f>IF(S62=0,"NA",SUMIFS(AN_TME_PY[[#All],[Claims: Professional Other]],AN_TME_PY[[#All],[Insurance Category Code]],3,AN_TME_PY[[#All],[Advanced Network/Insurance Carrier Org ID]],B62)/S62)</f>
        <v>NA</v>
      </c>
      <c r="Z62" s="108" t="str">
        <f>IF(S62=0,"NA",SUMIFS(AN_TME_PY[[#All],[Claims: Pharmacy]],AN_TME_PY[[#All],[Insurance Category Code]],3,AN_TME_PY[[#All],[Advanced Network/Insurance Carrier Org ID]],B62)/S62)</f>
        <v>NA</v>
      </c>
      <c r="AA62" s="108" t="str">
        <f>IF(S62=0,"NA",SUMIFS(AN_TME_PY[[#All],[Claims: Long-Term Care]],AN_TME_PY[[#All],[Insurance Category Code]],3,AN_TME_PY[[#All],[Advanced Network/Insurance Carrier Org ID]],B62)/S62)</f>
        <v>NA</v>
      </c>
      <c r="AB62" s="108" t="str">
        <f>IF(S62=0,"NA",SUMIFS(AN_TME_PY[[#All],[Claims: Other]],AN_TME_PY[[#All],[Insurance Category Code]],3,AN_TME_PY[[#All],[Advanced Network/Insurance Carrier Org ID]],B62)/S62)</f>
        <v>NA</v>
      </c>
      <c r="AC62" s="147" t="str">
        <f>IF(S62=0,"NA",SUMIFS(AN_TME_PY[[#All],[TOTAL Non-Truncated Unadjusted Claims Expenses]],AN_TME_PY[[#All],[Insurance Category Code]],3,AN_TME_PY[[#All],[Advanced Network/Insurance Carrier Org ID]],B62)/S62)</f>
        <v>NA</v>
      </c>
      <c r="AD62" s="147" t="str">
        <f>IF(S62=0,"NA",SUMIFS(AN_TME_PY[[#All],[TOTAL Truncated Unadjusted Claims Expenses (A21 -A19)]],AN_TME_PY[[#All],[Insurance Category Code]],3,AN_TME_PY[[#All],[Advanced Network/Insurance Carrier Org ID]],B62)/S62)</f>
        <v>NA</v>
      </c>
      <c r="AE62" s="147" t="str">
        <f>IF(S62=0,"NA",SUMIFS(AN_TME_PY[[#All],[TOTAL Non-Claims Expenses]],AN_TME_PY[[#All],[Insurance Category Code]],3,AN_TME_PY[[#All],[Advanced Network/Insurance Carrier Org ID]],B62)/S62)</f>
        <v>NA</v>
      </c>
      <c r="AF62" s="147" t="str">
        <f>IF(S62=0,"NA",SUMIFS(AN_TME_PY[[#All],[TOTAL Non-Truncated Unadjusted Expenses (A21 + A23)]],AN_TME_PY[[#All],[Insurance Category Code]],3,AN_TME_PY[[#All],[Advanced Network/Insurance Carrier Org ID]],B62)/S62)</f>
        <v>NA</v>
      </c>
      <c r="AG62" s="138" t="str">
        <f>IF(S62=0,"NA",SUMIFS(AN_TME_PY[[#All],[TOTAL Truncated Unadjusted Expenses (A22 + A23)]],AN_TME_PY[[#All],[Insurance Category Code]],3,AN_TME_PY[[#All],[Advanced Network/Insurance Carrier Org ID]],B62)/S62)</f>
        <v>NA</v>
      </c>
      <c r="AH62" s="419" t="str">
        <f t="shared" si="90"/>
        <v>NA</v>
      </c>
      <c r="AI62" s="420" t="str">
        <f t="shared" si="91"/>
        <v>NA</v>
      </c>
      <c r="AJ62" s="421" t="str">
        <f t="shared" si="92"/>
        <v>NA</v>
      </c>
      <c r="AK62" s="421" t="str">
        <f t="shared" si="93"/>
        <v>NA</v>
      </c>
      <c r="AL62" s="421" t="str">
        <f t="shared" si="94"/>
        <v>NA</v>
      </c>
      <c r="AM62" s="421" t="str">
        <f t="shared" si="95"/>
        <v>NA</v>
      </c>
      <c r="AN62" s="421" t="str">
        <f t="shared" si="96"/>
        <v>NA</v>
      </c>
      <c r="AO62" s="421" t="str">
        <f t="shared" si="97"/>
        <v>NA</v>
      </c>
      <c r="AP62" s="421" t="str">
        <f t="shared" si="98"/>
        <v>NA</v>
      </c>
      <c r="AQ62" s="421" t="str">
        <f t="shared" si="99"/>
        <v>NA</v>
      </c>
      <c r="AR62" s="422" t="str">
        <f t="shared" si="100"/>
        <v>NA</v>
      </c>
      <c r="AS62" s="422" t="str">
        <f t="shared" si="101"/>
        <v>NA</v>
      </c>
      <c r="AT62" s="422" t="str">
        <f t="shared" si="102"/>
        <v>NA</v>
      </c>
      <c r="AU62" s="422" t="str">
        <f t="shared" si="103"/>
        <v>NA</v>
      </c>
      <c r="AV62" s="423" t="str">
        <f t="shared" si="104"/>
        <v>NA</v>
      </c>
    </row>
    <row r="63" spans="1:48" ht="15" customHeight="1" x14ac:dyDescent="0.25">
      <c r="A63" s="146"/>
      <c r="B63" s="148">
        <v>115</v>
      </c>
      <c r="C63" s="151" t="str">
        <f>_xlfn.XLOOKUP(B63, LgProvEntOrgIDs[Advanced Network/Insurer Carrier Org ID], LgProvEntOrgIDs[Advanced Network/Insurance Carrier Overall])</f>
        <v>Community Health Center</v>
      </c>
      <c r="D63" s="448">
        <f>SUMIFS(AN_TME_BY[[#All],[Member Months]],AN_TME_BY[[#All],[Insurance Category Code]],3,AN_TME_BY[[#All],[Advanced Network/Insurance Carrier Org ID]],B63)</f>
        <v>0</v>
      </c>
      <c r="E63" s="137" t="str">
        <f>IF(D63=0,"NA",SUMIFS(AN_TME_BY[[#All],[Claims: Hospital Inpatient]],AN_TME_BY[[#All],[Insurance Category Code]],3,AN_TME_BY[[#All],[Advanced Network/Insurance Carrier Org ID]],B63)/D63)</f>
        <v>NA</v>
      </c>
      <c r="F63" s="108" t="str">
        <f>IF(D63=0,"NA",SUMIFS(AN_TME_BY[[#All],[Claims: Hospital Outpatient]],AN_TME_BY[[#All],[Insurance Category Code]],3,AN_TME_BY[[#All],[Advanced Network/Insurance Carrier Org ID]],B63)/D63)</f>
        <v>NA</v>
      </c>
      <c r="G63" s="108" t="str">
        <f>IF(D63=0,"NA",SUMIFS(AN_TME_BY[[#All],[Claims: Professional, Primary Care]],AN_TME_BY[[#All],[Insurance Category Code]],3,AN_TME_BY[[#All],[Advanced Network/Insurance Carrier Org ID]],B63)/D63)</f>
        <v>NA</v>
      </c>
      <c r="H63" s="108" t="str">
        <f>IF(D63=0,"NA",SUMIFS(AN_TME_BY[[#All],[Claims: Professional, Primary Care (for Monitoring Purposes)]],AN_TME_BY[[#All],[Insurance Category Code]],3,AN_TME_BY[[#All],[Advanced Network/Insurance Carrier Org ID]],B63)/D63)</f>
        <v>NA</v>
      </c>
      <c r="I63" s="108" t="str">
        <f>IF(D63=0,"NA",SUMIFS(AN_TME_BY[[#All],[Claims: Professional, Specialty]],AN_TME_BY[[#All],[Insurance Category Code]],3,AN_TME_BY[[#All],[Advanced Network/Insurance Carrier Org ID]],B63)/D63)</f>
        <v>NA</v>
      </c>
      <c r="J63" s="108" t="str">
        <f>IF(D63=0,"NA",SUMIFS(AN_TME_BY[[#All],[Claims: Professional Other]],AN_TME_BY[[#All],[Insurance Category Code]],3,AN_TME_BY[[#All],[Advanced Network/Insurance Carrier Org ID]],B63)/D63)</f>
        <v>NA</v>
      </c>
      <c r="K63" s="108" t="str">
        <f>IF(D63=0,"NA",SUMIFS(AN_TME_BY[[#All],[Claims: Pharmacy]],AN_TME_BY[[#All],[Insurance Category Code]],3,AN_TME_BY[[#All],[Advanced Network/Insurance Carrier Org ID]],B63)/D63)</f>
        <v>NA</v>
      </c>
      <c r="L63" s="108" t="str">
        <f>IF(D63=0,"NA",SUMIFS(AN_TME_BY[[#All],[Claims: Long-Term Care]],AN_TME_BY[[#All],[Insurance Category Code]],3,AN_TME_BY[[#All],[Advanced Network/Insurance Carrier Org ID]],B63)/D63)</f>
        <v>NA</v>
      </c>
      <c r="M63" s="108" t="str">
        <f>IF(D63=0,"NA",SUMIFS(AN_TME_BY[[#All],[Claims: Other]],AN_TME_BY[[#All],[Insurance Category Code]],3,AN_TME_BY[[#All],[Advanced Network/Insurance Carrier Org ID]],B63)/D63)</f>
        <v>NA</v>
      </c>
      <c r="N63" s="147" t="str">
        <f>IF(D63=0,"NA",SUMIFS(AN_TME_BY[[#All],[TOTAL Non-Truncated Unadjusted Claims Expenses]],AN_TME_BY[[#All],[Insurance Category Code]],3,AN_TME_BY[[#All],[Advanced Network/Insurance Carrier Org ID]],B63)/D63)</f>
        <v>NA</v>
      </c>
      <c r="O63" s="147" t="str">
        <f>IF(D63=0,"NA",SUMIFS(AN_TME_BY[[#All],[TOTAL Truncated Unadjusted Claims Expenses (A21 -A19)]],AN_TME_BY[[#All],[Insurance Category Code]],3,AN_TME_BY[[#All],[Advanced Network/Insurance Carrier Org ID]],B63)/D63)</f>
        <v>NA</v>
      </c>
      <c r="P63" s="147" t="str">
        <f>IF(D63=0,"NA",SUMIFS(AN_TME_BY[[#All],[TOTAL Non-Claims Expenses]],AN_TME_BY[[#All],[Insurance Category Code]],3,AN_TME_BY[[#All],[Advanced Network/Insurance Carrier Org ID]],B63)/D63)</f>
        <v>NA</v>
      </c>
      <c r="Q63" s="147" t="str">
        <f>IF(D63=0,"NA",SUMIFS(AN_TME_BY[[#All],[TOTAL Non-Truncated Unadjusted Expenses (A21 + A23)]],AN_TME_BY[[#All],[Insurance Category Code]],3,AN_TME_BY[[#All],[Advanced Network/Insurance Carrier Org ID]],B63)/D63)</f>
        <v>NA</v>
      </c>
      <c r="R63" s="147" t="str">
        <f>IF(D63=0,"NA",SUMIFS(AN_TME_BY[[#All],[TOTAL Truncated Unadjusted Expenses (A22 + A23)]],AN_TME_BY[[#All],[Insurance Category Code]],3,AN_TME_BY[[#All],[Advanced Network/Insurance Carrier Org ID]],B63)/D63)</f>
        <v>NA</v>
      </c>
      <c r="S63" s="448">
        <f>SUMIFS(AN_TME_PY[[#All],[Member Months]],AN_TME_PY[[#All],[Insurance Category Code]],3,AN_TME_PY[[#All],[Advanced Network/Insurance Carrier Org ID]],B63)</f>
        <v>0</v>
      </c>
      <c r="T63" s="137" t="str">
        <f>IF(S63=0,"NA",SUMIFS(AN_TME_PY[[#All],[Claims: Hospital Inpatient]],AN_TME_PY[[#All],[Insurance Category Code]],3,AN_TME_PY[[#All],[Advanced Network/Insurance Carrier Org ID]],B63)/S63)</f>
        <v>NA</v>
      </c>
      <c r="U63" s="108" t="str">
        <f>IF(S63=0,"NA",SUMIFS(AN_TME_PY[[#All],[Claims: Hospital Outpatient]],AN_TME_PY[[#All],[Insurance Category Code]],3,AN_TME_PY[[#All],[Advanced Network/Insurance Carrier Org ID]],B63)/S63)</f>
        <v>NA</v>
      </c>
      <c r="V63" s="108" t="str">
        <f>IF(S63=0,"NA",SUMIFS(AN_TME_PY[[#All],[Claims: Professional, Primary Care]],AN_TME_PY[[#All],[Insurance Category Code]],3,AN_TME_PY[[#All],[Advanced Network/Insurance Carrier Org ID]],B63)/S63)</f>
        <v>NA</v>
      </c>
      <c r="W63" s="108" t="str">
        <f>IF(S63=0,"NA",SUMIFS(AN_TME_PY[[#All],[Claims: Professional, Primary Care (for Monitoring Purposes)]],AN_TME_PY[[#All],[Insurance Category Code]],3,AN_TME_PY[[#All],[Advanced Network/Insurance Carrier Org ID]],B63)/S63)</f>
        <v>NA</v>
      </c>
      <c r="X63" s="108" t="str">
        <f>IF(S63=0,"NA",SUMIFS(AN_TME_PY[[#All],[Claims: Professional, Specialty]],AN_TME_PY[[#All],[Insurance Category Code]],3,AN_TME_PY[[#All],[Advanced Network/Insurance Carrier Org ID]],B63)/S63)</f>
        <v>NA</v>
      </c>
      <c r="Y63" s="108" t="str">
        <f>IF(S63=0,"NA",SUMIFS(AN_TME_PY[[#All],[Claims: Professional Other]],AN_TME_PY[[#All],[Insurance Category Code]],3,AN_TME_PY[[#All],[Advanced Network/Insurance Carrier Org ID]],B63)/S63)</f>
        <v>NA</v>
      </c>
      <c r="Z63" s="108" t="str">
        <f>IF(S63=0,"NA",SUMIFS(AN_TME_PY[[#All],[Claims: Pharmacy]],AN_TME_PY[[#All],[Insurance Category Code]],3,AN_TME_PY[[#All],[Advanced Network/Insurance Carrier Org ID]],B63)/S63)</f>
        <v>NA</v>
      </c>
      <c r="AA63" s="108" t="str">
        <f>IF(S63=0,"NA",SUMIFS(AN_TME_PY[[#All],[Claims: Long-Term Care]],AN_TME_PY[[#All],[Insurance Category Code]],3,AN_TME_PY[[#All],[Advanced Network/Insurance Carrier Org ID]],B63)/S63)</f>
        <v>NA</v>
      </c>
      <c r="AB63" s="108" t="str">
        <f>IF(S63=0,"NA",SUMIFS(AN_TME_PY[[#All],[Claims: Other]],AN_TME_PY[[#All],[Insurance Category Code]],3,AN_TME_PY[[#All],[Advanced Network/Insurance Carrier Org ID]],B63)/S63)</f>
        <v>NA</v>
      </c>
      <c r="AC63" s="147" t="str">
        <f>IF(S63=0,"NA",SUMIFS(AN_TME_PY[[#All],[TOTAL Non-Truncated Unadjusted Claims Expenses]],AN_TME_PY[[#All],[Insurance Category Code]],3,AN_TME_PY[[#All],[Advanced Network/Insurance Carrier Org ID]],B63)/S63)</f>
        <v>NA</v>
      </c>
      <c r="AD63" s="147" t="str">
        <f>IF(S63=0,"NA",SUMIFS(AN_TME_PY[[#All],[TOTAL Truncated Unadjusted Claims Expenses (A21 -A19)]],AN_TME_PY[[#All],[Insurance Category Code]],3,AN_TME_PY[[#All],[Advanced Network/Insurance Carrier Org ID]],B63)/S63)</f>
        <v>NA</v>
      </c>
      <c r="AE63" s="147" t="str">
        <f>IF(S63=0,"NA",SUMIFS(AN_TME_PY[[#All],[TOTAL Non-Claims Expenses]],AN_TME_PY[[#All],[Insurance Category Code]],3,AN_TME_PY[[#All],[Advanced Network/Insurance Carrier Org ID]],B63)/S63)</f>
        <v>NA</v>
      </c>
      <c r="AF63" s="147" t="str">
        <f>IF(S63=0,"NA",SUMIFS(AN_TME_PY[[#All],[TOTAL Non-Truncated Unadjusted Expenses (A21 + A23)]],AN_TME_PY[[#All],[Insurance Category Code]],3,AN_TME_PY[[#All],[Advanced Network/Insurance Carrier Org ID]],B63)/S63)</f>
        <v>NA</v>
      </c>
      <c r="AG63" s="138" t="str">
        <f>IF(S63=0,"NA",SUMIFS(AN_TME_PY[[#All],[TOTAL Truncated Unadjusted Expenses (A22 + A23)]],AN_TME_PY[[#All],[Insurance Category Code]],3,AN_TME_PY[[#All],[Advanced Network/Insurance Carrier Org ID]],B63)/S63)</f>
        <v>NA</v>
      </c>
      <c r="AH63" s="419" t="str">
        <f t="shared" si="90"/>
        <v>NA</v>
      </c>
      <c r="AI63" s="420" t="str">
        <f t="shared" si="91"/>
        <v>NA</v>
      </c>
      <c r="AJ63" s="421" t="str">
        <f t="shared" si="92"/>
        <v>NA</v>
      </c>
      <c r="AK63" s="421" t="str">
        <f t="shared" si="93"/>
        <v>NA</v>
      </c>
      <c r="AL63" s="421" t="str">
        <f t="shared" si="94"/>
        <v>NA</v>
      </c>
      <c r="AM63" s="421" t="str">
        <f t="shared" si="95"/>
        <v>NA</v>
      </c>
      <c r="AN63" s="421" t="str">
        <f t="shared" si="96"/>
        <v>NA</v>
      </c>
      <c r="AO63" s="421" t="str">
        <f t="shared" si="97"/>
        <v>NA</v>
      </c>
      <c r="AP63" s="421" t="str">
        <f t="shared" si="98"/>
        <v>NA</v>
      </c>
      <c r="AQ63" s="421" t="str">
        <f t="shared" si="99"/>
        <v>NA</v>
      </c>
      <c r="AR63" s="422" t="str">
        <f t="shared" si="100"/>
        <v>NA</v>
      </c>
      <c r="AS63" s="422" t="str">
        <f t="shared" si="101"/>
        <v>NA</v>
      </c>
      <c r="AT63" s="422" t="str">
        <f t="shared" si="102"/>
        <v>NA</v>
      </c>
      <c r="AU63" s="422" t="str">
        <f t="shared" si="103"/>
        <v>NA</v>
      </c>
      <c r="AV63" s="423" t="str">
        <f t="shared" si="104"/>
        <v>NA</v>
      </c>
    </row>
    <row r="64" spans="1:48" ht="15" customHeight="1" x14ac:dyDescent="0.25">
      <c r="A64" s="146"/>
      <c r="B64" s="148">
        <v>116</v>
      </c>
      <c r="C64" s="151" t="str">
        <f>_xlfn.XLOOKUP(B64, LgProvEntOrgIDs[Advanced Network/Insurer Carrier Org ID], LgProvEntOrgIDs[Advanced Network/Insurance Carrier Overall])</f>
        <v>Community Health Services</v>
      </c>
      <c r="D64" s="448">
        <f>SUMIFS(AN_TME_BY[[#All],[Member Months]],AN_TME_BY[[#All],[Insurance Category Code]],3,AN_TME_BY[[#All],[Advanced Network/Insurance Carrier Org ID]],B64)</f>
        <v>0</v>
      </c>
      <c r="E64" s="137" t="str">
        <f>IF(D64=0,"NA",SUMIFS(AN_TME_BY[[#All],[Claims: Hospital Inpatient]],AN_TME_BY[[#All],[Insurance Category Code]],3,AN_TME_BY[[#All],[Advanced Network/Insurance Carrier Org ID]],B64)/D64)</f>
        <v>NA</v>
      </c>
      <c r="F64" s="108" t="str">
        <f>IF(D64=0,"NA",SUMIFS(AN_TME_BY[[#All],[Claims: Hospital Outpatient]],AN_TME_BY[[#All],[Insurance Category Code]],3,AN_TME_BY[[#All],[Advanced Network/Insurance Carrier Org ID]],B64)/D64)</f>
        <v>NA</v>
      </c>
      <c r="G64" s="108" t="str">
        <f>IF(D64=0,"NA",SUMIFS(AN_TME_BY[[#All],[Claims: Professional, Primary Care]],AN_TME_BY[[#All],[Insurance Category Code]],3,AN_TME_BY[[#All],[Advanced Network/Insurance Carrier Org ID]],B64)/D64)</f>
        <v>NA</v>
      </c>
      <c r="H64" s="108" t="str">
        <f>IF(D64=0,"NA",SUMIFS(AN_TME_BY[[#All],[Claims: Professional, Primary Care (for Monitoring Purposes)]],AN_TME_BY[[#All],[Insurance Category Code]],3,AN_TME_BY[[#All],[Advanced Network/Insurance Carrier Org ID]],B64)/D64)</f>
        <v>NA</v>
      </c>
      <c r="I64" s="108" t="str">
        <f>IF(D64=0,"NA",SUMIFS(AN_TME_BY[[#All],[Claims: Professional, Specialty]],AN_TME_BY[[#All],[Insurance Category Code]],3,AN_TME_BY[[#All],[Advanced Network/Insurance Carrier Org ID]],B64)/D64)</f>
        <v>NA</v>
      </c>
      <c r="J64" s="108" t="str">
        <f>IF(D64=0,"NA",SUMIFS(AN_TME_BY[[#All],[Claims: Professional Other]],AN_TME_BY[[#All],[Insurance Category Code]],3,AN_TME_BY[[#All],[Advanced Network/Insurance Carrier Org ID]],B64)/D64)</f>
        <v>NA</v>
      </c>
      <c r="K64" s="108" t="str">
        <f>IF(D64=0,"NA",SUMIFS(AN_TME_BY[[#All],[Claims: Pharmacy]],AN_TME_BY[[#All],[Insurance Category Code]],3,AN_TME_BY[[#All],[Advanced Network/Insurance Carrier Org ID]],B64)/D64)</f>
        <v>NA</v>
      </c>
      <c r="L64" s="108" t="str">
        <f>IF(D64=0,"NA",SUMIFS(AN_TME_BY[[#All],[Claims: Long-Term Care]],AN_TME_BY[[#All],[Insurance Category Code]],3,AN_TME_BY[[#All],[Advanced Network/Insurance Carrier Org ID]],B64)/D64)</f>
        <v>NA</v>
      </c>
      <c r="M64" s="108" t="str">
        <f>IF(D64=0,"NA",SUMIFS(AN_TME_BY[[#All],[Claims: Other]],AN_TME_BY[[#All],[Insurance Category Code]],3,AN_TME_BY[[#All],[Advanced Network/Insurance Carrier Org ID]],B64)/D64)</f>
        <v>NA</v>
      </c>
      <c r="N64" s="147" t="str">
        <f>IF(D64=0,"NA",SUMIFS(AN_TME_BY[[#All],[TOTAL Non-Truncated Unadjusted Claims Expenses]],AN_TME_BY[[#All],[Insurance Category Code]],3,AN_TME_BY[[#All],[Advanced Network/Insurance Carrier Org ID]],B64)/D64)</f>
        <v>NA</v>
      </c>
      <c r="O64" s="147" t="str">
        <f>IF(D64=0,"NA",SUMIFS(AN_TME_BY[[#All],[TOTAL Truncated Unadjusted Claims Expenses (A21 -A19)]],AN_TME_BY[[#All],[Insurance Category Code]],3,AN_TME_BY[[#All],[Advanced Network/Insurance Carrier Org ID]],B64)/D64)</f>
        <v>NA</v>
      </c>
      <c r="P64" s="147" t="str">
        <f>IF(D64=0,"NA",SUMIFS(AN_TME_BY[[#All],[TOTAL Non-Claims Expenses]],AN_TME_BY[[#All],[Insurance Category Code]],3,AN_TME_BY[[#All],[Advanced Network/Insurance Carrier Org ID]],B64)/D64)</f>
        <v>NA</v>
      </c>
      <c r="Q64" s="147" t="str">
        <f>IF(D64=0,"NA",SUMIFS(AN_TME_BY[[#All],[TOTAL Non-Truncated Unadjusted Expenses (A21 + A23)]],AN_TME_BY[[#All],[Insurance Category Code]],3,AN_TME_BY[[#All],[Advanced Network/Insurance Carrier Org ID]],B64)/D64)</f>
        <v>NA</v>
      </c>
      <c r="R64" s="147" t="str">
        <f>IF(D64=0,"NA",SUMIFS(AN_TME_BY[[#All],[TOTAL Truncated Unadjusted Expenses (A22 + A23)]],AN_TME_BY[[#All],[Insurance Category Code]],3,AN_TME_BY[[#All],[Advanced Network/Insurance Carrier Org ID]],B64)/D64)</f>
        <v>NA</v>
      </c>
      <c r="S64" s="448">
        <f>SUMIFS(AN_TME_PY[[#All],[Member Months]],AN_TME_PY[[#All],[Insurance Category Code]],3,AN_TME_PY[[#All],[Advanced Network/Insurance Carrier Org ID]],B64)</f>
        <v>0</v>
      </c>
      <c r="T64" s="137" t="str">
        <f>IF(S64=0,"NA",SUMIFS(AN_TME_PY[[#All],[Claims: Hospital Inpatient]],AN_TME_PY[[#All],[Insurance Category Code]],3,AN_TME_PY[[#All],[Advanced Network/Insurance Carrier Org ID]],B64)/S64)</f>
        <v>NA</v>
      </c>
      <c r="U64" s="108" t="str">
        <f>IF(S64=0,"NA",SUMIFS(AN_TME_PY[[#All],[Claims: Hospital Outpatient]],AN_TME_PY[[#All],[Insurance Category Code]],3,AN_TME_PY[[#All],[Advanced Network/Insurance Carrier Org ID]],B64)/S64)</f>
        <v>NA</v>
      </c>
      <c r="V64" s="108" t="str">
        <f>IF(S64=0,"NA",SUMIFS(AN_TME_PY[[#All],[Claims: Professional, Primary Care]],AN_TME_PY[[#All],[Insurance Category Code]],3,AN_TME_PY[[#All],[Advanced Network/Insurance Carrier Org ID]],B64)/S64)</f>
        <v>NA</v>
      </c>
      <c r="W64" s="108" t="str">
        <f>IF(S64=0,"NA",SUMIFS(AN_TME_PY[[#All],[Claims: Professional, Primary Care (for Monitoring Purposes)]],AN_TME_PY[[#All],[Insurance Category Code]],3,AN_TME_PY[[#All],[Advanced Network/Insurance Carrier Org ID]],B64)/S64)</f>
        <v>NA</v>
      </c>
      <c r="X64" s="108" t="str">
        <f>IF(S64=0,"NA",SUMIFS(AN_TME_PY[[#All],[Claims: Professional, Specialty]],AN_TME_PY[[#All],[Insurance Category Code]],3,AN_TME_PY[[#All],[Advanced Network/Insurance Carrier Org ID]],B64)/S64)</f>
        <v>NA</v>
      </c>
      <c r="Y64" s="108" t="str">
        <f>IF(S64=0,"NA",SUMIFS(AN_TME_PY[[#All],[Claims: Professional Other]],AN_TME_PY[[#All],[Insurance Category Code]],3,AN_TME_PY[[#All],[Advanced Network/Insurance Carrier Org ID]],B64)/S64)</f>
        <v>NA</v>
      </c>
      <c r="Z64" s="108" t="str">
        <f>IF(S64=0,"NA",SUMIFS(AN_TME_PY[[#All],[Claims: Pharmacy]],AN_TME_PY[[#All],[Insurance Category Code]],3,AN_TME_PY[[#All],[Advanced Network/Insurance Carrier Org ID]],B64)/S64)</f>
        <v>NA</v>
      </c>
      <c r="AA64" s="108" t="str">
        <f>IF(S64=0,"NA",SUMIFS(AN_TME_PY[[#All],[Claims: Long-Term Care]],AN_TME_PY[[#All],[Insurance Category Code]],3,AN_TME_PY[[#All],[Advanced Network/Insurance Carrier Org ID]],B64)/S64)</f>
        <v>NA</v>
      </c>
      <c r="AB64" s="108" t="str">
        <f>IF(S64=0,"NA",SUMIFS(AN_TME_PY[[#All],[Claims: Other]],AN_TME_PY[[#All],[Insurance Category Code]],3,AN_TME_PY[[#All],[Advanced Network/Insurance Carrier Org ID]],B64)/S64)</f>
        <v>NA</v>
      </c>
      <c r="AC64" s="147" t="str">
        <f>IF(S64=0,"NA",SUMIFS(AN_TME_PY[[#All],[TOTAL Non-Truncated Unadjusted Claims Expenses]],AN_TME_PY[[#All],[Insurance Category Code]],3,AN_TME_PY[[#All],[Advanced Network/Insurance Carrier Org ID]],B64)/S64)</f>
        <v>NA</v>
      </c>
      <c r="AD64" s="147" t="str">
        <f>IF(S64=0,"NA",SUMIFS(AN_TME_PY[[#All],[TOTAL Truncated Unadjusted Claims Expenses (A21 -A19)]],AN_TME_PY[[#All],[Insurance Category Code]],3,AN_TME_PY[[#All],[Advanced Network/Insurance Carrier Org ID]],B64)/S64)</f>
        <v>NA</v>
      </c>
      <c r="AE64" s="147" t="str">
        <f>IF(S64=0,"NA",SUMIFS(AN_TME_PY[[#All],[TOTAL Non-Claims Expenses]],AN_TME_PY[[#All],[Insurance Category Code]],3,AN_TME_PY[[#All],[Advanced Network/Insurance Carrier Org ID]],B64)/S64)</f>
        <v>NA</v>
      </c>
      <c r="AF64" s="147" t="str">
        <f>IF(S64=0,"NA",SUMIFS(AN_TME_PY[[#All],[TOTAL Non-Truncated Unadjusted Expenses (A21 + A23)]],AN_TME_PY[[#All],[Insurance Category Code]],3,AN_TME_PY[[#All],[Advanced Network/Insurance Carrier Org ID]],B64)/S64)</f>
        <v>NA</v>
      </c>
      <c r="AG64" s="138" t="str">
        <f>IF(S64=0,"NA",SUMIFS(AN_TME_PY[[#All],[TOTAL Truncated Unadjusted Expenses (A22 + A23)]],AN_TME_PY[[#All],[Insurance Category Code]],3,AN_TME_PY[[#All],[Advanced Network/Insurance Carrier Org ID]],B64)/S64)</f>
        <v>NA</v>
      </c>
      <c r="AH64" s="419" t="str">
        <f t="shared" si="90"/>
        <v>NA</v>
      </c>
      <c r="AI64" s="420" t="str">
        <f t="shared" si="91"/>
        <v>NA</v>
      </c>
      <c r="AJ64" s="421" t="str">
        <f t="shared" si="92"/>
        <v>NA</v>
      </c>
      <c r="AK64" s="421" t="str">
        <f t="shared" si="93"/>
        <v>NA</v>
      </c>
      <c r="AL64" s="421" t="str">
        <f t="shared" si="94"/>
        <v>NA</v>
      </c>
      <c r="AM64" s="421" t="str">
        <f t="shared" si="95"/>
        <v>NA</v>
      </c>
      <c r="AN64" s="421" t="str">
        <f t="shared" si="96"/>
        <v>NA</v>
      </c>
      <c r="AO64" s="421" t="str">
        <f t="shared" si="97"/>
        <v>NA</v>
      </c>
      <c r="AP64" s="421" t="str">
        <f t="shared" si="98"/>
        <v>NA</v>
      </c>
      <c r="AQ64" s="421" t="str">
        <f t="shared" si="99"/>
        <v>NA</v>
      </c>
      <c r="AR64" s="422" t="str">
        <f t="shared" si="100"/>
        <v>NA</v>
      </c>
      <c r="AS64" s="422" t="str">
        <f t="shared" si="101"/>
        <v>NA</v>
      </c>
      <c r="AT64" s="422" t="str">
        <f t="shared" si="102"/>
        <v>NA</v>
      </c>
      <c r="AU64" s="422" t="str">
        <f t="shared" si="103"/>
        <v>NA</v>
      </c>
      <c r="AV64" s="423" t="str">
        <f t="shared" si="104"/>
        <v>NA</v>
      </c>
    </row>
    <row r="65" spans="1:48" ht="15" customHeight="1" x14ac:dyDescent="0.25">
      <c r="A65" s="146"/>
      <c r="B65" s="148">
        <v>117</v>
      </c>
      <c r="C65" s="151" t="str">
        <f>_xlfn.XLOOKUP(B65, LgProvEntOrgIDs[Advanced Network/Insurer Carrier Org ID], LgProvEntOrgIDs[Advanced Network/Insurance Carrier Overall])</f>
        <v>Cornell Scott Hill Health Center</v>
      </c>
      <c r="D65" s="448">
        <f>SUMIFS(AN_TME_BY[[#All],[Member Months]],AN_TME_BY[[#All],[Insurance Category Code]],3,AN_TME_BY[[#All],[Advanced Network/Insurance Carrier Org ID]],B65)</f>
        <v>0</v>
      </c>
      <c r="E65" s="137" t="str">
        <f>IF(D65=0,"NA",SUMIFS(AN_TME_BY[[#All],[Claims: Hospital Inpatient]],AN_TME_BY[[#All],[Insurance Category Code]],3,AN_TME_BY[[#All],[Advanced Network/Insurance Carrier Org ID]],B65)/D65)</f>
        <v>NA</v>
      </c>
      <c r="F65" s="108" t="str">
        <f>IF(D65=0,"NA",SUMIFS(AN_TME_BY[[#All],[Claims: Hospital Outpatient]],AN_TME_BY[[#All],[Insurance Category Code]],3,AN_TME_BY[[#All],[Advanced Network/Insurance Carrier Org ID]],B65)/D65)</f>
        <v>NA</v>
      </c>
      <c r="G65" s="108" t="str">
        <f>IF(D65=0,"NA",SUMIFS(AN_TME_BY[[#All],[Claims: Professional, Primary Care]],AN_TME_BY[[#All],[Insurance Category Code]],3,AN_TME_BY[[#All],[Advanced Network/Insurance Carrier Org ID]],B65)/D65)</f>
        <v>NA</v>
      </c>
      <c r="H65" s="108" t="str">
        <f>IF(D65=0,"NA",SUMIFS(AN_TME_BY[[#All],[Claims: Professional, Primary Care (for Monitoring Purposes)]],AN_TME_BY[[#All],[Insurance Category Code]],3,AN_TME_BY[[#All],[Advanced Network/Insurance Carrier Org ID]],B65)/D65)</f>
        <v>NA</v>
      </c>
      <c r="I65" s="108" t="str">
        <f>IF(D65=0,"NA",SUMIFS(AN_TME_BY[[#All],[Claims: Professional, Specialty]],AN_TME_BY[[#All],[Insurance Category Code]],3,AN_TME_BY[[#All],[Advanced Network/Insurance Carrier Org ID]],B65)/D65)</f>
        <v>NA</v>
      </c>
      <c r="J65" s="108" t="str">
        <f>IF(D65=0,"NA",SUMIFS(AN_TME_BY[[#All],[Claims: Professional Other]],AN_TME_BY[[#All],[Insurance Category Code]],3,AN_TME_BY[[#All],[Advanced Network/Insurance Carrier Org ID]],B65)/D65)</f>
        <v>NA</v>
      </c>
      <c r="K65" s="108" t="str">
        <f>IF(D65=0,"NA",SUMIFS(AN_TME_BY[[#All],[Claims: Pharmacy]],AN_TME_BY[[#All],[Insurance Category Code]],3,AN_TME_BY[[#All],[Advanced Network/Insurance Carrier Org ID]],B65)/D65)</f>
        <v>NA</v>
      </c>
      <c r="L65" s="108" t="str">
        <f>IF(D65=0,"NA",SUMIFS(AN_TME_BY[[#All],[Claims: Long-Term Care]],AN_TME_BY[[#All],[Insurance Category Code]],3,AN_TME_BY[[#All],[Advanced Network/Insurance Carrier Org ID]],B65)/D65)</f>
        <v>NA</v>
      </c>
      <c r="M65" s="108" t="str">
        <f>IF(D65=0,"NA",SUMIFS(AN_TME_BY[[#All],[Claims: Other]],AN_TME_BY[[#All],[Insurance Category Code]],3,AN_TME_BY[[#All],[Advanced Network/Insurance Carrier Org ID]],B65)/D65)</f>
        <v>NA</v>
      </c>
      <c r="N65" s="147" t="str">
        <f>IF(D65=0,"NA",SUMIFS(AN_TME_BY[[#All],[TOTAL Non-Truncated Unadjusted Claims Expenses]],AN_TME_BY[[#All],[Insurance Category Code]],3,AN_TME_BY[[#All],[Advanced Network/Insurance Carrier Org ID]],B65)/D65)</f>
        <v>NA</v>
      </c>
      <c r="O65" s="147" t="str">
        <f>IF(D65=0,"NA",SUMIFS(AN_TME_BY[[#All],[TOTAL Truncated Unadjusted Claims Expenses (A21 -A19)]],AN_TME_BY[[#All],[Insurance Category Code]],3,AN_TME_BY[[#All],[Advanced Network/Insurance Carrier Org ID]],B65)/D65)</f>
        <v>NA</v>
      </c>
      <c r="P65" s="147" t="str">
        <f>IF(D65=0,"NA",SUMIFS(AN_TME_BY[[#All],[TOTAL Non-Claims Expenses]],AN_TME_BY[[#All],[Insurance Category Code]],3,AN_TME_BY[[#All],[Advanced Network/Insurance Carrier Org ID]],B65)/D65)</f>
        <v>NA</v>
      </c>
      <c r="Q65" s="147" t="str">
        <f>IF(D65=0,"NA",SUMIFS(AN_TME_BY[[#All],[TOTAL Non-Truncated Unadjusted Expenses (A21 + A23)]],AN_TME_BY[[#All],[Insurance Category Code]],3,AN_TME_BY[[#All],[Advanced Network/Insurance Carrier Org ID]],B65)/D65)</f>
        <v>NA</v>
      </c>
      <c r="R65" s="147" t="str">
        <f>IF(D65=0,"NA",SUMIFS(AN_TME_BY[[#All],[TOTAL Truncated Unadjusted Expenses (A22 + A23)]],AN_TME_BY[[#All],[Insurance Category Code]],3,AN_TME_BY[[#All],[Advanced Network/Insurance Carrier Org ID]],B65)/D65)</f>
        <v>NA</v>
      </c>
      <c r="S65" s="448">
        <f>SUMIFS(AN_TME_PY[[#All],[Member Months]],AN_TME_PY[[#All],[Insurance Category Code]],3,AN_TME_PY[[#All],[Advanced Network/Insurance Carrier Org ID]],B65)</f>
        <v>0</v>
      </c>
      <c r="T65" s="137" t="str">
        <f>IF(S65=0,"NA",SUMIFS(AN_TME_PY[[#All],[Claims: Hospital Inpatient]],AN_TME_PY[[#All],[Insurance Category Code]],3,AN_TME_PY[[#All],[Advanced Network/Insurance Carrier Org ID]],B65)/S65)</f>
        <v>NA</v>
      </c>
      <c r="U65" s="108" t="str">
        <f>IF(S65=0,"NA",SUMIFS(AN_TME_PY[[#All],[Claims: Hospital Outpatient]],AN_TME_PY[[#All],[Insurance Category Code]],3,AN_TME_PY[[#All],[Advanced Network/Insurance Carrier Org ID]],B65)/S65)</f>
        <v>NA</v>
      </c>
      <c r="V65" s="108" t="str">
        <f>IF(S65=0,"NA",SUMIFS(AN_TME_PY[[#All],[Claims: Professional, Primary Care]],AN_TME_PY[[#All],[Insurance Category Code]],3,AN_TME_PY[[#All],[Advanced Network/Insurance Carrier Org ID]],B65)/S65)</f>
        <v>NA</v>
      </c>
      <c r="W65" s="108" t="str">
        <f>IF(S65=0,"NA",SUMIFS(AN_TME_PY[[#All],[Claims: Professional, Primary Care (for Monitoring Purposes)]],AN_TME_PY[[#All],[Insurance Category Code]],3,AN_TME_PY[[#All],[Advanced Network/Insurance Carrier Org ID]],B65)/S65)</f>
        <v>NA</v>
      </c>
      <c r="X65" s="108" t="str">
        <f>IF(S65=0,"NA",SUMIFS(AN_TME_PY[[#All],[Claims: Professional, Specialty]],AN_TME_PY[[#All],[Insurance Category Code]],3,AN_TME_PY[[#All],[Advanced Network/Insurance Carrier Org ID]],B65)/S65)</f>
        <v>NA</v>
      </c>
      <c r="Y65" s="108" t="str">
        <f>IF(S65=0,"NA",SUMIFS(AN_TME_PY[[#All],[Claims: Professional Other]],AN_TME_PY[[#All],[Insurance Category Code]],3,AN_TME_PY[[#All],[Advanced Network/Insurance Carrier Org ID]],B65)/S65)</f>
        <v>NA</v>
      </c>
      <c r="Z65" s="108" t="str">
        <f>IF(S65=0,"NA",SUMIFS(AN_TME_PY[[#All],[Claims: Pharmacy]],AN_TME_PY[[#All],[Insurance Category Code]],3,AN_TME_PY[[#All],[Advanced Network/Insurance Carrier Org ID]],B65)/S65)</f>
        <v>NA</v>
      </c>
      <c r="AA65" s="108" t="str">
        <f>IF(S65=0,"NA",SUMIFS(AN_TME_PY[[#All],[Claims: Long-Term Care]],AN_TME_PY[[#All],[Insurance Category Code]],3,AN_TME_PY[[#All],[Advanced Network/Insurance Carrier Org ID]],B65)/S65)</f>
        <v>NA</v>
      </c>
      <c r="AB65" s="108" t="str">
        <f>IF(S65=0,"NA",SUMIFS(AN_TME_PY[[#All],[Claims: Other]],AN_TME_PY[[#All],[Insurance Category Code]],3,AN_TME_PY[[#All],[Advanced Network/Insurance Carrier Org ID]],B65)/S65)</f>
        <v>NA</v>
      </c>
      <c r="AC65" s="147" t="str">
        <f>IF(S65=0,"NA",SUMIFS(AN_TME_PY[[#All],[TOTAL Non-Truncated Unadjusted Claims Expenses]],AN_TME_PY[[#All],[Insurance Category Code]],3,AN_TME_PY[[#All],[Advanced Network/Insurance Carrier Org ID]],B65)/S65)</f>
        <v>NA</v>
      </c>
      <c r="AD65" s="147" t="str">
        <f>IF(S65=0,"NA",SUMIFS(AN_TME_PY[[#All],[TOTAL Truncated Unadjusted Claims Expenses (A21 -A19)]],AN_TME_PY[[#All],[Insurance Category Code]],3,AN_TME_PY[[#All],[Advanced Network/Insurance Carrier Org ID]],B65)/S65)</f>
        <v>NA</v>
      </c>
      <c r="AE65" s="147" t="str">
        <f>IF(S65=0,"NA",SUMIFS(AN_TME_PY[[#All],[TOTAL Non-Claims Expenses]],AN_TME_PY[[#All],[Insurance Category Code]],3,AN_TME_PY[[#All],[Advanced Network/Insurance Carrier Org ID]],B65)/S65)</f>
        <v>NA</v>
      </c>
      <c r="AF65" s="147" t="str">
        <f>IF(S65=0,"NA",SUMIFS(AN_TME_PY[[#All],[TOTAL Non-Truncated Unadjusted Expenses (A21 + A23)]],AN_TME_PY[[#All],[Insurance Category Code]],3,AN_TME_PY[[#All],[Advanced Network/Insurance Carrier Org ID]],B65)/S65)</f>
        <v>NA</v>
      </c>
      <c r="AG65" s="138" t="str">
        <f>IF(S65=0,"NA",SUMIFS(AN_TME_PY[[#All],[TOTAL Truncated Unadjusted Expenses (A22 + A23)]],AN_TME_PY[[#All],[Insurance Category Code]],3,AN_TME_PY[[#All],[Advanced Network/Insurance Carrier Org ID]],B65)/S65)</f>
        <v>NA</v>
      </c>
      <c r="AH65" s="419" t="str">
        <f t="shared" si="90"/>
        <v>NA</v>
      </c>
      <c r="AI65" s="420" t="str">
        <f t="shared" si="91"/>
        <v>NA</v>
      </c>
      <c r="AJ65" s="421" t="str">
        <f t="shared" si="92"/>
        <v>NA</v>
      </c>
      <c r="AK65" s="421" t="str">
        <f t="shared" si="93"/>
        <v>NA</v>
      </c>
      <c r="AL65" s="421" t="str">
        <f t="shared" si="94"/>
        <v>NA</v>
      </c>
      <c r="AM65" s="421" t="str">
        <f t="shared" si="95"/>
        <v>NA</v>
      </c>
      <c r="AN65" s="421" t="str">
        <f t="shared" si="96"/>
        <v>NA</v>
      </c>
      <c r="AO65" s="421" t="str">
        <f t="shared" si="97"/>
        <v>NA</v>
      </c>
      <c r="AP65" s="421" t="str">
        <f t="shared" si="98"/>
        <v>NA</v>
      </c>
      <c r="AQ65" s="421" t="str">
        <f t="shared" si="99"/>
        <v>NA</v>
      </c>
      <c r="AR65" s="422" t="str">
        <f t="shared" si="100"/>
        <v>NA</v>
      </c>
      <c r="AS65" s="422" t="str">
        <f t="shared" si="101"/>
        <v>NA</v>
      </c>
      <c r="AT65" s="422" t="str">
        <f t="shared" si="102"/>
        <v>NA</v>
      </c>
      <c r="AU65" s="422" t="str">
        <f t="shared" si="103"/>
        <v>NA</v>
      </c>
      <c r="AV65" s="423" t="str">
        <f t="shared" si="104"/>
        <v>NA</v>
      </c>
    </row>
    <row r="66" spans="1:48" ht="15" customHeight="1" x14ac:dyDescent="0.25">
      <c r="A66" s="146"/>
      <c r="B66" s="148">
        <v>118</v>
      </c>
      <c r="C66" s="151" t="str">
        <f>_xlfn.XLOOKUP(B66, LgProvEntOrgIDs[Advanced Network/Insurer Carrier Org ID], LgProvEntOrgIDs[Advanced Network/Insurance Carrier Overall])</f>
        <v>Fair Haven Community Health Center</v>
      </c>
      <c r="D66" s="448">
        <f>SUMIFS(AN_TME_BY[[#All],[Member Months]],AN_TME_BY[[#All],[Insurance Category Code]],3,AN_TME_BY[[#All],[Advanced Network/Insurance Carrier Org ID]],B66)</f>
        <v>0</v>
      </c>
      <c r="E66" s="137" t="str">
        <f>IF(D66=0,"NA",SUMIFS(AN_TME_BY[[#All],[Claims: Hospital Inpatient]],AN_TME_BY[[#All],[Insurance Category Code]],3,AN_TME_BY[[#All],[Advanced Network/Insurance Carrier Org ID]],B66)/D66)</f>
        <v>NA</v>
      </c>
      <c r="F66" s="108" t="str">
        <f>IF(D66=0,"NA",SUMIFS(AN_TME_BY[[#All],[Claims: Hospital Outpatient]],AN_TME_BY[[#All],[Insurance Category Code]],3,AN_TME_BY[[#All],[Advanced Network/Insurance Carrier Org ID]],B66)/D66)</f>
        <v>NA</v>
      </c>
      <c r="G66" s="108" t="str">
        <f>IF(D66=0,"NA",SUMIFS(AN_TME_BY[[#All],[Claims: Professional, Primary Care]],AN_TME_BY[[#All],[Insurance Category Code]],3,AN_TME_BY[[#All],[Advanced Network/Insurance Carrier Org ID]],B66)/D66)</f>
        <v>NA</v>
      </c>
      <c r="H66" s="108" t="str">
        <f>IF(D66=0,"NA",SUMIFS(AN_TME_BY[[#All],[Claims: Professional, Primary Care (for Monitoring Purposes)]],AN_TME_BY[[#All],[Insurance Category Code]],3,AN_TME_BY[[#All],[Advanced Network/Insurance Carrier Org ID]],B66)/D66)</f>
        <v>NA</v>
      </c>
      <c r="I66" s="108" t="str">
        <f>IF(D66=0,"NA",SUMIFS(AN_TME_BY[[#All],[Claims: Professional, Specialty]],AN_TME_BY[[#All],[Insurance Category Code]],3,AN_TME_BY[[#All],[Advanced Network/Insurance Carrier Org ID]],B66)/D66)</f>
        <v>NA</v>
      </c>
      <c r="J66" s="108" t="str">
        <f>IF(D66=0,"NA",SUMIFS(AN_TME_BY[[#All],[Claims: Professional Other]],AN_TME_BY[[#All],[Insurance Category Code]],3,AN_TME_BY[[#All],[Advanced Network/Insurance Carrier Org ID]],B66)/D66)</f>
        <v>NA</v>
      </c>
      <c r="K66" s="108" t="str">
        <f>IF(D66=0,"NA",SUMIFS(AN_TME_BY[[#All],[Claims: Pharmacy]],AN_TME_BY[[#All],[Insurance Category Code]],3,AN_TME_BY[[#All],[Advanced Network/Insurance Carrier Org ID]],B66)/D66)</f>
        <v>NA</v>
      </c>
      <c r="L66" s="108" t="str">
        <f>IF(D66=0,"NA",SUMIFS(AN_TME_BY[[#All],[Claims: Long-Term Care]],AN_TME_BY[[#All],[Insurance Category Code]],3,AN_TME_BY[[#All],[Advanced Network/Insurance Carrier Org ID]],B66)/D66)</f>
        <v>NA</v>
      </c>
      <c r="M66" s="108" t="str">
        <f>IF(D66=0,"NA",SUMIFS(AN_TME_BY[[#All],[Claims: Other]],AN_TME_BY[[#All],[Insurance Category Code]],3,AN_TME_BY[[#All],[Advanced Network/Insurance Carrier Org ID]],B66)/D66)</f>
        <v>NA</v>
      </c>
      <c r="N66" s="147" t="str">
        <f>IF(D66=0,"NA",SUMIFS(AN_TME_BY[[#All],[TOTAL Non-Truncated Unadjusted Claims Expenses]],AN_TME_BY[[#All],[Insurance Category Code]],3,AN_TME_BY[[#All],[Advanced Network/Insurance Carrier Org ID]],B66)/D66)</f>
        <v>NA</v>
      </c>
      <c r="O66" s="147" t="str">
        <f>IF(D66=0,"NA",SUMIFS(AN_TME_BY[[#All],[TOTAL Truncated Unadjusted Claims Expenses (A21 -A19)]],AN_TME_BY[[#All],[Insurance Category Code]],3,AN_TME_BY[[#All],[Advanced Network/Insurance Carrier Org ID]],B66)/D66)</f>
        <v>NA</v>
      </c>
      <c r="P66" s="147" t="str">
        <f>IF(D66=0,"NA",SUMIFS(AN_TME_BY[[#All],[TOTAL Non-Claims Expenses]],AN_TME_BY[[#All],[Insurance Category Code]],3,AN_TME_BY[[#All],[Advanced Network/Insurance Carrier Org ID]],B66)/D66)</f>
        <v>NA</v>
      </c>
      <c r="Q66" s="147" t="str">
        <f>IF(D66=0,"NA",SUMIFS(AN_TME_BY[[#All],[TOTAL Non-Truncated Unadjusted Expenses (A21 + A23)]],AN_TME_BY[[#All],[Insurance Category Code]],3,AN_TME_BY[[#All],[Advanced Network/Insurance Carrier Org ID]],B66)/D66)</f>
        <v>NA</v>
      </c>
      <c r="R66" s="147" t="str">
        <f>IF(D66=0,"NA",SUMIFS(AN_TME_BY[[#All],[TOTAL Truncated Unadjusted Expenses (A22 + A23)]],AN_TME_BY[[#All],[Insurance Category Code]],3,AN_TME_BY[[#All],[Advanced Network/Insurance Carrier Org ID]],B66)/D66)</f>
        <v>NA</v>
      </c>
      <c r="S66" s="448">
        <f>SUMIFS(AN_TME_PY[[#All],[Member Months]],AN_TME_PY[[#All],[Insurance Category Code]],3,AN_TME_PY[[#All],[Advanced Network/Insurance Carrier Org ID]],B66)</f>
        <v>0</v>
      </c>
      <c r="T66" s="137" t="str">
        <f>IF(S66=0,"NA",SUMIFS(AN_TME_PY[[#All],[Claims: Hospital Inpatient]],AN_TME_PY[[#All],[Insurance Category Code]],3,AN_TME_PY[[#All],[Advanced Network/Insurance Carrier Org ID]],B66)/S66)</f>
        <v>NA</v>
      </c>
      <c r="U66" s="108" t="str">
        <f>IF(S66=0,"NA",SUMIFS(AN_TME_PY[[#All],[Claims: Hospital Outpatient]],AN_TME_PY[[#All],[Insurance Category Code]],3,AN_TME_PY[[#All],[Advanced Network/Insurance Carrier Org ID]],B66)/S66)</f>
        <v>NA</v>
      </c>
      <c r="V66" s="108" t="str">
        <f>IF(S66=0,"NA",SUMIFS(AN_TME_PY[[#All],[Claims: Professional, Primary Care]],AN_TME_PY[[#All],[Insurance Category Code]],3,AN_TME_PY[[#All],[Advanced Network/Insurance Carrier Org ID]],B66)/S66)</f>
        <v>NA</v>
      </c>
      <c r="W66" s="108" t="str">
        <f>IF(S66=0,"NA",SUMIFS(AN_TME_PY[[#All],[Claims: Professional, Primary Care (for Monitoring Purposes)]],AN_TME_PY[[#All],[Insurance Category Code]],3,AN_TME_PY[[#All],[Advanced Network/Insurance Carrier Org ID]],B66)/S66)</f>
        <v>NA</v>
      </c>
      <c r="X66" s="108" t="str">
        <f>IF(S66=0,"NA",SUMIFS(AN_TME_PY[[#All],[Claims: Professional, Specialty]],AN_TME_PY[[#All],[Insurance Category Code]],3,AN_TME_PY[[#All],[Advanced Network/Insurance Carrier Org ID]],B66)/S66)</f>
        <v>NA</v>
      </c>
      <c r="Y66" s="108" t="str">
        <f>IF(S66=0,"NA",SUMIFS(AN_TME_PY[[#All],[Claims: Professional Other]],AN_TME_PY[[#All],[Insurance Category Code]],3,AN_TME_PY[[#All],[Advanced Network/Insurance Carrier Org ID]],B66)/S66)</f>
        <v>NA</v>
      </c>
      <c r="Z66" s="108" t="str">
        <f>IF(S66=0,"NA",SUMIFS(AN_TME_PY[[#All],[Claims: Pharmacy]],AN_TME_PY[[#All],[Insurance Category Code]],3,AN_TME_PY[[#All],[Advanced Network/Insurance Carrier Org ID]],B66)/S66)</f>
        <v>NA</v>
      </c>
      <c r="AA66" s="108" t="str">
        <f>IF(S66=0,"NA",SUMIFS(AN_TME_PY[[#All],[Claims: Long-Term Care]],AN_TME_PY[[#All],[Insurance Category Code]],3,AN_TME_PY[[#All],[Advanced Network/Insurance Carrier Org ID]],B66)/S66)</f>
        <v>NA</v>
      </c>
      <c r="AB66" s="108" t="str">
        <f>IF(S66=0,"NA",SUMIFS(AN_TME_PY[[#All],[Claims: Other]],AN_TME_PY[[#All],[Insurance Category Code]],3,AN_TME_PY[[#All],[Advanced Network/Insurance Carrier Org ID]],B66)/S66)</f>
        <v>NA</v>
      </c>
      <c r="AC66" s="147" t="str">
        <f>IF(S66=0,"NA",SUMIFS(AN_TME_PY[[#All],[TOTAL Non-Truncated Unadjusted Claims Expenses]],AN_TME_PY[[#All],[Insurance Category Code]],3,AN_TME_PY[[#All],[Advanced Network/Insurance Carrier Org ID]],B66)/S66)</f>
        <v>NA</v>
      </c>
      <c r="AD66" s="147" t="str">
        <f>IF(S66=0,"NA",SUMIFS(AN_TME_PY[[#All],[TOTAL Truncated Unadjusted Claims Expenses (A21 -A19)]],AN_TME_PY[[#All],[Insurance Category Code]],3,AN_TME_PY[[#All],[Advanced Network/Insurance Carrier Org ID]],B66)/S66)</f>
        <v>NA</v>
      </c>
      <c r="AE66" s="147" t="str">
        <f>IF(S66=0,"NA",SUMIFS(AN_TME_PY[[#All],[TOTAL Non-Claims Expenses]],AN_TME_PY[[#All],[Insurance Category Code]],3,AN_TME_PY[[#All],[Advanced Network/Insurance Carrier Org ID]],B66)/S66)</f>
        <v>NA</v>
      </c>
      <c r="AF66" s="147" t="str">
        <f>IF(S66=0,"NA",SUMIFS(AN_TME_PY[[#All],[TOTAL Non-Truncated Unadjusted Expenses (A21 + A23)]],AN_TME_PY[[#All],[Insurance Category Code]],3,AN_TME_PY[[#All],[Advanced Network/Insurance Carrier Org ID]],B66)/S66)</f>
        <v>NA</v>
      </c>
      <c r="AG66" s="138" t="str">
        <f>IF(S66=0,"NA",SUMIFS(AN_TME_PY[[#All],[TOTAL Truncated Unadjusted Expenses (A22 + A23)]],AN_TME_PY[[#All],[Insurance Category Code]],3,AN_TME_PY[[#All],[Advanced Network/Insurance Carrier Org ID]],B66)/S66)</f>
        <v>NA</v>
      </c>
      <c r="AH66" s="419" t="str">
        <f t="shared" si="90"/>
        <v>NA</v>
      </c>
      <c r="AI66" s="420" t="str">
        <f t="shared" si="91"/>
        <v>NA</v>
      </c>
      <c r="AJ66" s="421" t="str">
        <f t="shared" si="92"/>
        <v>NA</v>
      </c>
      <c r="AK66" s="421" t="str">
        <f t="shared" si="93"/>
        <v>NA</v>
      </c>
      <c r="AL66" s="421" t="str">
        <f t="shared" si="94"/>
        <v>NA</v>
      </c>
      <c r="AM66" s="421" t="str">
        <f t="shared" si="95"/>
        <v>NA</v>
      </c>
      <c r="AN66" s="421" t="str">
        <f t="shared" si="96"/>
        <v>NA</v>
      </c>
      <c r="AO66" s="421" t="str">
        <f t="shared" si="97"/>
        <v>NA</v>
      </c>
      <c r="AP66" s="421" t="str">
        <f t="shared" si="98"/>
        <v>NA</v>
      </c>
      <c r="AQ66" s="421" t="str">
        <f t="shared" si="99"/>
        <v>NA</v>
      </c>
      <c r="AR66" s="422" t="str">
        <f t="shared" si="100"/>
        <v>NA</v>
      </c>
      <c r="AS66" s="422" t="str">
        <f t="shared" si="101"/>
        <v>NA</v>
      </c>
      <c r="AT66" s="422" t="str">
        <f t="shared" si="102"/>
        <v>NA</v>
      </c>
      <c r="AU66" s="422" t="str">
        <f t="shared" si="103"/>
        <v>NA</v>
      </c>
      <c r="AV66" s="423" t="str">
        <f t="shared" si="104"/>
        <v>NA</v>
      </c>
    </row>
    <row r="67" spans="1:48" ht="15" customHeight="1" x14ac:dyDescent="0.25">
      <c r="A67" s="146"/>
      <c r="B67" s="148">
        <v>119</v>
      </c>
      <c r="C67" s="151" t="str">
        <f>_xlfn.XLOOKUP(B67, LgProvEntOrgIDs[Advanced Network/Insurer Carrier Org ID], LgProvEntOrgIDs[Advanced Network/Insurance Carrier Overall])</f>
        <v>Family Centers</v>
      </c>
      <c r="D67" s="448">
        <f>SUMIFS(AN_TME_BY[[#All],[Member Months]],AN_TME_BY[[#All],[Insurance Category Code]],3,AN_TME_BY[[#All],[Advanced Network/Insurance Carrier Org ID]],B67)</f>
        <v>0</v>
      </c>
      <c r="E67" s="137" t="str">
        <f>IF(D67=0,"NA",SUMIFS(AN_TME_BY[[#All],[Claims: Hospital Inpatient]],AN_TME_BY[[#All],[Insurance Category Code]],3,AN_TME_BY[[#All],[Advanced Network/Insurance Carrier Org ID]],B67)/D67)</f>
        <v>NA</v>
      </c>
      <c r="F67" s="108" t="str">
        <f>IF(D67=0,"NA",SUMIFS(AN_TME_BY[[#All],[Claims: Hospital Outpatient]],AN_TME_BY[[#All],[Insurance Category Code]],3,AN_TME_BY[[#All],[Advanced Network/Insurance Carrier Org ID]],B67)/D67)</f>
        <v>NA</v>
      </c>
      <c r="G67" s="108" t="str">
        <f>IF(D67=0,"NA",SUMIFS(AN_TME_BY[[#All],[Claims: Professional, Primary Care]],AN_TME_BY[[#All],[Insurance Category Code]],3,AN_TME_BY[[#All],[Advanced Network/Insurance Carrier Org ID]],B67)/D67)</f>
        <v>NA</v>
      </c>
      <c r="H67" s="108" t="str">
        <f>IF(D67=0,"NA",SUMIFS(AN_TME_BY[[#All],[Claims: Professional, Primary Care (for Monitoring Purposes)]],AN_TME_BY[[#All],[Insurance Category Code]],3,AN_TME_BY[[#All],[Advanced Network/Insurance Carrier Org ID]],B67)/D67)</f>
        <v>NA</v>
      </c>
      <c r="I67" s="108" t="str">
        <f>IF(D67=0,"NA",SUMIFS(AN_TME_BY[[#All],[Claims: Professional, Specialty]],AN_TME_BY[[#All],[Insurance Category Code]],3,AN_TME_BY[[#All],[Advanced Network/Insurance Carrier Org ID]],B67)/D67)</f>
        <v>NA</v>
      </c>
      <c r="J67" s="108" t="str">
        <f>IF(D67=0,"NA",SUMIFS(AN_TME_BY[[#All],[Claims: Professional Other]],AN_TME_BY[[#All],[Insurance Category Code]],3,AN_TME_BY[[#All],[Advanced Network/Insurance Carrier Org ID]],B67)/D67)</f>
        <v>NA</v>
      </c>
      <c r="K67" s="108" t="str">
        <f>IF(D67=0,"NA",SUMIFS(AN_TME_BY[[#All],[Claims: Pharmacy]],AN_TME_BY[[#All],[Insurance Category Code]],3,AN_TME_BY[[#All],[Advanced Network/Insurance Carrier Org ID]],B67)/D67)</f>
        <v>NA</v>
      </c>
      <c r="L67" s="108" t="str">
        <f>IF(D67=0,"NA",SUMIFS(AN_TME_BY[[#All],[Claims: Long-Term Care]],AN_TME_BY[[#All],[Insurance Category Code]],3,AN_TME_BY[[#All],[Advanced Network/Insurance Carrier Org ID]],B67)/D67)</f>
        <v>NA</v>
      </c>
      <c r="M67" s="108" t="str">
        <f>IF(D67=0,"NA",SUMIFS(AN_TME_BY[[#All],[Claims: Other]],AN_TME_BY[[#All],[Insurance Category Code]],3,AN_TME_BY[[#All],[Advanced Network/Insurance Carrier Org ID]],B67)/D67)</f>
        <v>NA</v>
      </c>
      <c r="N67" s="147" t="str">
        <f>IF(D67=0,"NA",SUMIFS(AN_TME_BY[[#All],[TOTAL Non-Truncated Unadjusted Claims Expenses]],AN_TME_BY[[#All],[Insurance Category Code]],3,AN_TME_BY[[#All],[Advanced Network/Insurance Carrier Org ID]],B67)/D67)</f>
        <v>NA</v>
      </c>
      <c r="O67" s="147" t="str">
        <f>IF(D67=0,"NA",SUMIFS(AN_TME_BY[[#All],[TOTAL Truncated Unadjusted Claims Expenses (A21 -A19)]],AN_TME_BY[[#All],[Insurance Category Code]],3,AN_TME_BY[[#All],[Advanced Network/Insurance Carrier Org ID]],B67)/D67)</f>
        <v>NA</v>
      </c>
      <c r="P67" s="147" t="str">
        <f>IF(D67=0,"NA",SUMIFS(AN_TME_BY[[#All],[TOTAL Non-Claims Expenses]],AN_TME_BY[[#All],[Insurance Category Code]],3,AN_TME_BY[[#All],[Advanced Network/Insurance Carrier Org ID]],B67)/D67)</f>
        <v>NA</v>
      </c>
      <c r="Q67" s="147" t="str">
        <f>IF(D67=0,"NA",SUMIFS(AN_TME_BY[[#All],[TOTAL Non-Truncated Unadjusted Expenses (A21 + A23)]],AN_TME_BY[[#All],[Insurance Category Code]],3,AN_TME_BY[[#All],[Advanced Network/Insurance Carrier Org ID]],B67)/D67)</f>
        <v>NA</v>
      </c>
      <c r="R67" s="147" t="str">
        <f>IF(D67=0,"NA",SUMIFS(AN_TME_BY[[#All],[TOTAL Truncated Unadjusted Expenses (A22 + A23)]],AN_TME_BY[[#All],[Insurance Category Code]],3,AN_TME_BY[[#All],[Advanced Network/Insurance Carrier Org ID]],B67)/D67)</f>
        <v>NA</v>
      </c>
      <c r="S67" s="448">
        <f>SUMIFS(AN_TME_PY[[#All],[Member Months]],AN_TME_PY[[#All],[Insurance Category Code]],3,AN_TME_PY[[#All],[Advanced Network/Insurance Carrier Org ID]],B67)</f>
        <v>0</v>
      </c>
      <c r="T67" s="137" t="str">
        <f>IF(S67=0,"NA",SUMIFS(AN_TME_PY[[#All],[Claims: Hospital Inpatient]],AN_TME_PY[[#All],[Insurance Category Code]],3,AN_TME_PY[[#All],[Advanced Network/Insurance Carrier Org ID]],B67)/S67)</f>
        <v>NA</v>
      </c>
      <c r="U67" s="108" t="str">
        <f>IF(S67=0,"NA",SUMIFS(AN_TME_PY[[#All],[Claims: Hospital Outpatient]],AN_TME_PY[[#All],[Insurance Category Code]],3,AN_TME_PY[[#All],[Advanced Network/Insurance Carrier Org ID]],B67)/S67)</f>
        <v>NA</v>
      </c>
      <c r="V67" s="108" t="str">
        <f>IF(S67=0,"NA",SUMIFS(AN_TME_PY[[#All],[Claims: Professional, Primary Care]],AN_TME_PY[[#All],[Insurance Category Code]],3,AN_TME_PY[[#All],[Advanced Network/Insurance Carrier Org ID]],B67)/S67)</f>
        <v>NA</v>
      </c>
      <c r="W67" s="108" t="str">
        <f>IF(S67=0,"NA",SUMIFS(AN_TME_PY[[#All],[Claims: Professional, Primary Care (for Monitoring Purposes)]],AN_TME_PY[[#All],[Insurance Category Code]],3,AN_TME_PY[[#All],[Advanced Network/Insurance Carrier Org ID]],B67)/S67)</f>
        <v>NA</v>
      </c>
      <c r="X67" s="108" t="str">
        <f>IF(S67=0,"NA",SUMIFS(AN_TME_PY[[#All],[Claims: Professional, Specialty]],AN_TME_PY[[#All],[Insurance Category Code]],3,AN_TME_PY[[#All],[Advanced Network/Insurance Carrier Org ID]],B67)/S67)</f>
        <v>NA</v>
      </c>
      <c r="Y67" s="108" t="str">
        <f>IF(S67=0,"NA",SUMIFS(AN_TME_PY[[#All],[Claims: Professional Other]],AN_TME_PY[[#All],[Insurance Category Code]],3,AN_TME_PY[[#All],[Advanced Network/Insurance Carrier Org ID]],B67)/S67)</f>
        <v>NA</v>
      </c>
      <c r="Z67" s="108" t="str">
        <f>IF(S67=0,"NA",SUMIFS(AN_TME_PY[[#All],[Claims: Pharmacy]],AN_TME_PY[[#All],[Insurance Category Code]],3,AN_TME_PY[[#All],[Advanced Network/Insurance Carrier Org ID]],B67)/S67)</f>
        <v>NA</v>
      </c>
      <c r="AA67" s="108" t="str">
        <f>IF(S67=0,"NA",SUMIFS(AN_TME_PY[[#All],[Claims: Long-Term Care]],AN_TME_PY[[#All],[Insurance Category Code]],3,AN_TME_PY[[#All],[Advanced Network/Insurance Carrier Org ID]],B67)/S67)</f>
        <v>NA</v>
      </c>
      <c r="AB67" s="108" t="str">
        <f>IF(S67=0,"NA",SUMIFS(AN_TME_PY[[#All],[Claims: Other]],AN_TME_PY[[#All],[Insurance Category Code]],3,AN_TME_PY[[#All],[Advanced Network/Insurance Carrier Org ID]],B67)/S67)</f>
        <v>NA</v>
      </c>
      <c r="AC67" s="147" t="str">
        <f>IF(S67=0,"NA",SUMIFS(AN_TME_PY[[#All],[TOTAL Non-Truncated Unadjusted Claims Expenses]],AN_TME_PY[[#All],[Insurance Category Code]],3,AN_TME_PY[[#All],[Advanced Network/Insurance Carrier Org ID]],B67)/S67)</f>
        <v>NA</v>
      </c>
      <c r="AD67" s="147" t="str">
        <f>IF(S67=0,"NA",SUMIFS(AN_TME_PY[[#All],[TOTAL Truncated Unadjusted Claims Expenses (A21 -A19)]],AN_TME_PY[[#All],[Insurance Category Code]],3,AN_TME_PY[[#All],[Advanced Network/Insurance Carrier Org ID]],B67)/S67)</f>
        <v>NA</v>
      </c>
      <c r="AE67" s="147" t="str">
        <f>IF(S67=0,"NA",SUMIFS(AN_TME_PY[[#All],[TOTAL Non-Claims Expenses]],AN_TME_PY[[#All],[Insurance Category Code]],3,AN_TME_PY[[#All],[Advanced Network/Insurance Carrier Org ID]],B67)/S67)</f>
        <v>NA</v>
      </c>
      <c r="AF67" s="147" t="str">
        <f>IF(S67=0,"NA",SUMIFS(AN_TME_PY[[#All],[TOTAL Non-Truncated Unadjusted Expenses (A21 + A23)]],AN_TME_PY[[#All],[Insurance Category Code]],3,AN_TME_PY[[#All],[Advanced Network/Insurance Carrier Org ID]],B67)/S67)</f>
        <v>NA</v>
      </c>
      <c r="AG67" s="138" t="str">
        <f>IF(S67=0,"NA",SUMIFS(AN_TME_PY[[#All],[TOTAL Truncated Unadjusted Expenses (A22 + A23)]],AN_TME_PY[[#All],[Insurance Category Code]],3,AN_TME_PY[[#All],[Advanced Network/Insurance Carrier Org ID]],B67)/S67)</f>
        <v>NA</v>
      </c>
      <c r="AH67" s="419" t="str">
        <f t="shared" si="90"/>
        <v>NA</v>
      </c>
      <c r="AI67" s="420" t="str">
        <f t="shared" si="91"/>
        <v>NA</v>
      </c>
      <c r="AJ67" s="421" t="str">
        <f t="shared" si="92"/>
        <v>NA</v>
      </c>
      <c r="AK67" s="421" t="str">
        <f t="shared" si="93"/>
        <v>NA</v>
      </c>
      <c r="AL67" s="421" t="str">
        <f t="shared" si="94"/>
        <v>NA</v>
      </c>
      <c r="AM67" s="421" t="str">
        <f t="shared" si="95"/>
        <v>NA</v>
      </c>
      <c r="AN67" s="421" t="str">
        <f t="shared" si="96"/>
        <v>NA</v>
      </c>
      <c r="AO67" s="421" t="str">
        <f t="shared" si="97"/>
        <v>NA</v>
      </c>
      <c r="AP67" s="421" t="str">
        <f t="shared" si="98"/>
        <v>NA</v>
      </c>
      <c r="AQ67" s="421" t="str">
        <f t="shared" si="99"/>
        <v>NA</v>
      </c>
      <c r="AR67" s="422" t="str">
        <f t="shared" si="100"/>
        <v>NA</v>
      </c>
      <c r="AS67" s="422" t="str">
        <f t="shared" si="101"/>
        <v>NA</v>
      </c>
      <c r="AT67" s="422" t="str">
        <f t="shared" si="102"/>
        <v>NA</v>
      </c>
      <c r="AU67" s="422" t="str">
        <f t="shared" si="103"/>
        <v>NA</v>
      </c>
      <c r="AV67" s="423" t="str">
        <f t="shared" si="104"/>
        <v>NA</v>
      </c>
    </row>
    <row r="68" spans="1:48" ht="15" customHeight="1" x14ac:dyDescent="0.25">
      <c r="A68" s="146"/>
      <c r="B68" s="148">
        <v>120</v>
      </c>
      <c r="C68" s="151" t="str">
        <f>_xlfn.XLOOKUP(B68, LgProvEntOrgIDs[Advanced Network/Insurer Carrier Org ID], LgProvEntOrgIDs[Advanced Network/Insurance Carrier Overall])</f>
        <v>First Choice Community Health Centers</v>
      </c>
      <c r="D68" s="448">
        <f>SUMIFS(AN_TME_BY[[#All],[Member Months]],AN_TME_BY[[#All],[Insurance Category Code]],3,AN_TME_BY[[#All],[Advanced Network/Insurance Carrier Org ID]],B68)</f>
        <v>0</v>
      </c>
      <c r="E68" s="137" t="str">
        <f>IF(D68=0,"NA",SUMIFS(AN_TME_BY[[#All],[Claims: Hospital Inpatient]],AN_TME_BY[[#All],[Insurance Category Code]],3,AN_TME_BY[[#All],[Advanced Network/Insurance Carrier Org ID]],B68)/D68)</f>
        <v>NA</v>
      </c>
      <c r="F68" s="108" t="str">
        <f>IF(D68=0,"NA",SUMIFS(AN_TME_BY[[#All],[Claims: Hospital Outpatient]],AN_TME_BY[[#All],[Insurance Category Code]],3,AN_TME_BY[[#All],[Advanced Network/Insurance Carrier Org ID]],B68)/D68)</f>
        <v>NA</v>
      </c>
      <c r="G68" s="108" t="str">
        <f>IF(D68=0,"NA",SUMIFS(AN_TME_BY[[#All],[Claims: Professional, Primary Care]],AN_TME_BY[[#All],[Insurance Category Code]],3,AN_TME_BY[[#All],[Advanced Network/Insurance Carrier Org ID]],B68)/D68)</f>
        <v>NA</v>
      </c>
      <c r="H68" s="108" t="str">
        <f>IF(D68=0,"NA",SUMIFS(AN_TME_BY[[#All],[Claims: Professional, Primary Care (for Monitoring Purposes)]],AN_TME_BY[[#All],[Insurance Category Code]],3,AN_TME_BY[[#All],[Advanced Network/Insurance Carrier Org ID]],B68)/D68)</f>
        <v>NA</v>
      </c>
      <c r="I68" s="108" t="str">
        <f>IF(D68=0,"NA",SUMIFS(AN_TME_BY[[#All],[Claims: Professional, Specialty]],AN_TME_BY[[#All],[Insurance Category Code]],3,AN_TME_BY[[#All],[Advanced Network/Insurance Carrier Org ID]],B68)/D68)</f>
        <v>NA</v>
      </c>
      <c r="J68" s="108" t="str">
        <f>IF(D68=0,"NA",SUMIFS(AN_TME_BY[[#All],[Claims: Professional Other]],AN_TME_BY[[#All],[Insurance Category Code]],3,AN_TME_BY[[#All],[Advanced Network/Insurance Carrier Org ID]],B68)/D68)</f>
        <v>NA</v>
      </c>
      <c r="K68" s="108" t="str">
        <f>IF(D68=0,"NA",SUMIFS(AN_TME_BY[[#All],[Claims: Pharmacy]],AN_TME_BY[[#All],[Insurance Category Code]],3,AN_TME_BY[[#All],[Advanced Network/Insurance Carrier Org ID]],B68)/D68)</f>
        <v>NA</v>
      </c>
      <c r="L68" s="108" t="str">
        <f>IF(D68=0,"NA",SUMIFS(AN_TME_BY[[#All],[Claims: Long-Term Care]],AN_TME_BY[[#All],[Insurance Category Code]],3,AN_TME_BY[[#All],[Advanced Network/Insurance Carrier Org ID]],B68)/D68)</f>
        <v>NA</v>
      </c>
      <c r="M68" s="108" t="str">
        <f>IF(D68=0,"NA",SUMIFS(AN_TME_BY[[#All],[Claims: Other]],AN_TME_BY[[#All],[Insurance Category Code]],3,AN_TME_BY[[#All],[Advanced Network/Insurance Carrier Org ID]],B68)/D68)</f>
        <v>NA</v>
      </c>
      <c r="N68" s="147" t="str">
        <f>IF(D68=0,"NA",SUMIFS(AN_TME_BY[[#All],[TOTAL Non-Truncated Unadjusted Claims Expenses]],AN_TME_BY[[#All],[Insurance Category Code]],3,AN_TME_BY[[#All],[Advanced Network/Insurance Carrier Org ID]],B68)/D68)</f>
        <v>NA</v>
      </c>
      <c r="O68" s="147" t="str">
        <f>IF(D68=0,"NA",SUMIFS(AN_TME_BY[[#All],[TOTAL Truncated Unadjusted Claims Expenses (A21 -A19)]],AN_TME_BY[[#All],[Insurance Category Code]],3,AN_TME_BY[[#All],[Advanced Network/Insurance Carrier Org ID]],B68)/D68)</f>
        <v>NA</v>
      </c>
      <c r="P68" s="147" t="str">
        <f>IF(D68=0,"NA",SUMIFS(AN_TME_BY[[#All],[TOTAL Non-Claims Expenses]],AN_TME_BY[[#All],[Insurance Category Code]],3,AN_TME_BY[[#All],[Advanced Network/Insurance Carrier Org ID]],B68)/D68)</f>
        <v>NA</v>
      </c>
      <c r="Q68" s="147" t="str">
        <f>IF(D68=0,"NA",SUMIFS(AN_TME_BY[[#All],[TOTAL Non-Truncated Unadjusted Expenses (A21 + A23)]],AN_TME_BY[[#All],[Insurance Category Code]],3,AN_TME_BY[[#All],[Advanced Network/Insurance Carrier Org ID]],B68)/D68)</f>
        <v>NA</v>
      </c>
      <c r="R68" s="147" t="str">
        <f>IF(D68=0,"NA",SUMIFS(AN_TME_BY[[#All],[TOTAL Truncated Unadjusted Expenses (A22 + A23)]],AN_TME_BY[[#All],[Insurance Category Code]],3,AN_TME_BY[[#All],[Advanced Network/Insurance Carrier Org ID]],B68)/D68)</f>
        <v>NA</v>
      </c>
      <c r="S68" s="448">
        <f>SUMIFS(AN_TME_PY[[#All],[Member Months]],AN_TME_PY[[#All],[Insurance Category Code]],3,AN_TME_PY[[#All],[Advanced Network/Insurance Carrier Org ID]],B68)</f>
        <v>0</v>
      </c>
      <c r="T68" s="137" t="str">
        <f>IF(S68=0,"NA",SUMIFS(AN_TME_PY[[#All],[Claims: Hospital Inpatient]],AN_TME_PY[[#All],[Insurance Category Code]],3,AN_TME_PY[[#All],[Advanced Network/Insurance Carrier Org ID]],B68)/S68)</f>
        <v>NA</v>
      </c>
      <c r="U68" s="108" t="str">
        <f>IF(S68=0,"NA",SUMIFS(AN_TME_PY[[#All],[Claims: Hospital Outpatient]],AN_TME_PY[[#All],[Insurance Category Code]],3,AN_TME_PY[[#All],[Advanced Network/Insurance Carrier Org ID]],B68)/S68)</f>
        <v>NA</v>
      </c>
      <c r="V68" s="108" t="str">
        <f>IF(S68=0,"NA",SUMIFS(AN_TME_PY[[#All],[Claims: Professional, Primary Care]],AN_TME_PY[[#All],[Insurance Category Code]],3,AN_TME_PY[[#All],[Advanced Network/Insurance Carrier Org ID]],B68)/S68)</f>
        <v>NA</v>
      </c>
      <c r="W68" s="108" t="str">
        <f>IF(S68=0,"NA",SUMIFS(AN_TME_PY[[#All],[Claims: Professional, Primary Care (for Monitoring Purposes)]],AN_TME_PY[[#All],[Insurance Category Code]],3,AN_TME_PY[[#All],[Advanced Network/Insurance Carrier Org ID]],B68)/S68)</f>
        <v>NA</v>
      </c>
      <c r="X68" s="108" t="str">
        <f>IF(S68=0,"NA",SUMIFS(AN_TME_PY[[#All],[Claims: Professional, Specialty]],AN_TME_PY[[#All],[Insurance Category Code]],3,AN_TME_PY[[#All],[Advanced Network/Insurance Carrier Org ID]],B68)/S68)</f>
        <v>NA</v>
      </c>
      <c r="Y68" s="108" t="str">
        <f>IF(S68=0,"NA",SUMIFS(AN_TME_PY[[#All],[Claims: Professional Other]],AN_TME_PY[[#All],[Insurance Category Code]],3,AN_TME_PY[[#All],[Advanced Network/Insurance Carrier Org ID]],B68)/S68)</f>
        <v>NA</v>
      </c>
      <c r="Z68" s="108" t="str">
        <f>IF(S68=0,"NA",SUMIFS(AN_TME_PY[[#All],[Claims: Pharmacy]],AN_TME_PY[[#All],[Insurance Category Code]],3,AN_TME_PY[[#All],[Advanced Network/Insurance Carrier Org ID]],B68)/S68)</f>
        <v>NA</v>
      </c>
      <c r="AA68" s="108" t="str">
        <f>IF(S68=0,"NA",SUMIFS(AN_TME_PY[[#All],[Claims: Long-Term Care]],AN_TME_PY[[#All],[Insurance Category Code]],3,AN_TME_PY[[#All],[Advanced Network/Insurance Carrier Org ID]],B68)/S68)</f>
        <v>NA</v>
      </c>
      <c r="AB68" s="108" t="str">
        <f>IF(S68=0,"NA",SUMIFS(AN_TME_PY[[#All],[Claims: Other]],AN_TME_PY[[#All],[Insurance Category Code]],3,AN_TME_PY[[#All],[Advanced Network/Insurance Carrier Org ID]],B68)/S68)</f>
        <v>NA</v>
      </c>
      <c r="AC68" s="147" t="str">
        <f>IF(S68=0,"NA",SUMIFS(AN_TME_PY[[#All],[TOTAL Non-Truncated Unadjusted Claims Expenses]],AN_TME_PY[[#All],[Insurance Category Code]],3,AN_TME_PY[[#All],[Advanced Network/Insurance Carrier Org ID]],B68)/S68)</f>
        <v>NA</v>
      </c>
      <c r="AD68" s="147" t="str">
        <f>IF(S68=0,"NA",SUMIFS(AN_TME_PY[[#All],[TOTAL Truncated Unadjusted Claims Expenses (A21 -A19)]],AN_TME_PY[[#All],[Insurance Category Code]],3,AN_TME_PY[[#All],[Advanced Network/Insurance Carrier Org ID]],B68)/S68)</f>
        <v>NA</v>
      </c>
      <c r="AE68" s="147" t="str">
        <f>IF(S68=0,"NA",SUMIFS(AN_TME_PY[[#All],[TOTAL Non-Claims Expenses]],AN_TME_PY[[#All],[Insurance Category Code]],3,AN_TME_PY[[#All],[Advanced Network/Insurance Carrier Org ID]],B68)/S68)</f>
        <v>NA</v>
      </c>
      <c r="AF68" s="147" t="str">
        <f>IF(S68=0,"NA",SUMIFS(AN_TME_PY[[#All],[TOTAL Non-Truncated Unadjusted Expenses (A21 + A23)]],AN_TME_PY[[#All],[Insurance Category Code]],3,AN_TME_PY[[#All],[Advanced Network/Insurance Carrier Org ID]],B68)/S68)</f>
        <v>NA</v>
      </c>
      <c r="AG68" s="138" t="str">
        <f>IF(S68=0,"NA",SUMIFS(AN_TME_PY[[#All],[TOTAL Truncated Unadjusted Expenses (A22 + A23)]],AN_TME_PY[[#All],[Insurance Category Code]],3,AN_TME_PY[[#All],[Advanced Network/Insurance Carrier Org ID]],B68)/S68)</f>
        <v>NA</v>
      </c>
      <c r="AH68" s="419" t="str">
        <f t="shared" si="90"/>
        <v>NA</v>
      </c>
      <c r="AI68" s="420" t="str">
        <f t="shared" si="91"/>
        <v>NA</v>
      </c>
      <c r="AJ68" s="421" t="str">
        <f t="shared" si="92"/>
        <v>NA</v>
      </c>
      <c r="AK68" s="421" t="str">
        <f t="shared" si="93"/>
        <v>NA</v>
      </c>
      <c r="AL68" s="421" t="str">
        <f t="shared" si="94"/>
        <v>NA</v>
      </c>
      <c r="AM68" s="421" t="str">
        <f t="shared" si="95"/>
        <v>NA</v>
      </c>
      <c r="AN68" s="421" t="str">
        <f t="shared" si="96"/>
        <v>NA</v>
      </c>
      <c r="AO68" s="421" t="str">
        <f t="shared" si="97"/>
        <v>NA</v>
      </c>
      <c r="AP68" s="421" t="str">
        <f t="shared" si="98"/>
        <v>NA</v>
      </c>
      <c r="AQ68" s="421" t="str">
        <f t="shared" si="99"/>
        <v>NA</v>
      </c>
      <c r="AR68" s="422" t="str">
        <f t="shared" si="100"/>
        <v>NA</v>
      </c>
      <c r="AS68" s="422" t="str">
        <f t="shared" si="101"/>
        <v>NA</v>
      </c>
      <c r="AT68" s="422" t="str">
        <f t="shared" si="102"/>
        <v>NA</v>
      </c>
      <c r="AU68" s="422" t="str">
        <f t="shared" si="103"/>
        <v>NA</v>
      </c>
      <c r="AV68" s="423" t="str">
        <f t="shared" si="104"/>
        <v>NA</v>
      </c>
    </row>
    <row r="69" spans="1:48" ht="15" customHeight="1" x14ac:dyDescent="0.25">
      <c r="A69" s="146"/>
      <c r="B69" s="148">
        <v>121</v>
      </c>
      <c r="C69" s="151" t="str">
        <f>_xlfn.XLOOKUP(B69, LgProvEntOrgIDs[Advanced Network/Insurer Carrier Org ID], LgProvEntOrgIDs[Advanced Network/Insurance Carrier Overall])</f>
        <v>Generations Family Health Center</v>
      </c>
      <c r="D69" s="448">
        <f>SUMIFS(AN_TME_BY[[#All],[Member Months]],AN_TME_BY[[#All],[Insurance Category Code]],3,AN_TME_BY[[#All],[Advanced Network/Insurance Carrier Org ID]],B69)</f>
        <v>0</v>
      </c>
      <c r="E69" s="137" t="str">
        <f>IF(D69=0,"NA",SUMIFS(AN_TME_BY[[#All],[Claims: Hospital Inpatient]],AN_TME_BY[[#All],[Insurance Category Code]],3,AN_TME_BY[[#All],[Advanced Network/Insurance Carrier Org ID]],B69)/D69)</f>
        <v>NA</v>
      </c>
      <c r="F69" s="108" t="str">
        <f>IF(D69=0,"NA",SUMIFS(AN_TME_BY[[#All],[Claims: Hospital Outpatient]],AN_TME_BY[[#All],[Insurance Category Code]],3,AN_TME_BY[[#All],[Advanced Network/Insurance Carrier Org ID]],B69)/D69)</f>
        <v>NA</v>
      </c>
      <c r="G69" s="108" t="str">
        <f>IF(D69=0,"NA",SUMIFS(AN_TME_BY[[#All],[Claims: Professional, Primary Care]],AN_TME_BY[[#All],[Insurance Category Code]],3,AN_TME_BY[[#All],[Advanced Network/Insurance Carrier Org ID]],B69)/D69)</f>
        <v>NA</v>
      </c>
      <c r="H69" s="108" t="str">
        <f>IF(D69=0,"NA",SUMIFS(AN_TME_BY[[#All],[Claims: Professional, Primary Care (for Monitoring Purposes)]],AN_TME_BY[[#All],[Insurance Category Code]],3,AN_TME_BY[[#All],[Advanced Network/Insurance Carrier Org ID]],B69)/D69)</f>
        <v>NA</v>
      </c>
      <c r="I69" s="108" t="str">
        <f>IF(D69=0,"NA",SUMIFS(AN_TME_BY[[#All],[Claims: Professional, Specialty]],AN_TME_BY[[#All],[Insurance Category Code]],3,AN_TME_BY[[#All],[Advanced Network/Insurance Carrier Org ID]],B69)/D69)</f>
        <v>NA</v>
      </c>
      <c r="J69" s="108" t="str">
        <f>IF(D69=0,"NA",SUMIFS(AN_TME_BY[[#All],[Claims: Professional Other]],AN_TME_BY[[#All],[Insurance Category Code]],3,AN_TME_BY[[#All],[Advanced Network/Insurance Carrier Org ID]],B69)/D69)</f>
        <v>NA</v>
      </c>
      <c r="K69" s="108" t="str">
        <f>IF(D69=0,"NA",SUMIFS(AN_TME_BY[[#All],[Claims: Pharmacy]],AN_TME_BY[[#All],[Insurance Category Code]],3,AN_TME_BY[[#All],[Advanced Network/Insurance Carrier Org ID]],B69)/D69)</f>
        <v>NA</v>
      </c>
      <c r="L69" s="108" t="str">
        <f>IF(D69=0,"NA",SUMIFS(AN_TME_BY[[#All],[Claims: Long-Term Care]],AN_TME_BY[[#All],[Insurance Category Code]],3,AN_TME_BY[[#All],[Advanced Network/Insurance Carrier Org ID]],B69)/D69)</f>
        <v>NA</v>
      </c>
      <c r="M69" s="108" t="str">
        <f>IF(D69=0,"NA",SUMIFS(AN_TME_BY[[#All],[Claims: Other]],AN_TME_BY[[#All],[Insurance Category Code]],3,AN_TME_BY[[#All],[Advanced Network/Insurance Carrier Org ID]],B69)/D69)</f>
        <v>NA</v>
      </c>
      <c r="N69" s="147" t="str">
        <f>IF(D69=0,"NA",SUMIFS(AN_TME_BY[[#All],[TOTAL Non-Truncated Unadjusted Claims Expenses]],AN_TME_BY[[#All],[Insurance Category Code]],3,AN_TME_BY[[#All],[Advanced Network/Insurance Carrier Org ID]],B69)/D69)</f>
        <v>NA</v>
      </c>
      <c r="O69" s="147" t="str">
        <f>IF(D69=0,"NA",SUMIFS(AN_TME_BY[[#All],[TOTAL Truncated Unadjusted Claims Expenses (A21 -A19)]],AN_TME_BY[[#All],[Insurance Category Code]],3,AN_TME_BY[[#All],[Advanced Network/Insurance Carrier Org ID]],B69)/D69)</f>
        <v>NA</v>
      </c>
      <c r="P69" s="147" t="str">
        <f>IF(D69=0,"NA",SUMIFS(AN_TME_BY[[#All],[TOTAL Non-Claims Expenses]],AN_TME_BY[[#All],[Insurance Category Code]],3,AN_TME_BY[[#All],[Advanced Network/Insurance Carrier Org ID]],B69)/D69)</f>
        <v>NA</v>
      </c>
      <c r="Q69" s="147" t="str">
        <f>IF(D69=0,"NA",SUMIFS(AN_TME_BY[[#All],[TOTAL Non-Truncated Unadjusted Expenses (A21 + A23)]],AN_TME_BY[[#All],[Insurance Category Code]],3,AN_TME_BY[[#All],[Advanced Network/Insurance Carrier Org ID]],B69)/D69)</f>
        <v>NA</v>
      </c>
      <c r="R69" s="147" t="str">
        <f>IF(D69=0,"NA",SUMIFS(AN_TME_BY[[#All],[TOTAL Truncated Unadjusted Expenses (A22 + A23)]],AN_TME_BY[[#All],[Insurance Category Code]],3,AN_TME_BY[[#All],[Advanced Network/Insurance Carrier Org ID]],B69)/D69)</f>
        <v>NA</v>
      </c>
      <c r="S69" s="448">
        <f>SUMIFS(AN_TME_PY[[#All],[Member Months]],AN_TME_PY[[#All],[Insurance Category Code]],3,AN_TME_PY[[#All],[Advanced Network/Insurance Carrier Org ID]],B69)</f>
        <v>0</v>
      </c>
      <c r="T69" s="137" t="str">
        <f>IF(S69=0,"NA",SUMIFS(AN_TME_PY[[#All],[Claims: Hospital Inpatient]],AN_TME_PY[[#All],[Insurance Category Code]],3,AN_TME_PY[[#All],[Advanced Network/Insurance Carrier Org ID]],B69)/S69)</f>
        <v>NA</v>
      </c>
      <c r="U69" s="108" t="str">
        <f>IF(S69=0,"NA",SUMIFS(AN_TME_PY[[#All],[Claims: Hospital Outpatient]],AN_TME_PY[[#All],[Insurance Category Code]],3,AN_TME_PY[[#All],[Advanced Network/Insurance Carrier Org ID]],B69)/S69)</f>
        <v>NA</v>
      </c>
      <c r="V69" s="108" t="str">
        <f>IF(S69=0,"NA",SUMIFS(AN_TME_PY[[#All],[Claims: Professional, Primary Care]],AN_TME_PY[[#All],[Insurance Category Code]],3,AN_TME_PY[[#All],[Advanced Network/Insurance Carrier Org ID]],B69)/S69)</f>
        <v>NA</v>
      </c>
      <c r="W69" s="108" t="str">
        <f>IF(S69=0,"NA",SUMIFS(AN_TME_PY[[#All],[Claims: Professional, Primary Care (for Monitoring Purposes)]],AN_TME_PY[[#All],[Insurance Category Code]],3,AN_TME_PY[[#All],[Advanced Network/Insurance Carrier Org ID]],B69)/S69)</f>
        <v>NA</v>
      </c>
      <c r="X69" s="108" t="str">
        <f>IF(S69=0,"NA",SUMIFS(AN_TME_PY[[#All],[Claims: Professional, Specialty]],AN_TME_PY[[#All],[Insurance Category Code]],3,AN_TME_PY[[#All],[Advanced Network/Insurance Carrier Org ID]],B69)/S69)</f>
        <v>NA</v>
      </c>
      <c r="Y69" s="108" t="str">
        <f>IF(S69=0,"NA",SUMIFS(AN_TME_PY[[#All],[Claims: Professional Other]],AN_TME_PY[[#All],[Insurance Category Code]],3,AN_TME_PY[[#All],[Advanced Network/Insurance Carrier Org ID]],B69)/S69)</f>
        <v>NA</v>
      </c>
      <c r="Z69" s="108" t="str">
        <f>IF(S69=0,"NA",SUMIFS(AN_TME_PY[[#All],[Claims: Pharmacy]],AN_TME_PY[[#All],[Insurance Category Code]],3,AN_TME_PY[[#All],[Advanced Network/Insurance Carrier Org ID]],B69)/S69)</f>
        <v>NA</v>
      </c>
      <c r="AA69" s="108" t="str">
        <f>IF(S69=0,"NA",SUMIFS(AN_TME_PY[[#All],[Claims: Long-Term Care]],AN_TME_PY[[#All],[Insurance Category Code]],3,AN_TME_PY[[#All],[Advanced Network/Insurance Carrier Org ID]],B69)/S69)</f>
        <v>NA</v>
      </c>
      <c r="AB69" s="108" t="str">
        <f>IF(S69=0,"NA",SUMIFS(AN_TME_PY[[#All],[Claims: Other]],AN_TME_PY[[#All],[Insurance Category Code]],3,AN_TME_PY[[#All],[Advanced Network/Insurance Carrier Org ID]],B69)/S69)</f>
        <v>NA</v>
      </c>
      <c r="AC69" s="147" t="str">
        <f>IF(S69=0,"NA",SUMIFS(AN_TME_PY[[#All],[TOTAL Non-Truncated Unadjusted Claims Expenses]],AN_TME_PY[[#All],[Insurance Category Code]],3,AN_TME_PY[[#All],[Advanced Network/Insurance Carrier Org ID]],B69)/S69)</f>
        <v>NA</v>
      </c>
      <c r="AD69" s="147" t="str">
        <f>IF(S69=0,"NA",SUMIFS(AN_TME_PY[[#All],[TOTAL Truncated Unadjusted Claims Expenses (A21 -A19)]],AN_TME_PY[[#All],[Insurance Category Code]],3,AN_TME_PY[[#All],[Advanced Network/Insurance Carrier Org ID]],B69)/S69)</f>
        <v>NA</v>
      </c>
      <c r="AE69" s="147" t="str">
        <f>IF(S69=0,"NA",SUMIFS(AN_TME_PY[[#All],[TOTAL Non-Claims Expenses]],AN_TME_PY[[#All],[Insurance Category Code]],3,AN_TME_PY[[#All],[Advanced Network/Insurance Carrier Org ID]],B69)/S69)</f>
        <v>NA</v>
      </c>
      <c r="AF69" s="147" t="str">
        <f>IF(S69=0,"NA",SUMIFS(AN_TME_PY[[#All],[TOTAL Non-Truncated Unadjusted Expenses (A21 + A23)]],AN_TME_PY[[#All],[Insurance Category Code]],3,AN_TME_PY[[#All],[Advanced Network/Insurance Carrier Org ID]],B69)/S69)</f>
        <v>NA</v>
      </c>
      <c r="AG69" s="138" t="str">
        <f>IF(S69=0,"NA",SUMIFS(AN_TME_PY[[#All],[TOTAL Truncated Unadjusted Expenses (A22 + A23)]],AN_TME_PY[[#All],[Insurance Category Code]],3,AN_TME_PY[[#All],[Advanced Network/Insurance Carrier Org ID]],B69)/S69)</f>
        <v>NA</v>
      </c>
      <c r="AH69" s="419" t="str">
        <f t="shared" si="90"/>
        <v>NA</v>
      </c>
      <c r="AI69" s="420" t="str">
        <f t="shared" si="91"/>
        <v>NA</v>
      </c>
      <c r="AJ69" s="421" t="str">
        <f t="shared" si="92"/>
        <v>NA</v>
      </c>
      <c r="AK69" s="421" t="str">
        <f t="shared" si="93"/>
        <v>NA</v>
      </c>
      <c r="AL69" s="421" t="str">
        <f t="shared" si="94"/>
        <v>NA</v>
      </c>
      <c r="AM69" s="421" t="str">
        <f t="shared" si="95"/>
        <v>NA</v>
      </c>
      <c r="AN69" s="421" t="str">
        <f t="shared" si="96"/>
        <v>NA</v>
      </c>
      <c r="AO69" s="421" t="str">
        <f t="shared" si="97"/>
        <v>NA</v>
      </c>
      <c r="AP69" s="421" t="str">
        <f t="shared" si="98"/>
        <v>NA</v>
      </c>
      <c r="AQ69" s="421" t="str">
        <f t="shared" si="99"/>
        <v>NA</v>
      </c>
      <c r="AR69" s="422" t="str">
        <f t="shared" si="100"/>
        <v>NA</v>
      </c>
      <c r="AS69" s="422" t="str">
        <f t="shared" si="101"/>
        <v>NA</v>
      </c>
      <c r="AT69" s="422" t="str">
        <f t="shared" si="102"/>
        <v>NA</v>
      </c>
      <c r="AU69" s="422" t="str">
        <f t="shared" si="103"/>
        <v>NA</v>
      </c>
      <c r="AV69" s="423" t="str">
        <f t="shared" si="104"/>
        <v>NA</v>
      </c>
    </row>
    <row r="70" spans="1:48" ht="15" customHeight="1" x14ac:dyDescent="0.25">
      <c r="A70" s="146"/>
      <c r="B70" s="148">
        <v>122</v>
      </c>
      <c r="C70" s="151" t="str">
        <f>_xlfn.XLOOKUP(B70, LgProvEntOrgIDs[Advanced Network/Insurer Carrier Org ID], LgProvEntOrgIDs[Advanced Network/Insurance Carrier Overall])</f>
        <v>Norwalk Community Health Center</v>
      </c>
      <c r="D70" s="448">
        <f>SUMIFS(AN_TME_BY[[#All],[Member Months]],AN_TME_BY[[#All],[Insurance Category Code]],3,AN_TME_BY[[#All],[Advanced Network/Insurance Carrier Org ID]],B70)</f>
        <v>0</v>
      </c>
      <c r="E70" s="137" t="str">
        <f>IF(D70=0,"NA",SUMIFS(AN_TME_BY[[#All],[Claims: Hospital Inpatient]],AN_TME_BY[[#All],[Insurance Category Code]],3,AN_TME_BY[[#All],[Advanced Network/Insurance Carrier Org ID]],B70)/D70)</f>
        <v>NA</v>
      </c>
      <c r="F70" s="108" t="str">
        <f>IF(D70=0,"NA",SUMIFS(AN_TME_BY[[#All],[Claims: Hospital Outpatient]],AN_TME_BY[[#All],[Insurance Category Code]],3,AN_TME_BY[[#All],[Advanced Network/Insurance Carrier Org ID]],B70)/D70)</f>
        <v>NA</v>
      </c>
      <c r="G70" s="108" t="str">
        <f>IF(D70=0,"NA",SUMIFS(AN_TME_BY[[#All],[Claims: Professional, Primary Care]],AN_TME_BY[[#All],[Insurance Category Code]],3,AN_TME_BY[[#All],[Advanced Network/Insurance Carrier Org ID]],B70)/D70)</f>
        <v>NA</v>
      </c>
      <c r="H70" s="108" t="str">
        <f>IF(D70=0,"NA",SUMIFS(AN_TME_BY[[#All],[Claims: Professional, Primary Care (for Monitoring Purposes)]],AN_TME_BY[[#All],[Insurance Category Code]],3,AN_TME_BY[[#All],[Advanced Network/Insurance Carrier Org ID]],B70)/D70)</f>
        <v>NA</v>
      </c>
      <c r="I70" s="108" t="str">
        <f>IF(D70=0,"NA",SUMIFS(AN_TME_BY[[#All],[Claims: Professional, Specialty]],AN_TME_BY[[#All],[Insurance Category Code]],3,AN_TME_BY[[#All],[Advanced Network/Insurance Carrier Org ID]],B70)/D70)</f>
        <v>NA</v>
      </c>
      <c r="J70" s="108" t="str">
        <f>IF(D70=0,"NA",SUMIFS(AN_TME_BY[[#All],[Claims: Professional Other]],AN_TME_BY[[#All],[Insurance Category Code]],3,AN_TME_BY[[#All],[Advanced Network/Insurance Carrier Org ID]],B70)/D70)</f>
        <v>NA</v>
      </c>
      <c r="K70" s="108" t="str">
        <f>IF(D70=0,"NA",SUMIFS(AN_TME_BY[[#All],[Claims: Pharmacy]],AN_TME_BY[[#All],[Insurance Category Code]],3,AN_TME_BY[[#All],[Advanced Network/Insurance Carrier Org ID]],B70)/D70)</f>
        <v>NA</v>
      </c>
      <c r="L70" s="108" t="str">
        <f>IF(D70=0,"NA",SUMIFS(AN_TME_BY[[#All],[Claims: Long-Term Care]],AN_TME_BY[[#All],[Insurance Category Code]],3,AN_TME_BY[[#All],[Advanced Network/Insurance Carrier Org ID]],B70)/D70)</f>
        <v>NA</v>
      </c>
      <c r="M70" s="108" t="str">
        <f>IF(D70=0,"NA",SUMIFS(AN_TME_BY[[#All],[Claims: Other]],AN_TME_BY[[#All],[Insurance Category Code]],3,AN_TME_BY[[#All],[Advanced Network/Insurance Carrier Org ID]],B70)/D70)</f>
        <v>NA</v>
      </c>
      <c r="N70" s="147" t="str">
        <f>IF(D70=0,"NA",SUMIFS(AN_TME_BY[[#All],[TOTAL Non-Truncated Unadjusted Claims Expenses]],AN_TME_BY[[#All],[Insurance Category Code]],3,AN_TME_BY[[#All],[Advanced Network/Insurance Carrier Org ID]],B70)/D70)</f>
        <v>NA</v>
      </c>
      <c r="O70" s="147" t="str">
        <f>IF(D70=0,"NA",SUMIFS(AN_TME_BY[[#All],[TOTAL Truncated Unadjusted Claims Expenses (A21 -A19)]],AN_TME_BY[[#All],[Insurance Category Code]],3,AN_TME_BY[[#All],[Advanced Network/Insurance Carrier Org ID]],B70)/D70)</f>
        <v>NA</v>
      </c>
      <c r="P70" s="147" t="str">
        <f>IF(D70=0,"NA",SUMIFS(AN_TME_BY[[#All],[TOTAL Non-Claims Expenses]],AN_TME_BY[[#All],[Insurance Category Code]],3,AN_TME_BY[[#All],[Advanced Network/Insurance Carrier Org ID]],B70)/D70)</f>
        <v>NA</v>
      </c>
      <c r="Q70" s="147" t="str">
        <f>IF(D70=0,"NA",SUMIFS(AN_TME_BY[[#All],[TOTAL Non-Truncated Unadjusted Expenses (A21 + A23)]],AN_TME_BY[[#All],[Insurance Category Code]],3,AN_TME_BY[[#All],[Advanced Network/Insurance Carrier Org ID]],B70)/D70)</f>
        <v>NA</v>
      </c>
      <c r="R70" s="147" t="str">
        <f>IF(D70=0,"NA",SUMIFS(AN_TME_BY[[#All],[TOTAL Truncated Unadjusted Expenses (A22 + A23)]],AN_TME_BY[[#All],[Insurance Category Code]],3,AN_TME_BY[[#All],[Advanced Network/Insurance Carrier Org ID]],B70)/D70)</f>
        <v>NA</v>
      </c>
      <c r="S70" s="448">
        <f>SUMIFS(AN_TME_PY[[#All],[Member Months]],AN_TME_PY[[#All],[Insurance Category Code]],3,AN_TME_PY[[#All],[Advanced Network/Insurance Carrier Org ID]],B70)</f>
        <v>0</v>
      </c>
      <c r="T70" s="137" t="str">
        <f>IF(S70=0,"NA",SUMIFS(AN_TME_PY[[#All],[Claims: Hospital Inpatient]],AN_TME_PY[[#All],[Insurance Category Code]],3,AN_TME_PY[[#All],[Advanced Network/Insurance Carrier Org ID]],B70)/S70)</f>
        <v>NA</v>
      </c>
      <c r="U70" s="108" t="str">
        <f>IF(S70=0,"NA",SUMIFS(AN_TME_PY[[#All],[Claims: Hospital Outpatient]],AN_TME_PY[[#All],[Insurance Category Code]],3,AN_TME_PY[[#All],[Advanced Network/Insurance Carrier Org ID]],B70)/S70)</f>
        <v>NA</v>
      </c>
      <c r="V70" s="108" t="str">
        <f>IF(S70=0,"NA",SUMIFS(AN_TME_PY[[#All],[Claims: Professional, Primary Care]],AN_TME_PY[[#All],[Insurance Category Code]],3,AN_TME_PY[[#All],[Advanced Network/Insurance Carrier Org ID]],B70)/S70)</f>
        <v>NA</v>
      </c>
      <c r="W70" s="108" t="str">
        <f>IF(S70=0,"NA",SUMIFS(AN_TME_PY[[#All],[Claims: Professional, Primary Care (for Monitoring Purposes)]],AN_TME_PY[[#All],[Insurance Category Code]],3,AN_TME_PY[[#All],[Advanced Network/Insurance Carrier Org ID]],B70)/S70)</f>
        <v>NA</v>
      </c>
      <c r="X70" s="108" t="str">
        <f>IF(S70=0,"NA",SUMIFS(AN_TME_PY[[#All],[Claims: Professional, Specialty]],AN_TME_PY[[#All],[Insurance Category Code]],3,AN_TME_PY[[#All],[Advanced Network/Insurance Carrier Org ID]],B70)/S70)</f>
        <v>NA</v>
      </c>
      <c r="Y70" s="108" t="str">
        <f>IF(S70=0,"NA",SUMIFS(AN_TME_PY[[#All],[Claims: Professional Other]],AN_TME_PY[[#All],[Insurance Category Code]],3,AN_TME_PY[[#All],[Advanced Network/Insurance Carrier Org ID]],B70)/S70)</f>
        <v>NA</v>
      </c>
      <c r="Z70" s="108" t="str">
        <f>IF(S70=0,"NA",SUMIFS(AN_TME_PY[[#All],[Claims: Pharmacy]],AN_TME_PY[[#All],[Insurance Category Code]],3,AN_TME_PY[[#All],[Advanced Network/Insurance Carrier Org ID]],B70)/S70)</f>
        <v>NA</v>
      </c>
      <c r="AA70" s="108" t="str">
        <f>IF(S70=0,"NA",SUMIFS(AN_TME_PY[[#All],[Claims: Long-Term Care]],AN_TME_PY[[#All],[Insurance Category Code]],3,AN_TME_PY[[#All],[Advanced Network/Insurance Carrier Org ID]],B70)/S70)</f>
        <v>NA</v>
      </c>
      <c r="AB70" s="108" t="str">
        <f>IF(S70=0,"NA",SUMIFS(AN_TME_PY[[#All],[Claims: Other]],AN_TME_PY[[#All],[Insurance Category Code]],3,AN_TME_PY[[#All],[Advanced Network/Insurance Carrier Org ID]],B70)/S70)</f>
        <v>NA</v>
      </c>
      <c r="AC70" s="147" t="str">
        <f>IF(S70=0,"NA",SUMIFS(AN_TME_PY[[#All],[TOTAL Non-Truncated Unadjusted Claims Expenses]],AN_TME_PY[[#All],[Insurance Category Code]],3,AN_TME_PY[[#All],[Advanced Network/Insurance Carrier Org ID]],B70)/S70)</f>
        <v>NA</v>
      </c>
      <c r="AD70" s="147" t="str">
        <f>IF(S70=0,"NA",SUMIFS(AN_TME_PY[[#All],[TOTAL Truncated Unadjusted Claims Expenses (A21 -A19)]],AN_TME_PY[[#All],[Insurance Category Code]],3,AN_TME_PY[[#All],[Advanced Network/Insurance Carrier Org ID]],B70)/S70)</f>
        <v>NA</v>
      </c>
      <c r="AE70" s="147" t="str">
        <f>IF(S70=0,"NA",SUMIFS(AN_TME_PY[[#All],[TOTAL Non-Claims Expenses]],AN_TME_PY[[#All],[Insurance Category Code]],3,AN_TME_PY[[#All],[Advanced Network/Insurance Carrier Org ID]],B70)/S70)</f>
        <v>NA</v>
      </c>
      <c r="AF70" s="147" t="str">
        <f>IF(S70=0,"NA",SUMIFS(AN_TME_PY[[#All],[TOTAL Non-Truncated Unadjusted Expenses (A21 + A23)]],AN_TME_PY[[#All],[Insurance Category Code]],3,AN_TME_PY[[#All],[Advanced Network/Insurance Carrier Org ID]],B70)/S70)</f>
        <v>NA</v>
      </c>
      <c r="AG70" s="138" t="str">
        <f>IF(S70=0,"NA",SUMIFS(AN_TME_PY[[#All],[TOTAL Truncated Unadjusted Expenses (A22 + A23)]],AN_TME_PY[[#All],[Insurance Category Code]],3,AN_TME_PY[[#All],[Advanced Network/Insurance Carrier Org ID]],B70)/S70)</f>
        <v>NA</v>
      </c>
      <c r="AH70" s="419" t="str">
        <f t="shared" si="90"/>
        <v>NA</v>
      </c>
      <c r="AI70" s="420" t="str">
        <f t="shared" si="91"/>
        <v>NA</v>
      </c>
      <c r="AJ70" s="421" t="str">
        <f t="shared" si="92"/>
        <v>NA</v>
      </c>
      <c r="AK70" s="421" t="str">
        <f t="shared" si="93"/>
        <v>NA</v>
      </c>
      <c r="AL70" s="421" t="str">
        <f t="shared" si="94"/>
        <v>NA</v>
      </c>
      <c r="AM70" s="421" t="str">
        <f t="shared" si="95"/>
        <v>NA</v>
      </c>
      <c r="AN70" s="421" t="str">
        <f t="shared" si="96"/>
        <v>NA</v>
      </c>
      <c r="AO70" s="421" t="str">
        <f t="shared" si="97"/>
        <v>NA</v>
      </c>
      <c r="AP70" s="421" t="str">
        <f t="shared" si="98"/>
        <v>NA</v>
      </c>
      <c r="AQ70" s="421" t="str">
        <f t="shared" si="99"/>
        <v>NA</v>
      </c>
      <c r="AR70" s="422" t="str">
        <f t="shared" si="100"/>
        <v>NA</v>
      </c>
      <c r="AS70" s="422" t="str">
        <f t="shared" si="101"/>
        <v>NA</v>
      </c>
      <c r="AT70" s="422" t="str">
        <f t="shared" si="102"/>
        <v>NA</v>
      </c>
      <c r="AU70" s="422" t="str">
        <f t="shared" si="103"/>
        <v>NA</v>
      </c>
      <c r="AV70" s="423" t="str">
        <f t="shared" si="104"/>
        <v>NA</v>
      </c>
    </row>
    <row r="71" spans="1:48" ht="15" customHeight="1" x14ac:dyDescent="0.25">
      <c r="A71" s="146"/>
      <c r="B71" s="148">
        <v>123</v>
      </c>
      <c r="C71" s="151" t="str">
        <f>_xlfn.XLOOKUP(B71, LgProvEntOrgIDs[Advanced Network/Insurer Carrier Org ID], LgProvEntOrgIDs[Advanced Network/Insurance Carrier Overall])</f>
        <v>Optimus Health Care, Inc.</v>
      </c>
      <c r="D71" s="448">
        <f>SUMIFS(AN_TME_BY[[#All],[Member Months]],AN_TME_BY[[#All],[Insurance Category Code]],3,AN_TME_BY[[#All],[Advanced Network/Insurance Carrier Org ID]],B71)</f>
        <v>0</v>
      </c>
      <c r="E71" s="137" t="str">
        <f>IF(D71=0,"NA",SUMIFS(AN_TME_BY[[#All],[Claims: Hospital Inpatient]],AN_TME_BY[[#All],[Insurance Category Code]],3,AN_TME_BY[[#All],[Advanced Network/Insurance Carrier Org ID]],B71)/D71)</f>
        <v>NA</v>
      </c>
      <c r="F71" s="108" t="str">
        <f>IF(D71=0,"NA",SUMIFS(AN_TME_BY[[#All],[Claims: Hospital Outpatient]],AN_TME_BY[[#All],[Insurance Category Code]],3,AN_TME_BY[[#All],[Advanced Network/Insurance Carrier Org ID]],B71)/D71)</f>
        <v>NA</v>
      </c>
      <c r="G71" s="108" t="str">
        <f>IF(D71=0,"NA",SUMIFS(AN_TME_BY[[#All],[Claims: Professional, Primary Care]],AN_TME_BY[[#All],[Insurance Category Code]],3,AN_TME_BY[[#All],[Advanced Network/Insurance Carrier Org ID]],B71)/D71)</f>
        <v>NA</v>
      </c>
      <c r="H71" s="108" t="str">
        <f>IF(D71=0,"NA",SUMIFS(AN_TME_BY[[#All],[Claims: Professional, Primary Care (for Monitoring Purposes)]],AN_TME_BY[[#All],[Insurance Category Code]],3,AN_TME_BY[[#All],[Advanced Network/Insurance Carrier Org ID]],B71)/D71)</f>
        <v>NA</v>
      </c>
      <c r="I71" s="108" t="str">
        <f>IF(D71=0,"NA",SUMIFS(AN_TME_BY[[#All],[Claims: Professional, Specialty]],AN_TME_BY[[#All],[Insurance Category Code]],3,AN_TME_BY[[#All],[Advanced Network/Insurance Carrier Org ID]],B71)/D71)</f>
        <v>NA</v>
      </c>
      <c r="J71" s="108" t="str">
        <f>IF(D71=0,"NA",SUMIFS(AN_TME_BY[[#All],[Claims: Professional Other]],AN_TME_BY[[#All],[Insurance Category Code]],3,AN_TME_BY[[#All],[Advanced Network/Insurance Carrier Org ID]],B71)/D71)</f>
        <v>NA</v>
      </c>
      <c r="K71" s="108" t="str">
        <f>IF(D71=0,"NA",SUMIFS(AN_TME_BY[[#All],[Claims: Pharmacy]],AN_TME_BY[[#All],[Insurance Category Code]],3,AN_TME_BY[[#All],[Advanced Network/Insurance Carrier Org ID]],B71)/D71)</f>
        <v>NA</v>
      </c>
      <c r="L71" s="108" t="str">
        <f>IF(D71=0,"NA",SUMIFS(AN_TME_BY[[#All],[Claims: Long-Term Care]],AN_TME_BY[[#All],[Insurance Category Code]],3,AN_TME_BY[[#All],[Advanced Network/Insurance Carrier Org ID]],B71)/D71)</f>
        <v>NA</v>
      </c>
      <c r="M71" s="108" t="str">
        <f>IF(D71=0,"NA",SUMIFS(AN_TME_BY[[#All],[Claims: Other]],AN_TME_BY[[#All],[Insurance Category Code]],3,AN_TME_BY[[#All],[Advanced Network/Insurance Carrier Org ID]],B71)/D71)</f>
        <v>NA</v>
      </c>
      <c r="N71" s="147" t="str">
        <f>IF(D71=0,"NA",SUMIFS(AN_TME_BY[[#All],[TOTAL Non-Truncated Unadjusted Claims Expenses]],AN_TME_BY[[#All],[Insurance Category Code]],3,AN_TME_BY[[#All],[Advanced Network/Insurance Carrier Org ID]],B71)/D71)</f>
        <v>NA</v>
      </c>
      <c r="O71" s="147" t="str">
        <f>IF(D71=0,"NA",SUMIFS(AN_TME_BY[[#All],[TOTAL Truncated Unadjusted Claims Expenses (A21 -A19)]],AN_TME_BY[[#All],[Insurance Category Code]],3,AN_TME_BY[[#All],[Advanced Network/Insurance Carrier Org ID]],B71)/D71)</f>
        <v>NA</v>
      </c>
      <c r="P71" s="147" t="str">
        <f>IF(D71=0,"NA",SUMIFS(AN_TME_BY[[#All],[TOTAL Non-Claims Expenses]],AN_TME_BY[[#All],[Insurance Category Code]],3,AN_TME_BY[[#All],[Advanced Network/Insurance Carrier Org ID]],B71)/D71)</f>
        <v>NA</v>
      </c>
      <c r="Q71" s="147" t="str">
        <f>IF(D71=0,"NA",SUMIFS(AN_TME_BY[[#All],[TOTAL Non-Truncated Unadjusted Expenses (A21 + A23)]],AN_TME_BY[[#All],[Insurance Category Code]],3,AN_TME_BY[[#All],[Advanced Network/Insurance Carrier Org ID]],B71)/D71)</f>
        <v>NA</v>
      </c>
      <c r="R71" s="147" t="str">
        <f>IF(D71=0,"NA",SUMIFS(AN_TME_BY[[#All],[TOTAL Truncated Unadjusted Expenses (A22 + A23)]],AN_TME_BY[[#All],[Insurance Category Code]],3,AN_TME_BY[[#All],[Advanced Network/Insurance Carrier Org ID]],B71)/D71)</f>
        <v>NA</v>
      </c>
      <c r="S71" s="448">
        <f>SUMIFS(AN_TME_PY[[#All],[Member Months]],AN_TME_PY[[#All],[Insurance Category Code]],3,AN_TME_PY[[#All],[Advanced Network/Insurance Carrier Org ID]],B71)</f>
        <v>0</v>
      </c>
      <c r="T71" s="137" t="str">
        <f>IF(S71=0,"NA",SUMIFS(AN_TME_PY[[#All],[Claims: Hospital Inpatient]],AN_TME_PY[[#All],[Insurance Category Code]],3,AN_TME_PY[[#All],[Advanced Network/Insurance Carrier Org ID]],B71)/S71)</f>
        <v>NA</v>
      </c>
      <c r="U71" s="108" t="str">
        <f>IF(S71=0,"NA",SUMIFS(AN_TME_PY[[#All],[Claims: Hospital Outpatient]],AN_TME_PY[[#All],[Insurance Category Code]],3,AN_TME_PY[[#All],[Advanced Network/Insurance Carrier Org ID]],B71)/S71)</f>
        <v>NA</v>
      </c>
      <c r="V71" s="108" t="str">
        <f>IF(S71=0,"NA",SUMIFS(AN_TME_PY[[#All],[Claims: Professional, Primary Care]],AN_TME_PY[[#All],[Insurance Category Code]],3,AN_TME_PY[[#All],[Advanced Network/Insurance Carrier Org ID]],B71)/S71)</f>
        <v>NA</v>
      </c>
      <c r="W71" s="108" t="str">
        <f>IF(S71=0,"NA",SUMIFS(AN_TME_PY[[#All],[Claims: Professional, Primary Care (for Monitoring Purposes)]],AN_TME_PY[[#All],[Insurance Category Code]],3,AN_TME_PY[[#All],[Advanced Network/Insurance Carrier Org ID]],B71)/S71)</f>
        <v>NA</v>
      </c>
      <c r="X71" s="108" t="str">
        <f>IF(S71=0,"NA",SUMIFS(AN_TME_PY[[#All],[Claims: Professional, Specialty]],AN_TME_PY[[#All],[Insurance Category Code]],3,AN_TME_PY[[#All],[Advanced Network/Insurance Carrier Org ID]],B71)/S71)</f>
        <v>NA</v>
      </c>
      <c r="Y71" s="108" t="str">
        <f>IF(S71=0,"NA",SUMIFS(AN_TME_PY[[#All],[Claims: Professional Other]],AN_TME_PY[[#All],[Insurance Category Code]],3,AN_TME_PY[[#All],[Advanced Network/Insurance Carrier Org ID]],B71)/S71)</f>
        <v>NA</v>
      </c>
      <c r="Z71" s="108" t="str">
        <f>IF(S71=0,"NA",SUMIFS(AN_TME_PY[[#All],[Claims: Pharmacy]],AN_TME_PY[[#All],[Insurance Category Code]],3,AN_TME_PY[[#All],[Advanced Network/Insurance Carrier Org ID]],B71)/S71)</f>
        <v>NA</v>
      </c>
      <c r="AA71" s="108" t="str">
        <f>IF(S71=0,"NA",SUMIFS(AN_TME_PY[[#All],[Claims: Long-Term Care]],AN_TME_PY[[#All],[Insurance Category Code]],3,AN_TME_PY[[#All],[Advanced Network/Insurance Carrier Org ID]],B71)/S71)</f>
        <v>NA</v>
      </c>
      <c r="AB71" s="108" t="str">
        <f>IF(S71=0,"NA",SUMIFS(AN_TME_PY[[#All],[Claims: Other]],AN_TME_PY[[#All],[Insurance Category Code]],3,AN_TME_PY[[#All],[Advanced Network/Insurance Carrier Org ID]],B71)/S71)</f>
        <v>NA</v>
      </c>
      <c r="AC71" s="147" t="str">
        <f>IF(S71=0,"NA",SUMIFS(AN_TME_PY[[#All],[TOTAL Non-Truncated Unadjusted Claims Expenses]],AN_TME_PY[[#All],[Insurance Category Code]],3,AN_TME_PY[[#All],[Advanced Network/Insurance Carrier Org ID]],B71)/S71)</f>
        <v>NA</v>
      </c>
      <c r="AD71" s="147" t="str">
        <f>IF(S71=0,"NA",SUMIFS(AN_TME_PY[[#All],[TOTAL Truncated Unadjusted Claims Expenses (A21 -A19)]],AN_TME_PY[[#All],[Insurance Category Code]],3,AN_TME_PY[[#All],[Advanced Network/Insurance Carrier Org ID]],B71)/S71)</f>
        <v>NA</v>
      </c>
      <c r="AE71" s="147" t="str">
        <f>IF(S71=0,"NA",SUMIFS(AN_TME_PY[[#All],[TOTAL Non-Claims Expenses]],AN_TME_PY[[#All],[Insurance Category Code]],3,AN_TME_PY[[#All],[Advanced Network/Insurance Carrier Org ID]],B71)/S71)</f>
        <v>NA</v>
      </c>
      <c r="AF71" s="147" t="str">
        <f>IF(S71=0,"NA",SUMIFS(AN_TME_PY[[#All],[TOTAL Non-Truncated Unadjusted Expenses (A21 + A23)]],AN_TME_PY[[#All],[Insurance Category Code]],3,AN_TME_PY[[#All],[Advanced Network/Insurance Carrier Org ID]],B71)/S71)</f>
        <v>NA</v>
      </c>
      <c r="AG71" s="138" t="str">
        <f>IF(S71=0,"NA",SUMIFS(AN_TME_PY[[#All],[TOTAL Truncated Unadjusted Expenses (A22 + A23)]],AN_TME_PY[[#All],[Insurance Category Code]],3,AN_TME_PY[[#All],[Advanced Network/Insurance Carrier Org ID]],B71)/S71)</f>
        <v>NA</v>
      </c>
      <c r="AH71" s="419" t="str">
        <f t="shared" si="90"/>
        <v>NA</v>
      </c>
      <c r="AI71" s="420" t="str">
        <f t="shared" si="91"/>
        <v>NA</v>
      </c>
      <c r="AJ71" s="421" t="str">
        <f t="shared" si="92"/>
        <v>NA</v>
      </c>
      <c r="AK71" s="421" t="str">
        <f t="shared" si="93"/>
        <v>NA</v>
      </c>
      <c r="AL71" s="421" t="str">
        <f t="shared" si="94"/>
        <v>NA</v>
      </c>
      <c r="AM71" s="421" t="str">
        <f t="shared" si="95"/>
        <v>NA</v>
      </c>
      <c r="AN71" s="421" t="str">
        <f t="shared" si="96"/>
        <v>NA</v>
      </c>
      <c r="AO71" s="421" t="str">
        <f t="shared" si="97"/>
        <v>NA</v>
      </c>
      <c r="AP71" s="421" t="str">
        <f t="shared" si="98"/>
        <v>NA</v>
      </c>
      <c r="AQ71" s="421" t="str">
        <f t="shared" si="99"/>
        <v>NA</v>
      </c>
      <c r="AR71" s="422" t="str">
        <f t="shared" si="100"/>
        <v>NA</v>
      </c>
      <c r="AS71" s="422" t="str">
        <f t="shared" si="101"/>
        <v>NA</v>
      </c>
      <c r="AT71" s="422" t="str">
        <f t="shared" si="102"/>
        <v>NA</v>
      </c>
      <c r="AU71" s="422" t="str">
        <f t="shared" si="103"/>
        <v>NA</v>
      </c>
      <c r="AV71" s="423" t="str">
        <f t="shared" si="104"/>
        <v>NA</v>
      </c>
    </row>
    <row r="72" spans="1:48" ht="15" customHeight="1" x14ac:dyDescent="0.25">
      <c r="A72" s="146"/>
      <c r="B72" s="148">
        <v>124</v>
      </c>
      <c r="C72" s="151" t="str">
        <f>_xlfn.XLOOKUP(B72, LgProvEntOrgIDs[Advanced Network/Insurer Carrier Org ID], LgProvEntOrgIDs[Advanced Network/Insurance Carrier Overall])</f>
        <v>Southwest Community Health Center, Inc.</v>
      </c>
      <c r="D72" s="448">
        <f>SUMIFS(AN_TME_BY[[#All],[Member Months]],AN_TME_BY[[#All],[Insurance Category Code]],3,AN_TME_BY[[#All],[Advanced Network/Insurance Carrier Org ID]],B72)</f>
        <v>0</v>
      </c>
      <c r="E72" s="137" t="str">
        <f>IF(D72=0,"NA",SUMIFS(AN_TME_BY[[#All],[Claims: Hospital Inpatient]],AN_TME_BY[[#All],[Insurance Category Code]],3,AN_TME_BY[[#All],[Advanced Network/Insurance Carrier Org ID]],B72)/D72)</f>
        <v>NA</v>
      </c>
      <c r="F72" s="108" t="str">
        <f>IF(D72=0,"NA",SUMIFS(AN_TME_BY[[#All],[Claims: Hospital Outpatient]],AN_TME_BY[[#All],[Insurance Category Code]],3,AN_TME_BY[[#All],[Advanced Network/Insurance Carrier Org ID]],B72)/D72)</f>
        <v>NA</v>
      </c>
      <c r="G72" s="108" t="str">
        <f>IF(D72=0,"NA",SUMIFS(AN_TME_BY[[#All],[Claims: Professional, Primary Care]],AN_TME_BY[[#All],[Insurance Category Code]],3,AN_TME_BY[[#All],[Advanced Network/Insurance Carrier Org ID]],B72)/D72)</f>
        <v>NA</v>
      </c>
      <c r="H72" s="108" t="str">
        <f>IF(D72=0,"NA",SUMIFS(AN_TME_BY[[#All],[Claims: Professional, Primary Care (for Monitoring Purposes)]],AN_TME_BY[[#All],[Insurance Category Code]],3,AN_TME_BY[[#All],[Advanced Network/Insurance Carrier Org ID]],B72)/D72)</f>
        <v>NA</v>
      </c>
      <c r="I72" s="108" t="str">
        <f>IF(D72=0,"NA",SUMIFS(AN_TME_BY[[#All],[Claims: Professional, Specialty]],AN_TME_BY[[#All],[Insurance Category Code]],3,AN_TME_BY[[#All],[Advanced Network/Insurance Carrier Org ID]],B72)/D72)</f>
        <v>NA</v>
      </c>
      <c r="J72" s="108" t="str">
        <f>IF(D72=0,"NA",SUMIFS(AN_TME_BY[[#All],[Claims: Professional Other]],AN_TME_BY[[#All],[Insurance Category Code]],3,AN_TME_BY[[#All],[Advanced Network/Insurance Carrier Org ID]],B72)/D72)</f>
        <v>NA</v>
      </c>
      <c r="K72" s="108" t="str">
        <f>IF(D72=0,"NA",SUMIFS(AN_TME_BY[[#All],[Claims: Pharmacy]],AN_TME_BY[[#All],[Insurance Category Code]],3,AN_TME_BY[[#All],[Advanced Network/Insurance Carrier Org ID]],B72)/D72)</f>
        <v>NA</v>
      </c>
      <c r="L72" s="108" t="str">
        <f>IF(D72=0,"NA",SUMIFS(AN_TME_BY[[#All],[Claims: Long-Term Care]],AN_TME_BY[[#All],[Insurance Category Code]],3,AN_TME_BY[[#All],[Advanced Network/Insurance Carrier Org ID]],B72)/D72)</f>
        <v>NA</v>
      </c>
      <c r="M72" s="108" t="str">
        <f>IF(D72=0,"NA",SUMIFS(AN_TME_BY[[#All],[Claims: Other]],AN_TME_BY[[#All],[Insurance Category Code]],3,AN_TME_BY[[#All],[Advanced Network/Insurance Carrier Org ID]],B72)/D72)</f>
        <v>NA</v>
      </c>
      <c r="N72" s="147" t="str">
        <f>IF(D72=0,"NA",SUMIFS(AN_TME_BY[[#All],[TOTAL Non-Truncated Unadjusted Claims Expenses]],AN_TME_BY[[#All],[Insurance Category Code]],3,AN_TME_BY[[#All],[Advanced Network/Insurance Carrier Org ID]],B72)/D72)</f>
        <v>NA</v>
      </c>
      <c r="O72" s="147" t="str">
        <f>IF(D72=0,"NA",SUMIFS(AN_TME_BY[[#All],[TOTAL Truncated Unadjusted Claims Expenses (A21 -A19)]],AN_TME_BY[[#All],[Insurance Category Code]],3,AN_TME_BY[[#All],[Advanced Network/Insurance Carrier Org ID]],B72)/D72)</f>
        <v>NA</v>
      </c>
      <c r="P72" s="147" t="str">
        <f>IF(D72=0,"NA",SUMIFS(AN_TME_BY[[#All],[TOTAL Non-Claims Expenses]],AN_TME_BY[[#All],[Insurance Category Code]],3,AN_TME_BY[[#All],[Advanced Network/Insurance Carrier Org ID]],B72)/D72)</f>
        <v>NA</v>
      </c>
      <c r="Q72" s="147" t="str">
        <f>IF(D72=0,"NA",SUMIFS(AN_TME_BY[[#All],[TOTAL Non-Truncated Unadjusted Expenses (A21 + A23)]],AN_TME_BY[[#All],[Insurance Category Code]],3,AN_TME_BY[[#All],[Advanced Network/Insurance Carrier Org ID]],B72)/D72)</f>
        <v>NA</v>
      </c>
      <c r="R72" s="147" t="str">
        <f>IF(D72=0,"NA",SUMIFS(AN_TME_BY[[#All],[TOTAL Truncated Unadjusted Expenses (A22 + A23)]],AN_TME_BY[[#All],[Insurance Category Code]],3,AN_TME_BY[[#All],[Advanced Network/Insurance Carrier Org ID]],B72)/D72)</f>
        <v>NA</v>
      </c>
      <c r="S72" s="448">
        <f>SUMIFS(AN_TME_PY[[#All],[Member Months]],AN_TME_PY[[#All],[Insurance Category Code]],3,AN_TME_PY[[#All],[Advanced Network/Insurance Carrier Org ID]],B72)</f>
        <v>0</v>
      </c>
      <c r="T72" s="137" t="str">
        <f>IF(S72=0,"NA",SUMIFS(AN_TME_PY[[#All],[Claims: Hospital Inpatient]],AN_TME_PY[[#All],[Insurance Category Code]],3,AN_TME_PY[[#All],[Advanced Network/Insurance Carrier Org ID]],B72)/S72)</f>
        <v>NA</v>
      </c>
      <c r="U72" s="108" t="str">
        <f>IF(S72=0,"NA",SUMIFS(AN_TME_PY[[#All],[Claims: Hospital Outpatient]],AN_TME_PY[[#All],[Insurance Category Code]],3,AN_TME_PY[[#All],[Advanced Network/Insurance Carrier Org ID]],B72)/S72)</f>
        <v>NA</v>
      </c>
      <c r="V72" s="108" t="str">
        <f>IF(S72=0,"NA",SUMIFS(AN_TME_PY[[#All],[Claims: Professional, Primary Care]],AN_TME_PY[[#All],[Insurance Category Code]],3,AN_TME_PY[[#All],[Advanced Network/Insurance Carrier Org ID]],B72)/S72)</f>
        <v>NA</v>
      </c>
      <c r="W72" s="108" t="str">
        <f>IF(S72=0,"NA",SUMIFS(AN_TME_PY[[#All],[Claims: Professional, Primary Care (for Monitoring Purposes)]],AN_TME_PY[[#All],[Insurance Category Code]],3,AN_TME_PY[[#All],[Advanced Network/Insurance Carrier Org ID]],B72)/S72)</f>
        <v>NA</v>
      </c>
      <c r="X72" s="108" t="str">
        <f>IF(S72=0,"NA",SUMIFS(AN_TME_PY[[#All],[Claims: Professional, Specialty]],AN_TME_PY[[#All],[Insurance Category Code]],3,AN_TME_PY[[#All],[Advanced Network/Insurance Carrier Org ID]],B72)/S72)</f>
        <v>NA</v>
      </c>
      <c r="Y72" s="108" t="str">
        <f>IF(S72=0,"NA",SUMIFS(AN_TME_PY[[#All],[Claims: Professional Other]],AN_TME_PY[[#All],[Insurance Category Code]],3,AN_TME_PY[[#All],[Advanced Network/Insurance Carrier Org ID]],B72)/S72)</f>
        <v>NA</v>
      </c>
      <c r="Z72" s="108" t="str">
        <f>IF(S72=0,"NA",SUMIFS(AN_TME_PY[[#All],[Claims: Pharmacy]],AN_TME_PY[[#All],[Insurance Category Code]],3,AN_TME_PY[[#All],[Advanced Network/Insurance Carrier Org ID]],B72)/S72)</f>
        <v>NA</v>
      </c>
      <c r="AA72" s="108" t="str">
        <f>IF(S72=0,"NA",SUMIFS(AN_TME_PY[[#All],[Claims: Long-Term Care]],AN_TME_PY[[#All],[Insurance Category Code]],3,AN_TME_PY[[#All],[Advanced Network/Insurance Carrier Org ID]],B72)/S72)</f>
        <v>NA</v>
      </c>
      <c r="AB72" s="108" t="str">
        <f>IF(S72=0,"NA",SUMIFS(AN_TME_PY[[#All],[Claims: Other]],AN_TME_PY[[#All],[Insurance Category Code]],3,AN_TME_PY[[#All],[Advanced Network/Insurance Carrier Org ID]],B72)/S72)</f>
        <v>NA</v>
      </c>
      <c r="AC72" s="147" t="str">
        <f>IF(S72=0,"NA",SUMIFS(AN_TME_PY[[#All],[TOTAL Non-Truncated Unadjusted Claims Expenses]],AN_TME_PY[[#All],[Insurance Category Code]],3,AN_TME_PY[[#All],[Advanced Network/Insurance Carrier Org ID]],B72)/S72)</f>
        <v>NA</v>
      </c>
      <c r="AD72" s="147" t="str">
        <f>IF(S72=0,"NA",SUMIFS(AN_TME_PY[[#All],[TOTAL Truncated Unadjusted Claims Expenses (A21 -A19)]],AN_TME_PY[[#All],[Insurance Category Code]],3,AN_TME_PY[[#All],[Advanced Network/Insurance Carrier Org ID]],B72)/S72)</f>
        <v>NA</v>
      </c>
      <c r="AE72" s="147" t="str">
        <f>IF(S72=0,"NA",SUMIFS(AN_TME_PY[[#All],[TOTAL Non-Claims Expenses]],AN_TME_PY[[#All],[Insurance Category Code]],3,AN_TME_PY[[#All],[Advanced Network/Insurance Carrier Org ID]],B72)/S72)</f>
        <v>NA</v>
      </c>
      <c r="AF72" s="147" t="str">
        <f>IF(S72=0,"NA",SUMIFS(AN_TME_PY[[#All],[TOTAL Non-Truncated Unadjusted Expenses (A21 + A23)]],AN_TME_PY[[#All],[Insurance Category Code]],3,AN_TME_PY[[#All],[Advanced Network/Insurance Carrier Org ID]],B72)/S72)</f>
        <v>NA</v>
      </c>
      <c r="AG72" s="138" t="str">
        <f>IF(S72=0,"NA",SUMIFS(AN_TME_PY[[#All],[TOTAL Truncated Unadjusted Expenses (A22 + A23)]],AN_TME_PY[[#All],[Insurance Category Code]],3,AN_TME_PY[[#All],[Advanced Network/Insurance Carrier Org ID]],B72)/S72)</f>
        <v>NA</v>
      </c>
      <c r="AH72" s="419" t="str">
        <f t="shared" si="90"/>
        <v>NA</v>
      </c>
      <c r="AI72" s="420" t="str">
        <f t="shared" si="91"/>
        <v>NA</v>
      </c>
      <c r="AJ72" s="421" t="str">
        <f t="shared" si="92"/>
        <v>NA</v>
      </c>
      <c r="AK72" s="421" t="str">
        <f t="shared" si="93"/>
        <v>NA</v>
      </c>
      <c r="AL72" s="421" t="str">
        <f t="shared" si="94"/>
        <v>NA</v>
      </c>
      <c r="AM72" s="421" t="str">
        <f t="shared" si="95"/>
        <v>NA</v>
      </c>
      <c r="AN72" s="421" t="str">
        <f t="shared" si="96"/>
        <v>NA</v>
      </c>
      <c r="AO72" s="421" t="str">
        <f t="shared" si="97"/>
        <v>NA</v>
      </c>
      <c r="AP72" s="421" t="str">
        <f t="shared" si="98"/>
        <v>NA</v>
      </c>
      <c r="AQ72" s="421" t="str">
        <f t="shared" si="99"/>
        <v>NA</v>
      </c>
      <c r="AR72" s="422" t="str">
        <f t="shared" si="100"/>
        <v>NA</v>
      </c>
      <c r="AS72" s="422" t="str">
        <f t="shared" si="101"/>
        <v>NA</v>
      </c>
      <c r="AT72" s="422" t="str">
        <f t="shared" si="102"/>
        <v>NA</v>
      </c>
      <c r="AU72" s="422" t="str">
        <f t="shared" si="103"/>
        <v>NA</v>
      </c>
      <c r="AV72" s="423" t="str">
        <f t="shared" si="104"/>
        <v>NA</v>
      </c>
    </row>
    <row r="73" spans="1:48" ht="15" customHeight="1" x14ac:dyDescent="0.25">
      <c r="A73" s="146"/>
      <c r="B73" s="148">
        <v>125</v>
      </c>
      <c r="C73" s="151" t="str">
        <f>_xlfn.XLOOKUP(B73, LgProvEntOrgIDs[Advanced Network/Insurer Carrier Org ID], LgProvEntOrgIDs[Advanced Network/Insurance Carrier Overall])</f>
        <v>Stamford Health Medical Group</v>
      </c>
      <c r="D73" s="448">
        <f>SUMIFS(AN_TME_BY[[#All],[Member Months]],AN_TME_BY[[#All],[Insurance Category Code]],3,AN_TME_BY[[#All],[Advanced Network/Insurance Carrier Org ID]],B73)</f>
        <v>0</v>
      </c>
      <c r="E73" s="137" t="str">
        <f>IF(D73=0,"NA",SUMIFS(AN_TME_BY[[#All],[Claims: Hospital Inpatient]],AN_TME_BY[[#All],[Insurance Category Code]],3,AN_TME_BY[[#All],[Advanced Network/Insurance Carrier Org ID]],B73)/D73)</f>
        <v>NA</v>
      </c>
      <c r="F73" s="108" t="str">
        <f>IF(D73=0,"NA",SUMIFS(AN_TME_BY[[#All],[Claims: Hospital Outpatient]],AN_TME_BY[[#All],[Insurance Category Code]],3,AN_TME_BY[[#All],[Advanced Network/Insurance Carrier Org ID]],B73)/D73)</f>
        <v>NA</v>
      </c>
      <c r="G73" s="108" t="str">
        <f>IF(D73=0,"NA",SUMIFS(AN_TME_BY[[#All],[Claims: Professional, Primary Care]],AN_TME_BY[[#All],[Insurance Category Code]],3,AN_TME_BY[[#All],[Advanced Network/Insurance Carrier Org ID]],B73)/D73)</f>
        <v>NA</v>
      </c>
      <c r="H73" s="108" t="str">
        <f>IF(D73=0,"NA",SUMIFS(AN_TME_BY[[#All],[Claims: Professional, Primary Care (for Monitoring Purposes)]],AN_TME_BY[[#All],[Insurance Category Code]],3,AN_TME_BY[[#All],[Advanced Network/Insurance Carrier Org ID]],B73)/D73)</f>
        <v>NA</v>
      </c>
      <c r="I73" s="108" t="str">
        <f>IF(D73=0,"NA",SUMIFS(AN_TME_BY[[#All],[Claims: Professional, Specialty]],AN_TME_BY[[#All],[Insurance Category Code]],3,AN_TME_BY[[#All],[Advanced Network/Insurance Carrier Org ID]],B73)/D73)</f>
        <v>NA</v>
      </c>
      <c r="J73" s="108" t="str">
        <f>IF(D73=0,"NA",SUMIFS(AN_TME_BY[[#All],[Claims: Professional Other]],AN_TME_BY[[#All],[Insurance Category Code]],3,AN_TME_BY[[#All],[Advanced Network/Insurance Carrier Org ID]],B73)/D73)</f>
        <v>NA</v>
      </c>
      <c r="K73" s="108" t="str">
        <f>IF(D73=0,"NA",SUMIFS(AN_TME_BY[[#All],[Claims: Pharmacy]],AN_TME_BY[[#All],[Insurance Category Code]],3,AN_TME_BY[[#All],[Advanced Network/Insurance Carrier Org ID]],B73)/D73)</f>
        <v>NA</v>
      </c>
      <c r="L73" s="108" t="str">
        <f>IF(D73=0,"NA",SUMIFS(AN_TME_BY[[#All],[Claims: Long-Term Care]],AN_TME_BY[[#All],[Insurance Category Code]],3,AN_TME_BY[[#All],[Advanced Network/Insurance Carrier Org ID]],B73)/D73)</f>
        <v>NA</v>
      </c>
      <c r="M73" s="108" t="str">
        <f>IF(D73=0,"NA",SUMIFS(AN_TME_BY[[#All],[Claims: Other]],AN_TME_BY[[#All],[Insurance Category Code]],3,AN_TME_BY[[#All],[Advanced Network/Insurance Carrier Org ID]],B73)/D73)</f>
        <v>NA</v>
      </c>
      <c r="N73" s="147" t="str">
        <f>IF(D73=0,"NA",SUMIFS(AN_TME_BY[[#All],[TOTAL Non-Truncated Unadjusted Claims Expenses]],AN_TME_BY[[#All],[Insurance Category Code]],3,AN_TME_BY[[#All],[Advanced Network/Insurance Carrier Org ID]],B73)/D73)</f>
        <v>NA</v>
      </c>
      <c r="O73" s="147" t="str">
        <f>IF(D73=0,"NA",SUMIFS(AN_TME_BY[[#All],[TOTAL Truncated Unadjusted Claims Expenses (A21 -A19)]],AN_TME_BY[[#All],[Insurance Category Code]],3,AN_TME_BY[[#All],[Advanced Network/Insurance Carrier Org ID]],B73)/D73)</f>
        <v>NA</v>
      </c>
      <c r="P73" s="147" t="str">
        <f>IF(D73=0,"NA",SUMIFS(AN_TME_BY[[#All],[TOTAL Non-Claims Expenses]],AN_TME_BY[[#All],[Insurance Category Code]],3,AN_TME_BY[[#All],[Advanced Network/Insurance Carrier Org ID]],B73)/D73)</f>
        <v>NA</v>
      </c>
      <c r="Q73" s="147" t="str">
        <f>IF(D73=0,"NA",SUMIFS(AN_TME_BY[[#All],[TOTAL Non-Truncated Unadjusted Expenses (A21 + A23)]],AN_TME_BY[[#All],[Insurance Category Code]],3,AN_TME_BY[[#All],[Advanced Network/Insurance Carrier Org ID]],B73)/D73)</f>
        <v>NA</v>
      </c>
      <c r="R73" s="147" t="str">
        <f>IF(D73=0,"NA",SUMIFS(AN_TME_BY[[#All],[TOTAL Truncated Unadjusted Expenses (A22 + A23)]],AN_TME_BY[[#All],[Insurance Category Code]],3,AN_TME_BY[[#All],[Advanced Network/Insurance Carrier Org ID]],B73)/D73)</f>
        <v>NA</v>
      </c>
      <c r="S73" s="448">
        <f>SUMIFS(AN_TME_PY[[#All],[Member Months]],AN_TME_PY[[#All],[Insurance Category Code]],3,AN_TME_PY[[#All],[Advanced Network/Insurance Carrier Org ID]],B73)</f>
        <v>0</v>
      </c>
      <c r="T73" s="137" t="str">
        <f>IF(S73=0,"NA",SUMIFS(AN_TME_PY[[#All],[Claims: Hospital Inpatient]],AN_TME_PY[[#All],[Insurance Category Code]],3,AN_TME_PY[[#All],[Advanced Network/Insurance Carrier Org ID]],B73)/S73)</f>
        <v>NA</v>
      </c>
      <c r="U73" s="108" t="str">
        <f>IF(S73=0,"NA",SUMIFS(AN_TME_PY[[#All],[Claims: Hospital Outpatient]],AN_TME_PY[[#All],[Insurance Category Code]],3,AN_TME_PY[[#All],[Advanced Network/Insurance Carrier Org ID]],B73)/S73)</f>
        <v>NA</v>
      </c>
      <c r="V73" s="108" t="str">
        <f>IF(S73=0,"NA",SUMIFS(AN_TME_PY[[#All],[Claims: Professional, Primary Care]],AN_TME_PY[[#All],[Insurance Category Code]],3,AN_TME_PY[[#All],[Advanced Network/Insurance Carrier Org ID]],B73)/S73)</f>
        <v>NA</v>
      </c>
      <c r="W73" s="108" t="str">
        <f>IF(S73=0,"NA",SUMIFS(AN_TME_PY[[#All],[Claims: Professional, Primary Care (for Monitoring Purposes)]],AN_TME_PY[[#All],[Insurance Category Code]],3,AN_TME_PY[[#All],[Advanced Network/Insurance Carrier Org ID]],B73)/S73)</f>
        <v>NA</v>
      </c>
      <c r="X73" s="108" t="str">
        <f>IF(S73=0,"NA",SUMIFS(AN_TME_PY[[#All],[Claims: Professional, Specialty]],AN_TME_PY[[#All],[Insurance Category Code]],3,AN_TME_PY[[#All],[Advanced Network/Insurance Carrier Org ID]],B73)/S73)</f>
        <v>NA</v>
      </c>
      <c r="Y73" s="108" t="str">
        <f>IF(S73=0,"NA",SUMIFS(AN_TME_PY[[#All],[Claims: Professional Other]],AN_TME_PY[[#All],[Insurance Category Code]],3,AN_TME_PY[[#All],[Advanced Network/Insurance Carrier Org ID]],B73)/S73)</f>
        <v>NA</v>
      </c>
      <c r="Z73" s="108" t="str">
        <f>IF(S73=0,"NA",SUMIFS(AN_TME_PY[[#All],[Claims: Pharmacy]],AN_TME_PY[[#All],[Insurance Category Code]],3,AN_TME_PY[[#All],[Advanced Network/Insurance Carrier Org ID]],B73)/S73)</f>
        <v>NA</v>
      </c>
      <c r="AA73" s="108" t="str">
        <f>IF(S73=0,"NA",SUMIFS(AN_TME_PY[[#All],[Claims: Long-Term Care]],AN_TME_PY[[#All],[Insurance Category Code]],3,AN_TME_PY[[#All],[Advanced Network/Insurance Carrier Org ID]],B73)/S73)</f>
        <v>NA</v>
      </c>
      <c r="AB73" s="108" t="str">
        <f>IF(S73=0,"NA",SUMIFS(AN_TME_PY[[#All],[Claims: Other]],AN_TME_PY[[#All],[Insurance Category Code]],3,AN_TME_PY[[#All],[Advanced Network/Insurance Carrier Org ID]],B73)/S73)</f>
        <v>NA</v>
      </c>
      <c r="AC73" s="147" t="str">
        <f>IF(S73=0,"NA",SUMIFS(AN_TME_PY[[#All],[TOTAL Non-Truncated Unadjusted Claims Expenses]],AN_TME_PY[[#All],[Insurance Category Code]],3,AN_TME_PY[[#All],[Advanced Network/Insurance Carrier Org ID]],B73)/S73)</f>
        <v>NA</v>
      </c>
      <c r="AD73" s="147" t="str">
        <f>IF(S73=0,"NA",SUMIFS(AN_TME_PY[[#All],[TOTAL Truncated Unadjusted Claims Expenses (A21 -A19)]],AN_TME_PY[[#All],[Insurance Category Code]],3,AN_TME_PY[[#All],[Advanced Network/Insurance Carrier Org ID]],B73)/S73)</f>
        <v>NA</v>
      </c>
      <c r="AE73" s="147" t="str">
        <f>IF(S73=0,"NA",SUMIFS(AN_TME_PY[[#All],[TOTAL Non-Claims Expenses]],AN_TME_PY[[#All],[Insurance Category Code]],3,AN_TME_PY[[#All],[Advanced Network/Insurance Carrier Org ID]],B73)/S73)</f>
        <v>NA</v>
      </c>
      <c r="AF73" s="147" t="str">
        <f>IF(S73=0,"NA",SUMIFS(AN_TME_PY[[#All],[TOTAL Non-Truncated Unadjusted Expenses (A21 + A23)]],AN_TME_PY[[#All],[Insurance Category Code]],3,AN_TME_PY[[#All],[Advanced Network/Insurance Carrier Org ID]],B73)/S73)</f>
        <v>NA</v>
      </c>
      <c r="AG73" s="138" t="str">
        <f>IF(S73=0,"NA",SUMIFS(AN_TME_PY[[#All],[TOTAL Truncated Unadjusted Expenses (A22 + A23)]],AN_TME_PY[[#All],[Insurance Category Code]],3,AN_TME_PY[[#All],[Advanced Network/Insurance Carrier Org ID]],B73)/S73)</f>
        <v>NA</v>
      </c>
      <c r="AH73" s="419" t="str">
        <f t="shared" si="90"/>
        <v>NA</v>
      </c>
      <c r="AI73" s="420" t="str">
        <f t="shared" si="91"/>
        <v>NA</v>
      </c>
      <c r="AJ73" s="421" t="str">
        <f t="shared" si="92"/>
        <v>NA</v>
      </c>
      <c r="AK73" s="421" t="str">
        <f t="shared" si="93"/>
        <v>NA</v>
      </c>
      <c r="AL73" s="421" t="str">
        <f t="shared" si="94"/>
        <v>NA</v>
      </c>
      <c r="AM73" s="421" t="str">
        <f t="shared" si="95"/>
        <v>NA</v>
      </c>
      <c r="AN73" s="421" t="str">
        <f t="shared" si="96"/>
        <v>NA</v>
      </c>
      <c r="AO73" s="421" t="str">
        <f t="shared" si="97"/>
        <v>NA</v>
      </c>
      <c r="AP73" s="421" t="str">
        <f t="shared" si="98"/>
        <v>NA</v>
      </c>
      <c r="AQ73" s="421" t="str">
        <f t="shared" si="99"/>
        <v>NA</v>
      </c>
      <c r="AR73" s="422" t="str">
        <f t="shared" si="100"/>
        <v>NA</v>
      </c>
      <c r="AS73" s="422" t="str">
        <f t="shared" si="101"/>
        <v>NA</v>
      </c>
      <c r="AT73" s="422" t="str">
        <f t="shared" si="102"/>
        <v>NA</v>
      </c>
      <c r="AU73" s="422" t="str">
        <f t="shared" si="103"/>
        <v>NA</v>
      </c>
      <c r="AV73" s="423" t="str">
        <f t="shared" si="104"/>
        <v>NA</v>
      </c>
    </row>
    <row r="74" spans="1:48" ht="15" customHeight="1" x14ac:dyDescent="0.25">
      <c r="A74" s="146"/>
      <c r="B74" s="148">
        <v>126</v>
      </c>
      <c r="C74" s="151" t="str">
        <f>_xlfn.XLOOKUP(B74, LgProvEntOrgIDs[Advanced Network/Insurer Carrier Org ID], LgProvEntOrgIDs[Advanced Network/Insurance Carrier Overall])</f>
        <v>Starling Physicians</v>
      </c>
      <c r="D74" s="448">
        <f>SUMIFS(AN_TME_BY[[#All],[Member Months]],AN_TME_BY[[#All],[Insurance Category Code]],3,AN_TME_BY[[#All],[Advanced Network/Insurance Carrier Org ID]],B74)</f>
        <v>0</v>
      </c>
      <c r="E74" s="137" t="str">
        <f>IF(D74=0,"NA",SUMIFS(AN_TME_BY[[#All],[Claims: Hospital Inpatient]],AN_TME_BY[[#All],[Insurance Category Code]],3,AN_TME_BY[[#All],[Advanced Network/Insurance Carrier Org ID]],B74)/D74)</f>
        <v>NA</v>
      </c>
      <c r="F74" s="108" t="str">
        <f>IF(D74=0,"NA",SUMIFS(AN_TME_BY[[#All],[Claims: Hospital Outpatient]],AN_TME_BY[[#All],[Insurance Category Code]],3,AN_TME_BY[[#All],[Advanced Network/Insurance Carrier Org ID]],B74)/D74)</f>
        <v>NA</v>
      </c>
      <c r="G74" s="108" t="str">
        <f>IF(D74=0,"NA",SUMIFS(AN_TME_BY[[#All],[Claims: Professional, Primary Care]],AN_TME_BY[[#All],[Insurance Category Code]],3,AN_TME_BY[[#All],[Advanced Network/Insurance Carrier Org ID]],B74)/D74)</f>
        <v>NA</v>
      </c>
      <c r="H74" s="108" t="str">
        <f>IF(D74=0,"NA",SUMIFS(AN_TME_BY[[#All],[Claims: Professional, Primary Care (for Monitoring Purposes)]],AN_TME_BY[[#All],[Insurance Category Code]],3,AN_TME_BY[[#All],[Advanced Network/Insurance Carrier Org ID]],B74)/D74)</f>
        <v>NA</v>
      </c>
      <c r="I74" s="108" t="str">
        <f>IF(D74=0,"NA",SUMIFS(AN_TME_BY[[#All],[Claims: Professional, Specialty]],AN_TME_BY[[#All],[Insurance Category Code]],3,AN_TME_BY[[#All],[Advanced Network/Insurance Carrier Org ID]],B74)/D74)</f>
        <v>NA</v>
      </c>
      <c r="J74" s="108" t="str">
        <f>IF(D74=0,"NA",SUMIFS(AN_TME_BY[[#All],[Claims: Professional Other]],AN_TME_BY[[#All],[Insurance Category Code]],3,AN_TME_BY[[#All],[Advanced Network/Insurance Carrier Org ID]],B74)/D74)</f>
        <v>NA</v>
      </c>
      <c r="K74" s="108" t="str">
        <f>IF(D74=0,"NA",SUMIFS(AN_TME_BY[[#All],[Claims: Pharmacy]],AN_TME_BY[[#All],[Insurance Category Code]],3,AN_TME_BY[[#All],[Advanced Network/Insurance Carrier Org ID]],B74)/D74)</f>
        <v>NA</v>
      </c>
      <c r="L74" s="108" t="str">
        <f>IF(D74=0,"NA",SUMIFS(AN_TME_BY[[#All],[Claims: Long-Term Care]],AN_TME_BY[[#All],[Insurance Category Code]],3,AN_TME_BY[[#All],[Advanced Network/Insurance Carrier Org ID]],B74)/D74)</f>
        <v>NA</v>
      </c>
      <c r="M74" s="108" t="str">
        <f>IF(D74=0,"NA",SUMIFS(AN_TME_BY[[#All],[Claims: Other]],AN_TME_BY[[#All],[Insurance Category Code]],3,AN_TME_BY[[#All],[Advanced Network/Insurance Carrier Org ID]],B74)/D74)</f>
        <v>NA</v>
      </c>
      <c r="N74" s="147" t="str">
        <f>IF(D74=0,"NA",SUMIFS(AN_TME_BY[[#All],[TOTAL Non-Truncated Unadjusted Claims Expenses]],AN_TME_BY[[#All],[Insurance Category Code]],3,AN_TME_BY[[#All],[Advanced Network/Insurance Carrier Org ID]],B74)/D74)</f>
        <v>NA</v>
      </c>
      <c r="O74" s="147" t="str">
        <f>IF(D74=0,"NA",SUMIFS(AN_TME_BY[[#All],[TOTAL Truncated Unadjusted Claims Expenses (A21 -A19)]],AN_TME_BY[[#All],[Insurance Category Code]],3,AN_TME_BY[[#All],[Advanced Network/Insurance Carrier Org ID]],B74)/D74)</f>
        <v>NA</v>
      </c>
      <c r="P74" s="147" t="str">
        <f>IF(D74=0,"NA",SUMIFS(AN_TME_BY[[#All],[TOTAL Non-Claims Expenses]],AN_TME_BY[[#All],[Insurance Category Code]],3,AN_TME_BY[[#All],[Advanced Network/Insurance Carrier Org ID]],B74)/D74)</f>
        <v>NA</v>
      </c>
      <c r="Q74" s="147" t="str">
        <f>IF(D74=0,"NA",SUMIFS(AN_TME_BY[[#All],[TOTAL Non-Truncated Unadjusted Expenses (A21 + A23)]],AN_TME_BY[[#All],[Insurance Category Code]],3,AN_TME_BY[[#All],[Advanced Network/Insurance Carrier Org ID]],B74)/D74)</f>
        <v>NA</v>
      </c>
      <c r="R74" s="147" t="str">
        <f>IF(D74=0,"NA",SUMIFS(AN_TME_BY[[#All],[TOTAL Truncated Unadjusted Expenses (A22 + A23)]],AN_TME_BY[[#All],[Insurance Category Code]],3,AN_TME_BY[[#All],[Advanced Network/Insurance Carrier Org ID]],B74)/D74)</f>
        <v>NA</v>
      </c>
      <c r="S74" s="448">
        <f>SUMIFS(AN_TME_PY[[#All],[Member Months]],AN_TME_PY[[#All],[Insurance Category Code]],3,AN_TME_PY[[#All],[Advanced Network/Insurance Carrier Org ID]],B74)</f>
        <v>0</v>
      </c>
      <c r="T74" s="137" t="str">
        <f>IF(S74=0,"NA",SUMIFS(AN_TME_PY[[#All],[Claims: Hospital Inpatient]],AN_TME_PY[[#All],[Insurance Category Code]],3,AN_TME_PY[[#All],[Advanced Network/Insurance Carrier Org ID]],B74)/S74)</f>
        <v>NA</v>
      </c>
      <c r="U74" s="108" t="str">
        <f>IF(S74=0,"NA",SUMIFS(AN_TME_PY[[#All],[Claims: Hospital Outpatient]],AN_TME_PY[[#All],[Insurance Category Code]],3,AN_TME_PY[[#All],[Advanced Network/Insurance Carrier Org ID]],B74)/S74)</f>
        <v>NA</v>
      </c>
      <c r="V74" s="108" t="str">
        <f>IF(S74=0,"NA",SUMIFS(AN_TME_PY[[#All],[Claims: Professional, Primary Care]],AN_TME_PY[[#All],[Insurance Category Code]],3,AN_TME_PY[[#All],[Advanced Network/Insurance Carrier Org ID]],B74)/S74)</f>
        <v>NA</v>
      </c>
      <c r="W74" s="108" t="str">
        <f>IF(S74=0,"NA",SUMIFS(AN_TME_PY[[#All],[Claims: Professional, Primary Care (for Monitoring Purposes)]],AN_TME_PY[[#All],[Insurance Category Code]],3,AN_TME_PY[[#All],[Advanced Network/Insurance Carrier Org ID]],B74)/S74)</f>
        <v>NA</v>
      </c>
      <c r="X74" s="108" t="str">
        <f>IF(S74=0,"NA",SUMIFS(AN_TME_PY[[#All],[Claims: Professional, Specialty]],AN_TME_PY[[#All],[Insurance Category Code]],3,AN_TME_PY[[#All],[Advanced Network/Insurance Carrier Org ID]],B74)/S74)</f>
        <v>NA</v>
      </c>
      <c r="Y74" s="108" t="str">
        <f>IF(S74=0,"NA",SUMIFS(AN_TME_PY[[#All],[Claims: Professional Other]],AN_TME_PY[[#All],[Insurance Category Code]],3,AN_TME_PY[[#All],[Advanced Network/Insurance Carrier Org ID]],B74)/S74)</f>
        <v>NA</v>
      </c>
      <c r="Z74" s="108" t="str">
        <f>IF(S74=0,"NA",SUMIFS(AN_TME_PY[[#All],[Claims: Pharmacy]],AN_TME_PY[[#All],[Insurance Category Code]],3,AN_TME_PY[[#All],[Advanced Network/Insurance Carrier Org ID]],B74)/S74)</f>
        <v>NA</v>
      </c>
      <c r="AA74" s="108" t="str">
        <f>IF(S74=0,"NA",SUMIFS(AN_TME_PY[[#All],[Claims: Long-Term Care]],AN_TME_PY[[#All],[Insurance Category Code]],3,AN_TME_PY[[#All],[Advanced Network/Insurance Carrier Org ID]],B74)/S74)</f>
        <v>NA</v>
      </c>
      <c r="AB74" s="108" t="str">
        <f>IF(S74=0,"NA",SUMIFS(AN_TME_PY[[#All],[Claims: Other]],AN_TME_PY[[#All],[Insurance Category Code]],3,AN_TME_PY[[#All],[Advanced Network/Insurance Carrier Org ID]],B74)/S74)</f>
        <v>NA</v>
      </c>
      <c r="AC74" s="147" t="str">
        <f>IF(S74=0,"NA",SUMIFS(AN_TME_PY[[#All],[TOTAL Non-Truncated Unadjusted Claims Expenses]],AN_TME_PY[[#All],[Insurance Category Code]],3,AN_TME_PY[[#All],[Advanced Network/Insurance Carrier Org ID]],B74)/S74)</f>
        <v>NA</v>
      </c>
      <c r="AD74" s="147" t="str">
        <f>IF(S74=0,"NA",SUMIFS(AN_TME_PY[[#All],[TOTAL Truncated Unadjusted Claims Expenses (A21 -A19)]],AN_TME_PY[[#All],[Insurance Category Code]],3,AN_TME_PY[[#All],[Advanced Network/Insurance Carrier Org ID]],B74)/S74)</f>
        <v>NA</v>
      </c>
      <c r="AE74" s="147" t="str">
        <f>IF(S74=0,"NA",SUMIFS(AN_TME_PY[[#All],[TOTAL Non-Claims Expenses]],AN_TME_PY[[#All],[Insurance Category Code]],3,AN_TME_PY[[#All],[Advanced Network/Insurance Carrier Org ID]],B74)/S74)</f>
        <v>NA</v>
      </c>
      <c r="AF74" s="147" t="str">
        <f>IF(S74=0,"NA",SUMIFS(AN_TME_PY[[#All],[TOTAL Non-Truncated Unadjusted Expenses (A21 + A23)]],AN_TME_PY[[#All],[Insurance Category Code]],3,AN_TME_PY[[#All],[Advanced Network/Insurance Carrier Org ID]],B74)/S74)</f>
        <v>NA</v>
      </c>
      <c r="AG74" s="138" t="str">
        <f>IF(S74=0,"NA",SUMIFS(AN_TME_PY[[#All],[TOTAL Truncated Unadjusted Expenses (A22 + A23)]],AN_TME_PY[[#All],[Insurance Category Code]],3,AN_TME_PY[[#All],[Advanced Network/Insurance Carrier Org ID]],B74)/S74)</f>
        <v>NA</v>
      </c>
      <c r="AH74" s="419" t="str">
        <f t="shared" si="90"/>
        <v>NA</v>
      </c>
      <c r="AI74" s="420" t="str">
        <f t="shared" si="91"/>
        <v>NA</v>
      </c>
      <c r="AJ74" s="421" t="str">
        <f t="shared" si="92"/>
        <v>NA</v>
      </c>
      <c r="AK74" s="421" t="str">
        <f t="shared" si="93"/>
        <v>NA</v>
      </c>
      <c r="AL74" s="421" t="str">
        <f t="shared" si="94"/>
        <v>NA</v>
      </c>
      <c r="AM74" s="421" t="str">
        <f t="shared" si="95"/>
        <v>NA</v>
      </c>
      <c r="AN74" s="421" t="str">
        <f t="shared" si="96"/>
        <v>NA</v>
      </c>
      <c r="AO74" s="421" t="str">
        <f t="shared" si="97"/>
        <v>NA</v>
      </c>
      <c r="AP74" s="421" t="str">
        <f t="shared" si="98"/>
        <v>NA</v>
      </c>
      <c r="AQ74" s="421" t="str">
        <f t="shared" si="99"/>
        <v>NA</v>
      </c>
      <c r="AR74" s="422" t="str">
        <f t="shared" si="100"/>
        <v>NA</v>
      </c>
      <c r="AS74" s="422" t="str">
        <f t="shared" si="101"/>
        <v>NA</v>
      </c>
      <c r="AT74" s="422" t="str">
        <f t="shared" si="102"/>
        <v>NA</v>
      </c>
      <c r="AU74" s="422" t="str">
        <f t="shared" si="103"/>
        <v>NA</v>
      </c>
      <c r="AV74" s="423" t="str">
        <f t="shared" si="104"/>
        <v>NA</v>
      </c>
    </row>
    <row r="75" spans="1:48" ht="15" customHeight="1" x14ac:dyDescent="0.25">
      <c r="A75" s="146"/>
      <c r="B75" s="148">
        <v>127</v>
      </c>
      <c r="C75" s="151" t="str">
        <f>_xlfn.XLOOKUP(B75, LgProvEntOrgIDs[Advanced Network/Insurer Carrier Org ID], LgProvEntOrgIDs[Advanced Network/Insurance Carrier Overall])</f>
        <v>UConn Medical Group</v>
      </c>
      <c r="D75" s="448">
        <f>SUMIFS(AN_TME_BY[[#All],[Member Months]],AN_TME_BY[[#All],[Insurance Category Code]],3,AN_TME_BY[[#All],[Advanced Network/Insurance Carrier Org ID]],B75)</f>
        <v>0</v>
      </c>
      <c r="E75" s="137" t="str">
        <f>IF(D75=0,"NA",SUMIFS(AN_TME_BY[[#All],[Claims: Hospital Inpatient]],AN_TME_BY[[#All],[Insurance Category Code]],3,AN_TME_BY[[#All],[Advanced Network/Insurance Carrier Org ID]],B75)/D75)</f>
        <v>NA</v>
      </c>
      <c r="F75" s="108" t="str">
        <f>IF(D75=0,"NA",SUMIFS(AN_TME_BY[[#All],[Claims: Hospital Outpatient]],AN_TME_BY[[#All],[Insurance Category Code]],3,AN_TME_BY[[#All],[Advanced Network/Insurance Carrier Org ID]],B75)/D75)</f>
        <v>NA</v>
      </c>
      <c r="G75" s="108" t="str">
        <f>IF(D75=0,"NA",SUMIFS(AN_TME_BY[[#All],[Claims: Professional, Primary Care]],AN_TME_BY[[#All],[Insurance Category Code]],3,AN_TME_BY[[#All],[Advanced Network/Insurance Carrier Org ID]],B75)/D75)</f>
        <v>NA</v>
      </c>
      <c r="H75" s="108" t="str">
        <f>IF(D75=0,"NA",SUMIFS(AN_TME_BY[[#All],[Claims: Professional, Primary Care (for Monitoring Purposes)]],AN_TME_BY[[#All],[Insurance Category Code]],3,AN_TME_BY[[#All],[Advanced Network/Insurance Carrier Org ID]],B75)/D75)</f>
        <v>NA</v>
      </c>
      <c r="I75" s="108" t="str">
        <f>IF(D75=0,"NA",SUMIFS(AN_TME_BY[[#All],[Claims: Professional, Specialty]],AN_TME_BY[[#All],[Insurance Category Code]],3,AN_TME_BY[[#All],[Advanced Network/Insurance Carrier Org ID]],B75)/D75)</f>
        <v>NA</v>
      </c>
      <c r="J75" s="108" t="str">
        <f>IF(D75=0,"NA",SUMIFS(AN_TME_BY[[#All],[Claims: Professional Other]],AN_TME_BY[[#All],[Insurance Category Code]],3,AN_TME_BY[[#All],[Advanced Network/Insurance Carrier Org ID]],B75)/D75)</f>
        <v>NA</v>
      </c>
      <c r="K75" s="108" t="str">
        <f>IF(D75=0,"NA",SUMIFS(AN_TME_BY[[#All],[Claims: Pharmacy]],AN_TME_BY[[#All],[Insurance Category Code]],3,AN_TME_BY[[#All],[Advanced Network/Insurance Carrier Org ID]],B75)/D75)</f>
        <v>NA</v>
      </c>
      <c r="L75" s="108" t="str">
        <f>IF(D75=0,"NA",SUMIFS(AN_TME_BY[[#All],[Claims: Long-Term Care]],AN_TME_BY[[#All],[Insurance Category Code]],3,AN_TME_BY[[#All],[Advanced Network/Insurance Carrier Org ID]],B75)/D75)</f>
        <v>NA</v>
      </c>
      <c r="M75" s="108" t="str">
        <f>IF(D75=0,"NA",SUMIFS(AN_TME_BY[[#All],[Claims: Other]],AN_TME_BY[[#All],[Insurance Category Code]],3,AN_TME_BY[[#All],[Advanced Network/Insurance Carrier Org ID]],B75)/D75)</f>
        <v>NA</v>
      </c>
      <c r="N75" s="147" t="str">
        <f>IF(D75=0,"NA",SUMIFS(AN_TME_BY[[#All],[TOTAL Non-Truncated Unadjusted Claims Expenses]],AN_TME_BY[[#All],[Insurance Category Code]],3,AN_TME_BY[[#All],[Advanced Network/Insurance Carrier Org ID]],B75)/D75)</f>
        <v>NA</v>
      </c>
      <c r="O75" s="147" t="str">
        <f>IF(D75=0,"NA",SUMIFS(AN_TME_BY[[#All],[TOTAL Truncated Unadjusted Claims Expenses (A21 -A19)]],AN_TME_BY[[#All],[Insurance Category Code]],3,AN_TME_BY[[#All],[Advanced Network/Insurance Carrier Org ID]],B75)/D75)</f>
        <v>NA</v>
      </c>
      <c r="P75" s="147" t="str">
        <f>IF(D75=0,"NA",SUMIFS(AN_TME_BY[[#All],[TOTAL Non-Claims Expenses]],AN_TME_BY[[#All],[Insurance Category Code]],3,AN_TME_BY[[#All],[Advanced Network/Insurance Carrier Org ID]],B75)/D75)</f>
        <v>NA</v>
      </c>
      <c r="Q75" s="147" t="str">
        <f>IF(D75=0,"NA",SUMIFS(AN_TME_BY[[#All],[TOTAL Non-Truncated Unadjusted Expenses (A21 + A23)]],AN_TME_BY[[#All],[Insurance Category Code]],3,AN_TME_BY[[#All],[Advanced Network/Insurance Carrier Org ID]],B75)/D75)</f>
        <v>NA</v>
      </c>
      <c r="R75" s="147" t="str">
        <f>IF(D75=0,"NA",SUMIFS(AN_TME_BY[[#All],[TOTAL Truncated Unadjusted Expenses (A22 + A23)]],AN_TME_BY[[#All],[Insurance Category Code]],3,AN_TME_BY[[#All],[Advanced Network/Insurance Carrier Org ID]],B75)/D75)</f>
        <v>NA</v>
      </c>
      <c r="S75" s="448">
        <f>SUMIFS(AN_TME_PY[[#All],[Member Months]],AN_TME_PY[[#All],[Insurance Category Code]],3,AN_TME_PY[[#All],[Advanced Network/Insurance Carrier Org ID]],B75)</f>
        <v>0</v>
      </c>
      <c r="T75" s="137" t="str">
        <f>IF(S75=0,"NA",SUMIFS(AN_TME_PY[[#All],[Claims: Hospital Inpatient]],AN_TME_PY[[#All],[Insurance Category Code]],3,AN_TME_PY[[#All],[Advanced Network/Insurance Carrier Org ID]],B75)/S75)</f>
        <v>NA</v>
      </c>
      <c r="U75" s="108" t="str">
        <f>IF(S75=0,"NA",SUMIFS(AN_TME_PY[[#All],[Claims: Hospital Outpatient]],AN_TME_PY[[#All],[Insurance Category Code]],3,AN_TME_PY[[#All],[Advanced Network/Insurance Carrier Org ID]],B75)/S75)</f>
        <v>NA</v>
      </c>
      <c r="V75" s="108" t="str">
        <f>IF(S75=0,"NA",SUMIFS(AN_TME_PY[[#All],[Claims: Professional, Primary Care]],AN_TME_PY[[#All],[Insurance Category Code]],3,AN_TME_PY[[#All],[Advanced Network/Insurance Carrier Org ID]],B75)/S75)</f>
        <v>NA</v>
      </c>
      <c r="W75" s="108" t="str">
        <f>IF(S75=0,"NA",SUMIFS(AN_TME_PY[[#All],[Claims: Professional, Primary Care (for Monitoring Purposes)]],AN_TME_PY[[#All],[Insurance Category Code]],3,AN_TME_PY[[#All],[Advanced Network/Insurance Carrier Org ID]],B75)/S75)</f>
        <v>NA</v>
      </c>
      <c r="X75" s="108" t="str">
        <f>IF(S75=0,"NA",SUMIFS(AN_TME_PY[[#All],[Claims: Professional, Specialty]],AN_TME_PY[[#All],[Insurance Category Code]],3,AN_TME_PY[[#All],[Advanced Network/Insurance Carrier Org ID]],B75)/S75)</f>
        <v>NA</v>
      </c>
      <c r="Y75" s="108" t="str">
        <f>IF(S75=0,"NA",SUMIFS(AN_TME_PY[[#All],[Claims: Professional Other]],AN_TME_PY[[#All],[Insurance Category Code]],3,AN_TME_PY[[#All],[Advanced Network/Insurance Carrier Org ID]],B75)/S75)</f>
        <v>NA</v>
      </c>
      <c r="Z75" s="108" t="str">
        <f>IF(S75=0,"NA",SUMIFS(AN_TME_PY[[#All],[Claims: Pharmacy]],AN_TME_PY[[#All],[Insurance Category Code]],3,AN_TME_PY[[#All],[Advanced Network/Insurance Carrier Org ID]],B75)/S75)</f>
        <v>NA</v>
      </c>
      <c r="AA75" s="108" t="str">
        <f>IF(S75=0,"NA",SUMIFS(AN_TME_PY[[#All],[Claims: Long-Term Care]],AN_TME_PY[[#All],[Insurance Category Code]],3,AN_TME_PY[[#All],[Advanced Network/Insurance Carrier Org ID]],B75)/S75)</f>
        <v>NA</v>
      </c>
      <c r="AB75" s="108" t="str">
        <f>IF(S75=0,"NA",SUMIFS(AN_TME_PY[[#All],[Claims: Other]],AN_TME_PY[[#All],[Insurance Category Code]],3,AN_TME_PY[[#All],[Advanced Network/Insurance Carrier Org ID]],B75)/S75)</f>
        <v>NA</v>
      </c>
      <c r="AC75" s="147" t="str">
        <f>IF(S75=0,"NA",SUMIFS(AN_TME_PY[[#All],[TOTAL Non-Truncated Unadjusted Claims Expenses]],AN_TME_PY[[#All],[Insurance Category Code]],3,AN_TME_PY[[#All],[Advanced Network/Insurance Carrier Org ID]],B75)/S75)</f>
        <v>NA</v>
      </c>
      <c r="AD75" s="147" t="str">
        <f>IF(S75=0,"NA",SUMIFS(AN_TME_PY[[#All],[TOTAL Truncated Unadjusted Claims Expenses (A21 -A19)]],AN_TME_PY[[#All],[Insurance Category Code]],3,AN_TME_PY[[#All],[Advanced Network/Insurance Carrier Org ID]],B75)/S75)</f>
        <v>NA</v>
      </c>
      <c r="AE75" s="147" t="str">
        <f>IF(S75=0,"NA",SUMIFS(AN_TME_PY[[#All],[TOTAL Non-Claims Expenses]],AN_TME_PY[[#All],[Insurance Category Code]],3,AN_TME_PY[[#All],[Advanced Network/Insurance Carrier Org ID]],B75)/S75)</f>
        <v>NA</v>
      </c>
      <c r="AF75" s="147" t="str">
        <f>IF(S75=0,"NA",SUMIFS(AN_TME_PY[[#All],[TOTAL Non-Truncated Unadjusted Expenses (A21 + A23)]],AN_TME_PY[[#All],[Insurance Category Code]],3,AN_TME_PY[[#All],[Advanced Network/Insurance Carrier Org ID]],B75)/S75)</f>
        <v>NA</v>
      </c>
      <c r="AG75" s="138" t="str">
        <f>IF(S75=0,"NA",SUMIFS(AN_TME_PY[[#All],[TOTAL Truncated Unadjusted Expenses (A22 + A23)]],AN_TME_PY[[#All],[Insurance Category Code]],3,AN_TME_PY[[#All],[Advanced Network/Insurance Carrier Org ID]],B75)/S75)</f>
        <v>NA</v>
      </c>
      <c r="AH75" s="419" t="str">
        <f t="shared" si="90"/>
        <v>NA</v>
      </c>
      <c r="AI75" s="420" t="str">
        <f t="shared" si="91"/>
        <v>NA</v>
      </c>
      <c r="AJ75" s="421" t="str">
        <f t="shared" si="92"/>
        <v>NA</v>
      </c>
      <c r="AK75" s="421" t="str">
        <f t="shared" si="93"/>
        <v>NA</v>
      </c>
      <c r="AL75" s="421" t="str">
        <f t="shared" si="94"/>
        <v>NA</v>
      </c>
      <c r="AM75" s="421" t="str">
        <f t="shared" si="95"/>
        <v>NA</v>
      </c>
      <c r="AN75" s="421" t="str">
        <f t="shared" si="96"/>
        <v>NA</v>
      </c>
      <c r="AO75" s="421" t="str">
        <f t="shared" si="97"/>
        <v>NA</v>
      </c>
      <c r="AP75" s="421" t="str">
        <f t="shared" si="98"/>
        <v>NA</v>
      </c>
      <c r="AQ75" s="421" t="str">
        <f t="shared" si="99"/>
        <v>NA</v>
      </c>
      <c r="AR75" s="422" t="str">
        <f t="shared" si="100"/>
        <v>NA</v>
      </c>
      <c r="AS75" s="422" t="str">
        <f t="shared" si="101"/>
        <v>NA</v>
      </c>
      <c r="AT75" s="422" t="str">
        <f t="shared" si="102"/>
        <v>NA</v>
      </c>
      <c r="AU75" s="422" t="str">
        <f t="shared" si="103"/>
        <v>NA</v>
      </c>
      <c r="AV75" s="423" t="str">
        <f t="shared" si="104"/>
        <v>NA</v>
      </c>
    </row>
    <row r="76" spans="1:48" ht="15" customHeight="1" x14ac:dyDescent="0.25">
      <c r="A76" s="146"/>
      <c r="B76" s="148">
        <v>128</v>
      </c>
      <c r="C76" s="151" t="str">
        <f>_xlfn.XLOOKUP(B76, LgProvEntOrgIDs[Advanced Network/Insurer Carrier Org ID], LgProvEntOrgIDs[Advanced Network/Insurance Carrier Overall])</f>
        <v>United Community and Family Services</v>
      </c>
      <c r="D76" s="448">
        <f>SUMIFS(AN_TME_BY[[#All],[Member Months]],AN_TME_BY[[#All],[Insurance Category Code]],3,AN_TME_BY[[#All],[Advanced Network/Insurance Carrier Org ID]],B76)</f>
        <v>0</v>
      </c>
      <c r="E76" s="137" t="str">
        <f>IF(D76=0,"NA",SUMIFS(AN_TME_BY[[#All],[Claims: Hospital Inpatient]],AN_TME_BY[[#All],[Insurance Category Code]],3,AN_TME_BY[[#All],[Advanced Network/Insurance Carrier Org ID]],B76)/D76)</f>
        <v>NA</v>
      </c>
      <c r="F76" s="108" t="str">
        <f>IF(D76=0,"NA",SUMIFS(AN_TME_BY[[#All],[Claims: Hospital Outpatient]],AN_TME_BY[[#All],[Insurance Category Code]],3,AN_TME_BY[[#All],[Advanced Network/Insurance Carrier Org ID]],B76)/D76)</f>
        <v>NA</v>
      </c>
      <c r="G76" s="108" t="str">
        <f>IF(D76=0,"NA",SUMIFS(AN_TME_BY[[#All],[Claims: Professional, Primary Care]],AN_TME_BY[[#All],[Insurance Category Code]],3,AN_TME_BY[[#All],[Advanced Network/Insurance Carrier Org ID]],B76)/D76)</f>
        <v>NA</v>
      </c>
      <c r="H76" s="108" t="str">
        <f>IF(D76=0,"NA",SUMIFS(AN_TME_BY[[#All],[Claims: Professional, Primary Care (for Monitoring Purposes)]],AN_TME_BY[[#All],[Insurance Category Code]],3,AN_TME_BY[[#All],[Advanced Network/Insurance Carrier Org ID]],B76)/D76)</f>
        <v>NA</v>
      </c>
      <c r="I76" s="108" t="str">
        <f>IF(D76=0,"NA",SUMIFS(AN_TME_BY[[#All],[Claims: Professional, Specialty]],AN_TME_BY[[#All],[Insurance Category Code]],3,AN_TME_BY[[#All],[Advanced Network/Insurance Carrier Org ID]],B76)/D76)</f>
        <v>NA</v>
      </c>
      <c r="J76" s="108" t="str">
        <f>IF(D76=0,"NA",SUMIFS(AN_TME_BY[[#All],[Claims: Professional Other]],AN_TME_BY[[#All],[Insurance Category Code]],3,AN_TME_BY[[#All],[Advanced Network/Insurance Carrier Org ID]],B76)/D76)</f>
        <v>NA</v>
      </c>
      <c r="K76" s="108" t="str">
        <f>IF(D76=0,"NA",SUMIFS(AN_TME_BY[[#All],[Claims: Pharmacy]],AN_TME_BY[[#All],[Insurance Category Code]],3,AN_TME_BY[[#All],[Advanced Network/Insurance Carrier Org ID]],B76)/D76)</f>
        <v>NA</v>
      </c>
      <c r="L76" s="108" t="str">
        <f>IF(D76=0,"NA",SUMIFS(AN_TME_BY[[#All],[Claims: Long-Term Care]],AN_TME_BY[[#All],[Insurance Category Code]],3,AN_TME_BY[[#All],[Advanced Network/Insurance Carrier Org ID]],B76)/D76)</f>
        <v>NA</v>
      </c>
      <c r="M76" s="108" t="str">
        <f>IF(D76=0,"NA",SUMIFS(AN_TME_BY[[#All],[Claims: Other]],AN_TME_BY[[#All],[Insurance Category Code]],3,AN_TME_BY[[#All],[Advanced Network/Insurance Carrier Org ID]],B76)/D76)</f>
        <v>NA</v>
      </c>
      <c r="N76" s="147" t="str">
        <f>IF(D76=0,"NA",SUMIFS(AN_TME_BY[[#All],[TOTAL Non-Truncated Unadjusted Claims Expenses]],AN_TME_BY[[#All],[Insurance Category Code]],3,AN_TME_BY[[#All],[Advanced Network/Insurance Carrier Org ID]],B76)/D76)</f>
        <v>NA</v>
      </c>
      <c r="O76" s="147" t="str">
        <f>IF(D76=0,"NA",SUMIFS(AN_TME_BY[[#All],[TOTAL Truncated Unadjusted Claims Expenses (A21 -A19)]],AN_TME_BY[[#All],[Insurance Category Code]],3,AN_TME_BY[[#All],[Advanced Network/Insurance Carrier Org ID]],B76)/D76)</f>
        <v>NA</v>
      </c>
      <c r="P76" s="147" t="str">
        <f>IF(D76=0,"NA",SUMIFS(AN_TME_BY[[#All],[TOTAL Non-Claims Expenses]],AN_TME_BY[[#All],[Insurance Category Code]],3,AN_TME_BY[[#All],[Advanced Network/Insurance Carrier Org ID]],B76)/D76)</f>
        <v>NA</v>
      </c>
      <c r="Q76" s="147" t="str">
        <f>IF(D76=0,"NA",SUMIFS(AN_TME_BY[[#All],[TOTAL Non-Truncated Unadjusted Expenses (A21 + A23)]],AN_TME_BY[[#All],[Insurance Category Code]],3,AN_TME_BY[[#All],[Advanced Network/Insurance Carrier Org ID]],B76)/D76)</f>
        <v>NA</v>
      </c>
      <c r="R76" s="147" t="str">
        <f>IF(D76=0,"NA",SUMIFS(AN_TME_BY[[#All],[TOTAL Truncated Unadjusted Expenses (A22 + A23)]],AN_TME_BY[[#All],[Insurance Category Code]],3,AN_TME_BY[[#All],[Advanced Network/Insurance Carrier Org ID]],B76)/D76)</f>
        <v>NA</v>
      </c>
      <c r="S76" s="448">
        <f>SUMIFS(AN_TME_PY[[#All],[Member Months]],AN_TME_PY[[#All],[Insurance Category Code]],3,AN_TME_PY[[#All],[Advanced Network/Insurance Carrier Org ID]],B76)</f>
        <v>0</v>
      </c>
      <c r="T76" s="137" t="str">
        <f>IF(S76=0,"NA",SUMIFS(AN_TME_PY[[#All],[Claims: Hospital Inpatient]],AN_TME_PY[[#All],[Insurance Category Code]],3,AN_TME_PY[[#All],[Advanced Network/Insurance Carrier Org ID]],B76)/S76)</f>
        <v>NA</v>
      </c>
      <c r="U76" s="108" t="str">
        <f>IF(S76=0,"NA",SUMIFS(AN_TME_PY[[#All],[Claims: Hospital Outpatient]],AN_TME_PY[[#All],[Insurance Category Code]],3,AN_TME_PY[[#All],[Advanced Network/Insurance Carrier Org ID]],B76)/S76)</f>
        <v>NA</v>
      </c>
      <c r="V76" s="108" t="str">
        <f>IF(S76=0,"NA",SUMIFS(AN_TME_PY[[#All],[Claims: Professional, Primary Care]],AN_TME_PY[[#All],[Insurance Category Code]],3,AN_TME_PY[[#All],[Advanced Network/Insurance Carrier Org ID]],B76)/S76)</f>
        <v>NA</v>
      </c>
      <c r="W76" s="108" t="str">
        <f>IF(S76=0,"NA",SUMIFS(AN_TME_PY[[#All],[Claims: Professional, Primary Care (for Monitoring Purposes)]],AN_TME_PY[[#All],[Insurance Category Code]],3,AN_TME_PY[[#All],[Advanced Network/Insurance Carrier Org ID]],B76)/S76)</f>
        <v>NA</v>
      </c>
      <c r="X76" s="108" t="str">
        <f>IF(S76=0,"NA",SUMIFS(AN_TME_PY[[#All],[Claims: Professional, Specialty]],AN_TME_PY[[#All],[Insurance Category Code]],3,AN_TME_PY[[#All],[Advanced Network/Insurance Carrier Org ID]],B76)/S76)</f>
        <v>NA</v>
      </c>
      <c r="Y76" s="108" t="str">
        <f>IF(S76=0,"NA",SUMIFS(AN_TME_PY[[#All],[Claims: Professional Other]],AN_TME_PY[[#All],[Insurance Category Code]],3,AN_TME_PY[[#All],[Advanced Network/Insurance Carrier Org ID]],B76)/S76)</f>
        <v>NA</v>
      </c>
      <c r="Z76" s="108" t="str">
        <f>IF(S76=0,"NA",SUMIFS(AN_TME_PY[[#All],[Claims: Pharmacy]],AN_TME_PY[[#All],[Insurance Category Code]],3,AN_TME_PY[[#All],[Advanced Network/Insurance Carrier Org ID]],B76)/S76)</f>
        <v>NA</v>
      </c>
      <c r="AA76" s="108" t="str">
        <f>IF(S76=0,"NA",SUMIFS(AN_TME_PY[[#All],[Claims: Long-Term Care]],AN_TME_PY[[#All],[Insurance Category Code]],3,AN_TME_PY[[#All],[Advanced Network/Insurance Carrier Org ID]],B76)/S76)</f>
        <v>NA</v>
      </c>
      <c r="AB76" s="108" t="str">
        <f>IF(S76=0,"NA",SUMIFS(AN_TME_PY[[#All],[Claims: Other]],AN_TME_PY[[#All],[Insurance Category Code]],3,AN_TME_PY[[#All],[Advanced Network/Insurance Carrier Org ID]],B76)/S76)</f>
        <v>NA</v>
      </c>
      <c r="AC76" s="147" t="str">
        <f>IF(S76=0,"NA",SUMIFS(AN_TME_PY[[#All],[TOTAL Non-Truncated Unadjusted Claims Expenses]],AN_TME_PY[[#All],[Insurance Category Code]],3,AN_TME_PY[[#All],[Advanced Network/Insurance Carrier Org ID]],B76)/S76)</f>
        <v>NA</v>
      </c>
      <c r="AD76" s="147" t="str">
        <f>IF(S76=0,"NA",SUMIFS(AN_TME_PY[[#All],[TOTAL Truncated Unadjusted Claims Expenses (A21 -A19)]],AN_TME_PY[[#All],[Insurance Category Code]],3,AN_TME_PY[[#All],[Advanced Network/Insurance Carrier Org ID]],B76)/S76)</f>
        <v>NA</v>
      </c>
      <c r="AE76" s="147" t="str">
        <f>IF(S76=0,"NA",SUMIFS(AN_TME_PY[[#All],[TOTAL Non-Claims Expenses]],AN_TME_PY[[#All],[Insurance Category Code]],3,AN_TME_PY[[#All],[Advanced Network/Insurance Carrier Org ID]],B76)/S76)</f>
        <v>NA</v>
      </c>
      <c r="AF76" s="147" t="str">
        <f>IF(S76=0,"NA",SUMIFS(AN_TME_PY[[#All],[TOTAL Non-Truncated Unadjusted Expenses (A21 + A23)]],AN_TME_PY[[#All],[Insurance Category Code]],3,AN_TME_PY[[#All],[Advanced Network/Insurance Carrier Org ID]],B76)/S76)</f>
        <v>NA</v>
      </c>
      <c r="AG76" s="138" t="str">
        <f>IF(S76=0,"NA",SUMIFS(AN_TME_PY[[#All],[TOTAL Truncated Unadjusted Expenses (A22 + A23)]],AN_TME_PY[[#All],[Insurance Category Code]],3,AN_TME_PY[[#All],[Advanced Network/Insurance Carrier Org ID]],B76)/S76)</f>
        <v>NA</v>
      </c>
      <c r="AH76" s="419" t="str">
        <f t="shared" si="90"/>
        <v>NA</v>
      </c>
      <c r="AI76" s="420" t="str">
        <f t="shared" si="91"/>
        <v>NA</v>
      </c>
      <c r="AJ76" s="421" t="str">
        <f t="shared" si="92"/>
        <v>NA</v>
      </c>
      <c r="AK76" s="421" t="str">
        <f t="shared" si="93"/>
        <v>NA</v>
      </c>
      <c r="AL76" s="421" t="str">
        <f t="shared" si="94"/>
        <v>NA</v>
      </c>
      <c r="AM76" s="421" t="str">
        <f t="shared" si="95"/>
        <v>NA</v>
      </c>
      <c r="AN76" s="421" t="str">
        <f t="shared" si="96"/>
        <v>NA</v>
      </c>
      <c r="AO76" s="421" t="str">
        <f t="shared" si="97"/>
        <v>NA</v>
      </c>
      <c r="AP76" s="421" t="str">
        <f t="shared" si="98"/>
        <v>NA</v>
      </c>
      <c r="AQ76" s="421" t="str">
        <f t="shared" si="99"/>
        <v>NA</v>
      </c>
      <c r="AR76" s="422" t="str">
        <f t="shared" si="100"/>
        <v>NA</v>
      </c>
      <c r="AS76" s="422" t="str">
        <f t="shared" si="101"/>
        <v>NA</v>
      </c>
      <c r="AT76" s="422" t="str">
        <f t="shared" si="102"/>
        <v>NA</v>
      </c>
      <c r="AU76" s="422" t="str">
        <f t="shared" si="103"/>
        <v>NA</v>
      </c>
      <c r="AV76" s="423" t="str">
        <f t="shared" si="104"/>
        <v>NA</v>
      </c>
    </row>
    <row r="77" spans="1:48" ht="15" customHeight="1" x14ac:dyDescent="0.25">
      <c r="A77" s="146"/>
      <c r="B77" s="148">
        <v>129</v>
      </c>
      <c r="C77" s="151" t="str">
        <f>_xlfn.XLOOKUP(B77, LgProvEntOrgIDs[Advanced Network/Insurer Carrier Org ID], LgProvEntOrgIDs[Advanced Network/Insurance Carrier Overall])</f>
        <v>Westchester Medical Group PLLC (dba WestMed)</v>
      </c>
      <c r="D77" s="448">
        <f>SUMIFS(AN_TME_BY[[#All],[Member Months]],AN_TME_BY[[#All],[Insurance Category Code]],3,AN_TME_BY[[#All],[Advanced Network/Insurance Carrier Org ID]],B77)</f>
        <v>0</v>
      </c>
      <c r="E77" s="137" t="str">
        <f>IF(D77=0,"NA",SUMIFS(AN_TME_BY[[#All],[Claims: Hospital Inpatient]],AN_TME_BY[[#All],[Insurance Category Code]],3,AN_TME_BY[[#All],[Advanced Network/Insurance Carrier Org ID]],B77)/D77)</f>
        <v>NA</v>
      </c>
      <c r="F77" s="108" t="str">
        <f>IF(D77=0,"NA",SUMIFS(AN_TME_BY[[#All],[Claims: Hospital Outpatient]],AN_TME_BY[[#All],[Insurance Category Code]],3,AN_TME_BY[[#All],[Advanced Network/Insurance Carrier Org ID]],B77)/D77)</f>
        <v>NA</v>
      </c>
      <c r="G77" s="108" t="str">
        <f>IF(D77=0,"NA",SUMIFS(AN_TME_BY[[#All],[Claims: Professional, Primary Care]],AN_TME_BY[[#All],[Insurance Category Code]],3,AN_TME_BY[[#All],[Advanced Network/Insurance Carrier Org ID]],B77)/D77)</f>
        <v>NA</v>
      </c>
      <c r="H77" s="108" t="str">
        <f>IF(D77=0,"NA",SUMIFS(AN_TME_BY[[#All],[Claims: Professional, Primary Care (for Monitoring Purposes)]],AN_TME_BY[[#All],[Insurance Category Code]],3,AN_TME_BY[[#All],[Advanced Network/Insurance Carrier Org ID]],B77)/D77)</f>
        <v>NA</v>
      </c>
      <c r="I77" s="108" t="str">
        <f>IF(D77=0,"NA",SUMIFS(AN_TME_BY[[#All],[Claims: Professional, Specialty]],AN_TME_BY[[#All],[Insurance Category Code]],3,AN_TME_BY[[#All],[Advanced Network/Insurance Carrier Org ID]],B77)/D77)</f>
        <v>NA</v>
      </c>
      <c r="J77" s="108" t="str">
        <f>IF(D77=0,"NA",SUMIFS(AN_TME_BY[[#All],[Claims: Professional Other]],AN_TME_BY[[#All],[Insurance Category Code]],3,AN_TME_BY[[#All],[Advanced Network/Insurance Carrier Org ID]],B77)/D77)</f>
        <v>NA</v>
      </c>
      <c r="K77" s="108" t="str">
        <f>IF(D77=0,"NA",SUMIFS(AN_TME_BY[[#All],[Claims: Pharmacy]],AN_TME_BY[[#All],[Insurance Category Code]],3,AN_TME_BY[[#All],[Advanced Network/Insurance Carrier Org ID]],B77)/D77)</f>
        <v>NA</v>
      </c>
      <c r="L77" s="108" t="str">
        <f>IF(D77=0,"NA",SUMIFS(AN_TME_BY[[#All],[Claims: Long-Term Care]],AN_TME_BY[[#All],[Insurance Category Code]],3,AN_TME_BY[[#All],[Advanced Network/Insurance Carrier Org ID]],B77)/D77)</f>
        <v>NA</v>
      </c>
      <c r="M77" s="108" t="str">
        <f>IF(D77=0,"NA",SUMIFS(AN_TME_BY[[#All],[Claims: Other]],AN_TME_BY[[#All],[Insurance Category Code]],3,AN_TME_BY[[#All],[Advanced Network/Insurance Carrier Org ID]],B77)/D77)</f>
        <v>NA</v>
      </c>
      <c r="N77" s="147" t="str">
        <f>IF(D77=0,"NA",SUMIFS(AN_TME_BY[[#All],[TOTAL Non-Truncated Unadjusted Claims Expenses]],AN_TME_BY[[#All],[Insurance Category Code]],3,AN_TME_BY[[#All],[Advanced Network/Insurance Carrier Org ID]],B77)/D77)</f>
        <v>NA</v>
      </c>
      <c r="O77" s="147" t="str">
        <f>IF(D77=0,"NA",SUMIFS(AN_TME_BY[[#All],[TOTAL Truncated Unadjusted Claims Expenses (A21 -A19)]],AN_TME_BY[[#All],[Insurance Category Code]],3,AN_TME_BY[[#All],[Advanced Network/Insurance Carrier Org ID]],B77)/D77)</f>
        <v>NA</v>
      </c>
      <c r="P77" s="147" t="str">
        <f>IF(D77=0,"NA",SUMIFS(AN_TME_BY[[#All],[TOTAL Non-Claims Expenses]],AN_TME_BY[[#All],[Insurance Category Code]],3,AN_TME_BY[[#All],[Advanced Network/Insurance Carrier Org ID]],B77)/D77)</f>
        <v>NA</v>
      </c>
      <c r="Q77" s="147" t="str">
        <f>IF(D77=0,"NA",SUMIFS(AN_TME_BY[[#All],[TOTAL Non-Truncated Unadjusted Expenses (A21 + A23)]],AN_TME_BY[[#All],[Insurance Category Code]],3,AN_TME_BY[[#All],[Advanced Network/Insurance Carrier Org ID]],B77)/D77)</f>
        <v>NA</v>
      </c>
      <c r="R77" s="147" t="str">
        <f>IF(D77=0,"NA",SUMIFS(AN_TME_BY[[#All],[TOTAL Truncated Unadjusted Expenses (A22 + A23)]],AN_TME_BY[[#All],[Insurance Category Code]],3,AN_TME_BY[[#All],[Advanced Network/Insurance Carrier Org ID]],B77)/D77)</f>
        <v>NA</v>
      </c>
      <c r="S77" s="448">
        <f>SUMIFS(AN_TME_PY[[#All],[Member Months]],AN_TME_PY[[#All],[Insurance Category Code]],3,AN_TME_PY[[#All],[Advanced Network/Insurance Carrier Org ID]],B77)</f>
        <v>0</v>
      </c>
      <c r="T77" s="137" t="str">
        <f>IF(S77=0,"NA",SUMIFS(AN_TME_PY[[#All],[Claims: Hospital Inpatient]],AN_TME_PY[[#All],[Insurance Category Code]],3,AN_TME_PY[[#All],[Advanced Network/Insurance Carrier Org ID]],B77)/S77)</f>
        <v>NA</v>
      </c>
      <c r="U77" s="108" t="str">
        <f>IF(S77=0,"NA",SUMIFS(AN_TME_PY[[#All],[Claims: Hospital Outpatient]],AN_TME_PY[[#All],[Insurance Category Code]],3,AN_TME_PY[[#All],[Advanced Network/Insurance Carrier Org ID]],B77)/S77)</f>
        <v>NA</v>
      </c>
      <c r="V77" s="108" t="str">
        <f>IF(S77=0,"NA",SUMIFS(AN_TME_PY[[#All],[Claims: Professional, Primary Care]],AN_TME_PY[[#All],[Insurance Category Code]],3,AN_TME_PY[[#All],[Advanced Network/Insurance Carrier Org ID]],B77)/S77)</f>
        <v>NA</v>
      </c>
      <c r="W77" s="108" t="str">
        <f>IF(S77=0,"NA",SUMIFS(AN_TME_PY[[#All],[Claims: Professional, Primary Care (for Monitoring Purposes)]],AN_TME_PY[[#All],[Insurance Category Code]],3,AN_TME_PY[[#All],[Advanced Network/Insurance Carrier Org ID]],B77)/S77)</f>
        <v>NA</v>
      </c>
      <c r="X77" s="108" t="str">
        <f>IF(S77=0,"NA",SUMIFS(AN_TME_PY[[#All],[Claims: Professional, Specialty]],AN_TME_PY[[#All],[Insurance Category Code]],3,AN_TME_PY[[#All],[Advanced Network/Insurance Carrier Org ID]],B77)/S77)</f>
        <v>NA</v>
      </c>
      <c r="Y77" s="108" t="str">
        <f>IF(S77=0,"NA",SUMIFS(AN_TME_PY[[#All],[Claims: Professional Other]],AN_TME_PY[[#All],[Insurance Category Code]],3,AN_TME_PY[[#All],[Advanced Network/Insurance Carrier Org ID]],B77)/S77)</f>
        <v>NA</v>
      </c>
      <c r="Z77" s="108" t="str">
        <f>IF(S77=0,"NA",SUMIFS(AN_TME_PY[[#All],[Claims: Pharmacy]],AN_TME_PY[[#All],[Insurance Category Code]],3,AN_TME_PY[[#All],[Advanced Network/Insurance Carrier Org ID]],B77)/S77)</f>
        <v>NA</v>
      </c>
      <c r="AA77" s="108" t="str">
        <f>IF(S77=0,"NA",SUMIFS(AN_TME_PY[[#All],[Claims: Long-Term Care]],AN_TME_PY[[#All],[Insurance Category Code]],3,AN_TME_PY[[#All],[Advanced Network/Insurance Carrier Org ID]],B77)/S77)</f>
        <v>NA</v>
      </c>
      <c r="AB77" s="108" t="str">
        <f>IF(S77=0,"NA",SUMIFS(AN_TME_PY[[#All],[Claims: Other]],AN_TME_PY[[#All],[Insurance Category Code]],3,AN_TME_PY[[#All],[Advanced Network/Insurance Carrier Org ID]],B77)/S77)</f>
        <v>NA</v>
      </c>
      <c r="AC77" s="147" t="str">
        <f>IF(S77=0,"NA",SUMIFS(AN_TME_PY[[#All],[TOTAL Non-Truncated Unadjusted Claims Expenses]],AN_TME_PY[[#All],[Insurance Category Code]],3,AN_TME_PY[[#All],[Advanced Network/Insurance Carrier Org ID]],B77)/S77)</f>
        <v>NA</v>
      </c>
      <c r="AD77" s="147" t="str">
        <f>IF(S77=0,"NA",SUMIFS(AN_TME_PY[[#All],[TOTAL Truncated Unadjusted Claims Expenses (A21 -A19)]],AN_TME_PY[[#All],[Insurance Category Code]],3,AN_TME_PY[[#All],[Advanced Network/Insurance Carrier Org ID]],B77)/S77)</f>
        <v>NA</v>
      </c>
      <c r="AE77" s="147" t="str">
        <f>IF(S77=0,"NA",SUMIFS(AN_TME_PY[[#All],[TOTAL Non-Claims Expenses]],AN_TME_PY[[#All],[Insurance Category Code]],3,AN_TME_PY[[#All],[Advanced Network/Insurance Carrier Org ID]],B77)/S77)</f>
        <v>NA</v>
      </c>
      <c r="AF77" s="147" t="str">
        <f>IF(S77=0,"NA",SUMIFS(AN_TME_PY[[#All],[TOTAL Non-Truncated Unadjusted Expenses (A21 + A23)]],AN_TME_PY[[#All],[Insurance Category Code]],3,AN_TME_PY[[#All],[Advanced Network/Insurance Carrier Org ID]],B77)/S77)</f>
        <v>NA</v>
      </c>
      <c r="AG77" s="138" t="str">
        <f>IF(S77=0,"NA",SUMIFS(AN_TME_PY[[#All],[TOTAL Truncated Unadjusted Expenses (A22 + A23)]],AN_TME_PY[[#All],[Insurance Category Code]],3,AN_TME_PY[[#All],[Advanced Network/Insurance Carrier Org ID]],B77)/S77)</f>
        <v>NA</v>
      </c>
      <c r="AH77" s="419" t="str">
        <f t="shared" si="90"/>
        <v>NA</v>
      </c>
      <c r="AI77" s="420" t="str">
        <f t="shared" si="91"/>
        <v>NA</v>
      </c>
      <c r="AJ77" s="421" t="str">
        <f t="shared" si="92"/>
        <v>NA</v>
      </c>
      <c r="AK77" s="421" t="str">
        <f t="shared" si="93"/>
        <v>NA</v>
      </c>
      <c r="AL77" s="421" t="str">
        <f t="shared" si="94"/>
        <v>NA</v>
      </c>
      <c r="AM77" s="421" t="str">
        <f t="shared" si="95"/>
        <v>NA</v>
      </c>
      <c r="AN77" s="421" t="str">
        <f t="shared" si="96"/>
        <v>NA</v>
      </c>
      <c r="AO77" s="421" t="str">
        <f t="shared" si="97"/>
        <v>NA</v>
      </c>
      <c r="AP77" s="421" t="str">
        <f t="shared" si="98"/>
        <v>NA</v>
      </c>
      <c r="AQ77" s="421" t="str">
        <f t="shared" si="99"/>
        <v>NA</v>
      </c>
      <c r="AR77" s="422" t="str">
        <f t="shared" si="100"/>
        <v>NA</v>
      </c>
      <c r="AS77" s="422" t="str">
        <f t="shared" si="101"/>
        <v>NA</v>
      </c>
      <c r="AT77" s="422" t="str">
        <f t="shared" si="102"/>
        <v>NA</v>
      </c>
      <c r="AU77" s="422" t="str">
        <f t="shared" si="103"/>
        <v>NA</v>
      </c>
      <c r="AV77" s="423" t="str">
        <f t="shared" si="104"/>
        <v>NA</v>
      </c>
    </row>
    <row r="78" spans="1:48" ht="15" customHeight="1" x14ac:dyDescent="0.25">
      <c r="A78" s="146"/>
      <c r="B78" s="148">
        <v>130</v>
      </c>
      <c r="C78" s="151" t="str">
        <f>_xlfn.XLOOKUP(B78, LgProvEntOrgIDs[Advanced Network/Insurer Carrier Org ID], LgProvEntOrgIDs[Advanced Network/Insurance Carrier Overall])</f>
        <v>Wheeler Clinic</v>
      </c>
      <c r="D78" s="448">
        <f>SUMIFS(AN_TME_BY[[#All],[Member Months]],AN_TME_BY[[#All],[Insurance Category Code]],3,AN_TME_BY[[#All],[Advanced Network/Insurance Carrier Org ID]],B78)</f>
        <v>0</v>
      </c>
      <c r="E78" s="137" t="str">
        <f>IF(D78=0,"NA",SUMIFS(AN_TME_BY[[#All],[Claims: Hospital Inpatient]],AN_TME_BY[[#All],[Insurance Category Code]],3,AN_TME_BY[[#All],[Advanced Network/Insurance Carrier Org ID]],B78)/D78)</f>
        <v>NA</v>
      </c>
      <c r="F78" s="108" t="str">
        <f>IF(D78=0,"NA",SUMIFS(AN_TME_BY[[#All],[Claims: Hospital Outpatient]],AN_TME_BY[[#All],[Insurance Category Code]],3,AN_TME_BY[[#All],[Advanced Network/Insurance Carrier Org ID]],B78)/D78)</f>
        <v>NA</v>
      </c>
      <c r="G78" s="108" t="str">
        <f>IF(D78=0,"NA",SUMIFS(AN_TME_BY[[#All],[Claims: Professional, Primary Care]],AN_TME_BY[[#All],[Insurance Category Code]],3,AN_TME_BY[[#All],[Advanced Network/Insurance Carrier Org ID]],B78)/D78)</f>
        <v>NA</v>
      </c>
      <c r="H78" s="108" t="str">
        <f>IF(D78=0,"NA",SUMIFS(AN_TME_BY[[#All],[Claims: Professional, Primary Care (for Monitoring Purposes)]],AN_TME_BY[[#All],[Insurance Category Code]],3,AN_TME_BY[[#All],[Advanced Network/Insurance Carrier Org ID]],B78)/D78)</f>
        <v>NA</v>
      </c>
      <c r="I78" s="108" t="str">
        <f>IF(D78=0,"NA",SUMIFS(AN_TME_BY[[#All],[Claims: Professional, Specialty]],AN_TME_BY[[#All],[Insurance Category Code]],3,AN_TME_BY[[#All],[Advanced Network/Insurance Carrier Org ID]],B78)/D78)</f>
        <v>NA</v>
      </c>
      <c r="J78" s="108" t="str">
        <f>IF(D78=0,"NA",SUMIFS(AN_TME_BY[[#All],[Claims: Professional Other]],AN_TME_BY[[#All],[Insurance Category Code]],3,AN_TME_BY[[#All],[Advanced Network/Insurance Carrier Org ID]],B78)/D78)</f>
        <v>NA</v>
      </c>
      <c r="K78" s="108" t="str">
        <f>IF(D78=0,"NA",SUMIFS(AN_TME_BY[[#All],[Claims: Pharmacy]],AN_TME_BY[[#All],[Insurance Category Code]],3,AN_TME_BY[[#All],[Advanced Network/Insurance Carrier Org ID]],B78)/D78)</f>
        <v>NA</v>
      </c>
      <c r="L78" s="108" t="str">
        <f>IF(D78=0,"NA",SUMIFS(AN_TME_BY[[#All],[Claims: Long-Term Care]],AN_TME_BY[[#All],[Insurance Category Code]],3,AN_TME_BY[[#All],[Advanced Network/Insurance Carrier Org ID]],B78)/D78)</f>
        <v>NA</v>
      </c>
      <c r="M78" s="108" t="str">
        <f>IF(D78=0,"NA",SUMIFS(AN_TME_BY[[#All],[Claims: Other]],AN_TME_BY[[#All],[Insurance Category Code]],3,AN_TME_BY[[#All],[Advanced Network/Insurance Carrier Org ID]],B78)/D78)</f>
        <v>NA</v>
      </c>
      <c r="N78" s="147" t="str">
        <f>IF(D78=0,"NA",SUMIFS(AN_TME_BY[[#All],[TOTAL Non-Truncated Unadjusted Claims Expenses]],AN_TME_BY[[#All],[Insurance Category Code]],3,AN_TME_BY[[#All],[Advanced Network/Insurance Carrier Org ID]],B78)/D78)</f>
        <v>NA</v>
      </c>
      <c r="O78" s="147" t="str">
        <f>IF(D78=0,"NA",SUMIFS(AN_TME_BY[[#All],[TOTAL Truncated Unadjusted Claims Expenses (A21 -A19)]],AN_TME_BY[[#All],[Insurance Category Code]],3,AN_TME_BY[[#All],[Advanced Network/Insurance Carrier Org ID]],B78)/D78)</f>
        <v>NA</v>
      </c>
      <c r="P78" s="147" t="str">
        <f>IF(D78=0,"NA",SUMIFS(AN_TME_BY[[#All],[TOTAL Non-Claims Expenses]],AN_TME_BY[[#All],[Insurance Category Code]],3,AN_TME_BY[[#All],[Advanced Network/Insurance Carrier Org ID]],B78)/D78)</f>
        <v>NA</v>
      </c>
      <c r="Q78" s="147" t="str">
        <f>IF(D78=0,"NA",SUMIFS(AN_TME_BY[[#All],[TOTAL Non-Truncated Unadjusted Expenses (A21 + A23)]],AN_TME_BY[[#All],[Insurance Category Code]],3,AN_TME_BY[[#All],[Advanced Network/Insurance Carrier Org ID]],B78)/D78)</f>
        <v>NA</v>
      </c>
      <c r="R78" s="147" t="str">
        <f>IF(D78=0,"NA",SUMIFS(AN_TME_BY[[#All],[TOTAL Truncated Unadjusted Expenses (A22 + A23)]],AN_TME_BY[[#All],[Insurance Category Code]],3,AN_TME_BY[[#All],[Advanced Network/Insurance Carrier Org ID]],B78)/D78)</f>
        <v>NA</v>
      </c>
      <c r="S78" s="448">
        <f>SUMIFS(AN_TME_PY[[#All],[Member Months]],AN_TME_PY[[#All],[Insurance Category Code]],3,AN_TME_PY[[#All],[Advanced Network/Insurance Carrier Org ID]],B78)</f>
        <v>0</v>
      </c>
      <c r="T78" s="137" t="str">
        <f>IF(S78=0,"NA",SUMIFS(AN_TME_PY[[#All],[Claims: Hospital Inpatient]],AN_TME_PY[[#All],[Insurance Category Code]],3,AN_TME_PY[[#All],[Advanced Network/Insurance Carrier Org ID]],B78)/S78)</f>
        <v>NA</v>
      </c>
      <c r="U78" s="108" t="str">
        <f>IF(S78=0,"NA",SUMIFS(AN_TME_PY[[#All],[Claims: Hospital Outpatient]],AN_TME_PY[[#All],[Insurance Category Code]],3,AN_TME_PY[[#All],[Advanced Network/Insurance Carrier Org ID]],B78)/S78)</f>
        <v>NA</v>
      </c>
      <c r="V78" s="108" t="str">
        <f>IF(S78=0,"NA",SUMIFS(AN_TME_PY[[#All],[Claims: Professional, Primary Care]],AN_TME_PY[[#All],[Insurance Category Code]],3,AN_TME_PY[[#All],[Advanced Network/Insurance Carrier Org ID]],B78)/S78)</f>
        <v>NA</v>
      </c>
      <c r="W78" s="108" t="str">
        <f>IF(S78=0,"NA",SUMIFS(AN_TME_PY[[#All],[Claims: Professional, Primary Care (for Monitoring Purposes)]],AN_TME_PY[[#All],[Insurance Category Code]],3,AN_TME_PY[[#All],[Advanced Network/Insurance Carrier Org ID]],B78)/S78)</f>
        <v>NA</v>
      </c>
      <c r="X78" s="108" t="str">
        <f>IF(S78=0,"NA",SUMIFS(AN_TME_PY[[#All],[Claims: Professional, Specialty]],AN_TME_PY[[#All],[Insurance Category Code]],3,AN_TME_PY[[#All],[Advanced Network/Insurance Carrier Org ID]],B78)/S78)</f>
        <v>NA</v>
      </c>
      <c r="Y78" s="108" t="str">
        <f>IF(S78=0,"NA",SUMIFS(AN_TME_PY[[#All],[Claims: Professional Other]],AN_TME_PY[[#All],[Insurance Category Code]],3,AN_TME_PY[[#All],[Advanced Network/Insurance Carrier Org ID]],B78)/S78)</f>
        <v>NA</v>
      </c>
      <c r="Z78" s="108" t="str">
        <f>IF(S78=0,"NA",SUMIFS(AN_TME_PY[[#All],[Claims: Pharmacy]],AN_TME_PY[[#All],[Insurance Category Code]],3,AN_TME_PY[[#All],[Advanced Network/Insurance Carrier Org ID]],B78)/S78)</f>
        <v>NA</v>
      </c>
      <c r="AA78" s="108" t="str">
        <f>IF(S78=0,"NA",SUMIFS(AN_TME_PY[[#All],[Claims: Long-Term Care]],AN_TME_PY[[#All],[Insurance Category Code]],3,AN_TME_PY[[#All],[Advanced Network/Insurance Carrier Org ID]],B78)/S78)</f>
        <v>NA</v>
      </c>
      <c r="AB78" s="108" t="str">
        <f>IF(S78=0,"NA",SUMIFS(AN_TME_PY[[#All],[Claims: Other]],AN_TME_PY[[#All],[Insurance Category Code]],3,AN_TME_PY[[#All],[Advanced Network/Insurance Carrier Org ID]],B78)/S78)</f>
        <v>NA</v>
      </c>
      <c r="AC78" s="147" t="str">
        <f>IF(S78=0,"NA",SUMIFS(AN_TME_PY[[#All],[TOTAL Non-Truncated Unadjusted Claims Expenses]],AN_TME_PY[[#All],[Insurance Category Code]],3,AN_TME_PY[[#All],[Advanced Network/Insurance Carrier Org ID]],B78)/S78)</f>
        <v>NA</v>
      </c>
      <c r="AD78" s="147" t="str">
        <f>IF(S78=0,"NA",SUMIFS(AN_TME_PY[[#All],[TOTAL Truncated Unadjusted Claims Expenses (A21 -A19)]],AN_TME_PY[[#All],[Insurance Category Code]],3,AN_TME_PY[[#All],[Advanced Network/Insurance Carrier Org ID]],B78)/S78)</f>
        <v>NA</v>
      </c>
      <c r="AE78" s="147" t="str">
        <f>IF(S78=0,"NA",SUMIFS(AN_TME_PY[[#All],[TOTAL Non-Claims Expenses]],AN_TME_PY[[#All],[Insurance Category Code]],3,AN_TME_PY[[#All],[Advanced Network/Insurance Carrier Org ID]],B78)/S78)</f>
        <v>NA</v>
      </c>
      <c r="AF78" s="147" t="str">
        <f>IF(S78=0,"NA",SUMIFS(AN_TME_PY[[#All],[TOTAL Non-Truncated Unadjusted Expenses (A21 + A23)]],AN_TME_PY[[#All],[Insurance Category Code]],3,AN_TME_PY[[#All],[Advanced Network/Insurance Carrier Org ID]],B78)/S78)</f>
        <v>NA</v>
      </c>
      <c r="AG78" s="138" t="str">
        <f>IF(S78=0,"NA",SUMIFS(AN_TME_PY[[#All],[TOTAL Truncated Unadjusted Expenses (A22 + A23)]],AN_TME_PY[[#All],[Insurance Category Code]],3,AN_TME_PY[[#All],[Advanced Network/Insurance Carrier Org ID]],B78)/S78)</f>
        <v>NA</v>
      </c>
      <c r="AH78" s="419" t="str">
        <f t="shared" si="90"/>
        <v>NA</v>
      </c>
      <c r="AI78" s="420" t="str">
        <f t="shared" si="91"/>
        <v>NA</v>
      </c>
      <c r="AJ78" s="421" t="str">
        <f t="shared" si="92"/>
        <v>NA</v>
      </c>
      <c r="AK78" s="421" t="str">
        <f t="shared" si="93"/>
        <v>NA</v>
      </c>
      <c r="AL78" s="421" t="str">
        <f t="shared" si="94"/>
        <v>NA</v>
      </c>
      <c r="AM78" s="421" t="str">
        <f t="shared" si="95"/>
        <v>NA</v>
      </c>
      <c r="AN78" s="421" t="str">
        <f t="shared" si="96"/>
        <v>NA</v>
      </c>
      <c r="AO78" s="421" t="str">
        <f t="shared" si="97"/>
        <v>NA</v>
      </c>
      <c r="AP78" s="421" t="str">
        <f t="shared" si="98"/>
        <v>NA</v>
      </c>
      <c r="AQ78" s="421" t="str">
        <f t="shared" si="99"/>
        <v>NA</v>
      </c>
      <c r="AR78" s="422" t="str">
        <f t="shared" si="100"/>
        <v>NA</v>
      </c>
      <c r="AS78" s="422" t="str">
        <f t="shared" si="101"/>
        <v>NA</v>
      </c>
      <c r="AT78" s="422" t="str">
        <f t="shared" si="102"/>
        <v>NA</v>
      </c>
      <c r="AU78" s="422" t="str">
        <f t="shared" si="103"/>
        <v>NA</v>
      </c>
      <c r="AV78" s="423" t="str">
        <f t="shared" si="104"/>
        <v>NA</v>
      </c>
    </row>
    <row r="79" spans="1:48" ht="15" customHeight="1" x14ac:dyDescent="0.25">
      <c r="A79" s="146"/>
      <c r="B79" s="148">
        <v>131</v>
      </c>
      <c r="C79" s="151" t="str">
        <f>_xlfn.XLOOKUP(B79, LgProvEntOrgIDs[Advanced Network/Insurer Carrier Org ID], LgProvEntOrgIDs[Advanced Network/Insurance Carrier Overall])</f>
        <v>Yale Medicine</v>
      </c>
      <c r="D79" s="448">
        <f>SUMIFS(AN_TME_BY[[#All],[Member Months]],AN_TME_BY[[#All],[Insurance Category Code]],3,AN_TME_BY[[#All],[Advanced Network/Insurance Carrier Org ID]],B79)</f>
        <v>0</v>
      </c>
      <c r="E79" s="137" t="str">
        <f>IF(D79=0,"NA",SUMIFS(AN_TME_BY[[#All],[Claims: Hospital Inpatient]],AN_TME_BY[[#All],[Insurance Category Code]],3,AN_TME_BY[[#All],[Advanced Network/Insurance Carrier Org ID]],B79)/D79)</f>
        <v>NA</v>
      </c>
      <c r="F79" s="108" t="str">
        <f>IF(D79=0,"NA",SUMIFS(AN_TME_BY[[#All],[Claims: Hospital Outpatient]],AN_TME_BY[[#All],[Insurance Category Code]],3,AN_TME_BY[[#All],[Advanced Network/Insurance Carrier Org ID]],B79)/D79)</f>
        <v>NA</v>
      </c>
      <c r="G79" s="108" t="str">
        <f>IF(D79=0,"NA",SUMIFS(AN_TME_BY[[#All],[Claims: Professional, Primary Care]],AN_TME_BY[[#All],[Insurance Category Code]],3,AN_TME_BY[[#All],[Advanced Network/Insurance Carrier Org ID]],B79)/D79)</f>
        <v>NA</v>
      </c>
      <c r="H79" s="108" t="str">
        <f>IF(D79=0,"NA",SUMIFS(AN_TME_BY[[#All],[Claims: Professional, Primary Care (for Monitoring Purposes)]],AN_TME_BY[[#All],[Insurance Category Code]],3,AN_TME_BY[[#All],[Advanced Network/Insurance Carrier Org ID]],B79)/D79)</f>
        <v>NA</v>
      </c>
      <c r="I79" s="108" t="str">
        <f>IF(D79=0,"NA",SUMIFS(AN_TME_BY[[#All],[Claims: Professional, Specialty]],AN_TME_BY[[#All],[Insurance Category Code]],3,AN_TME_BY[[#All],[Advanced Network/Insurance Carrier Org ID]],B79)/D79)</f>
        <v>NA</v>
      </c>
      <c r="J79" s="108" t="str">
        <f>IF(D79=0,"NA",SUMIFS(AN_TME_BY[[#All],[Claims: Professional Other]],AN_TME_BY[[#All],[Insurance Category Code]],3,AN_TME_BY[[#All],[Advanced Network/Insurance Carrier Org ID]],B79)/D79)</f>
        <v>NA</v>
      </c>
      <c r="K79" s="108" t="str">
        <f>IF(D79=0,"NA",SUMIFS(AN_TME_BY[[#All],[Claims: Pharmacy]],AN_TME_BY[[#All],[Insurance Category Code]],3,AN_TME_BY[[#All],[Advanced Network/Insurance Carrier Org ID]],B79)/D79)</f>
        <v>NA</v>
      </c>
      <c r="L79" s="108" t="str">
        <f>IF(D79=0,"NA",SUMIFS(AN_TME_BY[[#All],[Claims: Long-Term Care]],AN_TME_BY[[#All],[Insurance Category Code]],3,AN_TME_BY[[#All],[Advanced Network/Insurance Carrier Org ID]],B79)/D79)</f>
        <v>NA</v>
      </c>
      <c r="M79" s="108" t="str">
        <f>IF(D79=0,"NA",SUMIFS(AN_TME_BY[[#All],[Claims: Other]],AN_TME_BY[[#All],[Insurance Category Code]],3,AN_TME_BY[[#All],[Advanced Network/Insurance Carrier Org ID]],B79)/D79)</f>
        <v>NA</v>
      </c>
      <c r="N79" s="147" t="str">
        <f>IF(D79=0,"NA",SUMIFS(AN_TME_BY[[#All],[TOTAL Non-Truncated Unadjusted Claims Expenses]],AN_TME_BY[[#All],[Insurance Category Code]],3,AN_TME_BY[[#All],[Advanced Network/Insurance Carrier Org ID]],B79)/D79)</f>
        <v>NA</v>
      </c>
      <c r="O79" s="147" t="str">
        <f>IF(D79=0,"NA",SUMIFS(AN_TME_BY[[#All],[TOTAL Truncated Unadjusted Claims Expenses (A21 -A19)]],AN_TME_BY[[#All],[Insurance Category Code]],3,AN_TME_BY[[#All],[Advanced Network/Insurance Carrier Org ID]],B79)/D79)</f>
        <v>NA</v>
      </c>
      <c r="P79" s="147" t="str">
        <f>IF(D79=0,"NA",SUMIFS(AN_TME_BY[[#All],[TOTAL Non-Claims Expenses]],AN_TME_BY[[#All],[Insurance Category Code]],3,AN_TME_BY[[#All],[Advanced Network/Insurance Carrier Org ID]],B79)/D79)</f>
        <v>NA</v>
      </c>
      <c r="Q79" s="147" t="str">
        <f>IF(D79=0,"NA",SUMIFS(AN_TME_BY[[#All],[TOTAL Non-Truncated Unadjusted Expenses (A21 + A23)]],AN_TME_BY[[#All],[Insurance Category Code]],3,AN_TME_BY[[#All],[Advanced Network/Insurance Carrier Org ID]],B79)/D79)</f>
        <v>NA</v>
      </c>
      <c r="R79" s="147" t="str">
        <f>IF(D79=0,"NA",SUMIFS(AN_TME_BY[[#All],[TOTAL Truncated Unadjusted Expenses (A22 + A23)]],AN_TME_BY[[#All],[Insurance Category Code]],3,AN_TME_BY[[#All],[Advanced Network/Insurance Carrier Org ID]],B79)/D79)</f>
        <v>NA</v>
      </c>
      <c r="S79" s="448">
        <f>SUMIFS(AN_TME_PY[[#All],[Member Months]],AN_TME_PY[[#All],[Insurance Category Code]],3,AN_TME_PY[[#All],[Advanced Network/Insurance Carrier Org ID]],B79)</f>
        <v>0</v>
      </c>
      <c r="T79" s="137" t="str">
        <f>IF(S79=0,"NA",SUMIFS(AN_TME_PY[[#All],[Claims: Hospital Inpatient]],AN_TME_PY[[#All],[Insurance Category Code]],3,AN_TME_PY[[#All],[Advanced Network/Insurance Carrier Org ID]],B79)/S79)</f>
        <v>NA</v>
      </c>
      <c r="U79" s="108" t="str">
        <f>IF(S79=0,"NA",SUMIFS(AN_TME_PY[[#All],[Claims: Hospital Outpatient]],AN_TME_PY[[#All],[Insurance Category Code]],3,AN_TME_PY[[#All],[Advanced Network/Insurance Carrier Org ID]],B79)/S79)</f>
        <v>NA</v>
      </c>
      <c r="V79" s="108" t="str">
        <f>IF(S79=0,"NA",SUMIFS(AN_TME_PY[[#All],[Claims: Professional, Primary Care]],AN_TME_PY[[#All],[Insurance Category Code]],3,AN_TME_PY[[#All],[Advanced Network/Insurance Carrier Org ID]],B79)/S79)</f>
        <v>NA</v>
      </c>
      <c r="W79" s="108" t="str">
        <f>IF(S79=0,"NA",SUMIFS(AN_TME_PY[[#All],[Claims: Professional, Primary Care (for Monitoring Purposes)]],AN_TME_PY[[#All],[Insurance Category Code]],3,AN_TME_PY[[#All],[Advanced Network/Insurance Carrier Org ID]],B79)/S79)</f>
        <v>NA</v>
      </c>
      <c r="X79" s="108" t="str">
        <f>IF(S79=0,"NA",SUMIFS(AN_TME_PY[[#All],[Claims: Professional, Specialty]],AN_TME_PY[[#All],[Insurance Category Code]],3,AN_TME_PY[[#All],[Advanced Network/Insurance Carrier Org ID]],B79)/S79)</f>
        <v>NA</v>
      </c>
      <c r="Y79" s="108" t="str">
        <f>IF(S79=0,"NA",SUMIFS(AN_TME_PY[[#All],[Claims: Professional Other]],AN_TME_PY[[#All],[Insurance Category Code]],3,AN_TME_PY[[#All],[Advanced Network/Insurance Carrier Org ID]],B79)/S79)</f>
        <v>NA</v>
      </c>
      <c r="Z79" s="108" t="str">
        <f>IF(S79=0,"NA",SUMIFS(AN_TME_PY[[#All],[Claims: Pharmacy]],AN_TME_PY[[#All],[Insurance Category Code]],3,AN_TME_PY[[#All],[Advanced Network/Insurance Carrier Org ID]],B79)/S79)</f>
        <v>NA</v>
      </c>
      <c r="AA79" s="108" t="str">
        <f>IF(S79=0,"NA",SUMIFS(AN_TME_PY[[#All],[Claims: Long-Term Care]],AN_TME_PY[[#All],[Insurance Category Code]],3,AN_TME_PY[[#All],[Advanced Network/Insurance Carrier Org ID]],B79)/S79)</f>
        <v>NA</v>
      </c>
      <c r="AB79" s="108" t="str">
        <f>IF(S79=0,"NA",SUMIFS(AN_TME_PY[[#All],[Claims: Other]],AN_TME_PY[[#All],[Insurance Category Code]],3,AN_TME_PY[[#All],[Advanced Network/Insurance Carrier Org ID]],B79)/S79)</f>
        <v>NA</v>
      </c>
      <c r="AC79" s="147" t="str">
        <f>IF(S79=0,"NA",SUMIFS(AN_TME_PY[[#All],[TOTAL Non-Truncated Unadjusted Claims Expenses]],AN_TME_PY[[#All],[Insurance Category Code]],3,AN_TME_PY[[#All],[Advanced Network/Insurance Carrier Org ID]],B79)/S79)</f>
        <v>NA</v>
      </c>
      <c r="AD79" s="147" t="str">
        <f>IF(S79=0,"NA",SUMIFS(AN_TME_PY[[#All],[TOTAL Truncated Unadjusted Claims Expenses (A21 -A19)]],AN_TME_PY[[#All],[Insurance Category Code]],3,AN_TME_PY[[#All],[Advanced Network/Insurance Carrier Org ID]],B79)/S79)</f>
        <v>NA</v>
      </c>
      <c r="AE79" s="147" t="str">
        <f>IF(S79=0,"NA",SUMIFS(AN_TME_PY[[#All],[TOTAL Non-Claims Expenses]],AN_TME_PY[[#All],[Insurance Category Code]],3,AN_TME_PY[[#All],[Advanced Network/Insurance Carrier Org ID]],B79)/S79)</f>
        <v>NA</v>
      </c>
      <c r="AF79" s="147" t="str">
        <f>IF(S79=0,"NA",SUMIFS(AN_TME_PY[[#All],[TOTAL Non-Truncated Unadjusted Expenses (A21 + A23)]],AN_TME_PY[[#All],[Insurance Category Code]],3,AN_TME_PY[[#All],[Advanced Network/Insurance Carrier Org ID]],B79)/S79)</f>
        <v>NA</v>
      </c>
      <c r="AG79" s="138" t="str">
        <f>IF(S79=0,"NA",SUMIFS(AN_TME_PY[[#All],[TOTAL Truncated Unadjusted Expenses (A22 + A23)]],AN_TME_PY[[#All],[Insurance Category Code]],3,AN_TME_PY[[#All],[Advanced Network/Insurance Carrier Org ID]],B79)/S79)</f>
        <v>NA</v>
      </c>
      <c r="AH79" s="419" t="str">
        <f t="shared" si="90"/>
        <v>NA</v>
      </c>
      <c r="AI79" s="420" t="str">
        <f t="shared" si="91"/>
        <v>NA</v>
      </c>
      <c r="AJ79" s="421" t="str">
        <f t="shared" si="92"/>
        <v>NA</v>
      </c>
      <c r="AK79" s="421" t="str">
        <f t="shared" si="93"/>
        <v>NA</v>
      </c>
      <c r="AL79" s="421" t="str">
        <f t="shared" si="94"/>
        <v>NA</v>
      </c>
      <c r="AM79" s="421" t="str">
        <f t="shared" si="95"/>
        <v>NA</v>
      </c>
      <c r="AN79" s="421" t="str">
        <f t="shared" si="96"/>
        <v>NA</v>
      </c>
      <c r="AO79" s="421" t="str">
        <f t="shared" si="97"/>
        <v>NA</v>
      </c>
      <c r="AP79" s="421" t="str">
        <f t="shared" si="98"/>
        <v>NA</v>
      </c>
      <c r="AQ79" s="421" t="str">
        <f t="shared" si="99"/>
        <v>NA</v>
      </c>
      <c r="AR79" s="422" t="str">
        <f t="shared" si="100"/>
        <v>NA</v>
      </c>
      <c r="AS79" s="422" t="str">
        <f t="shared" si="101"/>
        <v>NA</v>
      </c>
      <c r="AT79" s="422" t="str">
        <f t="shared" si="102"/>
        <v>NA</v>
      </c>
      <c r="AU79" s="422" t="str">
        <f t="shared" si="103"/>
        <v>NA</v>
      </c>
      <c r="AV79" s="423" t="str">
        <f t="shared" si="104"/>
        <v>NA</v>
      </c>
    </row>
    <row r="80" spans="1:48" ht="15" customHeight="1" x14ac:dyDescent="0.25">
      <c r="A80" s="146"/>
      <c r="B80" s="148">
        <v>132</v>
      </c>
      <c r="C80" s="151" t="str">
        <f>_xlfn.XLOOKUP(B80, LgProvEntOrgIDs[Advanced Network/Insurer Carrier Org ID], LgProvEntOrgIDs[Advanced Network/Insurance Carrier Overall])</f>
        <v>InterCommunity Health Care</v>
      </c>
      <c r="D80" s="448">
        <f>SUMIFS(AN_TME_BY[[#All],[Member Months]],AN_TME_BY[[#All],[Insurance Category Code]],3,AN_TME_BY[[#All],[Advanced Network/Insurance Carrier Org ID]],B80)</f>
        <v>0</v>
      </c>
      <c r="E80" s="137" t="str">
        <f>IF(D80=0,"NA",SUMIFS(AN_TME_BY[[#All],[Claims: Hospital Inpatient]],AN_TME_BY[[#All],[Insurance Category Code]],3,AN_TME_BY[[#All],[Advanced Network/Insurance Carrier Org ID]],B80)/D80)</f>
        <v>NA</v>
      </c>
      <c r="F80" s="108" t="str">
        <f>IF(D80=0,"NA",SUMIFS(AN_TME_BY[[#All],[Claims: Hospital Outpatient]],AN_TME_BY[[#All],[Insurance Category Code]],3,AN_TME_BY[[#All],[Advanced Network/Insurance Carrier Org ID]],B80)/D80)</f>
        <v>NA</v>
      </c>
      <c r="G80" s="108" t="str">
        <f>IF(D80=0,"NA",SUMIFS(AN_TME_BY[[#All],[Claims: Professional, Primary Care]],AN_TME_BY[[#All],[Insurance Category Code]],3,AN_TME_BY[[#All],[Advanced Network/Insurance Carrier Org ID]],B80)/D80)</f>
        <v>NA</v>
      </c>
      <c r="H80" s="108" t="str">
        <f>IF(D80=0,"NA",SUMIFS(AN_TME_BY[[#All],[Claims: Professional, Primary Care (for Monitoring Purposes)]],AN_TME_BY[[#All],[Insurance Category Code]],3,AN_TME_BY[[#All],[Advanced Network/Insurance Carrier Org ID]],B80)/D80)</f>
        <v>NA</v>
      </c>
      <c r="I80" s="108" t="str">
        <f>IF(D80=0,"NA",SUMIFS(AN_TME_BY[[#All],[Claims: Professional, Specialty]],AN_TME_BY[[#All],[Insurance Category Code]],3,AN_TME_BY[[#All],[Advanced Network/Insurance Carrier Org ID]],B80)/D80)</f>
        <v>NA</v>
      </c>
      <c r="J80" s="108" t="str">
        <f>IF(D80=0,"NA",SUMIFS(AN_TME_BY[[#All],[Claims: Professional Other]],AN_TME_BY[[#All],[Insurance Category Code]],3,AN_TME_BY[[#All],[Advanced Network/Insurance Carrier Org ID]],B80)/D80)</f>
        <v>NA</v>
      </c>
      <c r="K80" s="108" t="str">
        <f>IF(D80=0,"NA",SUMIFS(AN_TME_BY[[#All],[Claims: Pharmacy]],AN_TME_BY[[#All],[Insurance Category Code]],3,AN_TME_BY[[#All],[Advanced Network/Insurance Carrier Org ID]],B80)/D80)</f>
        <v>NA</v>
      </c>
      <c r="L80" s="108" t="str">
        <f>IF(D80=0,"NA",SUMIFS(AN_TME_BY[[#All],[Claims: Long-Term Care]],AN_TME_BY[[#All],[Insurance Category Code]],3,AN_TME_BY[[#All],[Advanced Network/Insurance Carrier Org ID]],B80)/D80)</f>
        <v>NA</v>
      </c>
      <c r="M80" s="108" t="str">
        <f>IF(D80=0,"NA",SUMIFS(AN_TME_BY[[#All],[Claims: Other]],AN_TME_BY[[#All],[Insurance Category Code]],3,AN_TME_BY[[#All],[Advanced Network/Insurance Carrier Org ID]],B80)/D80)</f>
        <v>NA</v>
      </c>
      <c r="N80" s="147" t="str">
        <f>IF(D80=0,"NA",SUMIFS(AN_TME_BY[[#All],[TOTAL Non-Truncated Unadjusted Claims Expenses]],AN_TME_BY[[#All],[Insurance Category Code]],3,AN_TME_BY[[#All],[Advanced Network/Insurance Carrier Org ID]],B80)/D80)</f>
        <v>NA</v>
      </c>
      <c r="O80" s="147" t="str">
        <f>IF(D80=0,"NA",SUMIFS(AN_TME_BY[[#All],[TOTAL Truncated Unadjusted Claims Expenses (A21 -A19)]],AN_TME_BY[[#All],[Insurance Category Code]],3,AN_TME_BY[[#All],[Advanced Network/Insurance Carrier Org ID]],B80)/D80)</f>
        <v>NA</v>
      </c>
      <c r="P80" s="147" t="str">
        <f>IF(D80=0,"NA",SUMIFS(AN_TME_BY[[#All],[TOTAL Non-Claims Expenses]],AN_TME_BY[[#All],[Insurance Category Code]],3,AN_TME_BY[[#All],[Advanced Network/Insurance Carrier Org ID]],B80)/D80)</f>
        <v>NA</v>
      </c>
      <c r="Q80" s="147" t="str">
        <f>IF(D80=0,"NA",SUMIFS(AN_TME_BY[[#All],[TOTAL Non-Truncated Unadjusted Expenses (A21 + A23)]],AN_TME_BY[[#All],[Insurance Category Code]],3,AN_TME_BY[[#All],[Advanced Network/Insurance Carrier Org ID]],B80)/D80)</f>
        <v>NA</v>
      </c>
      <c r="R80" s="147" t="str">
        <f>IF(D80=0,"NA",SUMIFS(AN_TME_BY[[#All],[TOTAL Truncated Unadjusted Expenses (A22 + A23)]],AN_TME_BY[[#All],[Insurance Category Code]],3,AN_TME_BY[[#All],[Advanced Network/Insurance Carrier Org ID]],B80)/D80)</f>
        <v>NA</v>
      </c>
      <c r="S80" s="448">
        <f>SUMIFS(AN_TME_PY[[#All],[Member Months]],AN_TME_PY[[#All],[Insurance Category Code]],3,AN_TME_PY[[#All],[Advanced Network/Insurance Carrier Org ID]],B80)</f>
        <v>0</v>
      </c>
      <c r="T80" s="137" t="str">
        <f>IF(S80=0,"NA",SUMIFS(AN_TME_PY[[#All],[Claims: Hospital Inpatient]],AN_TME_PY[[#All],[Insurance Category Code]],3,AN_TME_PY[[#All],[Advanced Network/Insurance Carrier Org ID]],B80)/S80)</f>
        <v>NA</v>
      </c>
      <c r="U80" s="108" t="str">
        <f>IF(S80=0,"NA",SUMIFS(AN_TME_PY[[#All],[Claims: Hospital Outpatient]],AN_TME_PY[[#All],[Insurance Category Code]],3,AN_TME_PY[[#All],[Advanced Network/Insurance Carrier Org ID]],B80)/S80)</f>
        <v>NA</v>
      </c>
      <c r="V80" s="108" t="str">
        <f>IF(S80=0,"NA",SUMIFS(AN_TME_PY[[#All],[Claims: Professional, Primary Care]],AN_TME_PY[[#All],[Insurance Category Code]],3,AN_TME_PY[[#All],[Advanced Network/Insurance Carrier Org ID]],B80)/S80)</f>
        <v>NA</v>
      </c>
      <c r="W80" s="108" t="str">
        <f>IF(S80=0,"NA",SUMIFS(AN_TME_PY[[#All],[Claims: Professional, Primary Care (for Monitoring Purposes)]],AN_TME_PY[[#All],[Insurance Category Code]],3,AN_TME_PY[[#All],[Advanced Network/Insurance Carrier Org ID]],B80)/S80)</f>
        <v>NA</v>
      </c>
      <c r="X80" s="108" t="str">
        <f>IF(S80=0,"NA",SUMIFS(AN_TME_PY[[#All],[Claims: Professional, Specialty]],AN_TME_PY[[#All],[Insurance Category Code]],3,AN_TME_PY[[#All],[Advanced Network/Insurance Carrier Org ID]],B80)/S80)</f>
        <v>NA</v>
      </c>
      <c r="Y80" s="108" t="str">
        <f>IF(S80=0,"NA",SUMIFS(AN_TME_PY[[#All],[Claims: Professional Other]],AN_TME_PY[[#All],[Insurance Category Code]],3,AN_TME_PY[[#All],[Advanced Network/Insurance Carrier Org ID]],B80)/S80)</f>
        <v>NA</v>
      </c>
      <c r="Z80" s="108" t="str">
        <f>IF(S80=0,"NA",SUMIFS(AN_TME_PY[[#All],[Claims: Pharmacy]],AN_TME_PY[[#All],[Insurance Category Code]],3,AN_TME_PY[[#All],[Advanced Network/Insurance Carrier Org ID]],B80)/S80)</f>
        <v>NA</v>
      </c>
      <c r="AA80" s="108" t="str">
        <f>IF(S80=0,"NA",SUMIFS(AN_TME_PY[[#All],[Claims: Long-Term Care]],AN_TME_PY[[#All],[Insurance Category Code]],3,AN_TME_PY[[#All],[Advanced Network/Insurance Carrier Org ID]],B80)/S80)</f>
        <v>NA</v>
      </c>
      <c r="AB80" s="108" t="str">
        <f>IF(S80=0,"NA",SUMIFS(AN_TME_PY[[#All],[Claims: Other]],AN_TME_PY[[#All],[Insurance Category Code]],3,AN_TME_PY[[#All],[Advanced Network/Insurance Carrier Org ID]],B80)/S80)</f>
        <v>NA</v>
      </c>
      <c r="AC80" s="147" t="str">
        <f>IF(S80=0,"NA",SUMIFS(AN_TME_PY[[#All],[TOTAL Non-Truncated Unadjusted Claims Expenses]],AN_TME_PY[[#All],[Insurance Category Code]],3,AN_TME_PY[[#All],[Advanced Network/Insurance Carrier Org ID]],B80)/S80)</f>
        <v>NA</v>
      </c>
      <c r="AD80" s="147" t="str">
        <f>IF(S80=0,"NA",SUMIFS(AN_TME_PY[[#All],[TOTAL Truncated Unadjusted Claims Expenses (A21 -A19)]],AN_TME_PY[[#All],[Insurance Category Code]],3,AN_TME_PY[[#All],[Advanced Network/Insurance Carrier Org ID]],B80)/S80)</f>
        <v>NA</v>
      </c>
      <c r="AE80" s="147" t="str">
        <f>IF(S80=0,"NA",SUMIFS(AN_TME_PY[[#All],[TOTAL Non-Claims Expenses]],AN_TME_PY[[#All],[Insurance Category Code]],3,AN_TME_PY[[#All],[Advanced Network/Insurance Carrier Org ID]],B80)/S80)</f>
        <v>NA</v>
      </c>
      <c r="AF80" s="147" t="str">
        <f>IF(S80=0,"NA",SUMIFS(AN_TME_PY[[#All],[TOTAL Non-Truncated Unadjusted Expenses (A21 + A23)]],AN_TME_PY[[#All],[Insurance Category Code]],3,AN_TME_PY[[#All],[Advanced Network/Insurance Carrier Org ID]],B80)/S80)</f>
        <v>NA</v>
      </c>
      <c r="AG80" s="138" t="str">
        <f>IF(S80=0,"NA",SUMIFS(AN_TME_PY[[#All],[TOTAL Truncated Unadjusted Expenses (A22 + A23)]],AN_TME_PY[[#All],[Insurance Category Code]],3,AN_TME_PY[[#All],[Advanced Network/Insurance Carrier Org ID]],B80)/S80)</f>
        <v>NA</v>
      </c>
      <c r="AH80" s="419" t="str">
        <f t="shared" ref="AH80:AH82" si="105">IF(D80=0,"NA",S80/D80-1)</f>
        <v>NA</v>
      </c>
      <c r="AI80" s="420" t="str">
        <f t="shared" ref="AI80:AI82" si="106">IF(D80=0,"NA",T80/E80-1)</f>
        <v>NA</v>
      </c>
      <c r="AJ80" s="421" t="str">
        <f t="shared" ref="AJ80:AJ82" si="107">IF(D80=0,"NA",U80/F80-1)</f>
        <v>NA</v>
      </c>
      <c r="AK80" s="421" t="str">
        <f t="shared" ref="AK80:AK82" si="108">IF(D80=0,"NA",V80/G80-1)</f>
        <v>NA</v>
      </c>
      <c r="AL80" s="421" t="str">
        <f t="shared" ref="AL80:AL82" si="109">IF(D80=0,"NA",W80/H80-1)</f>
        <v>NA</v>
      </c>
      <c r="AM80" s="421" t="str">
        <f t="shared" ref="AM80:AM82" si="110">IF(D80=0,"NA",X80/I80-1)</f>
        <v>NA</v>
      </c>
      <c r="AN80" s="421" t="str">
        <f t="shared" ref="AN80:AN82" si="111">IF(D80=0,"NA",Y80/J80-1)</f>
        <v>NA</v>
      </c>
      <c r="AO80" s="421" t="str">
        <f t="shared" ref="AO80:AO82" si="112">IF(D80=0,"NA",Z80/K80-1)</f>
        <v>NA</v>
      </c>
      <c r="AP80" s="421" t="str">
        <f t="shared" ref="AP80:AP82" si="113">IF(D80=0,"NA",AA80/L80-1)</f>
        <v>NA</v>
      </c>
      <c r="AQ80" s="421" t="str">
        <f t="shared" ref="AQ80:AQ82" si="114">IF(D80=0,"NA",AB80/M80-1)</f>
        <v>NA</v>
      </c>
      <c r="AR80" s="422" t="str">
        <f t="shared" ref="AR80:AR82" si="115">IF(D80=0,"NA",AC80/N80-1)</f>
        <v>NA</v>
      </c>
      <c r="AS80" s="422" t="str">
        <f t="shared" ref="AS80:AS82" si="116">IF(D80=0,"NA",AD80/O80-1)</f>
        <v>NA</v>
      </c>
      <c r="AT80" s="422" t="str">
        <f t="shared" ref="AT80:AT82" si="117">IF(D80=0,"NA",AE80/P80-1)</f>
        <v>NA</v>
      </c>
      <c r="AU80" s="422" t="str">
        <f t="shared" ref="AU80:AU82" si="118">IF(D80=0,"NA",AF80/Q80-1)</f>
        <v>NA</v>
      </c>
      <c r="AV80" s="423" t="str">
        <f t="shared" ref="AV80:AV82" si="119">IF(D80=0,"NA",AG80/R80-1)</f>
        <v>NA</v>
      </c>
    </row>
    <row r="81" spans="1:48" ht="15" customHeight="1" x14ac:dyDescent="0.25">
      <c r="A81" s="146"/>
      <c r="B81" s="148">
        <v>133</v>
      </c>
      <c r="C81" s="151" t="str">
        <f>_xlfn.XLOOKUP(B81, LgProvEntOrgIDs[Advanced Network/Insurer Carrier Org ID], LgProvEntOrgIDs[Advanced Network/Insurance Carrier Overall])</f>
        <v>Trinity Health, Inc.</v>
      </c>
      <c r="D81" s="448">
        <f>SUMIFS(AN_TME_BY[[#All],[Member Months]],AN_TME_BY[[#All],[Insurance Category Code]],3,AN_TME_BY[[#All],[Advanced Network/Insurance Carrier Org ID]],B81)</f>
        <v>0</v>
      </c>
      <c r="E81" s="137" t="str">
        <f>IF(D81=0,"NA",SUMIFS(AN_TME_BY[[#All],[Claims: Hospital Inpatient]],AN_TME_BY[[#All],[Insurance Category Code]],3,AN_TME_BY[[#All],[Advanced Network/Insurance Carrier Org ID]],B81)/D81)</f>
        <v>NA</v>
      </c>
      <c r="F81" s="108" t="str">
        <f>IF(D81=0,"NA",SUMIFS(AN_TME_BY[[#All],[Claims: Hospital Outpatient]],AN_TME_BY[[#All],[Insurance Category Code]],3,AN_TME_BY[[#All],[Advanced Network/Insurance Carrier Org ID]],B81)/D81)</f>
        <v>NA</v>
      </c>
      <c r="G81" s="108" t="str">
        <f>IF(D81=0,"NA",SUMIFS(AN_TME_BY[[#All],[Claims: Professional, Primary Care]],AN_TME_BY[[#All],[Insurance Category Code]],3,AN_TME_BY[[#All],[Advanced Network/Insurance Carrier Org ID]],B81)/D81)</f>
        <v>NA</v>
      </c>
      <c r="H81" s="108" t="str">
        <f>IF(D81=0,"NA",SUMIFS(AN_TME_BY[[#All],[Claims: Professional, Primary Care (for Monitoring Purposes)]],AN_TME_BY[[#All],[Insurance Category Code]],3,AN_TME_BY[[#All],[Advanced Network/Insurance Carrier Org ID]],B81)/D81)</f>
        <v>NA</v>
      </c>
      <c r="I81" s="108" t="str">
        <f>IF(D81=0,"NA",SUMIFS(AN_TME_BY[[#All],[Claims: Professional, Specialty]],AN_TME_BY[[#All],[Insurance Category Code]],3,AN_TME_BY[[#All],[Advanced Network/Insurance Carrier Org ID]],B81)/D81)</f>
        <v>NA</v>
      </c>
      <c r="J81" s="108" t="str">
        <f>IF(D81=0,"NA",SUMIFS(AN_TME_BY[[#All],[Claims: Professional Other]],AN_TME_BY[[#All],[Insurance Category Code]],3,AN_TME_BY[[#All],[Advanced Network/Insurance Carrier Org ID]],B81)/D81)</f>
        <v>NA</v>
      </c>
      <c r="K81" s="108" t="str">
        <f>IF(D81=0,"NA",SUMIFS(AN_TME_BY[[#All],[Claims: Pharmacy]],AN_TME_BY[[#All],[Insurance Category Code]],3,AN_TME_BY[[#All],[Advanced Network/Insurance Carrier Org ID]],B81)/D81)</f>
        <v>NA</v>
      </c>
      <c r="L81" s="108" t="str">
        <f>IF(D81=0,"NA",SUMIFS(AN_TME_BY[[#All],[Claims: Long-Term Care]],AN_TME_BY[[#All],[Insurance Category Code]],3,AN_TME_BY[[#All],[Advanced Network/Insurance Carrier Org ID]],B81)/D81)</f>
        <v>NA</v>
      </c>
      <c r="M81" s="108" t="str">
        <f>IF(D81=0,"NA",SUMIFS(AN_TME_BY[[#All],[Claims: Other]],AN_TME_BY[[#All],[Insurance Category Code]],3,AN_TME_BY[[#All],[Advanced Network/Insurance Carrier Org ID]],B81)/D81)</f>
        <v>NA</v>
      </c>
      <c r="N81" s="147" t="str">
        <f>IF(D81=0,"NA",SUMIFS(AN_TME_BY[[#All],[TOTAL Non-Truncated Unadjusted Claims Expenses]],AN_TME_BY[[#All],[Insurance Category Code]],3,AN_TME_BY[[#All],[Advanced Network/Insurance Carrier Org ID]],B81)/D81)</f>
        <v>NA</v>
      </c>
      <c r="O81" s="147" t="str">
        <f>IF(D81=0,"NA",SUMIFS(AN_TME_BY[[#All],[TOTAL Truncated Unadjusted Claims Expenses (A21 -A19)]],AN_TME_BY[[#All],[Insurance Category Code]],3,AN_TME_BY[[#All],[Advanced Network/Insurance Carrier Org ID]],B81)/D81)</f>
        <v>NA</v>
      </c>
      <c r="P81" s="147" t="str">
        <f>IF(D81=0,"NA",SUMIFS(AN_TME_BY[[#All],[TOTAL Non-Claims Expenses]],AN_TME_BY[[#All],[Insurance Category Code]],3,AN_TME_BY[[#All],[Advanced Network/Insurance Carrier Org ID]],B81)/D81)</f>
        <v>NA</v>
      </c>
      <c r="Q81" s="147" t="str">
        <f>IF(D81=0,"NA",SUMIFS(AN_TME_BY[[#All],[TOTAL Non-Truncated Unadjusted Expenses (A21 + A23)]],AN_TME_BY[[#All],[Insurance Category Code]],3,AN_TME_BY[[#All],[Advanced Network/Insurance Carrier Org ID]],B81)/D81)</f>
        <v>NA</v>
      </c>
      <c r="R81" s="147" t="str">
        <f>IF(D81=0,"NA",SUMIFS(AN_TME_BY[[#All],[TOTAL Truncated Unadjusted Expenses (A22 + A23)]],AN_TME_BY[[#All],[Insurance Category Code]],3,AN_TME_BY[[#All],[Advanced Network/Insurance Carrier Org ID]],B81)/D81)</f>
        <v>NA</v>
      </c>
      <c r="S81" s="448">
        <f>SUMIFS(AN_TME_PY[[#All],[Member Months]],AN_TME_PY[[#All],[Insurance Category Code]],3,AN_TME_PY[[#All],[Advanced Network/Insurance Carrier Org ID]],B81)</f>
        <v>0</v>
      </c>
      <c r="T81" s="137" t="str">
        <f>IF(S81=0,"NA",SUMIFS(AN_TME_PY[[#All],[Claims: Hospital Inpatient]],AN_TME_PY[[#All],[Insurance Category Code]],3,AN_TME_PY[[#All],[Advanced Network/Insurance Carrier Org ID]],B81)/S81)</f>
        <v>NA</v>
      </c>
      <c r="U81" s="108" t="str">
        <f>IF(S81=0,"NA",SUMIFS(AN_TME_PY[[#All],[Claims: Hospital Outpatient]],AN_TME_PY[[#All],[Insurance Category Code]],3,AN_TME_PY[[#All],[Advanced Network/Insurance Carrier Org ID]],B81)/S81)</f>
        <v>NA</v>
      </c>
      <c r="V81" s="108" t="str">
        <f>IF(S81=0,"NA",SUMIFS(AN_TME_PY[[#All],[Claims: Professional, Primary Care]],AN_TME_PY[[#All],[Insurance Category Code]],3,AN_TME_PY[[#All],[Advanced Network/Insurance Carrier Org ID]],B81)/S81)</f>
        <v>NA</v>
      </c>
      <c r="W81" s="108" t="str">
        <f>IF(S81=0,"NA",SUMIFS(AN_TME_PY[[#All],[Claims: Professional, Primary Care (for Monitoring Purposes)]],AN_TME_PY[[#All],[Insurance Category Code]],3,AN_TME_PY[[#All],[Advanced Network/Insurance Carrier Org ID]],B81)/S81)</f>
        <v>NA</v>
      </c>
      <c r="X81" s="108" t="str">
        <f>IF(S81=0,"NA",SUMIFS(AN_TME_PY[[#All],[Claims: Professional, Specialty]],AN_TME_PY[[#All],[Insurance Category Code]],3,AN_TME_PY[[#All],[Advanced Network/Insurance Carrier Org ID]],B81)/S81)</f>
        <v>NA</v>
      </c>
      <c r="Y81" s="108" t="str">
        <f>IF(S81=0,"NA",SUMIFS(AN_TME_PY[[#All],[Claims: Professional Other]],AN_TME_PY[[#All],[Insurance Category Code]],3,AN_TME_PY[[#All],[Advanced Network/Insurance Carrier Org ID]],B81)/S81)</f>
        <v>NA</v>
      </c>
      <c r="Z81" s="108" t="str">
        <f>IF(S81=0,"NA",SUMIFS(AN_TME_PY[[#All],[Claims: Pharmacy]],AN_TME_PY[[#All],[Insurance Category Code]],3,AN_TME_PY[[#All],[Advanced Network/Insurance Carrier Org ID]],B81)/S81)</f>
        <v>NA</v>
      </c>
      <c r="AA81" s="108" t="str">
        <f>IF(S81=0,"NA",SUMIFS(AN_TME_PY[[#All],[Claims: Long-Term Care]],AN_TME_PY[[#All],[Insurance Category Code]],3,AN_TME_PY[[#All],[Advanced Network/Insurance Carrier Org ID]],B81)/S81)</f>
        <v>NA</v>
      </c>
      <c r="AB81" s="108" t="str">
        <f>IF(S81=0,"NA",SUMIFS(AN_TME_PY[[#All],[Claims: Other]],AN_TME_PY[[#All],[Insurance Category Code]],3,AN_TME_PY[[#All],[Advanced Network/Insurance Carrier Org ID]],B81)/S81)</f>
        <v>NA</v>
      </c>
      <c r="AC81" s="147" t="str">
        <f>IF(S81=0,"NA",SUMIFS(AN_TME_PY[[#All],[TOTAL Non-Truncated Unadjusted Claims Expenses]],AN_TME_PY[[#All],[Insurance Category Code]],3,AN_TME_PY[[#All],[Advanced Network/Insurance Carrier Org ID]],B81)/S81)</f>
        <v>NA</v>
      </c>
      <c r="AD81" s="147" t="str">
        <f>IF(S81=0,"NA",SUMIFS(AN_TME_PY[[#All],[TOTAL Truncated Unadjusted Claims Expenses (A21 -A19)]],AN_TME_PY[[#All],[Insurance Category Code]],3,AN_TME_PY[[#All],[Advanced Network/Insurance Carrier Org ID]],B81)/S81)</f>
        <v>NA</v>
      </c>
      <c r="AE81" s="147" t="str">
        <f>IF(S81=0,"NA",SUMIFS(AN_TME_PY[[#All],[TOTAL Non-Claims Expenses]],AN_TME_PY[[#All],[Insurance Category Code]],3,AN_TME_PY[[#All],[Advanced Network/Insurance Carrier Org ID]],B81)/S81)</f>
        <v>NA</v>
      </c>
      <c r="AF81" s="147" t="str">
        <f>IF(S81=0,"NA",SUMIFS(AN_TME_PY[[#All],[TOTAL Non-Truncated Unadjusted Expenses (A21 + A23)]],AN_TME_PY[[#All],[Insurance Category Code]],3,AN_TME_PY[[#All],[Advanced Network/Insurance Carrier Org ID]],B81)/S81)</f>
        <v>NA</v>
      </c>
      <c r="AG81" s="138" t="str">
        <f>IF(S81=0,"NA",SUMIFS(AN_TME_PY[[#All],[TOTAL Truncated Unadjusted Expenses (A22 + A23)]],AN_TME_PY[[#All],[Insurance Category Code]],3,AN_TME_PY[[#All],[Advanced Network/Insurance Carrier Org ID]],B81)/S81)</f>
        <v>NA</v>
      </c>
      <c r="AH81" s="419" t="str">
        <f t="shared" si="105"/>
        <v>NA</v>
      </c>
      <c r="AI81" s="420" t="str">
        <f t="shared" si="106"/>
        <v>NA</v>
      </c>
      <c r="AJ81" s="421" t="str">
        <f t="shared" si="107"/>
        <v>NA</v>
      </c>
      <c r="AK81" s="421" t="str">
        <f t="shared" si="108"/>
        <v>NA</v>
      </c>
      <c r="AL81" s="421" t="str">
        <f t="shared" si="109"/>
        <v>NA</v>
      </c>
      <c r="AM81" s="421" t="str">
        <f t="shared" si="110"/>
        <v>NA</v>
      </c>
      <c r="AN81" s="421" t="str">
        <f t="shared" si="111"/>
        <v>NA</v>
      </c>
      <c r="AO81" s="421" t="str">
        <f t="shared" si="112"/>
        <v>NA</v>
      </c>
      <c r="AP81" s="421" t="str">
        <f t="shared" si="113"/>
        <v>NA</v>
      </c>
      <c r="AQ81" s="421" t="str">
        <f t="shared" si="114"/>
        <v>NA</v>
      </c>
      <c r="AR81" s="422" t="str">
        <f t="shared" si="115"/>
        <v>NA</v>
      </c>
      <c r="AS81" s="422" t="str">
        <f t="shared" si="116"/>
        <v>NA</v>
      </c>
      <c r="AT81" s="422" t="str">
        <f t="shared" si="117"/>
        <v>NA</v>
      </c>
      <c r="AU81" s="422" t="str">
        <f t="shared" si="118"/>
        <v>NA</v>
      </c>
      <c r="AV81" s="423" t="str">
        <f t="shared" si="119"/>
        <v>NA</v>
      </c>
    </row>
    <row r="82" spans="1:48" ht="15" customHeight="1" x14ac:dyDescent="0.25">
      <c r="A82" s="146"/>
      <c r="B82" s="148">
        <v>134</v>
      </c>
      <c r="C82" s="151" t="str">
        <f>_xlfn.XLOOKUP(B82, LgProvEntOrgIDs[Advanced Network/Insurer Carrier Org ID], LgProvEntOrgIDs[Advanced Network/Insurance Carrier Overall])</f>
        <v>Western Connecticut Health Network (WCHN) Physician Hospital Organization</v>
      </c>
      <c r="D82" s="448">
        <f>SUMIFS(AN_TME_BY[[#All],[Member Months]],AN_TME_BY[[#All],[Insurance Category Code]],3,AN_TME_BY[[#All],[Advanced Network/Insurance Carrier Org ID]],B82)</f>
        <v>0</v>
      </c>
      <c r="E82" s="137" t="str">
        <f>IF(D82=0,"NA",SUMIFS(AN_TME_BY[[#All],[Claims: Hospital Inpatient]],AN_TME_BY[[#All],[Insurance Category Code]],3,AN_TME_BY[[#All],[Advanced Network/Insurance Carrier Org ID]],B82)/D82)</f>
        <v>NA</v>
      </c>
      <c r="F82" s="108" t="str">
        <f>IF(D82=0,"NA",SUMIFS(AN_TME_BY[[#All],[Claims: Hospital Outpatient]],AN_TME_BY[[#All],[Insurance Category Code]],3,AN_TME_BY[[#All],[Advanced Network/Insurance Carrier Org ID]],B82)/D82)</f>
        <v>NA</v>
      </c>
      <c r="G82" s="108" t="str">
        <f>IF(D82=0,"NA",SUMIFS(AN_TME_BY[[#All],[Claims: Professional, Primary Care]],AN_TME_BY[[#All],[Insurance Category Code]],3,AN_TME_BY[[#All],[Advanced Network/Insurance Carrier Org ID]],B82)/D82)</f>
        <v>NA</v>
      </c>
      <c r="H82" s="108" t="str">
        <f>IF(D82=0,"NA",SUMIFS(AN_TME_BY[[#All],[Claims: Professional, Primary Care (for Monitoring Purposes)]],AN_TME_BY[[#All],[Insurance Category Code]],3,AN_TME_BY[[#All],[Advanced Network/Insurance Carrier Org ID]],B82)/D82)</f>
        <v>NA</v>
      </c>
      <c r="I82" s="108" t="str">
        <f>IF(D82=0,"NA",SUMIFS(AN_TME_BY[[#All],[Claims: Professional, Specialty]],AN_TME_BY[[#All],[Insurance Category Code]],3,AN_TME_BY[[#All],[Advanced Network/Insurance Carrier Org ID]],B82)/D82)</f>
        <v>NA</v>
      </c>
      <c r="J82" s="108" t="str">
        <f>IF(D82=0,"NA",SUMIFS(AN_TME_BY[[#All],[Claims: Professional Other]],AN_TME_BY[[#All],[Insurance Category Code]],3,AN_TME_BY[[#All],[Advanced Network/Insurance Carrier Org ID]],B82)/D82)</f>
        <v>NA</v>
      </c>
      <c r="K82" s="108" t="str">
        <f>IF(D82=0,"NA",SUMIFS(AN_TME_BY[[#All],[Claims: Pharmacy]],AN_TME_BY[[#All],[Insurance Category Code]],3,AN_TME_BY[[#All],[Advanced Network/Insurance Carrier Org ID]],B82)/D82)</f>
        <v>NA</v>
      </c>
      <c r="L82" s="108" t="str">
        <f>IF(D82=0,"NA",SUMIFS(AN_TME_BY[[#All],[Claims: Long-Term Care]],AN_TME_BY[[#All],[Insurance Category Code]],3,AN_TME_BY[[#All],[Advanced Network/Insurance Carrier Org ID]],B82)/D82)</f>
        <v>NA</v>
      </c>
      <c r="M82" s="108" t="str">
        <f>IF(D82=0,"NA",SUMIFS(AN_TME_BY[[#All],[Claims: Other]],AN_TME_BY[[#All],[Insurance Category Code]],3,AN_TME_BY[[#All],[Advanced Network/Insurance Carrier Org ID]],B82)/D82)</f>
        <v>NA</v>
      </c>
      <c r="N82" s="147" t="str">
        <f>IF(D82=0,"NA",SUMIFS(AN_TME_BY[[#All],[TOTAL Non-Truncated Unadjusted Claims Expenses]],AN_TME_BY[[#All],[Insurance Category Code]],3,AN_TME_BY[[#All],[Advanced Network/Insurance Carrier Org ID]],B82)/D82)</f>
        <v>NA</v>
      </c>
      <c r="O82" s="147" t="str">
        <f>IF(D82=0,"NA",SUMIFS(AN_TME_BY[[#All],[TOTAL Truncated Unadjusted Claims Expenses (A21 -A19)]],AN_TME_BY[[#All],[Insurance Category Code]],3,AN_TME_BY[[#All],[Advanced Network/Insurance Carrier Org ID]],B82)/D82)</f>
        <v>NA</v>
      </c>
      <c r="P82" s="147" t="str">
        <f>IF(D82=0,"NA",SUMIFS(AN_TME_BY[[#All],[TOTAL Non-Claims Expenses]],AN_TME_BY[[#All],[Insurance Category Code]],3,AN_TME_BY[[#All],[Advanced Network/Insurance Carrier Org ID]],B82)/D82)</f>
        <v>NA</v>
      </c>
      <c r="Q82" s="147" t="str">
        <f>IF(D82=0,"NA",SUMIFS(AN_TME_BY[[#All],[TOTAL Non-Truncated Unadjusted Expenses (A21 + A23)]],AN_TME_BY[[#All],[Insurance Category Code]],3,AN_TME_BY[[#All],[Advanced Network/Insurance Carrier Org ID]],B82)/D82)</f>
        <v>NA</v>
      </c>
      <c r="R82" s="147" t="str">
        <f>IF(D82=0,"NA",SUMIFS(AN_TME_BY[[#All],[TOTAL Truncated Unadjusted Expenses (A22 + A23)]],AN_TME_BY[[#All],[Insurance Category Code]],3,AN_TME_BY[[#All],[Advanced Network/Insurance Carrier Org ID]],B82)/D82)</f>
        <v>NA</v>
      </c>
      <c r="S82" s="448">
        <f>SUMIFS(AN_TME_PY[[#All],[Member Months]],AN_TME_PY[[#All],[Insurance Category Code]],3,AN_TME_PY[[#All],[Advanced Network/Insurance Carrier Org ID]],B82)</f>
        <v>0</v>
      </c>
      <c r="T82" s="137" t="str">
        <f>IF(S82=0,"NA",SUMIFS(AN_TME_PY[[#All],[Claims: Hospital Inpatient]],AN_TME_PY[[#All],[Insurance Category Code]],3,AN_TME_PY[[#All],[Advanced Network/Insurance Carrier Org ID]],B82)/S82)</f>
        <v>NA</v>
      </c>
      <c r="U82" s="108" t="str">
        <f>IF(S82=0,"NA",SUMIFS(AN_TME_PY[[#All],[Claims: Hospital Outpatient]],AN_TME_PY[[#All],[Insurance Category Code]],3,AN_TME_PY[[#All],[Advanced Network/Insurance Carrier Org ID]],B82)/S82)</f>
        <v>NA</v>
      </c>
      <c r="V82" s="108" t="str">
        <f>IF(S82=0,"NA",SUMIFS(AN_TME_PY[[#All],[Claims: Professional, Primary Care]],AN_TME_PY[[#All],[Insurance Category Code]],3,AN_TME_PY[[#All],[Advanced Network/Insurance Carrier Org ID]],B82)/S82)</f>
        <v>NA</v>
      </c>
      <c r="W82" s="108" t="str">
        <f>IF(S82=0,"NA",SUMIFS(AN_TME_PY[[#All],[Claims: Professional, Primary Care (for Monitoring Purposes)]],AN_TME_PY[[#All],[Insurance Category Code]],3,AN_TME_PY[[#All],[Advanced Network/Insurance Carrier Org ID]],B82)/S82)</f>
        <v>NA</v>
      </c>
      <c r="X82" s="108" t="str">
        <f>IF(S82=0,"NA",SUMIFS(AN_TME_PY[[#All],[Claims: Professional, Specialty]],AN_TME_PY[[#All],[Insurance Category Code]],3,AN_TME_PY[[#All],[Advanced Network/Insurance Carrier Org ID]],B82)/S82)</f>
        <v>NA</v>
      </c>
      <c r="Y82" s="108" t="str">
        <f>IF(S82=0,"NA",SUMIFS(AN_TME_PY[[#All],[Claims: Professional Other]],AN_TME_PY[[#All],[Insurance Category Code]],3,AN_TME_PY[[#All],[Advanced Network/Insurance Carrier Org ID]],B82)/S82)</f>
        <v>NA</v>
      </c>
      <c r="Z82" s="108" t="str">
        <f>IF(S82=0,"NA",SUMIFS(AN_TME_PY[[#All],[Claims: Pharmacy]],AN_TME_PY[[#All],[Insurance Category Code]],3,AN_TME_PY[[#All],[Advanced Network/Insurance Carrier Org ID]],B82)/S82)</f>
        <v>NA</v>
      </c>
      <c r="AA82" s="108" t="str">
        <f>IF(S82=0,"NA",SUMIFS(AN_TME_PY[[#All],[Claims: Long-Term Care]],AN_TME_PY[[#All],[Insurance Category Code]],3,AN_TME_PY[[#All],[Advanced Network/Insurance Carrier Org ID]],B82)/S82)</f>
        <v>NA</v>
      </c>
      <c r="AB82" s="108" t="str">
        <f>IF(S82=0,"NA",SUMIFS(AN_TME_PY[[#All],[Claims: Other]],AN_TME_PY[[#All],[Insurance Category Code]],3,AN_TME_PY[[#All],[Advanced Network/Insurance Carrier Org ID]],B82)/S82)</f>
        <v>NA</v>
      </c>
      <c r="AC82" s="147" t="str">
        <f>IF(S82=0,"NA",SUMIFS(AN_TME_PY[[#All],[TOTAL Non-Truncated Unadjusted Claims Expenses]],AN_TME_PY[[#All],[Insurance Category Code]],3,AN_TME_PY[[#All],[Advanced Network/Insurance Carrier Org ID]],B82)/S82)</f>
        <v>NA</v>
      </c>
      <c r="AD82" s="147" t="str">
        <f>IF(S82=0,"NA",SUMIFS(AN_TME_PY[[#All],[TOTAL Truncated Unadjusted Claims Expenses (A21 -A19)]],AN_TME_PY[[#All],[Insurance Category Code]],3,AN_TME_PY[[#All],[Advanced Network/Insurance Carrier Org ID]],B82)/S82)</f>
        <v>NA</v>
      </c>
      <c r="AE82" s="147" t="str">
        <f>IF(S82=0,"NA",SUMIFS(AN_TME_PY[[#All],[TOTAL Non-Claims Expenses]],AN_TME_PY[[#All],[Insurance Category Code]],3,AN_TME_PY[[#All],[Advanced Network/Insurance Carrier Org ID]],B82)/S82)</f>
        <v>NA</v>
      </c>
      <c r="AF82" s="147" t="str">
        <f>IF(S82=0,"NA",SUMIFS(AN_TME_PY[[#All],[TOTAL Non-Truncated Unadjusted Expenses (A21 + A23)]],AN_TME_PY[[#All],[Insurance Category Code]],3,AN_TME_PY[[#All],[Advanced Network/Insurance Carrier Org ID]],B82)/S82)</f>
        <v>NA</v>
      </c>
      <c r="AG82" s="138" t="str">
        <f>IF(S82=0,"NA",SUMIFS(AN_TME_PY[[#All],[TOTAL Truncated Unadjusted Expenses (A22 + A23)]],AN_TME_PY[[#All],[Insurance Category Code]],3,AN_TME_PY[[#All],[Advanced Network/Insurance Carrier Org ID]],B82)/S82)</f>
        <v>NA</v>
      </c>
      <c r="AH82" s="419" t="str">
        <f t="shared" si="105"/>
        <v>NA</v>
      </c>
      <c r="AI82" s="420" t="str">
        <f t="shared" si="106"/>
        <v>NA</v>
      </c>
      <c r="AJ82" s="421" t="str">
        <f t="shared" si="107"/>
        <v>NA</v>
      </c>
      <c r="AK82" s="421" t="str">
        <f t="shared" si="108"/>
        <v>NA</v>
      </c>
      <c r="AL82" s="421" t="str">
        <f t="shared" si="109"/>
        <v>NA</v>
      </c>
      <c r="AM82" s="421" t="str">
        <f t="shared" si="110"/>
        <v>NA</v>
      </c>
      <c r="AN82" s="421" t="str">
        <f t="shared" si="111"/>
        <v>NA</v>
      </c>
      <c r="AO82" s="421" t="str">
        <f t="shared" si="112"/>
        <v>NA</v>
      </c>
      <c r="AP82" s="421" t="str">
        <f t="shared" si="113"/>
        <v>NA</v>
      </c>
      <c r="AQ82" s="421" t="str">
        <f t="shared" si="114"/>
        <v>NA</v>
      </c>
      <c r="AR82" s="422" t="str">
        <f t="shared" si="115"/>
        <v>NA</v>
      </c>
      <c r="AS82" s="422" t="str">
        <f t="shared" si="116"/>
        <v>NA</v>
      </c>
      <c r="AT82" s="422" t="str">
        <f t="shared" si="117"/>
        <v>NA</v>
      </c>
      <c r="AU82" s="422" t="str">
        <f t="shared" si="118"/>
        <v>NA</v>
      </c>
      <c r="AV82" s="423" t="str">
        <f t="shared" si="119"/>
        <v>NA</v>
      </c>
    </row>
    <row r="83" spans="1:48" ht="15" customHeight="1" x14ac:dyDescent="0.25">
      <c r="A83" s="146"/>
      <c r="B83" s="148">
        <v>999</v>
      </c>
      <c r="C83" s="151" t="str">
        <f>_xlfn.XLOOKUP(B83, LgProvEntOrgIDs[Advanced Network/Insurer Carrier Org ID], LgProvEntOrgIDs[Advanced Network/Insurance Carrier Overall])</f>
        <v>Members Not Attributed to an Advanced Network</v>
      </c>
      <c r="D83" s="448">
        <f>SUMIFS(AN_TME_BY[[#All],[Member Months]],AN_TME_BY[[#All],[Insurance Category Code]],3,AN_TME_BY[[#All],[Advanced Network/Insurance Carrier Org ID]],B83)</f>
        <v>0</v>
      </c>
      <c r="E83" s="137" t="str">
        <f>IF(D83=0,"NA",SUMIFS(AN_TME_BY[[#All],[Claims: Hospital Inpatient]],AN_TME_BY[[#All],[Insurance Category Code]],3,AN_TME_BY[[#All],[Advanced Network/Insurance Carrier Org ID]],B83)/D83)</f>
        <v>NA</v>
      </c>
      <c r="F83" s="108" t="str">
        <f>IF(D83=0,"NA",SUMIFS(AN_TME_BY[[#All],[Claims: Hospital Outpatient]],AN_TME_BY[[#All],[Insurance Category Code]],3,AN_TME_BY[[#All],[Advanced Network/Insurance Carrier Org ID]],B83)/D83)</f>
        <v>NA</v>
      </c>
      <c r="G83" s="108" t="str">
        <f>IF(D83=0,"NA",SUMIFS(AN_TME_BY[[#All],[Claims: Professional, Primary Care]],AN_TME_BY[[#All],[Insurance Category Code]],3,AN_TME_BY[[#All],[Advanced Network/Insurance Carrier Org ID]],B83)/D83)</f>
        <v>NA</v>
      </c>
      <c r="H83" s="108" t="str">
        <f>IF(D83=0,"NA",SUMIFS(AN_TME_BY[[#All],[Claims: Professional, Primary Care (for Monitoring Purposes)]],AN_TME_BY[[#All],[Insurance Category Code]],3,AN_TME_BY[[#All],[Advanced Network/Insurance Carrier Org ID]],B83)/D83)</f>
        <v>NA</v>
      </c>
      <c r="I83" s="108" t="str">
        <f>IF(D83=0,"NA",SUMIFS(AN_TME_BY[[#All],[Claims: Professional, Specialty]],AN_TME_BY[[#All],[Insurance Category Code]],3,AN_TME_BY[[#All],[Advanced Network/Insurance Carrier Org ID]],B83)/D83)</f>
        <v>NA</v>
      </c>
      <c r="J83" s="108" t="str">
        <f>IF(D83=0,"NA",SUMIFS(AN_TME_BY[[#All],[Claims: Professional Other]],AN_TME_BY[[#All],[Insurance Category Code]],3,AN_TME_BY[[#All],[Advanced Network/Insurance Carrier Org ID]],B83)/D83)</f>
        <v>NA</v>
      </c>
      <c r="K83" s="108" t="str">
        <f>IF(D83=0,"NA",SUMIFS(AN_TME_BY[[#All],[Claims: Pharmacy]],AN_TME_BY[[#All],[Insurance Category Code]],3,AN_TME_BY[[#All],[Advanced Network/Insurance Carrier Org ID]],B83)/D83)</f>
        <v>NA</v>
      </c>
      <c r="L83" s="108" t="str">
        <f>IF(D83=0,"NA",SUMIFS(AN_TME_BY[[#All],[Claims: Long-Term Care]],AN_TME_BY[[#All],[Insurance Category Code]],3,AN_TME_BY[[#All],[Advanced Network/Insurance Carrier Org ID]],B83)/D83)</f>
        <v>NA</v>
      </c>
      <c r="M83" s="108" t="str">
        <f>IF(D83=0,"NA",SUMIFS(AN_TME_BY[[#All],[Claims: Other]],AN_TME_BY[[#All],[Insurance Category Code]],3,AN_TME_BY[[#All],[Advanced Network/Insurance Carrier Org ID]],B83)/D83)</f>
        <v>NA</v>
      </c>
      <c r="N83" s="147" t="str">
        <f>IF(D83=0,"NA",SUMIFS(AN_TME_BY[[#All],[TOTAL Non-Truncated Unadjusted Claims Expenses]],AN_TME_BY[[#All],[Insurance Category Code]],3,AN_TME_BY[[#All],[Advanced Network/Insurance Carrier Org ID]],B83)/D83)</f>
        <v>NA</v>
      </c>
      <c r="O83" s="147" t="str">
        <f>IF(D83=0,"NA",SUMIFS(AN_TME_BY[[#All],[TOTAL Truncated Unadjusted Claims Expenses (A21 -A19)]],AN_TME_BY[[#All],[Insurance Category Code]],3,AN_TME_BY[[#All],[Advanced Network/Insurance Carrier Org ID]],B83)/D83)</f>
        <v>NA</v>
      </c>
      <c r="P83" s="147" t="str">
        <f>IF(D83=0,"NA",SUMIFS(AN_TME_BY[[#All],[TOTAL Non-Claims Expenses]],AN_TME_BY[[#All],[Insurance Category Code]],3,AN_TME_BY[[#All],[Advanced Network/Insurance Carrier Org ID]],B83)/D83)</f>
        <v>NA</v>
      </c>
      <c r="Q83" s="147" t="str">
        <f>IF(D83=0,"NA",SUMIFS(AN_TME_BY[[#All],[TOTAL Non-Truncated Unadjusted Expenses (A21 + A23)]],AN_TME_BY[[#All],[Insurance Category Code]],3,AN_TME_BY[[#All],[Advanced Network/Insurance Carrier Org ID]],B83)/D83)</f>
        <v>NA</v>
      </c>
      <c r="R83" s="147" t="str">
        <f>IF(D83=0,"NA",SUMIFS(AN_TME_BY[[#All],[TOTAL Truncated Unadjusted Expenses (A22 + A23)]],AN_TME_BY[[#All],[Insurance Category Code]],3,AN_TME_BY[[#All],[Advanced Network/Insurance Carrier Org ID]],B83)/D83)</f>
        <v>NA</v>
      </c>
      <c r="S83" s="448">
        <f>SUMIFS(AN_TME_PY[[#All],[Member Months]],AN_TME_PY[[#All],[Insurance Category Code]],3,AN_TME_PY[[#All],[Advanced Network/Insurance Carrier Org ID]],B83)</f>
        <v>0</v>
      </c>
      <c r="T83" s="137" t="str">
        <f>IF(S83=0,"NA",SUMIFS(AN_TME_PY[[#All],[Claims: Hospital Inpatient]],AN_TME_PY[[#All],[Insurance Category Code]],3,AN_TME_PY[[#All],[Advanced Network/Insurance Carrier Org ID]],B83)/S83)</f>
        <v>NA</v>
      </c>
      <c r="U83" s="108" t="str">
        <f>IF(S83=0,"NA",SUMIFS(AN_TME_PY[[#All],[Claims: Hospital Outpatient]],AN_TME_PY[[#All],[Insurance Category Code]],3,AN_TME_PY[[#All],[Advanced Network/Insurance Carrier Org ID]],B83)/S83)</f>
        <v>NA</v>
      </c>
      <c r="V83" s="108" t="str">
        <f>IF(S83=0,"NA",SUMIFS(AN_TME_PY[[#All],[Claims: Professional, Primary Care]],AN_TME_PY[[#All],[Insurance Category Code]],3,AN_TME_PY[[#All],[Advanced Network/Insurance Carrier Org ID]],B83)/S83)</f>
        <v>NA</v>
      </c>
      <c r="W83" s="108" t="str">
        <f>IF(S83=0,"NA",SUMIFS(AN_TME_PY[[#All],[Claims: Professional, Primary Care (for Monitoring Purposes)]],AN_TME_PY[[#All],[Insurance Category Code]],3,AN_TME_PY[[#All],[Advanced Network/Insurance Carrier Org ID]],B83)/S83)</f>
        <v>NA</v>
      </c>
      <c r="X83" s="108" t="str">
        <f>IF(S83=0,"NA",SUMIFS(AN_TME_PY[[#All],[Claims: Professional, Specialty]],AN_TME_PY[[#All],[Insurance Category Code]],3,AN_TME_PY[[#All],[Advanced Network/Insurance Carrier Org ID]],B83)/S83)</f>
        <v>NA</v>
      </c>
      <c r="Y83" s="108" t="str">
        <f>IF(S83=0,"NA",SUMIFS(AN_TME_PY[[#All],[Claims: Professional Other]],AN_TME_PY[[#All],[Insurance Category Code]],3,AN_TME_PY[[#All],[Advanced Network/Insurance Carrier Org ID]],B83)/S83)</f>
        <v>NA</v>
      </c>
      <c r="Z83" s="108" t="str">
        <f>IF(S83=0,"NA",SUMIFS(AN_TME_PY[[#All],[Claims: Pharmacy]],AN_TME_PY[[#All],[Insurance Category Code]],3,AN_TME_PY[[#All],[Advanced Network/Insurance Carrier Org ID]],B83)/S83)</f>
        <v>NA</v>
      </c>
      <c r="AA83" s="108" t="str">
        <f>IF(S83=0,"NA",SUMIFS(AN_TME_PY[[#All],[Claims: Long-Term Care]],AN_TME_PY[[#All],[Insurance Category Code]],3,AN_TME_PY[[#All],[Advanced Network/Insurance Carrier Org ID]],B83)/S83)</f>
        <v>NA</v>
      </c>
      <c r="AB83" s="108" t="str">
        <f>IF(S83=0,"NA",SUMIFS(AN_TME_PY[[#All],[Claims: Other]],AN_TME_PY[[#All],[Insurance Category Code]],3,AN_TME_PY[[#All],[Advanced Network/Insurance Carrier Org ID]],B83)/S83)</f>
        <v>NA</v>
      </c>
      <c r="AC83" s="147" t="str">
        <f>IF(S83=0,"NA",SUMIFS(AN_TME_PY[[#All],[TOTAL Non-Truncated Unadjusted Claims Expenses]],AN_TME_PY[[#All],[Insurance Category Code]],3,AN_TME_PY[[#All],[Advanced Network/Insurance Carrier Org ID]],B83)/S83)</f>
        <v>NA</v>
      </c>
      <c r="AD83" s="147" t="str">
        <f>IF(S83=0,"NA",SUMIFS(AN_TME_PY[[#All],[TOTAL Truncated Unadjusted Claims Expenses (A21 -A19)]],AN_TME_PY[[#All],[Insurance Category Code]],3,AN_TME_PY[[#All],[Advanced Network/Insurance Carrier Org ID]],B83)/S83)</f>
        <v>NA</v>
      </c>
      <c r="AE83" s="147" t="str">
        <f>IF(S83=0,"NA",SUMIFS(AN_TME_PY[[#All],[TOTAL Non-Claims Expenses]],AN_TME_PY[[#All],[Insurance Category Code]],3,AN_TME_PY[[#All],[Advanced Network/Insurance Carrier Org ID]],B83)/S83)</f>
        <v>NA</v>
      </c>
      <c r="AF83" s="147" t="str">
        <f>IF(S83=0,"NA",SUMIFS(AN_TME_PY[[#All],[TOTAL Non-Truncated Unadjusted Expenses (A21 + A23)]],AN_TME_PY[[#All],[Insurance Category Code]],3,AN_TME_PY[[#All],[Advanced Network/Insurance Carrier Org ID]],B83)/S83)</f>
        <v>NA</v>
      </c>
      <c r="AG83" s="138" t="str">
        <f>IF(S83=0,"NA",SUMIFS(AN_TME_PY[[#All],[TOTAL Truncated Unadjusted Expenses (A22 + A23)]],AN_TME_PY[[#All],[Insurance Category Code]],3,AN_TME_PY[[#All],[Advanced Network/Insurance Carrier Org ID]],B83)/S83)</f>
        <v>NA</v>
      </c>
      <c r="AH83" s="419" t="str">
        <f>IF(D83=0,"NA",S83/D83-1)</f>
        <v>NA</v>
      </c>
      <c r="AI83" s="420" t="str">
        <f>IF(D83=0,"NA",T83/E83-1)</f>
        <v>NA</v>
      </c>
      <c r="AJ83" s="421" t="str">
        <f>IF(D83=0,"NA",U83/F83-1)</f>
        <v>NA</v>
      </c>
      <c r="AK83" s="421" t="str">
        <f>IF(D83=0,"NA",V83/G83-1)</f>
        <v>NA</v>
      </c>
      <c r="AL83" s="421" t="str">
        <f>IF(D83=0,"NA",W83/H83-1)</f>
        <v>NA</v>
      </c>
      <c r="AM83" s="421" t="str">
        <f>IF(D83=0,"NA",X83/I83-1)</f>
        <v>NA</v>
      </c>
      <c r="AN83" s="421" t="str">
        <f>IF(D83=0,"NA",Y83/J83-1)</f>
        <v>NA</v>
      </c>
      <c r="AO83" s="421" t="str">
        <f>IF(D83=0,"NA",Z83/K83-1)</f>
        <v>NA</v>
      </c>
      <c r="AP83" s="421" t="str">
        <f>IF(D83=0,"NA",AA83/L83-1)</f>
        <v>NA</v>
      </c>
      <c r="AQ83" s="421" t="str">
        <f>IF(D83=0,"NA",AB83/M83-1)</f>
        <v>NA</v>
      </c>
      <c r="AR83" s="422" t="str">
        <f>IF(D83=0,"NA",AC83/N83-1)</f>
        <v>NA</v>
      </c>
      <c r="AS83" s="422" t="str">
        <f>IF(D83=0,"NA",AD83/O83-1)</f>
        <v>NA</v>
      </c>
      <c r="AT83" s="422" t="str">
        <f>IF(D83=0,"NA",AE83/P83-1)</f>
        <v>NA</v>
      </c>
      <c r="AU83" s="422" t="str">
        <f>IF(D83=0,"NA",AF83/Q83-1)</f>
        <v>NA</v>
      </c>
      <c r="AV83" s="423" t="str">
        <f>IF(D83=0,"NA",AG83/R83-1)</f>
        <v>NA</v>
      </c>
    </row>
    <row r="84" spans="1:48" ht="15" customHeight="1" x14ac:dyDescent="0.25">
      <c r="B84" s="149"/>
      <c r="C84" s="152" t="s">
        <v>332</v>
      </c>
      <c r="D84" s="449">
        <f>SUM(D49:D83)</f>
        <v>0</v>
      </c>
      <c r="E84" s="139" t="str">
        <f>IF(D84=0,"NA",SUMPRODUCT(E49:E83,D49:D83)/D84)</f>
        <v>NA</v>
      </c>
      <c r="F84" s="109" t="str">
        <f>IF(D84=0,"NA",SUMPRODUCT(F49:F83,D49:D83)/D84)</f>
        <v>NA</v>
      </c>
      <c r="G84" s="109" t="str">
        <f>IF(D84=0,"NA",SUMPRODUCT(G49:G83,D49:D83)/D84)</f>
        <v>NA</v>
      </c>
      <c r="H84" s="109" t="str">
        <f>IF(D84=0,"NA",SUMPRODUCT(H49:H83,D49:D83)/D84)</f>
        <v>NA</v>
      </c>
      <c r="I84" s="109" t="str">
        <f>IF(D84=0,"NA",SUMPRODUCT(I49:I83,D49:D83)/D84)</f>
        <v>NA</v>
      </c>
      <c r="J84" s="109" t="str">
        <f>IF(D84=0,"NA",SUMPRODUCT(J49:J83,D49:D83)/D84)</f>
        <v>NA</v>
      </c>
      <c r="K84" s="109" t="str">
        <f>IF(D84=0,"NA",SUMPRODUCT(K49:K83,D49:D83)/D84)</f>
        <v>NA</v>
      </c>
      <c r="L84" s="109" t="str">
        <f>IF(D84=0,"NA",SUMPRODUCT(L49:L83,D49:D83)/D84)</f>
        <v>NA</v>
      </c>
      <c r="M84" s="109" t="str">
        <f>IF(D84=0,"NA",SUMPRODUCT(M49:M83,D49:D83)/D84)</f>
        <v>NA</v>
      </c>
      <c r="N84" s="140" t="str">
        <f>IF(D84=0,"NA",SUMPRODUCT(N49:N83,D49:D83)/D84)</f>
        <v>NA</v>
      </c>
      <c r="O84" s="140" t="str">
        <f>IF(D84=0,"NA",SUMPRODUCT(O49:O83,D49:D83)/D84)</f>
        <v>NA</v>
      </c>
      <c r="P84" s="140" t="str">
        <f>IF(D84=0,"NA",SUMPRODUCT(P49:P83,D49:D83)/D84)</f>
        <v>NA</v>
      </c>
      <c r="Q84" s="140" t="str">
        <f>IF(D84=0,"NA",SUMPRODUCT(Q49:Q83,D49:D83)/D84)</f>
        <v>NA</v>
      </c>
      <c r="R84" s="140" t="str">
        <f>IF(D84=0,"NA",SUMPRODUCT(R49:R83,D49:D83)/D84)</f>
        <v>NA</v>
      </c>
      <c r="S84" s="449">
        <f>SUM(S49:S83)</f>
        <v>0</v>
      </c>
      <c r="T84" s="139" t="str">
        <f>IF(S84=0,"NA",SUMPRODUCT(T49:T83,S49:S83)/S84)</f>
        <v>NA</v>
      </c>
      <c r="U84" s="109" t="str">
        <f>IF(S84=0,"NA",SUMPRODUCT(U49:U83,S49:S83)/S84)</f>
        <v>NA</v>
      </c>
      <c r="V84" s="109" t="str">
        <f>IF(S84=0,"NA",SUMPRODUCT(V49:V83,S49:S83)/S84)</f>
        <v>NA</v>
      </c>
      <c r="W84" s="109" t="str">
        <f>IF(S84=0,"NA",SUMPRODUCT(W49:W83,S49:S83)/S84)</f>
        <v>NA</v>
      </c>
      <c r="X84" s="109" t="str">
        <f>IF(S84=0,"NA",SUMPRODUCT(X49:X83,S49:S83)/S84)</f>
        <v>NA</v>
      </c>
      <c r="Y84" s="109" t="str">
        <f>IF(S84=0,"NA",SUMPRODUCT(Y49:Y83,S49:S83)/S84)</f>
        <v>NA</v>
      </c>
      <c r="Z84" s="109" t="str">
        <f>IF(S84=0,"NA",SUMPRODUCT(Z49:Z83,S49:S83)/S84)</f>
        <v>NA</v>
      </c>
      <c r="AA84" s="109" t="str">
        <f>IF(S84=0,"NA",SUMPRODUCT(AA49:AA83,S49:S83)/S84)</f>
        <v>NA</v>
      </c>
      <c r="AB84" s="109" t="str">
        <f>IF(S84=0,"NA",SUMPRODUCT(AB49:AB83,S49:S83)/S84)</f>
        <v>NA</v>
      </c>
      <c r="AC84" s="140" t="str">
        <f>IF(S84=0,"NA",SUMPRODUCT(AC49:AC83,S49:S83)/S84)</f>
        <v>NA</v>
      </c>
      <c r="AD84" s="140" t="str">
        <f>IF(S84=0,"NA",SUMPRODUCT(AD49:AD83,S49:S83)/S84)</f>
        <v>NA</v>
      </c>
      <c r="AE84" s="140" t="str">
        <f>IF(S84=0,"NA",SUMPRODUCT(AE49:AE83,S49:S83)/S84)</f>
        <v>NA</v>
      </c>
      <c r="AF84" s="140" t="str">
        <f>IF(S84=0,"NA",SUMPRODUCT(AF49:AF83,S49:S83)/S84)</f>
        <v>NA</v>
      </c>
      <c r="AG84" s="141" t="str">
        <f>IF(S84=0,"NA",SUMPRODUCT(AG49:AG83,S49:S83)/S84)</f>
        <v>NA</v>
      </c>
      <c r="AH84" s="424" t="str">
        <f>IF(D84=0,"NA",S84/D84-1)</f>
        <v>NA</v>
      </c>
      <c r="AI84" s="425" t="str">
        <f>IF(D84=0,"NA",T84/E84-1)</f>
        <v>NA</v>
      </c>
      <c r="AJ84" s="426" t="str">
        <f>IF(D84=0,"NA",U84/F84-1)</f>
        <v>NA</v>
      </c>
      <c r="AK84" s="426" t="str">
        <f>IF(D84=0,"NA",V84/G84-1)</f>
        <v>NA</v>
      </c>
      <c r="AL84" s="426" t="str">
        <f>IF(D84=0,"NA",W84/H84-1)</f>
        <v>NA</v>
      </c>
      <c r="AM84" s="426" t="str">
        <f>IF(D84=0,"NA",X84/I84-1)</f>
        <v>NA</v>
      </c>
      <c r="AN84" s="426" t="str">
        <f>IF(D84=0,"NA",Y84/J84-1)</f>
        <v>NA</v>
      </c>
      <c r="AO84" s="426" t="str">
        <f>IF(D84=0,"NA",Z84/K84-1)</f>
        <v>NA</v>
      </c>
      <c r="AP84" s="426" t="str">
        <f>IF(D84=0,"NA",AA84/L84-1)</f>
        <v>NA</v>
      </c>
      <c r="AQ84" s="426" t="str">
        <f>IF(D84=0,"NA",AB84/M84-1)</f>
        <v>NA</v>
      </c>
      <c r="AR84" s="427" t="str">
        <f>IF(D84=0,"NA",AC84/N84-1)</f>
        <v>NA</v>
      </c>
      <c r="AS84" s="427" t="str">
        <f>IF(D84=0,"NA",AD84/O84-1)</f>
        <v>NA</v>
      </c>
      <c r="AT84" s="427" t="str">
        <f>IF(D84=0,"NA",AE84/P84-1)</f>
        <v>NA</v>
      </c>
      <c r="AU84" s="427" t="str">
        <f>IF(D84=0,"NA",AF84/Q84-1)</f>
        <v>NA</v>
      </c>
      <c r="AV84" s="428" t="str">
        <f>IF(D84=0,"NA",AG84/R84-1)</f>
        <v>NA</v>
      </c>
    </row>
    <row r="85" spans="1:48" ht="15.75" customHeight="1" thickBot="1" x14ac:dyDescent="0.3">
      <c r="B85" s="150"/>
      <c r="C85" s="153" t="s">
        <v>333</v>
      </c>
      <c r="D85" s="450">
        <f t="shared" ref="D85:J85" si="120">D84</f>
        <v>0</v>
      </c>
      <c r="E85" s="142" t="str">
        <f t="shared" si="120"/>
        <v>NA</v>
      </c>
      <c r="F85" s="143" t="str">
        <f t="shared" si="120"/>
        <v>NA</v>
      </c>
      <c r="G85" s="143" t="str">
        <f t="shared" si="120"/>
        <v>NA</v>
      </c>
      <c r="H85" s="143" t="str">
        <f t="shared" si="120"/>
        <v>NA</v>
      </c>
      <c r="I85" s="143" t="str">
        <f t="shared" si="120"/>
        <v>NA</v>
      </c>
      <c r="J85" s="143" t="str">
        <f t="shared" si="120"/>
        <v>NA</v>
      </c>
      <c r="K85" s="143" t="str">
        <f>IF(D85=0,"NA",(SUMPRODUCT(K49:K83,D49:D83)-ABS(SUMIF(RX_REBATES_BY[[#All],[Insurance Category Code]],3,RX_REBATES_BY[[#All],[Total Pharmacy Rebates]])))/D85)</f>
        <v>NA</v>
      </c>
      <c r="L85" s="143" t="str">
        <f>L84</f>
        <v>NA</v>
      </c>
      <c r="M85" s="143" t="str">
        <f>M84</f>
        <v>NA</v>
      </c>
      <c r="N85" s="144" t="str">
        <f>IF(D85=0,"NA",(SUMPRODUCT(N49:N83,D49:D83)-ABS(SUMIF(RX_REBATES_BY[[#All],[Insurance Category Code]],3,RX_REBATES_BY[[#All],[Total Pharmacy Rebates]])))/D85)</f>
        <v>NA</v>
      </c>
      <c r="O85" s="144" t="str">
        <f>IF(D85=0,"NA",(SUMPRODUCT(O49:O83,D49:D83)-ABS(SUMIF(RX_REBATES_BY[[#All],[Insurance Category Code]],3,RX_REBATES_BY[[#All],[Total Pharmacy Rebates]])))/D85)</f>
        <v>NA</v>
      </c>
      <c r="P85" s="144" t="str">
        <f>IF(D85=0,"NA",(SUMPRODUCT(P49:P83,D49:D83)-ABS(SUMIF(RX_REBATES_BY[[#All],[Insurance Category Code]],3,RX_REBATES_BY[[#All],[Total Pharmacy Rebates]])))/D85)</f>
        <v>NA</v>
      </c>
      <c r="Q85" s="144" t="str">
        <f>IF(D85=0,"NA",(SUMPRODUCT(Q49:Q83,D49:D83)-ABS(SUMIF(RX_REBATES_BY[[#All],[Insurance Category Code]],3,RX_REBATES_BY[[#All],[Total Pharmacy Rebates]])))/D85)</f>
        <v>NA</v>
      </c>
      <c r="R85" s="144" t="str">
        <f>IF(D85=0,"NA",(SUMPRODUCT(R49:R83,D49:D83)-ABS(SUMIF(RX_REBATES_BY[[#All],[Insurance Category Code]],3,RX_REBATES_BY[[#All],[Total Pharmacy Rebates]])))/D85)</f>
        <v>NA</v>
      </c>
      <c r="S85" s="450">
        <f t="shared" ref="S85:Y85" si="121">S84</f>
        <v>0</v>
      </c>
      <c r="T85" s="142" t="str">
        <f t="shared" si="121"/>
        <v>NA</v>
      </c>
      <c r="U85" s="143" t="str">
        <f t="shared" si="121"/>
        <v>NA</v>
      </c>
      <c r="V85" s="143" t="str">
        <f t="shared" si="121"/>
        <v>NA</v>
      </c>
      <c r="W85" s="143" t="str">
        <f t="shared" si="121"/>
        <v>NA</v>
      </c>
      <c r="X85" s="143" t="str">
        <f t="shared" si="121"/>
        <v>NA</v>
      </c>
      <c r="Y85" s="143" t="str">
        <f t="shared" si="121"/>
        <v>NA</v>
      </c>
      <c r="Z85" s="143" t="str">
        <f>IF(S85=0,"NA",(SUMPRODUCT(Z49:Z83,S49:S83)-ABS(SUMIF(RX_REBATES_PY[[#All],[Insurance Category Code]],3,RX_REBATES_PY[[#All],[Total Pharmacy Rebates]])))/S85)</f>
        <v>NA</v>
      </c>
      <c r="AA85" s="143" t="str">
        <f>AA84</f>
        <v>NA</v>
      </c>
      <c r="AB85" s="143" t="str">
        <f>AB84</f>
        <v>NA</v>
      </c>
      <c r="AC85" s="144" t="str">
        <f>IF(S85=0,"NA",(SUMPRODUCT(AC49:AC83,S49:S83)-ABS(SUMIF(RX_REBATES_PY[[#All],[Insurance Category Code]],3,RX_REBATES_PY[[#All],[Total Pharmacy Rebates]])))/S85)</f>
        <v>NA</v>
      </c>
      <c r="AD85" s="144" t="str">
        <f>IF(S85=0,"NA",(SUMPRODUCT(AD49:AD83,S49:S83)-ABS(SUMIF(RX_REBATES_PY[[#All],[Insurance Category Code]],3,RX_REBATES_BY[[#All],[Total Pharmacy Rebates]])))/S85)</f>
        <v>NA</v>
      </c>
      <c r="AE85" s="144" t="str">
        <f>IF(S85=0,"NA",(SUMPRODUCT(AE49:AE83,S49:S83)-ABS(SUMIF(RX_REBATES_PY[[#All],[Insurance Category Code]],3,RX_REBATES_BY[[#All],[Total Pharmacy Rebates]])))/S85)</f>
        <v>NA</v>
      </c>
      <c r="AF85" s="144" t="str">
        <f>IF(S85=0,"NA",(SUMPRODUCT(AF49:AF83,S49:S83)-ABS(SUMIF(RX_REBATES_PY[[#All],[Insurance Category Code]],3,RX_REBATES_BY[[#All],[Total Pharmacy Rebates]])))/S85)</f>
        <v>NA</v>
      </c>
      <c r="AG85" s="145" t="str">
        <f>IF(S85=0,"NA",(SUMPRODUCT(AG49:AG83,S49:S83)-ABS(SUMIF(RX_REBATES_PY[[#All],[Insurance Category Code]],3,RX_REBATES_BY[[#All],[Total Pharmacy Rebates]])))/S85)</f>
        <v>NA</v>
      </c>
      <c r="AH85" s="429" t="str">
        <f>IF(D85=0,"NA",S85/D85-1)</f>
        <v>NA</v>
      </c>
      <c r="AI85" s="430" t="str">
        <f>IF(D85=0,"NA",T85/E85-1)</f>
        <v>NA</v>
      </c>
      <c r="AJ85" s="431" t="str">
        <f>IF(D85=0,"NA",U85/F85-1)</f>
        <v>NA</v>
      </c>
      <c r="AK85" s="431" t="str">
        <f>IF(D85=0,"NA",V85/G85-1)</f>
        <v>NA</v>
      </c>
      <c r="AL85" s="431" t="str">
        <f>IF(D85=0,"NA",W85/H85-1)</f>
        <v>NA</v>
      </c>
      <c r="AM85" s="431" t="str">
        <f>IF(D85=0,"NA",X85/I85-1)</f>
        <v>NA</v>
      </c>
      <c r="AN85" s="431" t="str">
        <f>IF(D85=0,"NA",Y85/J85-1)</f>
        <v>NA</v>
      </c>
      <c r="AO85" s="431" t="str">
        <f>IF(D85=0,"NA",Z85/K85-1)</f>
        <v>NA</v>
      </c>
      <c r="AP85" s="431" t="str">
        <f>IF(D85=0,"NA",AA85/L85-1)</f>
        <v>NA</v>
      </c>
      <c r="AQ85" s="431" t="str">
        <f>IF(D85=0,"NA",AB85/M85-1)</f>
        <v>NA</v>
      </c>
      <c r="AR85" s="432" t="str">
        <f>IF(D85=0,"NA",AC85/N85-1)</f>
        <v>NA</v>
      </c>
      <c r="AS85" s="432" t="str">
        <f>IF(D85=0,"NA",AD85/O85-1)</f>
        <v>NA</v>
      </c>
      <c r="AT85" s="432" t="str">
        <f>IF(D85=0,"NA",AE85/P85-1)</f>
        <v>NA</v>
      </c>
      <c r="AU85" s="432" t="str">
        <f>IF(D85=0,"NA",AF85/Q85-1)</f>
        <v>NA</v>
      </c>
      <c r="AV85" s="433" t="str">
        <f>IF(D85=0,"NA",AG85/R85-1)</f>
        <v>NA</v>
      </c>
    </row>
    <row r="87" spans="1:48" ht="16.5" thickBot="1" x14ac:dyDescent="0.3">
      <c r="B87" s="53" t="s">
        <v>335</v>
      </c>
      <c r="C87" s="464"/>
    </row>
    <row r="88" spans="1:48" x14ac:dyDescent="0.25">
      <c r="B88" s="611" t="s">
        <v>322</v>
      </c>
      <c r="C88" s="612"/>
      <c r="D88" s="608">
        <v>2023</v>
      </c>
      <c r="E88" s="609"/>
      <c r="F88" s="609"/>
      <c r="G88" s="609"/>
      <c r="H88" s="609"/>
      <c r="I88" s="609"/>
      <c r="J88" s="609"/>
      <c r="K88" s="609"/>
      <c r="L88" s="609"/>
      <c r="M88" s="609"/>
      <c r="N88" s="609"/>
      <c r="O88" s="609"/>
      <c r="P88" s="609"/>
      <c r="Q88" s="609"/>
      <c r="R88" s="609"/>
      <c r="S88" s="608">
        <v>2024</v>
      </c>
      <c r="T88" s="609"/>
      <c r="U88" s="609"/>
      <c r="V88" s="609"/>
      <c r="W88" s="609"/>
      <c r="X88" s="609"/>
      <c r="Y88" s="609"/>
      <c r="Z88" s="609"/>
      <c r="AA88" s="609"/>
      <c r="AB88" s="609"/>
      <c r="AC88" s="609"/>
      <c r="AD88" s="609"/>
      <c r="AE88" s="609"/>
      <c r="AF88" s="609"/>
      <c r="AG88" s="610"/>
      <c r="AH88" s="590" t="s">
        <v>292</v>
      </c>
      <c r="AI88" s="591"/>
      <c r="AJ88" s="592"/>
      <c r="AK88" s="592"/>
      <c r="AL88" s="592"/>
      <c r="AM88" s="592"/>
      <c r="AN88" s="592"/>
      <c r="AO88" s="592"/>
      <c r="AP88" s="592"/>
      <c r="AQ88" s="592"/>
      <c r="AR88" s="593"/>
      <c r="AS88" s="593"/>
      <c r="AT88" s="593"/>
      <c r="AU88" s="593"/>
      <c r="AV88" s="594"/>
    </row>
    <row r="89" spans="1:48" ht="30" x14ac:dyDescent="0.25">
      <c r="B89" s="68" t="s">
        <v>323</v>
      </c>
      <c r="C89" s="69" t="s">
        <v>324</v>
      </c>
      <c r="D89" s="68" t="s">
        <v>212</v>
      </c>
      <c r="E89" s="127" t="s">
        <v>124</v>
      </c>
      <c r="F89" s="63" t="s">
        <v>125</v>
      </c>
      <c r="G89" s="63" t="s">
        <v>127</v>
      </c>
      <c r="H89" s="63" t="s">
        <v>325</v>
      </c>
      <c r="I89" s="63" t="s">
        <v>129</v>
      </c>
      <c r="J89" s="63" t="s">
        <v>130</v>
      </c>
      <c r="K89" s="63" t="s">
        <v>326</v>
      </c>
      <c r="L89" s="63" t="s">
        <v>327</v>
      </c>
      <c r="M89" s="63" t="s">
        <v>134</v>
      </c>
      <c r="N89" s="133" t="s">
        <v>328</v>
      </c>
      <c r="O89" s="133" t="s">
        <v>329</v>
      </c>
      <c r="P89" s="133" t="s">
        <v>218</v>
      </c>
      <c r="Q89" s="133" t="s">
        <v>330</v>
      </c>
      <c r="R89" s="133" t="s">
        <v>331</v>
      </c>
      <c r="S89" s="68" t="s">
        <v>212</v>
      </c>
      <c r="T89" s="127" t="s">
        <v>124</v>
      </c>
      <c r="U89" s="63" t="s">
        <v>125</v>
      </c>
      <c r="V89" s="63" t="s">
        <v>127</v>
      </c>
      <c r="W89" s="63" t="s">
        <v>325</v>
      </c>
      <c r="X89" s="63" t="s">
        <v>129</v>
      </c>
      <c r="Y89" s="63" t="s">
        <v>130</v>
      </c>
      <c r="Z89" s="63" t="s">
        <v>326</v>
      </c>
      <c r="AA89" s="63" t="s">
        <v>327</v>
      </c>
      <c r="AB89" s="63" t="s">
        <v>134</v>
      </c>
      <c r="AC89" s="133" t="s">
        <v>328</v>
      </c>
      <c r="AD89" s="133" t="s">
        <v>329</v>
      </c>
      <c r="AE89" s="133" t="s">
        <v>218</v>
      </c>
      <c r="AF89" s="133" t="s">
        <v>330</v>
      </c>
      <c r="AG89" s="69" t="s">
        <v>331</v>
      </c>
      <c r="AH89" s="68" t="s">
        <v>212</v>
      </c>
      <c r="AI89" s="127" t="s">
        <v>124</v>
      </c>
      <c r="AJ89" s="63" t="s">
        <v>125</v>
      </c>
      <c r="AK89" s="63" t="s">
        <v>127</v>
      </c>
      <c r="AL89" s="63" t="s">
        <v>325</v>
      </c>
      <c r="AM89" s="63" t="s">
        <v>129</v>
      </c>
      <c r="AN89" s="63" t="s">
        <v>130</v>
      </c>
      <c r="AO89" s="63" t="s">
        <v>326</v>
      </c>
      <c r="AP89" s="63" t="s">
        <v>327</v>
      </c>
      <c r="AQ89" s="63" t="s">
        <v>134</v>
      </c>
      <c r="AR89" s="133" t="s">
        <v>328</v>
      </c>
      <c r="AS89" s="133" t="s">
        <v>329</v>
      </c>
      <c r="AT89" s="133" t="s">
        <v>218</v>
      </c>
      <c r="AU89" s="133" t="s">
        <v>330</v>
      </c>
      <c r="AV89" s="69" t="s">
        <v>331</v>
      </c>
    </row>
    <row r="90" spans="1:48" ht="15" customHeight="1" x14ac:dyDescent="0.25">
      <c r="A90" s="146"/>
      <c r="B90" s="148">
        <v>101</v>
      </c>
      <c r="C90" s="151" t="str">
        <f>_xlfn.XLOOKUP(B90, LgProvEntOrgIDs[Advanced Network/Insurer Carrier Org ID], LgProvEntOrgIDs[Advanced Network/Insurance Carrier Overall])</f>
        <v>Privia Quality Network of Connecticut (PQN CT) (formerly Community Medical Group)</v>
      </c>
      <c r="D90" s="448">
        <f>SUMIFS(AN_TME_BY[[#All],[Member Months]],AN_TME_BY[[#All],[Insurance Category Code]],4,AN_TME_BY[[#All],[Advanced Network/Insurance Carrier Org ID]],B90)</f>
        <v>0</v>
      </c>
      <c r="E90" s="137" t="str">
        <f>IF(D90=0,"NA",SUMIFS(AN_TME_BY[[#All],[Claims: Hospital Inpatient]],AN_TME_BY[[#All],[Insurance Category Code]],4,AN_TME_BY[[#All],[Advanced Network/Insurance Carrier Org ID]],B90)/D90)</f>
        <v>NA</v>
      </c>
      <c r="F90" s="108" t="str">
        <f>IF(D90=0,"NA",SUMIFS(AN_TME_BY[[#All],[Claims: Hospital Outpatient]],AN_TME_BY[[#All],[Insurance Category Code]],4,AN_TME_BY[[#All],[Advanced Network/Insurance Carrier Org ID]],B90)/D90)</f>
        <v>NA</v>
      </c>
      <c r="G90" s="108" t="str">
        <f>IF(D90=0,"NA",SUMIFS(AN_TME_BY[[#All],[Claims: Professional, Primary Care]],AN_TME_BY[[#All],[Insurance Category Code]],4,AN_TME_BY[[#All],[Advanced Network/Insurance Carrier Org ID]],B90)/D90)</f>
        <v>NA</v>
      </c>
      <c r="H90" s="108" t="str">
        <f>IF(D90=0,"NA",SUMIFS(AN_TME_BY[[#All],[Claims: Professional, Primary Care (for Monitoring Purposes)]],AN_TME_BY[[#All],[Insurance Category Code]],4,AN_TME_BY[[#All],[Advanced Network/Insurance Carrier Org ID]],B90)/D90)</f>
        <v>NA</v>
      </c>
      <c r="I90" s="108" t="str">
        <f>IF(D90=0,"NA",SUMIFS(AN_TME_BY[[#All],[Claims: Professional, Specialty]],AN_TME_BY[[#All],[Insurance Category Code]],4,AN_TME_BY[[#All],[Advanced Network/Insurance Carrier Org ID]],B90)/D90)</f>
        <v>NA</v>
      </c>
      <c r="J90" s="108" t="str">
        <f>IF(D90=0,"NA",SUMIFS(AN_TME_BY[[#All],[Claims: Professional Other]],AN_TME_BY[[#All],[Insurance Category Code]],4,AN_TME_BY[[#All],[Advanced Network/Insurance Carrier Org ID]],B90)/D90)</f>
        <v>NA</v>
      </c>
      <c r="K90" s="108" t="str">
        <f>IF(D90=0,"NA",SUMIFS(AN_TME_BY[[#All],[Claims: Pharmacy]],AN_TME_BY[[#All],[Insurance Category Code]],4,AN_TME_BY[[#All],[Advanced Network/Insurance Carrier Org ID]],B90)/D90)</f>
        <v>NA</v>
      </c>
      <c r="L90" s="108" t="str">
        <f>IF(D90=0,"NA",SUMIFS(AN_TME_BY[[#All],[Claims: Long-Term Care]],AN_TME_BY[[#All],[Insurance Category Code]],4,AN_TME_BY[[#All],[Advanced Network/Insurance Carrier Org ID]],B90)/D90)</f>
        <v>NA</v>
      </c>
      <c r="M90" s="108" t="str">
        <f>IF(D90=0,"NA",SUMIFS(AN_TME_BY[[#All],[Claims: Other]],AN_TME_BY[[#All],[Insurance Category Code]],4,AN_TME_BY[[#All],[Advanced Network/Insurance Carrier Org ID]],B90)/D90)</f>
        <v>NA</v>
      </c>
      <c r="N90" s="147" t="str">
        <f>IF(D90=0,"NA",SUMIFS(AN_TME_BY[[#All],[TOTAL Non-Truncated Unadjusted Claims Expenses]],AN_TME_BY[[#All],[Insurance Category Code]],4,AN_TME_BY[[#All],[Advanced Network/Insurance Carrier Org ID]],B90)/D90)</f>
        <v>NA</v>
      </c>
      <c r="O90" s="147" t="str">
        <f>IF(D90=0,"NA",SUMIFS(AN_TME_BY[[#All],[TOTAL Truncated Unadjusted Claims Expenses (A21 -A19)]],AN_TME_BY[[#All],[Insurance Category Code]],4,AN_TME_BY[[#All],[Advanced Network/Insurance Carrier Org ID]],B90)/D90)</f>
        <v>NA</v>
      </c>
      <c r="P90" s="147" t="str">
        <f>IF(D90=0,"NA",SUMIFS(AN_TME_BY[[#All],[TOTAL Non-Claims Expenses]],AN_TME_BY[[#All],[Insurance Category Code]],4,AN_TME_BY[[#All],[Advanced Network/Insurance Carrier Org ID]],B90)/D90)</f>
        <v>NA</v>
      </c>
      <c r="Q90" s="147" t="str">
        <f>IF(D90=0,"NA",SUMIFS(AN_TME_BY[[#All],[TOTAL Non-Truncated Unadjusted Expenses (A21 + A23)]],AN_TME_BY[[#All],[Insurance Category Code]],4,AN_TME_BY[[#All],[Advanced Network/Insurance Carrier Org ID]],B90)/D90)</f>
        <v>NA</v>
      </c>
      <c r="R90" s="147" t="str">
        <f>IF(D90=0,"NA",SUMIFS(AN_TME_BY[[#All],[TOTAL Truncated Unadjusted Expenses (A22 + A23)]],AN_TME_BY[[#All],[Insurance Category Code]],4,AN_TME_BY[[#All],[Advanced Network/Insurance Carrier Org ID]],B90)/D90)</f>
        <v>NA</v>
      </c>
      <c r="S90" s="448">
        <f>SUMIFS(AN_TME_PY[[#All],[Member Months]],AN_TME_PY[[#All],[Insurance Category Code]],4,AN_TME_PY[[#All],[Advanced Network/Insurance Carrier Org ID]],B90)</f>
        <v>0</v>
      </c>
      <c r="T90" s="137" t="str">
        <f>IF(S90=0,"NA",SUMIFS(AN_TME_PY[[#All],[Claims: Hospital Inpatient]],AN_TME_PY[[#All],[Insurance Category Code]],4,AN_TME_PY[[#All],[Advanced Network/Insurance Carrier Org ID]],B90)/S90)</f>
        <v>NA</v>
      </c>
      <c r="U90" s="108" t="str">
        <f>IF(S90=0,"NA",SUMIFS(AN_TME_PY[[#All],[Claims: Hospital Outpatient]],AN_TME_PY[[#All],[Insurance Category Code]],4,AN_TME_PY[[#All],[Advanced Network/Insurance Carrier Org ID]],B90)/S90)</f>
        <v>NA</v>
      </c>
      <c r="V90" s="108" t="str">
        <f>IF(S90=0,"NA",SUMIFS(AN_TME_PY[[#All],[Claims: Professional, Primary Care]],AN_TME_PY[[#All],[Insurance Category Code]],4,AN_TME_PY[[#All],[Advanced Network/Insurance Carrier Org ID]],B90)/S90)</f>
        <v>NA</v>
      </c>
      <c r="W90" s="108" t="str">
        <f>IF(S90=0,"NA",SUMIFS(AN_TME_PY[[#All],[Claims: Professional, Primary Care (for Monitoring Purposes)]],AN_TME_PY[[#All],[Insurance Category Code]],4,AN_TME_PY[[#All],[Advanced Network/Insurance Carrier Org ID]],B90)/S90)</f>
        <v>NA</v>
      </c>
      <c r="X90" s="108" t="str">
        <f>IF(S90=0,"NA",SUMIFS(AN_TME_PY[[#All],[Claims: Professional, Specialty]],AN_TME_PY[[#All],[Insurance Category Code]],4,AN_TME_PY[[#All],[Advanced Network/Insurance Carrier Org ID]],B90)/S90)</f>
        <v>NA</v>
      </c>
      <c r="Y90" s="108" t="str">
        <f>IF(S90=0,"NA",SUMIFS(AN_TME_PY[[#All],[Claims: Professional Other]],AN_TME_PY[[#All],[Insurance Category Code]],4,AN_TME_PY[[#All],[Advanced Network/Insurance Carrier Org ID]],B90)/S90)</f>
        <v>NA</v>
      </c>
      <c r="Z90" s="108" t="str">
        <f>IF(S90=0,"NA",SUMIFS(AN_TME_PY[[#All],[Claims: Pharmacy]],AN_TME_PY[[#All],[Insurance Category Code]],4,AN_TME_PY[[#All],[Advanced Network/Insurance Carrier Org ID]],B90)/S90)</f>
        <v>NA</v>
      </c>
      <c r="AA90" s="108" t="str">
        <f>IF(S90=0,"NA",SUMIFS(AN_TME_PY[[#All],[Claims: Long-Term Care]],AN_TME_PY[[#All],[Insurance Category Code]],4,AN_TME_PY[[#All],[Advanced Network/Insurance Carrier Org ID]],B90)/S90)</f>
        <v>NA</v>
      </c>
      <c r="AB90" s="108" t="str">
        <f>IF(S90=0,"NA",SUMIFS(AN_TME_PY[[#All],[Claims: Other]],AN_TME_PY[[#All],[Insurance Category Code]],4,AN_TME_PY[[#All],[Advanced Network/Insurance Carrier Org ID]],B90)/S90)</f>
        <v>NA</v>
      </c>
      <c r="AC90" s="147" t="str">
        <f>IF(S90=0,"NA",SUMIFS(AN_TME_PY[[#All],[TOTAL Non-Truncated Unadjusted Claims Expenses]],AN_TME_PY[[#All],[Insurance Category Code]],4,AN_TME_PY[[#All],[Advanced Network/Insurance Carrier Org ID]],B90)/S90)</f>
        <v>NA</v>
      </c>
      <c r="AD90" s="147" t="str">
        <f>IF(S90=0,"NA",SUMIFS(AN_TME_PY[[#All],[TOTAL Truncated Unadjusted Claims Expenses (A21 -A19)]],AN_TME_PY[[#All],[Insurance Category Code]],4,AN_TME_PY[[#All],[Advanced Network/Insurance Carrier Org ID]],B90)/S90)</f>
        <v>NA</v>
      </c>
      <c r="AE90" s="147" t="str">
        <f>IF(S90=0,"NA",SUMIFS(AN_TME_PY[[#All],[TOTAL Non-Claims Expenses]],AN_TME_PY[[#All],[Insurance Category Code]],4,AN_TME_PY[[#All],[Advanced Network/Insurance Carrier Org ID]],B90)/S90)</f>
        <v>NA</v>
      </c>
      <c r="AF90" s="147" t="str">
        <f>IF(S90=0,"NA",SUMIFS(AN_TME_PY[[#All],[TOTAL Non-Truncated Unadjusted Expenses (A21 + A23)]],AN_TME_PY[[#All],[Insurance Category Code]],4,AN_TME_PY[[#All],[Advanced Network/Insurance Carrier Org ID]],B90)/S90)</f>
        <v>NA</v>
      </c>
      <c r="AG90" s="138" t="str">
        <f>IF(S90=0,"NA",SUMIFS(AN_TME_PY[[#All],[TOTAL Truncated Unadjusted Expenses (A22 + A23)]],AN_TME_PY[[#All],[Insurance Category Code]],4,AN_TME_PY[[#All],[Advanced Network/Insurance Carrier Org ID]],B90)/S90)</f>
        <v>NA</v>
      </c>
      <c r="AH90" s="419" t="str">
        <f>IF(D90=0,"NA",S90/D90-1)</f>
        <v>NA</v>
      </c>
      <c r="AI90" s="420" t="str">
        <f>IF(D90=0,"NA",T90/E90-1)</f>
        <v>NA</v>
      </c>
      <c r="AJ90" s="421" t="str">
        <f>IF(D90=0,"NA",U90/F90-1)</f>
        <v>NA</v>
      </c>
      <c r="AK90" s="421" t="str">
        <f>IF(D90=0,"NA",V90/G90-1)</f>
        <v>NA</v>
      </c>
      <c r="AL90" s="421" t="str">
        <f>IF(D90=0,"NA",W90/H90-1)</f>
        <v>NA</v>
      </c>
      <c r="AM90" s="421" t="str">
        <f>IF(D90=0,"NA",X90/I90-1)</f>
        <v>NA</v>
      </c>
      <c r="AN90" s="421" t="str">
        <f>IF(D90=0,"NA",Y90/J90-1)</f>
        <v>NA</v>
      </c>
      <c r="AO90" s="421" t="str">
        <f>IF(D90=0,"NA",Z90/K90-1)</f>
        <v>NA</v>
      </c>
      <c r="AP90" s="421" t="str">
        <f>IF(D90=0,"NA",AA90/L90-1)</f>
        <v>NA</v>
      </c>
      <c r="AQ90" s="421" t="str">
        <f>IF(D90=0,"NA",AB90/M90-1)</f>
        <v>NA</v>
      </c>
      <c r="AR90" s="422" t="str">
        <f>IF(D90=0,"NA",AC90/N90-1)</f>
        <v>NA</v>
      </c>
      <c r="AS90" s="422" t="str">
        <f>IF(D90=0,"NA",AD90/O90-1)</f>
        <v>NA</v>
      </c>
      <c r="AT90" s="422" t="str">
        <f>IF(D90=0,"NA",AE90/P90-1)</f>
        <v>NA</v>
      </c>
      <c r="AU90" s="422" t="str">
        <f>IF(D90=0,"NA",AF90/Q90-1)</f>
        <v>NA</v>
      </c>
      <c r="AV90" s="423" t="str">
        <f>IF(D90=0,"NA",AG90/R90-1)</f>
        <v>NA</v>
      </c>
    </row>
    <row r="91" spans="1:48" ht="15" customHeight="1" x14ac:dyDescent="0.25">
      <c r="A91" s="146"/>
      <c r="B91" s="148">
        <v>102</v>
      </c>
      <c r="C91" s="151" t="str">
        <f>_xlfn.XLOOKUP(B91, LgProvEntOrgIDs[Advanced Network/Insurer Carrier Org ID], LgProvEntOrgIDs[Advanced Network/Insurance Carrier Overall])</f>
        <v>Connecticut Children's Care Network</v>
      </c>
      <c r="D91" s="448">
        <f>SUMIFS(AN_TME_BY[[#All],[Member Months]],AN_TME_BY[[#All],[Insurance Category Code]],4,AN_TME_BY[[#All],[Advanced Network/Insurance Carrier Org ID]],B91)</f>
        <v>0</v>
      </c>
      <c r="E91" s="137" t="str">
        <f>IF(D91=0,"NA",SUMIFS(AN_TME_BY[[#All],[Claims: Hospital Inpatient]],AN_TME_BY[[#All],[Insurance Category Code]],4,AN_TME_BY[[#All],[Advanced Network/Insurance Carrier Org ID]],B91)/D91)</f>
        <v>NA</v>
      </c>
      <c r="F91" s="108" t="str">
        <f>IF(D91=0,"NA",SUMIFS(AN_TME_BY[[#All],[Claims: Hospital Outpatient]],AN_TME_BY[[#All],[Insurance Category Code]],4,AN_TME_BY[[#All],[Advanced Network/Insurance Carrier Org ID]],B91)/D91)</f>
        <v>NA</v>
      </c>
      <c r="G91" s="108" t="str">
        <f>IF(D91=0,"NA",SUMIFS(AN_TME_BY[[#All],[Claims: Professional, Primary Care]],AN_TME_BY[[#All],[Insurance Category Code]],4,AN_TME_BY[[#All],[Advanced Network/Insurance Carrier Org ID]],B91)/D91)</f>
        <v>NA</v>
      </c>
      <c r="H91" s="108" t="str">
        <f>IF(D91=0,"NA",SUMIFS(AN_TME_BY[[#All],[Claims: Professional, Primary Care (for Monitoring Purposes)]],AN_TME_BY[[#All],[Insurance Category Code]],4,AN_TME_BY[[#All],[Advanced Network/Insurance Carrier Org ID]],B91)/D91)</f>
        <v>NA</v>
      </c>
      <c r="I91" s="108" t="str">
        <f>IF(D91=0,"NA",SUMIFS(AN_TME_BY[[#All],[Claims: Professional, Specialty]],AN_TME_BY[[#All],[Insurance Category Code]],4,AN_TME_BY[[#All],[Advanced Network/Insurance Carrier Org ID]],B91)/D91)</f>
        <v>NA</v>
      </c>
      <c r="J91" s="108" t="str">
        <f>IF(D91=0,"NA",SUMIFS(AN_TME_BY[[#All],[Claims: Professional Other]],AN_TME_BY[[#All],[Insurance Category Code]],4,AN_TME_BY[[#All],[Advanced Network/Insurance Carrier Org ID]],B91)/D91)</f>
        <v>NA</v>
      </c>
      <c r="K91" s="108" t="str">
        <f>IF(D91=0,"NA",SUMIFS(AN_TME_BY[[#All],[Claims: Pharmacy]],AN_TME_BY[[#All],[Insurance Category Code]],4,AN_TME_BY[[#All],[Advanced Network/Insurance Carrier Org ID]],B91)/D91)</f>
        <v>NA</v>
      </c>
      <c r="L91" s="108" t="str">
        <f>IF(D91=0,"NA",SUMIFS(AN_TME_BY[[#All],[Claims: Long-Term Care]],AN_TME_BY[[#All],[Insurance Category Code]],4,AN_TME_BY[[#All],[Advanced Network/Insurance Carrier Org ID]],B91)/D91)</f>
        <v>NA</v>
      </c>
      <c r="M91" s="108" t="str">
        <f>IF(D91=0,"NA",SUMIFS(AN_TME_BY[[#All],[Claims: Other]],AN_TME_BY[[#All],[Insurance Category Code]],4,AN_TME_BY[[#All],[Advanced Network/Insurance Carrier Org ID]],B91)/D91)</f>
        <v>NA</v>
      </c>
      <c r="N91" s="147" t="str">
        <f>IF(D91=0,"NA",SUMIFS(AN_TME_BY[[#All],[TOTAL Non-Truncated Unadjusted Claims Expenses]],AN_TME_BY[[#All],[Insurance Category Code]],4,AN_TME_BY[[#All],[Advanced Network/Insurance Carrier Org ID]],B91)/D91)</f>
        <v>NA</v>
      </c>
      <c r="O91" s="147" t="str">
        <f>IF(D91=0,"NA",SUMIFS(AN_TME_BY[[#All],[TOTAL Truncated Unadjusted Claims Expenses (A21 -A19)]],AN_TME_BY[[#All],[Insurance Category Code]],4,AN_TME_BY[[#All],[Advanced Network/Insurance Carrier Org ID]],B91)/D91)</f>
        <v>NA</v>
      </c>
      <c r="P91" s="147" t="str">
        <f>IF(D91=0,"NA",SUMIFS(AN_TME_BY[[#All],[TOTAL Non-Claims Expenses]],AN_TME_BY[[#All],[Insurance Category Code]],4,AN_TME_BY[[#All],[Advanced Network/Insurance Carrier Org ID]],B91)/D91)</f>
        <v>NA</v>
      </c>
      <c r="Q91" s="147" t="str">
        <f>IF(D91=0,"NA",SUMIFS(AN_TME_BY[[#All],[TOTAL Non-Truncated Unadjusted Expenses (A21 + A23)]],AN_TME_BY[[#All],[Insurance Category Code]],4,AN_TME_BY[[#All],[Advanced Network/Insurance Carrier Org ID]],B91)/D91)</f>
        <v>NA</v>
      </c>
      <c r="R91" s="147" t="str">
        <f>IF(D91=0,"NA",SUMIFS(AN_TME_BY[[#All],[TOTAL Truncated Unadjusted Expenses (A22 + A23)]],AN_TME_BY[[#All],[Insurance Category Code]],4,AN_TME_BY[[#All],[Advanced Network/Insurance Carrier Org ID]],B91)/D91)</f>
        <v>NA</v>
      </c>
      <c r="S91" s="448">
        <f>SUMIFS(AN_TME_PY[[#All],[Member Months]],AN_TME_PY[[#All],[Insurance Category Code]],4,AN_TME_PY[[#All],[Advanced Network/Insurance Carrier Org ID]],B91)</f>
        <v>0</v>
      </c>
      <c r="T91" s="137" t="str">
        <f>IF(S91=0,"NA",SUMIFS(AN_TME_PY[[#All],[Claims: Hospital Inpatient]],AN_TME_PY[[#All],[Insurance Category Code]],4,AN_TME_PY[[#All],[Advanced Network/Insurance Carrier Org ID]],B91)/S91)</f>
        <v>NA</v>
      </c>
      <c r="U91" s="108" t="str">
        <f>IF(S91=0,"NA",SUMIFS(AN_TME_PY[[#All],[Claims: Hospital Outpatient]],AN_TME_PY[[#All],[Insurance Category Code]],4,AN_TME_PY[[#All],[Advanced Network/Insurance Carrier Org ID]],B91)/S91)</f>
        <v>NA</v>
      </c>
      <c r="V91" s="108" t="str">
        <f>IF(S91=0,"NA",SUMIFS(AN_TME_PY[[#All],[Claims: Professional, Primary Care]],AN_TME_PY[[#All],[Insurance Category Code]],4,AN_TME_PY[[#All],[Advanced Network/Insurance Carrier Org ID]],B91)/S91)</f>
        <v>NA</v>
      </c>
      <c r="W91" s="108" t="str">
        <f>IF(S91=0,"NA",SUMIFS(AN_TME_PY[[#All],[Claims: Professional, Primary Care (for Monitoring Purposes)]],AN_TME_PY[[#All],[Insurance Category Code]],4,AN_TME_PY[[#All],[Advanced Network/Insurance Carrier Org ID]],B91)/S91)</f>
        <v>NA</v>
      </c>
      <c r="X91" s="108" t="str">
        <f>IF(S91=0,"NA",SUMIFS(AN_TME_PY[[#All],[Claims: Professional, Specialty]],AN_TME_PY[[#All],[Insurance Category Code]],4,AN_TME_PY[[#All],[Advanced Network/Insurance Carrier Org ID]],B91)/S91)</f>
        <v>NA</v>
      </c>
      <c r="Y91" s="108" t="str">
        <f>IF(S91=0,"NA",SUMIFS(AN_TME_PY[[#All],[Claims: Professional Other]],AN_TME_PY[[#All],[Insurance Category Code]],4,AN_TME_PY[[#All],[Advanced Network/Insurance Carrier Org ID]],B91)/S91)</f>
        <v>NA</v>
      </c>
      <c r="Z91" s="108" t="str">
        <f>IF(S91=0,"NA",SUMIFS(AN_TME_PY[[#All],[Claims: Pharmacy]],AN_TME_PY[[#All],[Insurance Category Code]],4,AN_TME_PY[[#All],[Advanced Network/Insurance Carrier Org ID]],B91)/S91)</f>
        <v>NA</v>
      </c>
      <c r="AA91" s="108" t="str">
        <f>IF(S91=0,"NA",SUMIFS(AN_TME_PY[[#All],[Claims: Long-Term Care]],AN_TME_PY[[#All],[Insurance Category Code]],4,AN_TME_PY[[#All],[Advanced Network/Insurance Carrier Org ID]],B91)/S91)</f>
        <v>NA</v>
      </c>
      <c r="AB91" s="108" t="str">
        <f>IF(S91=0,"NA",SUMIFS(AN_TME_PY[[#All],[Claims: Other]],AN_TME_PY[[#All],[Insurance Category Code]],4,AN_TME_PY[[#All],[Advanced Network/Insurance Carrier Org ID]],B91)/S91)</f>
        <v>NA</v>
      </c>
      <c r="AC91" s="147" t="str">
        <f>IF(S91=0,"NA",SUMIFS(AN_TME_PY[[#All],[TOTAL Non-Truncated Unadjusted Claims Expenses]],AN_TME_PY[[#All],[Insurance Category Code]],4,AN_TME_PY[[#All],[Advanced Network/Insurance Carrier Org ID]],B91)/S91)</f>
        <v>NA</v>
      </c>
      <c r="AD91" s="147" t="str">
        <f>IF(S91=0,"NA",SUMIFS(AN_TME_PY[[#All],[TOTAL Truncated Unadjusted Claims Expenses (A21 -A19)]],AN_TME_PY[[#All],[Insurance Category Code]],4,AN_TME_PY[[#All],[Advanced Network/Insurance Carrier Org ID]],B91)/S91)</f>
        <v>NA</v>
      </c>
      <c r="AE91" s="147" t="str">
        <f>IF(S91=0,"NA",SUMIFS(AN_TME_PY[[#All],[TOTAL Non-Claims Expenses]],AN_TME_PY[[#All],[Insurance Category Code]],4,AN_TME_PY[[#All],[Advanced Network/Insurance Carrier Org ID]],B91)/S91)</f>
        <v>NA</v>
      </c>
      <c r="AF91" s="147" t="str">
        <f>IF(S91=0,"NA",SUMIFS(AN_TME_PY[[#All],[TOTAL Non-Truncated Unadjusted Expenses (A21 + A23)]],AN_TME_PY[[#All],[Insurance Category Code]],4,AN_TME_PY[[#All],[Advanced Network/Insurance Carrier Org ID]],B91)/S91)</f>
        <v>NA</v>
      </c>
      <c r="AG91" s="138" t="str">
        <f>IF(S91=0,"NA",SUMIFS(AN_TME_PY[[#All],[TOTAL Truncated Unadjusted Expenses (A22 + A23)]],AN_TME_PY[[#All],[Insurance Category Code]],4,AN_TME_PY[[#All],[Advanced Network/Insurance Carrier Org ID]],B91)/S91)</f>
        <v>NA</v>
      </c>
      <c r="AH91" s="419" t="str">
        <f t="shared" ref="AH91:AH99" si="122">IF(D91=0,"NA",S91/D91-1)</f>
        <v>NA</v>
      </c>
      <c r="AI91" s="420" t="str">
        <f t="shared" ref="AI91:AI99" si="123">IF(D91=0,"NA",T91/E91-1)</f>
        <v>NA</v>
      </c>
      <c r="AJ91" s="421" t="str">
        <f t="shared" ref="AJ91:AJ99" si="124">IF(D91=0,"NA",U91/F91-1)</f>
        <v>NA</v>
      </c>
      <c r="AK91" s="421" t="str">
        <f t="shared" ref="AK91:AK99" si="125">IF(D91=0,"NA",V91/G91-1)</f>
        <v>NA</v>
      </c>
      <c r="AL91" s="421" t="str">
        <f t="shared" ref="AL91:AL99" si="126">IF(D91=0,"NA",W91/H91-1)</f>
        <v>NA</v>
      </c>
      <c r="AM91" s="421" t="str">
        <f t="shared" ref="AM91:AM99" si="127">IF(D91=0,"NA",X91/I91-1)</f>
        <v>NA</v>
      </c>
      <c r="AN91" s="421" t="str">
        <f t="shared" ref="AN91:AN99" si="128">IF(D91=0,"NA",Y91/J91-1)</f>
        <v>NA</v>
      </c>
      <c r="AO91" s="421" t="str">
        <f t="shared" ref="AO91:AO99" si="129">IF(D91=0,"NA",Z91/K91-1)</f>
        <v>NA</v>
      </c>
      <c r="AP91" s="421" t="str">
        <f t="shared" ref="AP91:AP99" si="130">IF(D91=0,"NA",AA91/L91-1)</f>
        <v>NA</v>
      </c>
      <c r="AQ91" s="421" t="str">
        <f t="shared" ref="AQ91:AQ99" si="131">IF(D91=0,"NA",AB91/M91-1)</f>
        <v>NA</v>
      </c>
      <c r="AR91" s="422" t="str">
        <f t="shared" ref="AR91:AR99" si="132">IF(D91=0,"NA",AC91/N91-1)</f>
        <v>NA</v>
      </c>
      <c r="AS91" s="422" t="str">
        <f t="shared" ref="AS91:AS99" si="133">IF(D91=0,"NA",AD91/O91-1)</f>
        <v>NA</v>
      </c>
      <c r="AT91" s="422" t="str">
        <f t="shared" ref="AT91:AT99" si="134">IF(D91=0,"NA",AE91/P91-1)</f>
        <v>NA</v>
      </c>
      <c r="AU91" s="422" t="str">
        <f t="shared" ref="AU91:AU99" si="135">IF(D91=0,"NA",AF91/Q91-1)</f>
        <v>NA</v>
      </c>
      <c r="AV91" s="423" t="str">
        <f t="shared" ref="AV91:AV99" si="136">IF(D91=0,"NA",AG91/R91-1)</f>
        <v>NA</v>
      </c>
    </row>
    <row r="92" spans="1:48" ht="15" customHeight="1" x14ac:dyDescent="0.25">
      <c r="A92" s="146"/>
      <c r="B92" s="148">
        <v>103</v>
      </c>
      <c r="C92" s="151" t="str">
        <f>_xlfn.XLOOKUP(B92, LgProvEntOrgIDs[Advanced Network/Insurer Carrier Org ID], LgProvEntOrgIDs[Advanced Network/Insurance Carrier Overall])</f>
        <v>Connecticut State Medical Society IPA</v>
      </c>
      <c r="D92" s="448">
        <f>SUMIFS(AN_TME_BY[[#All],[Member Months]],AN_TME_BY[[#All],[Insurance Category Code]],4,AN_TME_BY[[#All],[Advanced Network/Insurance Carrier Org ID]],B92)</f>
        <v>0</v>
      </c>
      <c r="E92" s="137" t="str">
        <f>IF(D92=0,"NA",SUMIFS(AN_TME_BY[[#All],[Claims: Hospital Inpatient]],AN_TME_BY[[#All],[Insurance Category Code]],4,AN_TME_BY[[#All],[Advanced Network/Insurance Carrier Org ID]],B92)/D92)</f>
        <v>NA</v>
      </c>
      <c r="F92" s="108" t="str">
        <f>IF(D92=0,"NA",SUMIFS(AN_TME_BY[[#All],[Claims: Hospital Outpatient]],AN_TME_BY[[#All],[Insurance Category Code]],4,AN_TME_BY[[#All],[Advanced Network/Insurance Carrier Org ID]],B92)/D92)</f>
        <v>NA</v>
      </c>
      <c r="G92" s="108" t="str">
        <f>IF(D92=0,"NA",SUMIFS(AN_TME_BY[[#All],[Claims: Professional, Primary Care]],AN_TME_BY[[#All],[Insurance Category Code]],4,AN_TME_BY[[#All],[Advanced Network/Insurance Carrier Org ID]],B92)/D92)</f>
        <v>NA</v>
      </c>
      <c r="H92" s="108" t="str">
        <f>IF(D92=0,"NA",SUMIFS(AN_TME_BY[[#All],[Claims: Professional, Primary Care (for Monitoring Purposes)]],AN_TME_BY[[#All],[Insurance Category Code]],4,AN_TME_BY[[#All],[Advanced Network/Insurance Carrier Org ID]],B92)/D92)</f>
        <v>NA</v>
      </c>
      <c r="I92" s="108" t="str">
        <f>IF(D92=0,"NA",SUMIFS(AN_TME_BY[[#All],[Claims: Professional, Specialty]],AN_TME_BY[[#All],[Insurance Category Code]],4,AN_TME_BY[[#All],[Advanced Network/Insurance Carrier Org ID]],B92)/D92)</f>
        <v>NA</v>
      </c>
      <c r="J92" s="108" t="str">
        <f>IF(D92=0,"NA",SUMIFS(AN_TME_BY[[#All],[Claims: Professional Other]],AN_TME_BY[[#All],[Insurance Category Code]],4,AN_TME_BY[[#All],[Advanced Network/Insurance Carrier Org ID]],B92)/D92)</f>
        <v>NA</v>
      </c>
      <c r="K92" s="108" t="str">
        <f>IF(D92=0,"NA",SUMIFS(AN_TME_BY[[#All],[Claims: Pharmacy]],AN_TME_BY[[#All],[Insurance Category Code]],4,AN_TME_BY[[#All],[Advanced Network/Insurance Carrier Org ID]],B92)/D92)</f>
        <v>NA</v>
      </c>
      <c r="L92" s="108" t="str">
        <f>IF(D92=0,"NA",SUMIFS(AN_TME_BY[[#All],[Claims: Long-Term Care]],AN_TME_BY[[#All],[Insurance Category Code]],4,AN_TME_BY[[#All],[Advanced Network/Insurance Carrier Org ID]],B92)/D92)</f>
        <v>NA</v>
      </c>
      <c r="M92" s="108" t="str">
        <f>IF(D92=0,"NA",SUMIFS(AN_TME_BY[[#All],[Claims: Other]],AN_TME_BY[[#All],[Insurance Category Code]],4,AN_TME_BY[[#All],[Advanced Network/Insurance Carrier Org ID]],B92)/D92)</f>
        <v>NA</v>
      </c>
      <c r="N92" s="147" t="str">
        <f>IF(D92=0,"NA",SUMIFS(AN_TME_BY[[#All],[TOTAL Non-Truncated Unadjusted Claims Expenses]],AN_TME_BY[[#All],[Insurance Category Code]],4,AN_TME_BY[[#All],[Advanced Network/Insurance Carrier Org ID]],B92)/D92)</f>
        <v>NA</v>
      </c>
      <c r="O92" s="147" t="str">
        <f>IF(D92=0,"NA",SUMIFS(AN_TME_BY[[#All],[TOTAL Truncated Unadjusted Claims Expenses (A21 -A19)]],AN_TME_BY[[#All],[Insurance Category Code]],4,AN_TME_BY[[#All],[Advanced Network/Insurance Carrier Org ID]],B92)/D92)</f>
        <v>NA</v>
      </c>
      <c r="P92" s="147" t="str">
        <f>IF(D92=0,"NA",SUMIFS(AN_TME_BY[[#All],[TOTAL Non-Claims Expenses]],AN_TME_BY[[#All],[Insurance Category Code]],4,AN_TME_BY[[#All],[Advanced Network/Insurance Carrier Org ID]],B92)/D92)</f>
        <v>NA</v>
      </c>
      <c r="Q92" s="147" t="str">
        <f>IF(D92=0,"NA",SUMIFS(AN_TME_BY[[#All],[TOTAL Non-Truncated Unadjusted Expenses (A21 + A23)]],AN_TME_BY[[#All],[Insurance Category Code]],4,AN_TME_BY[[#All],[Advanced Network/Insurance Carrier Org ID]],B92)/D92)</f>
        <v>NA</v>
      </c>
      <c r="R92" s="147" t="str">
        <f>IF(D92=0,"NA",SUMIFS(AN_TME_BY[[#All],[TOTAL Truncated Unadjusted Expenses (A22 + A23)]],AN_TME_BY[[#All],[Insurance Category Code]],4,AN_TME_BY[[#All],[Advanced Network/Insurance Carrier Org ID]],B92)/D92)</f>
        <v>NA</v>
      </c>
      <c r="S92" s="448">
        <f>SUMIFS(AN_TME_PY[[#All],[Member Months]],AN_TME_PY[[#All],[Insurance Category Code]],4,AN_TME_PY[[#All],[Advanced Network/Insurance Carrier Org ID]],B92)</f>
        <v>0</v>
      </c>
      <c r="T92" s="137" t="str">
        <f>IF(S92=0,"NA",SUMIFS(AN_TME_PY[[#All],[Claims: Hospital Inpatient]],AN_TME_PY[[#All],[Insurance Category Code]],4,AN_TME_PY[[#All],[Advanced Network/Insurance Carrier Org ID]],B92)/S92)</f>
        <v>NA</v>
      </c>
      <c r="U92" s="108" t="str">
        <f>IF(S92=0,"NA",SUMIFS(AN_TME_PY[[#All],[Claims: Hospital Outpatient]],AN_TME_PY[[#All],[Insurance Category Code]],4,AN_TME_PY[[#All],[Advanced Network/Insurance Carrier Org ID]],B92)/S92)</f>
        <v>NA</v>
      </c>
      <c r="V92" s="108" t="str">
        <f>IF(S92=0,"NA",SUMIFS(AN_TME_PY[[#All],[Claims: Professional, Primary Care]],AN_TME_PY[[#All],[Insurance Category Code]],4,AN_TME_PY[[#All],[Advanced Network/Insurance Carrier Org ID]],B92)/S92)</f>
        <v>NA</v>
      </c>
      <c r="W92" s="108" t="str">
        <f>IF(S92=0,"NA",SUMIFS(AN_TME_PY[[#All],[Claims: Professional, Primary Care (for Monitoring Purposes)]],AN_TME_PY[[#All],[Insurance Category Code]],4,AN_TME_PY[[#All],[Advanced Network/Insurance Carrier Org ID]],B92)/S92)</f>
        <v>NA</v>
      </c>
      <c r="X92" s="108" t="str">
        <f>IF(S92=0,"NA",SUMIFS(AN_TME_PY[[#All],[Claims: Professional, Specialty]],AN_TME_PY[[#All],[Insurance Category Code]],4,AN_TME_PY[[#All],[Advanced Network/Insurance Carrier Org ID]],B92)/S92)</f>
        <v>NA</v>
      </c>
      <c r="Y92" s="108" t="str">
        <f>IF(S92=0,"NA",SUMIFS(AN_TME_PY[[#All],[Claims: Professional Other]],AN_TME_PY[[#All],[Insurance Category Code]],4,AN_TME_PY[[#All],[Advanced Network/Insurance Carrier Org ID]],B92)/S92)</f>
        <v>NA</v>
      </c>
      <c r="Z92" s="108" t="str">
        <f>IF(S92=0,"NA",SUMIFS(AN_TME_PY[[#All],[Claims: Pharmacy]],AN_TME_PY[[#All],[Insurance Category Code]],4,AN_TME_PY[[#All],[Advanced Network/Insurance Carrier Org ID]],B92)/S92)</f>
        <v>NA</v>
      </c>
      <c r="AA92" s="108" t="str">
        <f>IF(S92=0,"NA",SUMIFS(AN_TME_PY[[#All],[Claims: Long-Term Care]],AN_TME_PY[[#All],[Insurance Category Code]],4,AN_TME_PY[[#All],[Advanced Network/Insurance Carrier Org ID]],B92)/S92)</f>
        <v>NA</v>
      </c>
      <c r="AB92" s="108" t="str">
        <f>IF(S92=0,"NA",SUMIFS(AN_TME_PY[[#All],[Claims: Other]],AN_TME_PY[[#All],[Insurance Category Code]],4,AN_TME_PY[[#All],[Advanced Network/Insurance Carrier Org ID]],B92)/S92)</f>
        <v>NA</v>
      </c>
      <c r="AC92" s="147" t="str">
        <f>IF(S92=0,"NA",SUMIFS(AN_TME_PY[[#All],[TOTAL Non-Truncated Unadjusted Claims Expenses]],AN_TME_PY[[#All],[Insurance Category Code]],4,AN_TME_PY[[#All],[Advanced Network/Insurance Carrier Org ID]],B92)/S92)</f>
        <v>NA</v>
      </c>
      <c r="AD92" s="147" t="str">
        <f>IF(S92=0,"NA",SUMIFS(AN_TME_PY[[#All],[TOTAL Truncated Unadjusted Claims Expenses (A21 -A19)]],AN_TME_PY[[#All],[Insurance Category Code]],4,AN_TME_PY[[#All],[Advanced Network/Insurance Carrier Org ID]],B92)/S92)</f>
        <v>NA</v>
      </c>
      <c r="AE92" s="147" t="str">
        <f>IF(S92=0,"NA",SUMIFS(AN_TME_PY[[#All],[TOTAL Non-Claims Expenses]],AN_TME_PY[[#All],[Insurance Category Code]],4,AN_TME_PY[[#All],[Advanced Network/Insurance Carrier Org ID]],B92)/S92)</f>
        <v>NA</v>
      </c>
      <c r="AF92" s="147" t="str">
        <f>IF(S92=0,"NA",SUMIFS(AN_TME_PY[[#All],[TOTAL Non-Truncated Unadjusted Expenses (A21 + A23)]],AN_TME_PY[[#All],[Insurance Category Code]],4,AN_TME_PY[[#All],[Advanced Network/Insurance Carrier Org ID]],B92)/S92)</f>
        <v>NA</v>
      </c>
      <c r="AG92" s="138" t="str">
        <f>IF(S92=0,"NA",SUMIFS(AN_TME_PY[[#All],[TOTAL Truncated Unadjusted Expenses (A22 + A23)]],AN_TME_PY[[#All],[Insurance Category Code]],4,AN_TME_PY[[#All],[Advanced Network/Insurance Carrier Org ID]],B92)/S92)</f>
        <v>NA</v>
      </c>
      <c r="AH92" s="419" t="str">
        <f t="shared" si="122"/>
        <v>NA</v>
      </c>
      <c r="AI92" s="420" t="str">
        <f t="shared" si="123"/>
        <v>NA</v>
      </c>
      <c r="AJ92" s="421" t="str">
        <f t="shared" si="124"/>
        <v>NA</v>
      </c>
      <c r="AK92" s="421" t="str">
        <f t="shared" si="125"/>
        <v>NA</v>
      </c>
      <c r="AL92" s="421" t="str">
        <f t="shared" si="126"/>
        <v>NA</v>
      </c>
      <c r="AM92" s="421" t="str">
        <f t="shared" si="127"/>
        <v>NA</v>
      </c>
      <c r="AN92" s="421" t="str">
        <f t="shared" si="128"/>
        <v>NA</v>
      </c>
      <c r="AO92" s="421" t="str">
        <f t="shared" si="129"/>
        <v>NA</v>
      </c>
      <c r="AP92" s="421" t="str">
        <f t="shared" si="130"/>
        <v>NA</v>
      </c>
      <c r="AQ92" s="421" t="str">
        <f t="shared" si="131"/>
        <v>NA</v>
      </c>
      <c r="AR92" s="422" t="str">
        <f t="shared" si="132"/>
        <v>NA</v>
      </c>
      <c r="AS92" s="422" t="str">
        <f t="shared" si="133"/>
        <v>NA</v>
      </c>
      <c r="AT92" s="422" t="str">
        <f t="shared" si="134"/>
        <v>NA</v>
      </c>
      <c r="AU92" s="422" t="str">
        <f t="shared" si="135"/>
        <v>NA</v>
      </c>
      <c r="AV92" s="423" t="str">
        <f t="shared" si="136"/>
        <v>NA</v>
      </c>
    </row>
    <row r="93" spans="1:48" ht="15" customHeight="1" x14ac:dyDescent="0.25">
      <c r="A93" s="146"/>
      <c r="B93" s="148">
        <v>104</v>
      </c>
      <c r="C93" s="151" t="str">
        <f>_xlfn.XLOOKUP(B93, LgProvEntOrgIDs[Advanced Network/Insurer Carrier Org ID], LgProvEntOrgIDs[Advanced Network/Insurance Carrier Overall])</f>
        <v>Hartford Healthcare Integrated Care Partners</v>
      </c>
      <c r="D93" s="448">
        <f>SUMIFS(AN_TME_BY[[#All],[Member Months]],AN_TME_BY[[#All],[Insurance Category Code]],4,AN_TME_BY[[#All],[Advanced Network/Insurance Carrier Org ID]],B93)</f>
        <v>0</v>
      </c>
      <c r="E93" s="137" t="str">
        <f>IF(D93=0,"NA",SUMIFS(AN_TME_BY[[#All],[Claims: Hospital Inpatient]],AN_TME_BY[[#All],[Insurance Category Code]],4,AN_TME_BY[[#All],[Advanced Network/Insurance Carrier Org ID]],B93)/D93)</f>
        <v>NA</v>
      </c>
      <c r="F93" s="108" t="str">
        <f>IF(D93=0,"NA",SUMIFS(AN_TME_BY[[#All],[Claims: Hospital Outpatient]],AN_TME_BY[[#All],[Insurance Category Code]],4,AN_TME_BY[[#All],[Advanced Network/Insurance Carrier Org ID]],B93)/D93)</f>
        <v>NA</v>
      </c>
      <c r="G93" s="108" t="str">
        <f>IF(D93=0,"NA",SUMIFS(AN_TME_BY[[#All],[Claims: Professional, Primary Care]],AN_TME_BY[[#All],[Insurance Category Code]],4,AN_TME_BY[[#All],[Advanced Network/Insurance Carrier Org ID]],B93)/D93)</f>
        <v>NA</v>
      </c>
      <c r="H93" s="108" t="str">
        <f>IF(D93=0,"NA",SUMIFS(AN_TME_BY[[#All],[Claims: Professional, Primary Care (for Monitoring Purposes)]],AN_TME_BY[[#All],[Insurance Category Code]],4,AN_TME_BY[[#All],[Advanced Network/Insurance Carrier Org ID]],B93)/D93)</f>
        <v>NA</v>
      </c>
      <c r="I93" s="108" t="str">
        <f>IF(D93=0,"NA",SUMIFS(AN_TME_BY[[#All],[Claims: Professional, Specialty]],AN_TME_BY[[#All],[Insurance Category Code]],4,AN_TME_BY[[#All],[Advanced Network/Insurance Carrier Org ID]],B93)/D93)</f>
        <v>NA</v>
      </c>
      <c r="J93" s="108" t="str">
        <f>IF(D93=0,"NA",SUMIFS(AN_TME_BY[[#All],[Claims: Professional Other]],AN_TME_BY[[#All],[Insurance Category Code]],4,AN_TME_BY[[#All],[Advanced Network/Insurance Carrier Org ID]],B93)/D93)</f>
        <v>NA</v>
      </c>
      <c r="K93" s="108" t="str">
        <f>IF(D93=0,"NA",SUMIFS(AN_TME_BY[[#All],[Claims: Pharmacy]],AN_TME_BY[[#All],[Insurance Category Code]],4,AN_TME_BY[[#All],[Advanced Network/Insurance Carrier Org ID]],B93)/D93)</f>
        <v>NA</v>
      </c>
      <c r="L93" s="108" t="str">
        <f>IF(D93=0,"NA",SUMIFS(AN_TME_BY[[#All],[Claims: Long-Term Care]],AN_TME_BY[[#All],[Insurance Category Code]],4,AN_TME_BY[[#All],[Advanced Network/Insurance Carrier Org ID]],B93)/D93)</f>
        <v>NA</v>
      </c>
      <c r="M93" s="108" t="str">
        <f>IF(D93=0,"NA",SUMIFS(AN_TME_BY[[#All],[Claims: Other]],AN_TME_BY[[#All],[Insurance Category Code]],4,AN_TME_BY[[#All],[Advanced Network/Insurance Carrier Org ID]],B93)/D93)</f>
        <v>NA</v>
      </c>
      <c r="N93" s="147" t="str">
        <f>IF(D93=0,"NA",SUMIFS(AN_TME_BY[[#All],[TOTAL Non-Truncated Unadjusted Claims Expenses]],AN_TME_BY[[#All],[Insurance Category Code]],4,AN_TME_BY[[#All],[Advanced Network/Insurance Carrier Org ID]],B93)/D93)</f>
        <v>NA</v>
      </c>
      <c r="O93" s="147" t="str">
        <f>IF(D93=0,"NA",SUMIFS(AN_TME_BY[[#All],[TOTAL Truncated Unadjusted Claims Expenses (A21 -A19)]],AN_TME_BY[[#All],[Insurance Category Code]],4,AN_TME_BY[[#All],[Advanced Network/Insurance Carrier Org ID]],B93)/D93)</f>
        <v>NA</v>
      </c>
      <c r="P93" s="147" t="str">
        <f>IF(D93=0,"NA",SUMIFS(AN_TME_BY[[#All],[TOTAL Non-Claims Expenses]],AN_TME_BY[[#All],[Insurance Category Code]],4,AN_TME_BY[[#All],[Advanced Network/Insurance Carrier Org ID]],B93)/D93)</f>
        <v>NA</v>
      </c>
      <c r="Q93" s="147" t="str">
        <f>IF(D93=0,"NA",SUMIFS(AN_TME_BY[[#All],[TOTAL Non-Truncated Unadjusted Expenses (A21 + A23)]],AN_TME_BY[[#All],[Insurance Category Code]],4,AN_TME_BY[[#All],[Advanced Network/Insurance Carrier Org ID]],B93)/D93)</f>
        <v>NA</v>
      </c>
      <c r="R93" s="147" t="str">
        <f>IF(D93=0,"NA",SUMIFS(AN_TME_BY[[#All],[TOTAL Truncated Unadjusted Expenses (A22 + A23)]],AN_TME_BY[[#All],[Insurance Category Code]],4,AN_TME_BY[[#All],[Advanced Network/Insurance Carrier Org ID]],B93)/D93)</f>
        <v>NA</v>
      </c>
      <c r="S93" s="448">
        <f>SUMIFS(AN_TME_PY[[#All],[Member Months]],AN_TME_PY[[#All],[Insurance Category Code]],4,AN_TME_PY[[#All],[Advanced Network/Insurance Carrier Org ID]],B93)</f>
        <v>0</v>
      </c>
      <c r="T93" s="137" t="str">
        <f>IF(S93=0,"NA",SUMIFS(AN_TME_PY[[#All],[Claims: Hospital Inpatient]],AN_TME_PY[[#All],[Insurance Category Code]],4,AN_TME_PY[[#All],[Advanced Network/Insurance Carrier Org ID]],B93)/S93)</f>
        <v>NA</v>
      </c>
      <c r="U93" s="108" t="str">
        <f>IF(S93=0,"NA",SUMIFS(AN_TME_PY[[#All],[Claims: Hospital Outpatient]],AN_TME_PY[[#All],[Insurance Category Code]],4,AN_TME_PY[[#All],[Advanced Network/Insurance Carrier Org ID]],B93)/S93)</f>
        <v>NA</v>
      </c>
      <c r="V93" s="108" t="str">
        <f>IF(S93=0,"NA",SUMIFS(AN_TME_PY[[#All],[Claims: Professional, Primary Care]],AN_TME_PY[[#All],[Insurance Category Code]],4,AN_TME_PY[[#All],[Advanced Network/Insurance Carrier Org ID]],B93)/S93)</f>
        <v>NA</v>
      </c>
      <c r="W93" s="108" t="str">
        <f>IF(S93=0,"NA",SUMIFS(AN_TME_PY[[#All],[Claims: Professional, Primary Care (for Monitoring Purposes)]],AN_TME_PY[[#All],[Insurance Category Code]],4,AN_TME_PY[[#All],[Advanced Network/Insurance Carrier Org ID]],B93)/S93)</f>
        <v>NA</v>
      </c>
      <c r="X93" s="108" t="str">
        <f>IF(S93=0,"NA",SUMIFS(AN_TME_PY[[#All],[Claims: Professional, Specialty]],AN_TME_PY[[#All],[Insurance Category Code]],4,AN_TME_PY[[#All],[Advanced Network/Insurance Carrier Org ID]],B93)/S93)</f>
        <v>NA</v>
      </c>
      <c r="Y93" s="108" t="str">
        <f>IF(S93=0,"NA",SUMIFS(AN_TME_PY[[#All],[Claims: Professional Other]],AN_TME_PY[[#All],[Insurance Category Code]],4,AN_TME_PY[[#All],[Advanced Network/Insurance Carrier Org ID]],B93)/S93)</f>
        <v>NA</v>
      </c>
      <c r="Z93" s="108" t="str">
        <f>IF(S93=0,"NA",SUMIFS(AN_TME_PY[[#All],[Claims: Pharmacy]],AN_TME_PY[[#All],[Insurance Category Code]],4,AN_TME_PY[[#All],[Advanced Network/Insurance Carrier Org ID]],B93)/S93)</f>
        <v>NA</v>
      </c>
      <c r="AA93" s="108" t="str">
        <f>IF(S93=0,"NA",SUMIFS(AN_TME_PY[[#All],[Claims: Long-Term Care]],AN_TME_PY[[#All],[Insurance Category Code]],4,AN_TME_PY[[#All],[Advanced Network/Insurance Carrier Org ID]],B93)/S93)</f>
        <v>NA</v>
      </c>
      <c r="AB93" s="108" t="str">
        <f>IF(S93=0,"NA",SUMIFS(AN_TME_PY[[#All],[Claims: Other]],AN_TME_PY[[#All],[Insurance Category Code]],4,AN_TME_PY[[#All],[Advanced Network/Insurance Carrier Org ID]],B93)/S93)</f>
        <v>NA</v>
      </c>
      <c r="AC93" s="147" t="str">
        <f>IF(S93=0,"NA",SUMIFS(AN_TME_PY[[#All],[TOTAL Non-Truncated Unadjusted Claims Expenses]],AN_TME_PY[[#All],[Insurance Category Code]],4,AN_TME_PY[[#All],[Advanced Network/Insurance Carrier Org ID]],B93)/S93)</f>
        <v>NA</v>
      </c>
      <c r="AD93" s="147" t="str">
        <f>IF(S93=0,"NA",SUMIFS(AN_TME_PY[[#All],[TOTAL Truncated Unadjusted Claims Expenses (A21 -A19)]],AN_TME_PY[[#All],[Insurance Category Code]],4,AN_TME_PY[[#All],[Advanced Network/Insurance Carrier Org ID]],B93)/S93)</f>
        <v>NA</v>
      </c>
      <c r="AE93" s="147" t="str">
        <f>IF(S93=0,"NA",SUMIFS(AN_TME_PY[[#All],[TOTAL Non-Claims Expenses]],AN_TME_PY[[#All],[Insurance Category Code]],4,AN_TME_PY[[#All],[Advanced Network/Insurance Carrier Org ID]],B93)/S93)</f>
        <v>NA</v>
      </c>
      <c r="AF93" s="147" t="str">
        <f>IF(S93=0,"NA",SUMIFS(AN_TME_PY[[#All],[TOTAL Non-Truncated Unadjusted Expenses (A21 + A23)]],AN_TME_PY[[#All],[Insurance Category Code]],4,AN_TME_PY[[#All],[Advanced Network/Insurance Carrier Org ID]],B93)/S93)</f>
        <v>NA</v>
      </c>
      <c r="AG93" s="138" t="str">
        <f>IF(S93=0,"NA",SUMIFS(AN_TME_PY[[#All],[TOTAL Truncated Unadjusted Expenses (A22 + A23)]],AN_TME_PY[[#All],[Insurance Category Code]],4,AN_TME_PY[[#All],[Advanced Network/Insurance Carrier Org ID]],B93)/S93)</f>
        <v>NA</v>
      </c>
      <c r="AH93" s="419" t="str">
        <f t="shared" si="122"/>
        <v>NA</v>
      </c>
      <c r="AI93" s="420" t="str">
        <f t="shared" si="123"/>
        <v>NA</v>
      </c>
      <c r="AJ93" s="421" t="str">
        <f t="shared" si="124"/>
        <v>NA</v>
      </c>
      <c r="AK93" s="421" t="str">
        <f t="shared" si="125"/>
        <v>NA</v>
      </c>
      <c r="AL93" s="421" t="str">
        <f t="shared" si="126"/>
        <v>NA</v>
      </c>
      <c r="AM93" s="421" t="str">
        <f t="shared" si="127"/>
        <v>NA</v>
      </c>
      <c r="AN93" s="421" t="str">
        <f t="shared" si="128"/>
        <v>NA</v>
      </c>
      <c r="AO93" s="421" t="str">
        <f t="shared" si="129"/>
        <v>NA</v>
      </c>
      <c r="AP93" s="421" t="str">
        <f t="shared" si="130"/>
        <v>NA</v>
      </c>
      <c r="AQ93" s="421" t="str">
        <f t="shared" si="131"/>
        <v>NA</v>
      </c>
      <c r="AR93" s="422" t="str">
        <f t="shared" si="132"/>
        <v>NA</v>
      </c>
      <c r="AS93" s="422" t="str">
        <f t="shared" si="133"/>
        <v>NA</v>
      </c>
      <c r="AT93" s="422" t="str">
        <f t="shared" si="134"/>
        <v>NA</v>
      </c>
      <c r="AU93" s="422" t="str">
        <f t="shared" si="135"/>
        <v>NA</v>
      </c>
      <c r="AV93" s="423" t="str">
        <f t="shared" si="136"/>
        <v>NA</v>
      </c>
    </row>
    <row r="94" spans="1:48" ht="15" customHeight="1" x14ac:dyDescent="0.25">
      <c r="A94" s="146"/>
      <c r="B94" s="148">
        <v>105</v>
      </c>
      <c r="C94" s="151" t="str">
        <f>_xlfn.XLOOKUP(B94, LgProvEntOrgIDs[Advanced Network/Insurer Carrier Org ID], LgProvEntOrgIDs[Advanced Network/Insurance Carrier Overall])</f>
        <v>NA</v>
      </c>
      <c r="D94" s="448">
        <f>SUMIFS(AN_TME_BY[[#All],[Member Months]],AN_TME_BY[[#All],[Insurance Category Code]],4,AN_TME_BY[[#All],[Advanced Network/Insurance Carrier Org ID]],B94)</f>
        <v>0</v>
      </c>
      <c r="E94" s="137" t="str">
        <f>IF(D94=0,"NA",SUMIFS(AN_TME_BY[[#All],[Claims: Hospital Inpatient]],AN_TME_BY[[#All],[Insurance Category Code]],4,AN_TME_BY[[#All],[Advanced Network/Insurance Carrier Org ID]],B94)/D94)</f>
        <v>NA</v>
      </c>
      <c r="F94" s="108" t="str">
        <f>IF(D94=0,"NA",SUMIFS(AN_TME_BY[[#All],[Claims: Hospital Outpatient]],AN_TME_BY[[#All],[Insurance Category Code]],4,AN_TME_BY[[#All],[Advanced Network/Insurance Carrier Org ID]],B94)/D94)</f>
        <v>NA</v>
      </c>
      <c r="G94" s="108" t="str">
        <f>IF(D94=0,"NA",SUMIFS(AN_TME_BY[[#All],[Claims: Professional, Primary Care]],AN_TME_BY[[#All],[Insurance Category Code]],4,AN_TME_BY[[#All],[Advanced Network/Insurance Carrier Org ID]],B94)/D94)</f>
        <v>NA</v>
      </c>
      <c r="H94" s="108" t="str">
        <f>IF(D94=0,"NA",SUMIFS(AN_TME_BY[[#All],[Claims: Professional, Primary Care (for Monitoring Purposes)]],AN_TME_BY[[#All],[Insurance Category Code]],4,AN_TME_BY[[#All],[Advanced Network/Insurance Carrier Org ID]],B94)/D94)</f>
        <v>NA</v>
      </c>
      <c r="I94" s="108" t="str">
        <f>IF(D94=0,"NA",SUMIFS(AN_TME_BY[[#All],[Claims: Professional, Specialty]],AN_TME_BY[[#All],[Insurance Category Code]],4,AN_TME_BY[[#All],[Advanced Network/Insurance Carrier Org ID]],B94)/D94)</f>
        <v>NA</v>
      </c>
      <c r="J94" s="108" t="str">
        <f>IF(D94=0,"NA",SUMIFS(AN_TME_BY[[#All],[Claims: Professional Other]],AN_TME_BY[[#All],[Insurance Category Code]],4,AN_TME_BY[[#All],[Advanced Network/Insurance Carrier Org ID]],B94)/D94)</f>
        <v>NA</v>
      </c>
      <c r="K94" s="108" t="str">
        <f>IF(D94=0,"NA",SUMIFS(AN_TME_BY[[#All],[Claims: Pharmacy]],AN_TME_BY[[#All],[Insurance Category Code]],4,AN_TME_BY[[#All],[Advanced Network/Insurance Carrier Org ID]],B94)/D94)</f>
        <v>NA</v>
      </c>
      <c r="L94" s="108" t="str">
        <f>IF(D94=0,"NA",SUMIFS(AN_TME_BY[[#All],[Claims: Long-Term Care]],AN_TME_BY[[#All],[Insurance Category Code]],4,AN_TME_BY[[#All],[Advanced Network/Insurance Carrier Org ID]],B94)/D94)</f>
        <v>NA</v>
      </c>
      <c r="M94" s="108" t="str">
        <f>IF(D94=0,"NA",SUMIFS(AN_TME_BY[[#All],[Claims: Other]],AN_TME_BY[[#All],[Insurance Category Code]],4,AN_TME_BY[[#All],[Advanced Network/Insurance Carrier Org ID]],B94)/D94)</f>
        <v>NA</v>
      </c>
      <c r="N94" s="147" t="str">
        <f>IF(D94=0,"NA",SUMIFS(AN_TME_BY[[#All],[TOTAL Non-Truncated Unadjusted Claims Expenses]],AN_TME_BY[[#All],[Insurance Category Code]],4,AN_TME_BY[[#All],[Advanced Network/Insurance Carrier Org ID]],B94)/D94)</f>
        <v>NA</v>
      </c>
      <c r="O94" s="147" t="str">
        <f>IF(D94=0,"NA",SUMIFS(AN_TME_BY[[#All],[TOTAL Truncated Unadjusted Claims Expenses (A21 -A19)]],AN_TME_BY[[#All],[Insurance Category Code]],4,AN_TME_BY[[#All],[Advanced Network/Insurance Carrier Org ID]],B94)/D94)</f>
        <v>NA</v>
      </c>
      <c r="P94" s="147" t="str">
        <f>IF(D94=0,"NA",SUMIFS(AN_TME_BY[[#All],[TOTAL Non-Claims Expenses]],AN_TME_BY[[#All],[Insurance Category Code]],4,AN_TME_BY[[#All],[Advanced Network/Insurance Carrier Org ID]],B94)/D94)</f>
        <v>NA</v>
      </c>
      <c r="Q94" s="147" t="str">
        <f>IF(D94=0,"NA",SUMIFS(AN_TME_BY[[#All],[TOTAL Non-Truncated Unadjusted Expenses (A21 + A23)]],AN_TME_BY[[#All],[Insurance Category Code]],4,AN_TME_BY[[#All],[Advanced Network/Insurance Carrier Org ID]],B94)/D94)</f>
        <v>NA</v>
      </c>
      <c r="R94" s="147" t="str">
        <f>IF(D94=0,"NA",SUMIFS(AN_TME_BY[[#All],[TOTAL Truncated Unadjusted Expenses (A22 + A23)]],AN_TME_BY[[#All],[Insurance Category Code]],4,AN_TME_BY[[#All],[Advanced Network/Insurance Carrier Org ID]],B94)/D94)</f>
        <v>NA</v>
      </c>
      <c r="S94" s="448">
        <f>SUMIFS(AN_TME_PY[[#All],[Member Months]],AN_TME_PY[[#All],[Insurance Category Code]],4,AN_TME_PY[[#All],[Advanced Network/Insurance Carrier Org ID]],B94)</f>
        <v>0</v>
      </c>
      <c r="T94" s="137" t="str">
        <f>IF(S94=0,"NA",SUMIFS(AN_TME_PY[[#All],[Claims: Hospital Inpatient]],AN_TME_PY[[#All],[Insurance Category Code]],4,AN_TME_PY[[#All],[Advanced Network/Insurance Carrier Org ID]],B94)/S94)</f>
        <v>NA</v>
      </c>
      <c r="U94" s="108" t="str">
        <f>IF(S94=0,"NA",SUMIFS(AN_TME_PY[[#All],[Claims: Hospital Outpatient]],AN_TME_PY[[#All],[Insurance Category Code]],4,AN_TME_PY[[#All],[Advanced Network/Insurance Carrier Org ID]],B94)/S94)</f>
        <v>NA</v>
      </c>
      <c r="V94" s="108" t="str">
        <f>IF(S94=0,"NA",SUMIFS(AN_TME_PY[[#All],[Claims: Professional, Primary Care]],AN_TME_PY[[#All],[Insurance Category Code]],4,AN_TME_PY[[#All],[Advanced Network/Insurance Carrier Org ID]],B94)/S94)</f>
        <v>NA</v>
      </c>
      <c r="W94" s="108" t="str">
        <f>IF(S94=0,"NA",SUMIFS(AN_TME_PY[[#All],[Claims: Professional, Primary Care (for Monitoring Purposes)]],AN_TME_PY[[#All],[Insurance Category Code]],4,AN_TME_PY[[#All],[Advanced Network/Insurance Carrier Org ID]],B94)/S94)</f>
        <v>NA</v>
      </c>
      <c r="X94" s="108" t="str">
        <f>IF(S94=0,"NA",SUMIFS(AN_TME_PY[[#All],[Claims: Professional, Specialty]],AN_TME_PY[[#All],[Insurance Category Code]],4,AN_TME_PY[[#All],[Advanced Network/Insurance Carrier Org ID]],B94)/S94)</f>
        <v>NA</v>
      </c>
      <c r="Y94" s="108" t="str">
        <f>IF(S94=0,"NA",SUMIFS(AN_TME_PY[[#All],[Claims: Professional Other]],AN_TME_PY[[#All],[Insurance Category Code]],4,AN_TME_PY[[#All],[Advanced Network/Insurance Carrier Org ID]],B94)/S94)</f>
        <v>NA</v>
      </c>
      <c r="Z94" s="108" t="str">
        <f>IF(S94=0,"NA",SUMIFS(AN_TME_PY[[#All],[Claims: Pharmacy]],AN_TME_PY[[#All],[Insurance Category Code]],4,AN_TME_PY[[#All],[Advanced Network/Insurance Carrier Org ID]],B94)/S94)</f>
        <v>NA</v>
      </c>
      <c r="AA94" s="108" t="str">
        <f>IF(S94=0,"NA",SUMIFS(AN_TME_PY[[#All],[Claims: Long-Term Care]],AN_TME_PY[[#All],[Insurance Category Code]],4,AN_TME_PY[[#All],[Advanced Network/Insurance Carrier Org ID]],B94)/S94)</f>
        <v>NA</v>
      </c>
      <c r="AB94" s="108" t="str">
        <f>IF(S94=0,"NA",SUMIFS(AN_TME_PY[[#All],[Claims: Other]],AN_TME_PY[[#All],[Insurance Category Code]],4,AN_TME_PY[[#All],[Advanced Network/Insurance Carrier Org ID]],B94)/S94)</f>
        <v>NA</v>
      </c>
      <c r="AC94" s="147" t="str">
        <f>IF(S94=0,"NA",SUMIFS(AN_TME_PY[[#All],[TOTAL Non-Truncated Unadjusted Claims Expenses]],AN_TME_PY[[#All],[Insurance Category Code]],4,AN_TME_PY[[#All],[Advanced Network/Insurance Carrier Org ID]],B94)/S94)</f>
        <v>NA</v>
      </c>
      <c r="AD94" s="147" t="str">
        <f>IF(S94=0,"NA",SUMIFS(AN_TME_PY[[#All],[TOTAL Truncated Unadjusted Claims Expenses (A21 -A19)]],AN_TME_PY[[#All],[Insurance Category Code]],4,AN_TME_PY[[#All],[Advanced Network/Insurance Carrier Org ID]],B94)/S94)</f>
        <v>NA</v>
      </c>
      <c r="AE94" s="147" t="str">
        <f>IF(S94=0,"NA",SUMIFS(AN_TME_PY[[#All],[TOTAL Non-Claims Expenses]],AN_TME_PY[[#All],[Insurance Category Code]],4,AN_TME_PY[[#All],[Advanced Network/Insurance Carrier Org ID]],B94)/S94)</f>
        <v>NA</v>
      </c>
      <c r="AF94" s="147" t="str">
        <f>IF(S94=0,"NA",SUMIFS(AN_TME_PY[[#All],[TOTAL Non-Truncated Unadjusted Expenses (A21 + A23)]],AN_TME_PY[[#All],[Insurance Category Code]],4,AN_TME_PY[[#All],[Advanced Network/Insurance Carrier Org ID]],B94)/S94)</f>
        <v>NA</v>
      </c>
      <c r="AG94" s="138" t="str">
        <f>IF(S94=0,"NA",SUMIFS(AN_TME_PY[[#All],[TOTAL Truncated Unadjusted Expenses (A22 + A23)]],AN_TME_PY[[#All],[Insurance Category Code]],4,AN_TME_PY[[#All],[Advanced Network/Insurance Carrier Org ID]],B94)/S94)</f>
        <v>NA</v>
      </c>
      <c r="AH94" s="419" t="str">
        <f t="shared" si="122"/>
        <v>NA</v>
      </c>
      <c r="AI94" s="420" t="str">
        <f t="shared" si="123"/>
        <v>NA</v>
      </c>
      <c r="AJ94" s="421" t="str">
        <f t="shared" si="124"/>
        <v>NA</v>
      </c>
      <c r="AK94" s="421" t="str">
        <f t="shared" si="125"/>
        <v>NA</v>
      </c>
      <c r="AL94" s="421" t="str">
        <f t="shared" si="126"/>
        <v>NA</v>
      </c>
      <c r="AM94" s="421" t="str">
        <f t="shared" si="127"/>
        <v>NA</v>
      </c>
      <c r="AN94" s="421" t="str">
        <f t="shared" si="128"/>
        <v>NA</v>
      </c>
      <c r="AO94" s="421" t="str">
        <f t="shared" si="129"/>
        <v>NA</v>
      </c>
      <c r="AP94" s="421" t="str">
        <f t="shared" si="130"/>
        <v>NA</v>
      </c>
      <c r="AQ94" s="421" t="str">
        <f t="shared" si="131"/>
        <v>NA</v>
      </c>
      <c r="AR94" s="422" t="str">
        <f t="shared" si="132"/>
        <v>NA</v>
      </c>
      <c r="AS94" s="422" t="str">
        <f t="shared" si="133"/>
        <v>NA</v>
      </c>
      <c r="AT94" s="422" t="str">
        <f t="shared" si="134"/>
        <v>NA</v>
      </c>
      <c r="AU94" s="422" t="str">
        <f t="shared" si="135"/>
        <v>NA</v>
      </c>
      <c r="AV94" s="423" t="str">
        <f t="shared" si="136"/>
        <v>NA</v>
      </c>
    </row>
    <row r="95" spans="1:48" ht="15" customHeight="1" x14ac:dyDescent="0.25">
      <c r="A95" s="146"/>
      <c r="B95" s="148">
        <v>106</v>
      </c>
      <c r="C95" s="151" t="str">
        <f>_xlfn.XLOOKUP(B95, LgProvEntOrgIDs[Advanced Network/Insurer Carrier Org ID], LgProvEntOrgIDs[Advanced Network/Insurance Carrier Overall])</f>
        <v>Northeast Medical Group</v>
      </c>
      <c r="D95" s="448">
        <f>SUMIFS(AN_TME_BY[[#All],[Member Months]],AN_TME_BY[[#All],[Insurance Category Code]],4,AN_TME_BY[[#All],[Advanced Network/Insurance Carrier Org ID]],B95)</f>
        <v>0</v>
      </c>
      <c r="E95" s="137" t="str">
        <f>IF(D95=0,"NA",SUMIFS(AN_TME_BY[[#All],[Claims: Hospital Inpatient]],AN_TME_BY[[#All],[Insurance Category Code]],4,AN_TME_BY[[#All],[Advanced Network/Insurance Carrier Org ID]],B95)/D95)</f>
        <v>NA</v>
      </c>
      <c r="F95" s="108" t="str">
        <f>IF(D95=0,"NA",SUMIFS(AN_TME_BY[[#All],[Claims: Hospital Outpatient]],AN_TME_BY[[#All],[Insurance Category Code]],4,AN_TME_BY[[#All],[Advanced Network/Insurance Carrier Org ID]],B95)/D95)</f>
        <v>NA</v>
      </c>
      <c r="G95" s="108" t="str">
        <f>IF(D95=0,"NA",SUMIFS(AN_TME_BY[[#All],[Claims: Professional, Primary Care]],AN_TME_BY[[#All],[Insurance Category Code]],4,AN_TME_BY[[#All],[Advanced Network/Insurance Carrier Org ID]],B95)/D95)</f>
        <v>NA</v>
      </c>
      <c r="H95" s="108" t="str">
        <f>IF(D95=0,"NA",SUMIFS(AN_TME_BY[[#All],[Claims: Professional, Primary Care (for Monitoring Purposes)]],AN_TME_BY[[#All],[Insurance Category Code]],4,AN_TME_BY[[#All],[Advanced Network/Insurance Carrier Org ID]],B95)/D95)</f>
        <v>NA</v>
      </c>
      <c r="I95" s="108" t="str">
        <f>IF(D95=0,"NA",SUMIFS(AN_TME_BY[[#All],[Claims: Professional, Specialty]],AN_TME_BY[[#All],[Insurance Category Code]],4,AN_TME_BY[[#All],[Advanced Network/Insurance Carrier Org ID]],B95)/D95)</f>
        <v>NA</v>
      </c>
      <c r="J95" s="108" t="str">
        <f>IF(D95=0,"NA",SUMIFS(AN_TME_BY[[#All],[Claims: Professional Other]],AN_TME_BY[[#All],[Insurance Category Code]],4,AN_TME_BY[[#All],[Advanced Network/Insurance Carrier Org ID]],B95)/D95)</f>
        <v>NA</v>
      </c>
      <c r="K95" s="108" t="str">
        <f>IF(D95=0,"NA",SUMIFS(AN_TME_BY[[#All],[Claims: Pharmacy]],AN_TME_BY[[#All],[Insurance Category Code]],4,AN_TME_BY[[#All],[Advanced Network/Insurance Carrier Org ID]],B95)/D95)</f>
        <v>NA</v>
      </c>
      <c r="L95" s="108" t="str">
        <f>IF(D95=0,"NA",SUMIFS(AN_TME_BY[[#All],[Claims: Long-Term Care]],AN_TME_BY[[#All],[Insurance Category Code]],4,AN_TME_BY[[#All],[Advanced Network/Insurance Carrier Org ID]],B95)/D95)</f>
        <v>NA</v>
      </c>
      <c r="M95" s="108" t="str">
        <f>IF(D95=0,"NA",SUMIFS(AN_TME_BY[[#All],[Claims: Other]],AN_TME_BY[[#All],[Insurance Category Code]],4,AN_TME_BY[[#All],[Advanced Network/Insurance Carrier Org ID]],B95)/D95)</f>
        <v>NA</v>
      </c>
      <c r="N95" s="147" t="str">
        <f>IF(D95=0,"NA",SUMIFS(AN_TME_BY[[#All],[TOTAL Non-Truncated Unadjusted Claims Expenses]],AN_TME_BY[[#All],[Insurance Category Code]],4,AN_TME_BY[[#All],[Advanced Network/Insurance Carrier Org ID]],B95)/D95)</f>
        <v>NA</v>
      </c>
      <c r="O95" s="147" t="str">
        <f>IF(D95=0,"NA",SUMIFS(AN_TME_BY[[#All],[TOTAL Truncated Unadjusted Claims Expenses (A21 -A19)]],AN_TME_BY[[#All],[Insurance Category Code]],4,AN_TME_BY[[#All],[Advanced Network/Insurance Carrier Org ID]],B95)/D95)</f>
        <v>NA</v>
      </c>
      <c r="P95" s="147" t="str">
        <f>IF(D95=0,"NA",SUMIFS(AN_TME_BY[[#All],[TOTAL Non-Claims Expenses]],AN_TME_BY[[#All],[Insurance Category Code]],4,AN_TME_BY[[#All],[Advanced Network/Insurance Carrier Org ID]],B95)/D95)</f>
        <v>NA</v>
      </c>
      <c r="Q95" s="147" t="str">
        <f>IF(D95=0,"NA",SUMIFS(AN_TME_BY[[#All],[TOTAL Non-Truncated Unadjusted Expenses (A21 + A23)]],AN_TME_BY[[#All],[Insurance Category Code]],4,AN_TME_BY[[#All],[Advanced Network/Insurance Carrier Org ID]],B95)/D95)</f>
        <v>NA</v>
      </c>
      <c r="R95" s="147" t="str">
        <f>IF(D95=0,"NA",SUMIFS(AN_TME_BY[[#All],[TOTAL Truncated Unadjusted Expenses (A22 + A23)]],AN_TME_BY[[#All],[Insurance Category Code]],4,AN_TME_BY[[#All],[Advanced Network/Insurance Carrier Org ID]],B95)/D95)</f>
        <v>NA</v>
      </c>
      <c r="S95" s="448">
        <f>SUMIFS(AN_TME_PY[[#All],[Member Months]],AN_TME_PY[[#All],[Insurance Category Code]],4,AN_TME_PY[[#All],[Advanced Network/Insurance Carrier Org ID]],B95)</f>
        <v>0</v>
      </c>
      <c r="T95" s="137" t="str">
        <f>IF(S95=0,"NA",SUMIFS(AN_TME_PY[[#All],[Claims: Hospital Inpatient]],AN_TME_PY[[#All],[Insurance Category Code]],4,AN_TME_PY[[#All],[Advanced Network/Insurance Carrier Org ID]],B95)/S95)</f>
        <v>NA</v>
      </c>
      <c r="U95" s="108" t="str">
        <f>IF(S95=0,"NA",SUMIFS(AN_TME_PY[[#All],[Claims: Hospital Outpatient]],AN_TME_PY[[#All],[Insurance Category Code]],4,AN_TME_PY[[#All],[Advanced Network/Insurance Carrier Org ID]],B95)/S95)</f>
        <v>NA</v>
      </c>
      <c r="V95" s="108" t="str">
        <f>IF(S95=0,"NA",SUMIFS(AN_TME_PY[[#All],[Claims: Professional, Primary Care]],AN_TME_PY[[#All],[Insurance Category Code]],4,AN_TME_PY[[#All],[Advanced Network/Insurance Carrier Org ID]],B95)/S95)</f>
        <v>NA</v>
      </c>
      <c r="W95" s="108" t="str">
        <f>IF(S95=0,"NA",SUMIFS(AN_TME_PY[[#All],[Claims: Professional, Primary Care (for Monitoring Purposes)]],AN_TME_PY[[#All],[Insurance Category Code]],4,AN_TME_PY[[#All],[Advanced Network/Insurance Carrier Org ID]],B95)/S95)</f>
        <v>NA</v>
      </c>
      <c r="X95" s="108" t="str">
        <f>IF(S95=0,"NA",SUMIFS(AN_TME_PY[[#All],[Claims: Professional, Specialty]],AN_TME_PY[[#All],[Insurance Category Code]],4,AN_TME_PY[[#All],[Advanced Network/Insurance Carrier Org ID]],B95)/S95)</f>
        <v>NA</v>
      </c>
      <c r="Y95" s="108" t="str">
        <f>IF(S95=0,"NA",SUMIFS(AN_TME_PY[[#All],[Claims: Professional Other]],AN_TME_PY[[#All],[Insurance Category Code]],4,AN_TME_PY[[#All],[Advanced Network/Insurance Carrier Org ID]],B95)/S95)</f>
        <v>NA</v>
      </c>
      <c r="Z95" s="108" t="str">
        <f>IF(S95=0,"NA",SUMIFS(AN_TME_PY[[#All],[Claims: Pharmacy]],AN_TME_PY[[#All],[Insurance Category Code]],4,AN_TME_PY[[#All],[Advanced Network/Insurance Carrier Org ID]],B95)/S95)</f>
        <v>NA</v>
      </c>
      <c r="AA95" s="108" t="str">
        <f>IF(S95=0,"NA",SUMIFS(AN_TME_PY[[#All],[Claims: Long-Term Care]],AN_TME_PY[[#All],[Insurance Category Code]],4,AN_TME_PY[[#All],[Advanced Network/Insurance Carrier Org ID]],B95)/S95)</f>
        <v>NA</v>
      </c>
      <c r="AB95" s="108" t="str">
        <f>IF(S95=0,"NA",SUMIFS(AN_TME_PY[[#All],[Claims: Other]],AN_TME_PY[[#All],[Insurance Category Code]],4,AN_TME_PY[[#All],[Advanced Network/Insurance Carrier Org ID]],B95)/S95)</f>
        <v>NA</v>
      </c>
      <c r="AC95" s="147" t="str">
        <f>IF(S95=0,"NA",SUMIFS(AN_TME_PY[[#All],[TOTAL Non-Truncated Unadjusted Claims Expenses]],AN_TME_PY[[#All],[Insurance Category Code]],4,AN_TME_PY[[#All],[Advanced Network/Insurance Carrier Org ID]],B95)/S95)</f>
        <v>NA</v>
      </c>
      <c r="AD95" s="147" t="str">
        <f>IF(S95=0,"NA",SUMIFS(AN_TME_PY[[#All],[TOTAL Truncated Unadjusted Claims Expenses (A21 -A19)]],AN_TME_PY[[#All],[Insurance Category Code]],4,AN_TME_PY[[#All],[Advanced Network/Insurance Carrier Org ID]],B95)/S95)</f>
        <v>NA</v>
      </c>
      <c r="AE95" s="147" t="str">
        <f>IF(S95=0,"NA",SUMIFS(AN_TME_PY[[#All],[TOTAL Non-Claims Expenses]],AN_TME_PY[[#All],[Insurance Category Code]],4,AN_TME_PY[[#All],[Advanced Network/Insurance Carrier Org ID]],B95)/S95)</f>
        <v>NA</v>
      </c>
      <c r="AF95" s="147" t="str">
        <f>IF(S95=0,"NA",SUMIFS(AN_TME_PY[[#All],[TOTAL Non-Truncated Unadjusted Expenses (A21 + A23)]],AN_TME_PY[[#All],[Insurance Category Code]],4,AN_TME_PY[[#All],[Advanced Network/Insurance Carrier Org ID]],B95)/S95)</f>
        <v>NA</v>
      </c>
      <c r="AG95" s="138" t="str">
        <f>IF(S95=0,"NA",SUMIFS(AN_TME_PY[[#All],[TOTAL Truncated Unadjusted Expenses (A22 + A23)]],AN_TME_PY[[#All],[Insurance Category Code]],4,AN_TME_PY[[#All],[Advanced Network/Insurance Carrier Org ID]],B95)/S95)</f>
        <v>NA</v>
      </c>
      <c r="AH95" s="419" t="str">
        <f t="shared" si="122"/>
        <v>NA</v>
      </c>
      <c r="AI95" s="420" t="str">
        <f t="shared" si="123"/>
        <v>NA</v>
      </c>
      <c r="AJ95" s="421" t="str">
        <f t="shared" si="124"/>
        <v>NA</v>
      </c>
      <c r="AK95" s="421" t="str">
        <f t="shared" si="125"/>
        <v>NA</v>
      </c>
      <c r="AL95" s="421" t="str">
        <f t="shared" si="126"/>
        <v>NA</v>
      </c>
      <c r="AM95" s="421" t="str">
        <f t="shared" si="127"/>
        <v>NA</v>
      </c>
      <c r="AN95" s="421" t="str">
        <f t="shared" si="128"/>
        <v>NA</v>
      </c>
      <c r="AO95" s="421" t="str">
        <f t="shared" si="129"/>
        <v>NA</v>
      </c>
      <c r="AP95" s="421" t="str">
        <f t="shared" si="130"/>
        <v>NA</v>
      </c>
      <c r="AQ95" s="421" t="str">
        <f t="shared" si="131"/>
        <v>NA</v>
      </c>
      <c r="AR95" s="422" t="str">
        <f t="shared" si="132"/>
        <v>NA</v>
      </c>
      <c r="AS95" s="422" t="str">
        <f t="shared" si="133"/>
        <v>NA</v>
      </c>
      <c r="AT95" s="422" t="str">
        <f t="shared" si="134"/>
        <v>NA</v>
      </c>
      <c r="AU95" s="422" t="str">
        <f t="shared" si="135"/>
        <v>NA</v>
      </c>
      <c r="AV95" s="423" t="str">
        <f t="shared" si="136"/>
        <v>NA</v>
      </c>
    </row>
    <row r="96" spans="1:48" ht="15" customHeight="1" x14ac:dyDescent="0.25">
      <c r="A96" s="146"/>
      <c r="B96" s="148">
        <v>107</v>
      </c>
      <c r="C96" s="151" t="str">
        <f>_xlfn.XLOOKUP(B96, LgProvEntOrgIDs[Advanced Network/Insurer Carrier Org ID], LgProvEntOrgIDs[Advanced Network/Insurance Carrier Overall])</f>
        <v>Senior Care Network of CT (dba Advantage Plus Network)</v>
      </c>
      <c r="D96" s="448">
        <f>SUMIFS(AN_TME_BY[[#All],[Member Months]],AN_TME_BY[[#All],[Insurance Category Code]],4,AN_TME_BY[[#All],[Advanced Network/Insurance Carrier Org ID]],B96)</f>
        <v>0</v>
      </c>
      <c r="E96" s="137" t="str">
        <f>IF(D96=0,"NA",SUMIFS(AN_TME_BY[[#All],[Claims: Hospital Inpatient]],AN_TME_BY[[#All],[Insurance Category Code]],4,AN_TME_BY[[#All],[Advanced Network/Insurance Carrier Org ID]],B96)/D96)</f>
        <v>NA</v>
      </c>
      <c r="F96" s="108" t="str">
        <f>IF(D96=0,"NA",SUMIFS(AN_TME_BY[[#All],[Claims: Hospital Outpatient]],AN_TME_BY[[#All],[Insurance Category Code]],4,AN_TME_BY[[#All],[Advanced Network/Insurance Carrier Org ID]],B96)/D96)</f>
        <v>NA</v>
      </c>
      <c r="G96" s="108" t="str">
        <f>IF(D96=0,"NA",SUMIFS(AN_TME_BY[[#All],[Claims: Professional, Primary Care]],AN_TME_BY[[#All],[Insurance Category Code]],4,AN_TME_BY[[#All],[Advanced Network/Insurance Carrier Org ID]],B96)/D96)</f>
        <v>NA</v>
      </c>
      <c r="H96" s="108" t="str">
        <f>IF(D96=0,"NA",SUMIFS(AN_TME_BY[[#All],[Claims: Professional, Primary Care (for Monitoring Purposes)]],AN_TME_BY[[#All],[Insurance Category Code]],4,AN_TME_BY[[#All],[Advanced Network/Insurance Carrier Org ID]],B96)/D96)</f>
        <v>NA</v>
      </c>
      <c r="I96" s="108" t="str">
        <f>IF(D96=0,"NA",SUMIFS(AN_TME_BY[[#All],[Claims: Professional, Specialty]],AN_TME_BY[[#All],[Insurance Category Code]],4,AN_TME_BY[[#All],[Advanced Network/Insurance Carrier Org ID]],B96)/D96)</f>
        <v>NA</v>
      </c>
      <c r="J96" s="108" t="str">
        <f>IF(D96=0,"NA",SUMIFS(AN_TME_BY[[#All],[Claims: Professional Other]],AN_TME_BY[[#All],[Insurance Category Code]],4,AN_TME_BY[[#All],[Advanced Network/Insurance Carrier Org ID]],B96)/D96)</f>
        <v>NA</v>
      </c>
      <c r="K96" s="108" t="str">
        <f>IF(D96=0,"NA",SUMIFS(AN_TME_BY[[#All],[Claims: Pharmacy]],AN_TME_BY[[#All],[Insurance Category Code]],4,AN_TME_BY[[#All],[Advanced Network/Insurance Carrier Org ID]],B96)/D96)</f>
        <v>NA</v>
      </c>
      <c r="L96" s="108" t="str">
        <f>IF(D96=0,"NA",SUMIFS(AN_TME_BY[[#All],[Claims: Long-Term Care]],AN_TME_BY[[#All],[Insurance Category Code]],4,AN_TME_BY[[#All],[Advanced Network/Insurance Carrier Org ID]],B96)/D96)</f>
        <v>NA</v>
      </c>
      <c r="M96" s="108" t="str">
        <f>IF(D96=0,"NA",SUMIFS(AN_TME_BY[[#All],[Claims: Other]],AN_TME_BY[[#All],[Insurance Category Code]],4,AN_TME_BY[[#All],[Advanced Network/Insurance Carrier Org ID]],B96)/D96)</f>
        <v>NA</v>
      </c>
      <c r="N96" s="147" t="str">
        <f>IF(D96=0,"NA",SUMIFS(AN_TME_BY[[#All],[TOTAL Non-Truncated Unadjusted Claims Expenses]],AN_TME_BY[[#All],[Insurance Category Code]],4,AN_TME_BY[[#All],[Advanced Network/Insurance Carrier Org ID]],B96)/D96)</f>
        <v>NA</v>
      </c>
      <c r="O96" s="147" t="str">
        <f>IF(D96=0,"NA",SUMIFS(AN_TME_BY[[#All],[TOTAL Truncated Unadjusted Claims Expenses (A21 -A19)]],AN_TME_BY[[#All],[Insurance Category Code]],4,AN_TME_BY[[#All],[Advanced Network/Insurance Carrier Org ID]],B96)/D96)</f>
        <v>NA</v>
      </c>
      <c r="P96" s="147" t="str">
        <f>IF(D96=0,"NA",SUMIFS(AN_TME_BY[[#All],[TOTAL Non-Claims Expenses]],AN_TME_BY[[#All],[Insurance Category Code]],4,AN_TME_BY[[#All],[Advanced Network/Insurance Carrier Org ID]],B96)/D96)</f>
        <v>NA</v>
      </c>
      <c r="Q96" s="147" t="str">
        <f>IF(D96=0,"NA",SUMIFS(AN_TME_BY[[#All],[TOTAL Non-Truncated Unadjusted Expenses (A21 + A23)]],AN_TME_BY[[#All],[Insurance Category Code]],4,AN_TME_BY[[#All],[Advanced Network/Insurance Carrier Org ID]],B96)/D96)</f>
        <v>NA</v>
      </c>
      <c r="R96" s="147" t="str">
        <f>IF(D96=0,"NA",SUMIFS(AN_TME_BY[[#All],[TOTAL Truncated Unadjusted Expenses (A22 + A23)]],AN_TME_BY[[#All],[Insurance Category Code]],4,AN_TME_BY[[#All],[Advanced Network/Insurance Carrier Org ID]],B96)/D96)</f>
        <v>NA</v>
      </c>
      <c r="S96" s="448">
        <f>SUMIFS(AN_TME_PY[[#All],[Member Months]],AN_TME_PY[[#All],[Insurance Category Code]],4,AN_TME_PY[[#All],[Advanced Network/Insurance Carrier Org ID]],B96)</f>
        <v>0</v>
      </c>
      <c r="T96" s="137" t="str">
        <f>IF(S96=0,"NA",SUMIFS(AN_TME_PY[[#All],[Claims: Hospital Inpatient]],AN_TME_PY[[#All],[Insurance Category Code]],4,AN_TME_PY[[#All],[Advanced Network/Insurance Carrier Org ID]],B96)/S96)</f>
        <v>NA</v>
      </c>
      <c r="U96" s="108" t="str">
        <f>IF(S96=0,"NA",SUMIFS(AN_TME_PY[[#All],[Claims: Hospital Outpatient]],AN_TME_PY[[#All],[Insurance Category Code]],4,AN_TME_PY[[#All],[Advanced Network/Insurance Carrier Org ID]],B96)/S96)</f>
        <v>NA</v>
      </c>
      <c r="V96" s="108" t="str">
        <f>IF(S96=0,"NA",SUMIFS(AN_TME_PY[[#All],[Claims: Professional, Primary Care]],AN_TME_PY[[#All],[Insurance Category Code]],4,AN_TME_PY[[#All],[Advanced Network/Insurance Carrier Org ID]],B96)/S96)</f>
        <v>NA</v>
      </c>
      <c r="W96" s="108" t="str">
        <f>IF(S96=0,"NA",SUMIFS(AN_TME_PY[[#All],[Claims: Professional, Primary Care (for Monitoring Purposes)]],AN_TME_PY[[#All],[Insurance Category Code]],4,AN_TME_PY[[#All],[Advanced Network/Insurance Carrier Org ID]],B96)/S96)</f>
        <v>NA</v>
      </c>
      <c r="X96" s="108" t="str">
        <f>IF(S96=0,"NA",SUMIFS(AN_TME_PY[[#All],[Claims: Professional, Specialty]],AN_TME_PY[[#All],[Insurance Category Code]],4,AN_TME_PY[[#All],[Advanced Network/Insurance Carrier Org ID]],B96)/S96)</f>
        <v>NA</v>
      </c>
      <c r="Y96" s="108" t="str">
        <f>IF(S96=0,"NA",SUMIFS(AN_TME_PY[[#All],[Claims: Professional Other]],AN_TME_PY[[#All],[Insurance Category Code]],4,AN_TME_PY[[#All],[Advanced Network/Insurance Carrier Org ID]],B96)/S96)</f>
        <v>NA</v>
      </c>
      <c r="Z96" s="108" t="str">
        <f>IF(S96=0,"NA",SUMIFS(AN_TME_PY[[#All],[Claims: Pharmacy]],AN_TME_PY[[#All],[Insurance Category Code]],4,AN_TME_PY[[#All],[Advanced Network/Insurance Carrier Org ID]],B96)/S96)</f>
        <v>NA</v>
      </c>
      <c r="AA96" s="108" t="str">
        <f>IF(S96=0,"NA",SUMIFS(AN_TME_PY[[#All],[Claims: Long-Term Care]],AN_TME_PY[[#All],[Insurance Category Code]],4,AN_TME_PY[[#All],[Advanced Network/Insurance Carrier Org ID]],B96)/S96)</f>
        <v>NA</v>
      </c>
      <c r="AB96" s="108" t="str">
        <f>IF(S96=0,"NA",SUMIFS(AN_TME_PY[[#All],[Claims: Other]],AN_TME_PY[[#All],[Insurance Category Code]],4,AN_TME_PY[[#All],[Advanced Network/Insurance Carrier Org ID]],B96)/S96)</f>
        <v>NA</v>
      </c>
      <c r="AC96" s="147" t="str">
        <f>IF(S96=0,"NA",SUMIFS(AN_TME_PY[[#All],[TOTAL Non-Truncated Unadjusted Claims Expenses]],AN_TME_PY[[#All],[Insurance Category Code]],4,AN_TME_PY[[#All],[Advanced Network/Insurance Carrier Org ID]],B96)/S96)</f>
        <v>NA</v>
      </c>
      <c r="AD96" s="147" t="str">
        <f>IF(S96=0,"NA",SUMIFS(AN_TME_PY[[#All],[TOTAL Truncated Unadjusted Claims Expenses (A21 -A19)]],AN_TME_PY[[#All],[Insurance Category Code]],4,AN_TME_PY[[#All],[Advanced Network/Insurance Carrier Org ID]],B96)/S96)</f>
        <v>NA</v>
      </c>
      <c r="AE96" s="147" t="str">
        <f>IF(S96=0,"NA",SUMIFS(AN_TME_PY[[#All],[TOTAL Non-Claims Expenses]],AN_TME_PY[[#All],[Insurance Category Code]],4,AN_TME_PY[[#All],[Advanced Network/Insurance Carrier Org ID]],B96)/S96)</f>
        <v>NA</v>
      </c>
      <c r="AF96" s="147" t="str">
        <f>IF(S96=0,"NA",SUMIFS(AN_TME_PY[[#All],[TOTAL Non-Truncated Unadjusted Expenses (A21 + A23)]],AN_TME_PY[[#All],[Insurance Category Code]],4,AN_TME_PY[[#All],[Advanced Network/Insurance Carrier Org ID]],B96)/S96)</f>
        <v>NA</v>
      </c>
      <c r="AG96" s="138" t="str">
        <f>IF(S96=0,"NA",SUMIFS(AN_TME_PY[[#All],[TOTAL Truncated Unadjusted Expenses (A22 + A23)]],AN_TME_PY[[#All],[Insurance Category Code]],4,AN_TME_PY[[#All],[Advanced Network/Insurance Carrier Org ID]],B96)/S96)</f>
        <v>NA</v>
      </c>
      <c r="AH96" s="419" t="str">
        <f t="shared" si="122"/>
        <v>NA</v>
      </c>
      <c r="AI96" s="420" t="str">
        <f t="shared" si="123"/>
        <v>NA</v>
      </c>
      <c r="AJ96" s="421" t="str">
        <f t="shared" si="124"/>
        <v>NA</v>
      </c>
      <c r="AK96" s="421" t="str">
        <f t="shared" si="125"/>
        <v>NA</v>
      </c>
      <c r="AL96" s="421" t="str">
        <f t="shared" si="126"/>
        <v>NA</v>
      </c>
      <c r="AM96" s="421" t="str">
        <f t="shared" si="127"/>
        <v>NA</v>
      </c>
      <c r="AN96" s="421" t="str">
        <f t="shared" si="128"/>
        <v>NA</v>
      </c>
      <c r="AO96" s="421" t="str">
        <f t="shared" si="129"/>
        <v>NA</v>
      </c>
      <c r="AP96" s="421" t="str">
        <f t="shared" si="130"/>
        <v>NA</v>
      </c>
      <c r="AQ96" s="421" t="str">
        <f t="shared" si="131"/>
        <v>NA</v>
      </c>
      <c r="AR96" s="422" t="str">
        <f t="shared" si="132"/>
        <v>NA</v>
      </c>
      <c r="AS96" s="422" t="str">
        <f t="shared" si="133"/>
        <v>NA</v>
      </c>
      <c r="AT96" s="422" t="str">
        <f t="shared" si="134"/>
        <v>NA</v>
      </c>
      <c r="AU96" s="422" t="str">
        <f t="shared" si="135"/>
        <v>NA</v>
      </c>
      <c r="AV96" s="423" t="str">
        <f t="shared" si="136"/>
        <v>NA</v>
      </c>
    </row>
    <row r="97" spans="1:48" ht="45" customHeight="1" x14ac:dyDescent="0.25">
      <c r="A97" s="146"/>
      <c r="B97" s="148">
        <v>108</v>
      </c>
      <c r="C97" s="151" t="str">
        <f>_xlfn.XLOOKUP(B97, LgProvEntOrgIDs[Advanced Network/Insurer Carrier Org ID], LgProvEntOrgIDs[Advanced Network/Insurance Carrier Overall])</f>
        <v>Prospect Connecticut Medical Foundation Inc. (dba Prospect Medical, Prospect Health Services, Prospect Holdings)</v>
      </c>
      <c r="D97" s="448">
        <f>SUMIFS(AN_TME_BY[[#All],[Member Months]],AN_TME_BY[[#All],[Insurance Category Code]],4,AN_TME_BY[[#All],[Advanced Network/Insurance Carrier Org ID]],B97)</f>
        <v>0</v>
      </c>
      <c r="E97" s="137" t="str">
        <f>IF(D97=0,"NA",SUMIFS(AN_TME_BY[[#All],[Claims: Hospital Inpatient]],AN_TME_BY[[#All],[Insurance Category Code]],4,AN_TME_BY[[#All],[Advanced Network/Insurance Carrier Org ID]],B97)/D97)</f>
        <v>NA</v>
      </c>
      <c r="F97" s="108" t="str">
        <f>IF(D97=0,"NA",SUMIFS(AN_TME_BY[[#All],[Claims: Hospital Outpatient]],AN_TME_BY[[#All],[Insurance Category Code]],4,AN_TME_BY[[#All],[Advanced Network/Insurance Carrier Org ID]],B97)/D97)</f>
        <v>NA</v>
      </c>
      <c r="G97" s="108" t="str">
        <f>IF(D97=0,"NA",SUMIFS(AN_TME_BY[[#All],[Claims: Professional, Primary Care]],AN_TME_BY[[#All],[Insurance Category Code]],4,AN_TME_BY[[#All],[Advanced Network/Insurance Carrier Org ID]],B97)/D97)</f>
        <v>NA</v>
      </c>
      <c r="H97" s="108" t="str">
        <f>IF(D97=0,"NA",SUMIFS(AN_TME_BY[[#All],[Claims: Professional, Primary Care (for Monitoring Purposes)]],AN_TME_BY[[#All],[Insurance Category Code]],4,AN_TME_BY[[#All],[Advanced Network/Insurance Carrier Org ID]],B97)/D97)</f>
        <v>NA</v>
      </c>
      <c r="I97" s="108" t="str">
        <f>IF(D97=0,"NA",SUMIFS(AN_TME_BY[[#All],[Claims: Professional, Specialty]],AN_TME_BY[[#All],[Insurance Category Code]],4,AN_TME_BY[[#All],[Advanced Network/Insurance Carrier Org ID]],B97)/D97)</f>
        <v>NA</v>
      </c>
      <c r="J97" s="108" t="str">
        <f>IF(D97=0,"NA",SUMIFS(AN_TME_BY[[#All],[Claims: Professional Other]],AN_TME_BY[[#All],[Insurance Category Code]],4,AN_TME_BY[[#All],[Advanced Network/Insurance Carrier Org ID]],B97)/D97)</f>
        <v>NA</v>
      </c>
      <c r="K97" s="108" t="str">
        <f>IF(D97=0,"NA",SUMIFS(AN_TME_BY[[#All],[Claims: Pharmacy]],AN_TME_BY[[#All],[Insurance Category Code]],4,AN_TME_BY[[#All],[Advanced Network/Insurance Carrier Org ID]],B97)/D97)</f>
        <v>NA</v>
      </c>
      <c r="L97" s="108" t="str">
        <f>IF(D97=0,"NA",SUMIFS(AN_TME_BY[[#All],[Claims: Long-Term Care]],AN_TME_BY[[#All],[Insurance Category Code]],4,AN_TME_BY[[#All],[Advanced Network/Insurance Carrier Org ID]],B97)/D97)</f>
        <v>NA</v>
      </c>
      <c r="M97" s="108" t="str">
        <f>IF(D97=0,"NA",SUMIFS(AN_TME_BY[[#All],[Claims: Other]],AN_TME_BY[[#All],[Insurance Category Code]],4,AN_TME_BY[[#All],[Advanced Network/Insurance Carrier Org ID]],B97)/D97)</f>
        <v>NA</v>
      </c>
      <c r="N97" s="147" t="str">
        <f>IF(D97=0,"NA",SUMIFS(AN_TME_BY[[#All],[TOTAL Non-Truncated Unadjusted Claims Expenses]],AN_TME_BY[[#All],[Insurance Category Code]],4,AN_TME_BY[[#All],[Advanced Network/Insurance Carrier Org ID]],B97)/D97)</f>
        <v>NA</v>
      </c>
      <c r="O97" s="147" t="str">
        <f>IF(D97=0,"NA",SUMIFS(AN_TME_BY[[#All],[TOTAL Truncated Unadjusted Claims Expenses (A21 -A19)]],AN_TME_BY[[#All],[Insurance Category Code]],4,AN_TME_BY[[#All],[Advanced Network/Insurance Carrier Org ID]],B97)/D97)</f>
        <v>NA</v>
      </c>
      <c r="P97" s="147" t="str">
        <f>IF(D97=0,"NA",SUMIFS(AN_TME_BY[[#All],[TOTAL Non-Claims Expenses]],AN_TME_BY[[#All],[Insurance Category Code]],4,AN_TME_BY[[#All],[Advanced Network/Insurance Carrier Org ID]],B97)/D97)</f>
        <v>NA</v>
      </c>
      <c r="Q97" s="147" t="str">
        <f>IF(D97=0,"NA",SUMIFS(AN_TME_BY[[#All],[TOTAL Non-Truncated Unadjusted Expenses (A21 + A23)]],AN_TME_BY[[#All],[Insurance Category Code]],4,AN_TME_BY[[#All],[Advanced Network/Insurance Carrier Org ID]],B97)/D97)</f>
        <v>NA</v>
      </c>
      <c r="R97" s="147" t="str">
        <f>IF(D97=0,"NA",SUMIFS(AN_TME_BY[[#All],[TOTAL Truncated Unadjusted Expenses (A22 + A23)]],AN_TME_BY[[#All],[Insurance Category Code]],4,AN_TME_BY[[#All],[Advanced Network/Insurance Carrier Org ID]],B97)/D97)</f>
        <v>NA</v>
      </c>
      <c r="S97" s="448">
        <f>SUMIFS(AN_TME_PY[[#All],[Member Months]],AN_TME_PY[[#All],[Insurance Category Code]],4,AN_TME_PY[[#All],[Advanced Network/Insurance Carrier Org ID]],B97)</f>
        <v>0</v>
      </c>
      <c r="T97" s="137" t="str">
        <f>IF(S97=0,"NA",SUMIFS(AN_TME_PY[[#All],[Claims: Hospital Inpatient]],AN_TME_PY[[#All],[Insurance Category Code]],4,AN_TME_PY[[#All],[Advanced Network/Insurance Carrier Org ID]],B97)/S97)</f>
        <v>NA</v>
      </c>
      <c r="U97" s="108" t="str">
        <f>IF(S97=0,"NA",SUMIFS(AN_TME_PY[[#All],[Claims: Hospital Outpatient]],AN_TME_PY[[#All],[Insurance Category Code]],4,AN_TME_PY[[#All],[Advanced Network/Insurance Carrier Org ID]],B97)/S97)</f>
        <v>NA</v>
      </c>
      <c r="V97" s="108" t="str">
        <f>IF(S97=0,"NA",SUMIFS(AN_TME_PY[[#All],[Claims: Professional, Primary Care]],AN_TME_PY[[#All],[Insurance Category Code]],4,AN_TME_PY[[#All],[Advanced Network/Insurance Carrier Org ID]],B97)/S97)</f>
        <v>NA</v>
      </c>
      <c r="W97" s="108" t="str">
        <f>IF(S97=0,"NA",SUMIFS(AN_TME_PY[[#All],[Claims: Professional, Primary Care (for Monitoring Purposes)]],AN_TME_PY[[#All],[Insurance Category Code]],4,AN_TME_PY[[#All],[Advanced Network/Insurance Carrier Org ID]],B97)/S97)</f>
        <v>NA</v>
      </c>
      <c r="X97" s="108" t="str">
        <f>IF(S97=0,"NA",SUMIFS(AN_TME_PY[[#All],[Claims: Professional, Specialty]],AN_TME_PY[[#All],[Insurance Category Code]],4,AN_TME_PY[[#All],[Advanced Network/Insurance Carrier Org ID]],B97)/S97)</f>
        <v>NA</v>
      </c>
      <c r="Y97" s="108" t="str">
        <f>IF(S97=0,"NA",SUMIFS(AN_TME_PY[[#All],[Claims: Professional Other]],AN_TME_PY[[#All],[Insurance Category Code]],4,AN_TME_PY[[#All],[Advanced Network/Insurance Carrier Org ID]],B97)/S97)</f>
        <v>NA</v>
      </c>
      <c r="Z97" s="108" t="str">
        <f>IF(S97=0,"NA",SUMIFS(AN_TME_PY[[#All],[Claims: Pharmacy]],AN_TME_PY[[#All],[Insurance Category Code]],4,AN_TME_PY[[#All],[Advanced Network/Insurance Carrier Org ID]],B97)/S97)</f>
        <v>NA</v>
      </c>
      <c r="AA97" s="108" t="str">
        <f>IF(S97=0,"NA",SUMIFS(AN_TME_PY[[#All],[Claims: Long-Term Care]],AN_TME_PY[[#All],[Insurance Category Code]],4,AN_TME_PY[[#All],[Advanced Network/Insurance Carrier Org ID]],B97)/S97)</f>
        <v>NA</v>
      </c>
      <c r="AB97" s="108" t="str">
        <f>IF(S97=0,"NA",SUMIFS(AN_TME_PY[[#All],[Claims: Other]],AN_TME_PY[[#All],[Insurance Category Code]],4,AN_TME_PY[[#All],[Advanced Network/Insurance Carrier Org ID]],B97)/S97)</f>
        <v>NA</v>
      </c>
      <c r="AC97" s="147" t="str">
        <f>IF(S97=0,"NA",SUMIFS(AN_TME_PY[[#All],[TOTAL Non-Truncated Unadjusted Claims Expenses]],AN_TME_PY[[#All],[Insurance Category Code]],4,AN_TME_PY[[#All],[Advanced Network/Insurance Carrier Org ID]],B97)/S97)</f>
        <v>NA</v>
      </c>
      <c r="AD97" s="147" t="str">
        <f>IF(S97=0,"NA",SUMIFS(AN_TME_PY[[#All],[TOTAL Truncated Unadjusted Claims Expenses (A21 -A19)]],AN_TME_PY[[#All],[Insurance Category Code]],4,AN_TME_PY[[#All],[Advanced Network/Insurance Carrier Org ID]],B97)/S97)</f>
        <v>NA</v>
      </c>
      <c r="AE97" s="147" t="str">
        <f>IF(S97=0,"NA",SUMIFS(AN_TME_PY[[#All],[TOTAL Non-Claims Expenses]],AN_TME_PY[[#All],[Insurance Category Code]],4,AN_TME_PY[[#All],[Advanced Network/Insurance Carrier Org ID]],B97)/S97)</f>
        <v>NA</v>
      </c>
      <c r="AF97" s="147" t="str">
        <f>IF(S97=0,"NA",SUMIFS(AN_TME_PY[[#All],[TOTAL Non-Truncated Unadjusted Expenses (A21 + A23)]],AN_TME_PY[[#All],[Insurance Category Code]],4,AN_TME_PY[[#All],[Advanced Network/Insurance Carrier Org ID]],B97)/S97)</f>
        <v>NA</v>
      </c>
      <c r="AG97" s="138" t="str">
        <f>IF(S97=0,"NA",SUMIFS(AN_TME_PY[[#All],[TOTAL Truncated Unadjusted Expenses (A22 + A23)]],AN_TME_PY[[#All],[Insurance Category Code]],4,AN_TME_PY[[#All],[Advanced Network/Insurance Carrier Org ID]],B97)/S97)</f>
        <v>NA</v>
      </c>
      <c r="AH97" s="419" t="str">
        <f t="shared" si="122"/>
        <v>NA</v>
      </c>
      <c r="AI97" s="420" t="str">
        <f t="shared" si="123"/>
        <v>NA</v>
      </c>
      <c r="AJ97" s="421" t="str">
        <f t="shared" si="124"/>
        <v>NA</v>
      </c>
      <c r="AK97" s="421" t="str">
        <f t="shared" si="125"/>
        <v>NA</v>
      </c>
      <c r="AL97" s="421" t="str">
        <f t="shared" si="126"/>
        <v>NA</v>
      </c>
      <c r="AM97" s="421" t="str">
        <f t="shared" si="127"/>
        <v>NA</v>
      </c>
      <c r="AN97" s="421" t="str">
        <f t="shared" si="128"/>
        <v>NA</v>
      </c>
      <c r="AO97" s="421" t="str">
        <f t="shared" si="129"/>
        <v>NA</v>
      </c>
      <c r="AP97" s="421" t="str">
        <f t="shared" si="130"/>
        <v>NA</v>
      </c>
      <c r="AQ97" s="421" t="str">
        <f t="shared" si="131"/>
        <v>NA</v>
      </c>
      <c r="AR97" s="422" t="str">
        <f t="shared" si="132"/>
        <v>NA</v>
      </c>
      <c r="AS97" s="422" t="str">
        <f t="shared" si="133"/>
        <v>NA</v>
      </c>
      <c r="AT97" s="422" t="str">
        <f t="shared" si="134"/>
        <v>NA</v>
      </c>
      <c r="AU97" s="422" t="str">
        <f t="shared" si="135"/>
        <v>NA</v>
      </c>
      <c r="AV97" s="423" t="str">
        <f t="shared" si="136"/>
        <v>NA</v>
      </c>
    </row>
    <row r="98" spans="1:48" ht="45" customHeight="1" x14ac:dyDescent="0.25">
      <c r="A98" s="146"/>
      <c r="B98" s="148">
        <v>109</v>
      </c>
      <c r="C98" s="151" t="str">
        <f>_xlfn.XLOOKUP(B98, LgProvEntOrgIDs[Advanced Network/Insurer Carrier Org ID], LgProvEntOrgIDs[Advanced Network/Insurance Carrier Overall])</f>
        <v>Southern New England Health Care Organization (aka SoNE Health)</v>
      </c>
      <c r="D98" s="448">
        <f>SUMIFS(AN_TME_BY[[#All],[Member Months]],AN_TME_BY[[#All],[Insurance Category Code]],4,AN_TME_BY[[#All],[Advanced Network/Insurance Carrier Org ID]],B98)</f>
        <v>0</v>
      </c>
      <c r="E98" s="137" t="str">
        <f>IF(D98=0,"NA",SUMIFS(AN_TME_BY[[#All],[Claims: Hospital Inpatient]],AN_TME_BY[[#All],[Insurance Category Code]],4,AN_TME_BY[[#All],[Advanced Network/Insurance Carrier Org ID]],B98)/D98)</f>
        <v>NA</v>
      </c>
      <c r="F98" s="108" t="str">
        <f>IF(D98=0,"NA",SUMIFS(AN_TME_BY[[#All],[Claims: Hospital Outpatient]],AN_TME_BY[[#All],[Insurance Category Code]],4,AN_TME_BY[[#All],[Advanced Network/Insurance Carrier Org ID]],B98)/D98)</f>
        <v>NA</v>
      </c>
      <c r="G98" s="108" t="str">
        <f>IF(D98=0,"NA",SUMIFS(AN_TME_BY[[#All],[Claims: Professional, Primary Care]],AN_TME_BY[[#All],[Insurance Category Code]],4,AN_TME_BY[[#All],[Advanced Network/Insurance Carrier Org ID]],B98)/D98)</f>
        <v>NA</v>
      </c>
      <c r="H98" s="108" t="str">
        <f>IF(D98=0,"NA",SUMIFS(AN_TME_BY[[#All],[Claims: Professional, Primary Care (for Monitoring Purposes)]],AN_TME_BY[[#All],[Insurance Category Code]],4,AN_TME_BY[[#All],[Advanced Network/Insurance Carrier Org ID]],B98)/D98)</f>
        <v>NA</v>
      </c>
      <c r="I98" s="108" t="str">
        <f>IF(D98=0,"NA",SUMIFS(AN_TME_BY[[#All],[Claims: Professional, Specialty]],AN_TME_BY[[#All],[Insurance Category Code]],4,AN_TME_BY[[#All],[Advanced Network/Insurance Carrier Org ID]],B98)/D98)</f>
        <v>NA</v>
      </c>
      <c r="J98" s="108" t="str">
        <f>IF(D98=0,"NA",SUMIFS(AN_TME_BY[[#All],[Claims: Professional Other]],AN_TME_BY[[#All],[Insurance Category Code]],4,AN_TME_BY[[#All],[Advanced Network/Insurance Carrier Org ID]],B98)/D98)</f>
        <v>NA</v>
      </c>
      <c r="K98" s="108" t="str">
        <f>IF(D98=0,"NA",SUMIFS(AN_TME_BY[[#All],[Claims: Pharmacy]],AN_TME_BY[[#All],[Insurance Category Code]],4,AN_TME_BY[[#All],[Advanced Network/Insurance Carrier Org ID]],B98)/D98)</f>
        <v>NA</v>
      </c>
      <c r="L98" s="108" t="str">
        <f>IF(D98=0,"NA",SUMIFS(AN_TME_BY[[#All],[Claims: Long-Term Care]],AN_TME_BY[[#All],[Insurance Category Code]],4,AN_TME_BY[[#All],[Advanced Network/Insurance Carrier Org ID]],B98)/D98)</f>
        <v>NA</v>
      </c>
      <c r="M98" s="108" t="str">
        <f>IF(D98=0,"NA",SUMIFS(AN_TME_BY[[#All],[Claims: Other]],AN_TME_BY[[#All],[Insurance Category Code]],4,AN_TME_BY[[#All],[Advanced Network/Insurance Carrier Org ID]],B98)/D98)</f>
        <v>NA</v>
      </c>
      <c r="N98" s="147" t="str">
        <f>IF(D98=0,"NA",SUMIFS(AN_TME_BY[[#All],[TOTAL Non-Truncated Unadjusted Claims Expenses]],AN_TME_BY[[#All],[Insurance Category Code]],4,AN_TME_BY[[#All],[Advanced Network/Insurance Carrier Org ID]],B98)/D98)</f>
        <v>NA</v>
      </c>
      <c r="O98" s="147" t="str">
        <f>IF(D98=0,"NA",SUMIFS(AN_TME_BY[[#All],[TOTAL Truncated Unadjusted Claims Expenses (A21 -A19)]],AN_TME_BY[[#All],[Insurance Category Code]],4,AN_TME_BY[[#All],[Advanced Network/Insurance Carrier Org ID]],B98)/D98)</f>
        <v>NA</v>
      </c>
      <c r="P98" s="147" t="str">
        <f>IF(D98=0,"NA",SUMIFS(AN_TME_BY[[#All],[TOTAL Non-Claims Expenses]],AN_TME_BY[[#All],[Insurance Category Code]],4,AN_TME_BY[[#All],[Advanced Network/Insurance Carrier Org ID]],B98)/D98)</f>
        <v>NA</v>
      </c>
      <c r="Q98" s="147" t="str">
        <f>IF(D98=0,"NA",SUMIFS(AN_TME_BY[[#All],[TOTAL Non-Truncated Unadjusted Expenses (A21 + A23)]],AN_TME_BY[[#All],[Insurance Category Code]],4,AN_TME_BY[[#All],[Advanced Network/Insurance Carrier Org ID]],B98)/D98)</f>
        <v>NA</v>
      </c>
      <c r="R98" s="147" t="str">
        <f>IF(D98=0,"NA",SUMIFS(AN_TME_BY[[#All],[TOTAL Truncated Unadjusted Expenses (A22 + A23)]],AN_TME_BY[[#All],[Insurance Category Code]],4,AN_TME_BY[[#All],[Advanced Network/Insurance Carrier Org ID]],B98)/D98)</f>
        <v>NA</v>
      </c>
      <c r="S98" s="448">
        <f>SUMIFS(AN_TME_PY[[#All],[Member Months]],AN_TME_PY[[#All],[Insurance Category Code]],4,AN_TME_PY[[#All],[Advanced Network/Insurance Carrier Org ID]],B98)</f>
        <v>0</v>
      </c>
      <c r="T98" s="137" t="str">
        <f>IF(S98=0,"NA",SUMIFS(AN_TME_PY[[#All],[Claims: Hospital Inpatient]],AN_TME_PY[[#All],[Insurance Category Code]],4,AN_TME_PY[[#All],[Advanced Network/Insurance Carrier Org ID]],B98)/S98)</f>
        <v>NA</v>
      </c>
      <c r="U98" s="108" t="str">
        <f>IF(S98=0,"NA",SUMIFS(AN_TME_PY[[#All],[Claims: Hospital Outpatient]],AN_TME_PY[[#All],[Insurance Category Code]],4,AN_TME_PY[[#All],[Advanced Network/Insurance Carrier Org ID]],B98)/S98)</f>
        <v>NA</v>
      </c>
      <c r="V98" s="108" t="str">
        <f>IF(S98=0,"NA",SUMIFS(AN_TME_PY[[#All],[Claims: Professional, Primary Care]],AN_TME_PY[[#All],[Insurance Category Code]],4,AN_TME_PY[[#All],[Advanced Network/Insurance Carrier Org ID]],B98)/S98)</f>
        <v>NA</v>
      </c>
      <c r="W98" s="108" t="str">
        <f>IF(S98=0,"NA",SUMIFS(AN_TME_PY[[#All],[Claims: Professional, Primary Care (for Monitoring Purposes)]],AN_TME_PY[[#All],[Insurance Category Code]],4,AN_TME_PY[[#All],[Advanced Network/Insurance Carrier Org ID]],B98)/S98)</f>
        <v>NA</v>
      </c>
      <c r="X98" s="108" t="str">
        <f>IF(S98=0,"NA",SUMIFS(AN_TME_PY[[#All],[Claims: Professional, Specialty]],AN_TME_PY[[#All],[Insurance Category Code]],4,AN_TME_PY[[#All],[Advanced Network/Insurance Carrier Org ID]],B98)/S98)</f>
        <v>NA</v>
      </c>
      <c r="Y98" s="108" t="str">
        <f>IF(S98=0,"NA",SUMIFS(AN_TME_PY[[#All],[Claims: Professional Other]],AN_TME_PY[[#All],[Insurance Category Code]],4,AN_TME_PY[[#All],[Advanced Network/Insurance Carrier Org ID]],B98)/S98)</f>
        <v>NA</v>
      </c>
      <c r="Z98" s="108" t="str">
        <f>IF(S98=0,"NA",SUMIFS(AN_TME_PY[[#All],[Claims: Pharmacy]],AN_TME_PY[[#All],[Insurance Category Code]],4,AN_TME_PY[[#All],[Advanced Network/Insurance Carrier Org ID]],B98)/S98)</f>
        <v>NA</v>
      </c>
      <c r="AA98" s="108" t="str">
        <f>IF(S98=0,"NA",SUMIFS(AN_TME_PY[[#All],[Claims: Long-Term Care]],AN_TME_PY[[#All],[Insurance Category Code]],4,AN_TME_PY[[#All],[Advanced Network/Insurance Carrier Org ID]],B98)/S98)</f>
        <v>NA</v>
      </c>
      <c r="AB98" s="108" t="str">
        <f>IF(S98=0,"NA",SUMIFS(AN_TME_PY[[#All],[Claims: Other]],AN_TME_PY[[#All],[Insurance Category Code]],4,AN_TME_PY[[#All],[Advanced Network/Insurance Carrier Org ID]],B98)/S98)</f>
        <v>NA</v>
      </c>
      <c r="AC98" s="147" t="str">
        <f>IF(S98=0,"NA",SUMIFS(AN_TME_PY[[#All],[TOTAL Non-Truncated Unadjusted Claims Expenses]],AN_TME_PY[[#All],[Insurance Category Code]],4,AN_TME_PY[[#All],[Advanced Network/Insurance Carrier Org ID]],B98)/S98)</f>
        <v>NA</v>
      </c>
      <c r="AD98" s="147" t="str">
        <f>IF(S98=0,"NA",SUMIFS(AN_TME_PY[[#All],[TOTAL Truncated Unadjusted Claims Expenses (A21 -A19)]],AN_TME_PY[[#All],[Insurance Category Code]],4,AN_TME_PY[[#All],[Advanced Network/Insurance Carrier Org ID]],B98)/S98)</f>
        <v>NA</v>
      </c>
      <c r="AE98" s="147" t="str">
        <f>IF(S98=0,"NA",SUMIFS(AN_TME_PY[[#All],[TOTAL Non-Claims Expenses]],AN_TME_PY[[#All],[Insurance Category Code]],4,AN_TME_PY[[#All],[Advanced Network/Insurance Carrier Org ID]],B98)/S98)</f>
        <v>NA</v>
      </c>
      <c r="AF98" s="147" t="str">
        <f>IF(S98=0,"NA",SUMIFS(AN_TME_PY[[#All],[TOTAL Non-Truncated Unadjusted Expenses (A21 + A23)]],AN_TME_PY[[#All],[Insurance Category Code]],4,AN_TME_PY[[#All],[Advanced Network/Insurance Carrier Org ID]],B98)/S98)</f>
        <v>NA</v>
      </c>
      <c r="AG98" s="138" t="str">
        <f>IF(S98=0,"NA",SUMIFS(AN_TME_PY[[#All],[TOTAL Truncated Unadjusted Expenses (A22 + A23)]],AN_TME_PY[[#All],[Insurance Category Code]],4,AN_TME_PY[[#All],[Advanced Network/Insurance Carrier Org ID]],B98)/S98)</f>
        <v>NA</v>
      </c>
      <c r="AH98" s="419" t="str">
        <f t="shared" si="122"/>
        <v>NA</v>
      </c>
      <c r="AI98" s="420" t="str">
        <f t="shared" si="123"/>
        <v>NA</v>
      </c>
      <c r="AJ98" s="421" t="str">
        <f t="shared" si="124"/>
        <v>NA</v>
      </c>
      <c r="AK98" s="421" t="str">
        <f t="shared" si="125"/>
        <v>NA</v>
      </c>
      <c r="AL98" s="421" t="str">
        <f t="shared" si="126"/>
        <v>NA</v>
      </c>
      <c r="AM98" s="421" t="str">
        <f t="shared" si="127"/>
        <v>NA</v>
      </c>
      <c r="AN98" s="421" t="str">
        <f t="shared" si="128"/>
        <v>NA</v>
      </c>
      <c r="AO98" s="421" t="str">
        <f t="shared" si="129"/>
        <v>NA</v>
      </c>
      <c r="AP98" s="421" t="str">
        <f t="shared" si="130"/>
        <v>NA</v>
      </c>
      <c r="AQ98" s="421" t="str">
        <f t="shared" si="131"/>
        <v>NA</v>
      </c>
      <c r="AR98" s="422" t="str">
        <f t="shared" si="132"/>
        <v>NA</v>
      </c>
      <c r="AS98" s="422" t="str">
        <f t="shared" si="133"/>
        <v>NA</v>
      </c>
      <c r="AT98" s="422" t="str">
        <f t="shared" si="134"/>
        <v>NA</v>
      </c>
      <c r="AU98" s="422" t="str">
        <f t="shared" si="135"/>
        <v>NA</v>
      </c>
      <c r="AV98" s="423" t="str">
        <f t="shared" si="136"/>
        <v>NA</v>
      </c>
    </row>
    <row r="99" spans="1:48" ht="15" customHeight="1" x14ac:dyDescent="0.25">
      <c r="A99" s="146"/>
      <c r="B99" s="148">
        <v>110</v>
      </c>
      <c r="C99" s="151" t="str">
        <f>_xlfn.XLOOKUP(B99, LgProvEntOrgIDs[Advanced Network/Insurer Carrier Org ID], LgProvEntOrgIDs[Advanced Network/Insurance Carrier Overall])</f>
        <v>Value Care Alliance</v>
      </c>
      <c r="D99" s="448">
        <f>SUMIFS(AN_TME_BY[[#All],[Member Months]],AN_TME_BY[[#All],[Insurance Category Code]],4,AN_TME_BY[[#All],[Advanced Network/Insurance Carrier Org ID]],B99)</f>
        <v>0</v>
      </c>
      <c r="E99" s="137" t="str">
        <f>IF(D99=0,"NA",SUMIFS(AN_TME_BY[[#All],[Claims: Hospital Inpatient]],AN_TME_BY[[#All],[Insurance Category Code]],4,AN_TME_BY[[#All],[Advanced Network/Insurance Carrier Org ID]],B99)/D99)</f>
        <v>NA</v>
      </c>
      <c r="F99" s="108" t="str">
        <f>IF(D99=0,"NA",SUMIFS(AN_TME_BY[[#All],[Claims: Hospital Outpatient]],AN_TME_BY[[#All],[Insurance Category Code]],4,AN_TME_BY[[#All],[Advanced Network/Insurance Carrier Org ID]],B99)/D99)</f>
        <v>NA</v>
      </c>
      <c r="G99" s="108" t="str">
        <f>IF(D99=0,"NA",SUMIFS(AN_TME_BY[[#All],[Claims: Professional, Primary Care]],AN_TME_BY[[#All],[Insurance Category Code]],4,AN_TME_BY[[#All],[Advanced Network/Insurance Carrier Org ID]],B99)/D99)</f>
        <v>NA</v>
      </c>
      <c r="H99" s="108" t="str">
        <f>IF(D99=0,"NA",SUMIFS(AN_TME_BY[[#All],[Claims: Professional, Primary Care (for Monitoring Purposes)]],AN_TME_BY[[#All],[Insurance Category Code]],4,AN_TME_BY[[#All],[Advanced Network/Insurance Carrier Org ID]],B99)/D99)</f>
        <v>NA</v>
      </c>
      <c r="I99" s="108" t="str">
        <f>IF(D99=0,"NA",SUMIFS(AN_TME_BY[[#All],[Claims: Professional, Specialty]],AN_TME_BY[[#All],[Insurance Category Code]],4,AN_TME_BY[[#All],[Advanced Network/Insurance Carrier Org ID]],B99)/D99)</f>
        <v>NA</v>
      </c>
      <c r="J99" s="108" t="str">
        <f>IF(D99=0,"NA",SUMIFS(AN_TME_BY[[#All],[Claims: Professional Other]],AN_TME_BY[[#All],[Insurance Category Code]],4,AN_TME_BY[[#All],[Advanced Network/Insurance Carrier Org ID]],B99)/D99)</f>
        <v>NA</v>
      </c>
      <c r="K99" s="108" t="str">
        <f>IF(D99=0,"NA",SUMIFS(AN_TME_BY[[#All],[Claims: Pharmacy]],AN_TME_BY[[#All],[Insurance Category Code]],4,AN_TME_BY[[#All],[Advanced Network/Insurance Carrier Org ID]],B99)/D99)</f>
        <v>NA</v>
      </c>
      <c r="L99" s="108" t="str">
        <f>IF(D99=0,"NA",SUMIFS(AN_TME_BY[[#All],[Claims: Long-Term Care]],AN_TME_BY[[#All],[Insurance Category Code]],4,AN_TME_BY[[#All],[Advanced Network/Insurance Carrier Org ID]],B99)/D99)</f>
        <v>NA</v>
      </c>
      <c r="M99" s="108" t="str">
        <f>IF(D99=0,"NA",SUMIFS(AN_TME_BY[[#All],[Claims: Other]],AN_TME_BY[[#All],[Insurance Category Code]],4,AN_TME_BY[[#All],[Advanced Network/Insurance Carrier Org ID]],B99)/D99)</f>
        <v>NA</v>
      </c>
      <c r="N99" s="147" t="str">
        <f>IF(D99=0,"NA",SUMIFS(AN_TME_BY[[#All],[TOTAL Non-Truncated Unadjusted Claims Expenses]],AN_TME_BY[[#All],[Insurance Category Code]],4,AN_TME_BY[[#All],[Advanced Network/Insurance Carrier Org ID]],B99)/D99)</f>
        <v>NA</v>
      </c>
      <c r="O99" s="147" t="str">
        <f>IF(D99=0,"NA",SUMIFS(AN_TME_BY[[#All],[TOTAL Truncated Unadjusted Claims Expenses (A21 -A19)]],AN_TME_BY[[#All],[Insurance Category Code]],4,AN_TME_BY[[#All],[Advanced Network/Insurance Carrier Org ID]],B99)/D99)</f>
        <v>NA</v>
      </c>
      <c r="P99" s="147" t="str">
        <f>IF(D99=0,"NA",SUMIFS(AN_TME_BY[[#All],[TOTAL Non-Claims Expenses]],AN_TME_BY[[#All],[Insurance Category Code]],4,AN_TME_BY[[#All],[Advanced Network/Insurance Carrier Org ID]],B99)/D99)</f>
        <v>NA</v>
      </c>
      <c r="Q99" s="147" t="str">
        <f>IF(D99=0,"NA",SUMIFS(AN_TME_BY[[#All],[TOTAL Non-Truncated Unadjusted Expenses (A21 + A23)]],AN_TME_BY[[#All],[Insurance Category Code]],4,AN_TME_BY[[#All],[Advanced Network/Insurance Carrier Org ID]],B99)/D99)</f>
        <v>NA</v>
      </c>
      <c r="R99" s="147" t="str">
        <f>IF(D99=0,"NA",SUMIFS(AN_TME_BY[[#All],[TOTAL Truncated Unadjusted Expenses (A22 + A23)]],AN_TME_BY[[#All],[Insurance Category Code]],4,AN_TME_BY[[#All],[Advanced Network/Insurance Carrier Org ID]],B99)/D99)</f>
        <v>NA</v>
      </c>
      <c r="S99" s="448">
        <f>SUMIFS(AN_TME_PY[[#All],[Member Months]],AN_TME_PY[[#All],[Insurance Category Code]],4,AN_TME_PY[[#All],[Advanced Network/Insurance Carrier Org ID]],B99)</f>
        <v>0</v>
      </c>
      <c r="T99" s="137" t="str">
        <f>IF(S99=0,"NA",SUMIFS(AN_TME_PY[[#All],[Claims: Hospital Inpatient]],AN_TME_PY[[#All],[Insurance Category Code]],4,AN_TME_PY[[#All],[Advanced Network/Insurance Carrier Org ID]],B99)/S99)</f>
        <v>NA</v>
      </c>
      <c r="U99" s="108" t="str">
        <f>IF(S99=0,"NA",SUMIFS(AN_TME_PY[[#All],[Claims: Hospital Outpatient]],AN_TME_PY[[#All],[Insurance Category Code]],4,AN_TME_PY[[#All],[Advanced Network/Insurance Carrier Org ID]],B99)/S99)</f>
        <v>NA</v>
      </c>
      <c r="V99" s="108" t="str">
        <f>IF(S99=0,"NA",SUMIFS(AN_TME_PY[[#All],[Claims: Professional, Primary Care]],AN_TME_PY[[#All],[Insurance Category Code]],4,AN_TME_PY[[#All],[Advanced Network/Insurance Carrier Org ID]],B99)/S99)</f>
        <v>NA</v>
      </c>
      <c r="W99" s="108" t="str">
        <f>IF(S99=0,"NA",SUMIFS(AN_TME_PY[[#All],[Claims: Professional, Primary Care (for Monitoring Purposes)]],AN_TME_PY[[#All],[Insurance Category Code]],4,AN_TME_PY[[#All],[Advanced Network/Insurance Carrier Org ID]],B99)/S99)</f>
        <v>NA</v>
      </c>
      <c r="X99" s="108" t="str">
        <f>IF(S99=0,"NA",SUMIFS(AN_TME_PY[[#All],[Claims: Professional, Specialty]],AN_TME_PY[[#All],[Insurance Category Code]],4,AN_TME_PY[[#All],[Advanced Network/Insurance Carrier Org ID]],B99)/S99)</f>
        <v>NA</v>
      </c>
      <c r="Y99" s="108" t="str">
        <f>IF(S99=0,"NA",SUMIFS(AN_TME_PY[[#All],[Claims: Professional Other]],AN_TME_PY[[#All],[Insurance Category Code]],4,AN_TME_PY[[#All],[Advanced Network/Insurance Carrier Org ID]],B99)/S99)</f>
        <v>NA</v>
      </c>
      <c r="Z99" s="108" t="str">
        <f>IF(S99=0,"NA",SUMIFS(AN_TME_PY[[#All],[Claims: Pharmacy]],AN_TME_PY[[#All],[Insurance Category Code]],4,AN_TME_PY[[#All],[Advanced Network/Insurance Carrier Org ID]],B99)/S99)</f>
        <v>NA</v>
      </c>
      <c r="AA99" s="108" t="str">
        <f>IF(S99=0,"NA",SUMIFS(AN_TME_PY[[#All],[Claims: Long-Term Care]],AN_TME_PY[[#All],[Insurance Category Code]],4,AN_TME_PY[[#All],[Advanced Network/Insurance Carrier Org ID]],B99)/S99)</f>
        <v>NA</v>
      </c>
      <c r="AB99" s="108" t="str">
        <f>IF(S99=0,"NA",SUMIFS(AN_TME_PY[[#All],[Claims: Other]],AN_TME_PY[[#All],[Insurance Category Code]],4,AN_TME_PY[[#All],[Advanced Network/Insurance Carrier Org ID]],B99)/S99)</f>
        <v>NA</v>
      </c>
      <c r="AC99" s="147" t="str">
        <f>IF(S99=0,"NA",SUMIFS(AN_TME_PY[[#All],[TOTAL Non-Truncated Unadjusted Claims Expenses]],AN_TME_PY[[#All],[Insurance Category Code]],4,AN_TME_PY[[#All],[Advanced Network/Insurance Carrier Org ID]],B99)/S99)</f>
        <v>NA</v>
      </c>
      <c r="AD99" s="147" t="str">
        <f>IF(S99=0,"NA",SUMIFS(AN_TME_PY[[#All],[TOTAL Truncated Unadjusted Claims Expenses (A21 -A19)]],AN_TME_PY[[#All],[Insurance Category Code]],4,AN_TME_PY[[#All],[Advanced Network/Insurance Carrier Org ID]],B99)/S99)</f>
        <v>NA</v>
      </c>
      <c r="AE99" s="147" t="str">
        <f>IF(S99=0,"NA",SUMIFS(AN_TME_PY[[#All],[TOTAL Non-Claims Expenses]],AN_TME_PY[[#All],[Insurance Category Code]],4,AN_TME_PY[[#All],[Advanced Network/Insurance Carrier Org ID]],B99)/S99)</f>
        <v>NA</v>
      </c>
      <c r="AF99" s="147" t="str">
        <f>IF(S99=0,"NA",SUMIFS(AN_TME_PY[[#All],[TOTAL Non-Truncated Unadjusted Expenses (A21 + A23)]],AN_TME_PY[[#All],[Insurance Category Code]],4,AN_TME_PY[[#All],[Advanced Network/Insurance Carrier Org ID]],B99)/S99)</f>
        <v>NA</v>
      </c>
      <c r="AG99" s="138" t="str">
        <f>IF(S99=0,"NA",SUMIFS(AN_TME_PY[[#All],[TOTAL Truncated Unadjusted Expenses (A22 + A23)]],AN_TME_PY[[#All],[Insurance Category Code]],4,AN_TME_PY[[#All],[Advanced Network/Insurance Carrier Org ID]],B99)/S99)</f>
        <v>NA</v>
      </c>
      <c r="AH99" s="419" t="str">
        <f t="shared" si="122"/>
        <v>NA</v>
      </c>
      <c r="AI99" s="420" t="str">
        <f t="shared" si="123"/>
        <v>NA</v>
      </c>
      <c r="AJ99" s="421" t="str">
        <f t="shared" si="124"/>
        <v>NA</v>
      </c>
      <c r="AK99" s="421" t="str">
        <f t="shared" si="125"/>
        <v>NA</v>
      </c>
      <c r="AL99" s="421" t="str">
        <f t="shared" si="126"/>
        <v>NA</v>
      </c>
      <c r="AM99" s="421" t="str">
        <f t="shared" si="127"/>
        <v>NA</v>
      </c>
      <c r="AN99" s="421" t="str">
        <f t="shared" si="128"/>
        <v>NA</v>
      </c>
      <c r="AO99" s="421" t="str">
        <f t="shared" si="129"/>
        <v>NA</v>
      </c>
      <c r="AP99" s="421" t="str">
        <f t="shared" si="130"/>
        <v>NA</v>
      </c>
      <c r="AQ99" s="421" t="str">
        <f t="shared" si="131"/>
        <v>NA</v>
      </c>
      <c r="AR99" s="422" t="str">
        <f t="shared" si="132"/>
        <v>NA</v>
      </c>
      <c r="AS99" s="422" t="str">
        <f t="shared" si="133"/>
        <v>NA</v>
      </c>
      <c r="AT99" s="422" t="str">
        <f t="shared" si="134"/>
        <v>NA</v>
      </c>
      <c r="AU99" s="422" t="str">
        <f t="shared" si="135"/>
        <v>NA</v>
      </c>
      <c r="AV99" s="423" t="str">
        <f t="shared" si="136"/>
        <v>NA</v>
      </c>
    </row>
    <row r="100" spans="1:48" ht="15" customHeight="1" x14ac:dyDescent="0.25">
      <c r="A100" s="146"/>
      <c r="B100" s="148">
        <v>111</v>
      </c>
      <c r="C100" s="151" t="str">
        <f>_xlfn.XLOOKUP(B100, LgProvEntOrgIDs[Advanced Network/Insurer Carrier Org ID], LgProvEntOrgIDs[Advanced Network/Insurance Carrier Overall])</f>
        <v>NA</v>
      </c>
      <c r="D100" s="448">
        <f>SUMIFS(AN_TME_BY[[#All],[Member Months]],AN_TME_BY[[#All],[Insurance Category Code]],4,AN_TME_BY[[#All],[Advanced Network/Insurance Carrier Org ID]],B100)</f>
        <v>0</v>
      </c>
      <c r="E100" s="137" t="str">
        <f>IF(D100=0,"NA",SUMIFS(AN_TME_BY[[#All],[Claims: Hospital Inpatient]],AN_TME_BY[[#All],[Insurance Category Code]],4,AN_TME_BY[[#All],[Advanced Network/Insurance Carrier Org ID]],B100)/D100)</f>
        <v>NA</v>
      </c>
      <c r="F100" s="108" t="str">
        <f>IF(D100=0,"NA",SUMIFS(AN_TME_BY[[#All],[Claims: Hospital Outpatient]],AN_TME_BY[[#All],[Insurance Category Code]],4,AN_TME_BY[[#All],[Advanced Network/Insurance Carrier Org ID]],B100)/D100)</f>
        <v>NA</v>
      </c>
      <c r="G100" s="108" t="str">
        <f>IF(D100=0,"NA",SUMIFS(AN_TME_BY[[#All],[Claims: Professional, Primary Care]],AN_TME_BY[[#All],[Insurance Category Code]],4,AN_TME_BY[[#All],[Advanced Network/Insurance Carrier Org ID]],B100)/D100)</f>
        <v>NA</v>
      </c>
      <c r="H100" s="108" t="str">
        <f>IF(D100=0,"NA",SUMIFS(AN_TME_BY[[#All],[Claims: Professional, Primary Care (for Monitoring Purposes)]],AN_TME_BY[[#All],[Insurance Category Code]],4,AN_TME_BY[[#All],[Advanced Network/Insurance Carrier Org ID]],B100)/D100)</f>
        <v>NA</v>
      </c>
      <c r="I100" s="108" t="str">
        <f>IF(D100=0,"NA",SUMIFS(AN_TME_BY[[#All],[Claims: Professional, Specialty]],AN_TME_BY[[#All],[Insurance Category Code]],4,AN_TME_BY[[#All],[Advanced Network/Insurance Carrier Org ID]],B100)/D100)</f>
        <v>NA</v>
      </c>
      <c r="J100" s="108" t="str">
        <f>IF(D100=0,"NA",SUMIFS(AN_TME_BY[[#All],[Claims: Professional Other]],AN_TME_BY[[#All],[Insurance Category Code]],4,AN_TME_BY[[#All],[Advanced Network/Insurance Carrier Org ID]],B100)/D100)</f>
        <v>NA</v>
      </c>
      <c r="K100" s="108" t="str">
        <f>IF(D100=0,"NA",SUMIFS(AN_TME_BY[[#All],[Claims: Pharmacy]],AN_TME_BY[[#All],[Insurance Category Code]],4,AN_TME_BY[[#All],[Advanced Network/Insurance Carrier Org ID]],B100)/D100)</f>
        <v>NA</v>
      </c>
      <c r="L100" s="108" t="str">
        <f>IF(D100=0,"NA",SUMIFS(AN_TME_BY[[#All],[Claims: Long-Term Care]],AN_TME_BY[[#All],[Insurance Category Code]],4,AN_TME_BY[[#All],[Advanced Network/Insurance Carrier Org ID]],B100)/D100)</f>
        <v>NA</v>
      </c>
      <c r="M100" s="108" t="str">
        <f>IF(D100=0,"NA",SUMIFS(AN_TME_BY[[#All],[Claims: Other]],AN_TME_BY[[#All],[Insurance Category Code]],4,AN_TME_BY[[#All],[Advanced Network/Insurance Carrier Org ID]],B100)/D100)</f>
        <v>NA</v>
      </c>
      <c r="N100" s="147" t="str">
        <f>IF(D100=0,"NA",SUMIFS(AN_TME_BY[[#All],[TOTAL Non-Truncated Unadjusted Claims Expenses]],AN_TME_BY[[#All],[Insurance Category Code]],4,AN_TME_BY[[#All],[Advanced Network/Insurance Carrier Org ID]],B100)/D100)</f>
        <v>NA</v>
      </c>
      <c r="O100" s="147" t="str">
        <f>IF(D100=0,"NA",SUMIFS(AN_TME_BY[[#All],[TOTAL Truncated Unadjusted Claims Expenses (A21 -A19)]],AN_TME_BY[[#All],[Insurance Category Code]],4,AN_TME_BY[[#All],[Advanced Network/Insurance Carrier Org ID]],B100)/D100)</f>
        <v>NA</v>
      </c>
      <c r="P100" s="147" t="str">
        <f>IF(D100=0,"NA",SUMIFS(AN_TME_BY[[#All],[TOTAL Non-Claims Expenses]],AN_TME_BY[[#All],[Insurance Category Code]],4,AN_TME_BY[[#All],[Advanced Network/Insurance Carrier Org ID]],B100)/D100)</f>
        <v>NA</v>
      </c>
      <c r="Q100" s="147" t="str">
        <f>IF(D100=0,"NA",SUMIFS(AN_TME_BY[[#All],[TOTAL Non-Truncated Unadjusted Expenses (A21 + A23)]],AN_TME_BY[[#All],[Insurance Category Code]],4,AN_TME_BY[[#All],[Advanced Network/Insurance Carrier Org ID]],B100)/D100)</f>
        <v>NA</v>
      </c>
      <c r="R100" s="147" t="str">
        <f>IF(D100=0,"NA",SUMIFS(AN_TME_BY[[#All],[TOTAL Truncated Unadjusted Expenses (A22 + A23)]],AN_TME_BY[[#All],[Insurance Category Code]],4,AN_TME_BY[[#All],[Advanced Network/Insurance Carrier Org ID]],B100)/D100)</f>
        <v>NA</v>
      </c>
      <c r="S100" s="448">
        <f>SUMIFS(AN_TME_PY[[#All],[Member Months]],AN_TME_PY[[#All],[Insurance Category Code]],4,AN_TME_PY[[#All],[Advanced Network/Insurance Carrier Org ID]],B100)</f>
        <v>0</v>
      </c>
      <c r="T100" s="137" t="str">
        <f>IF(S100=0,"NA",SUMIFS(AN_TME_PY[[#All],[Claims: Hospital Inpatient]],AN_TME_PY[[#All],[Insurance Category Code]],4,AN_TME_PY[[#All],[Advanced Network/Insurance Carrier Org ID]],B100)/S100)</f>
        <v>NA</v>
      </c>
      <c r="U100" s="108" t="str">
        <f>IF(S100=0,"NA",SUMIFS(AN_TME_PY[[#All],[Claims: Hospital Outpatient]],AN_TME_PY[[#All],[Insurance Category Code]],4,AN_TME_PY[[#All],[Advanced Network/Insurance Carrier Org ID]],B100)/S100)</f>
        <v>NA</v>
      </c>
      <c r="V100" s="108" t="str">
        <f>IF(S100=0,"NA",SUMIFS(AN_TME_PY[[#All],[Claims: Professional, Primary Care]],AN_TME_PY[[#All],[Insurance Category Code]],4,AN_TME_PY[[#All],[Advanced Network/Insurance Carrier Org ID]],B100)/S100)</f>
        <v>NA</v>
      </c>
      <c r="W100" s="108" t="str">
        <f>IF(S100=0,"NA",SUMIFS(AN_TME_PY[[#All],[Claims: Professional, Primary Care (for Monitoring Purposes)]],AN_TME_PY[[#All],[Insurance Category Code]],4,AN_TME_PY[[#All],[Advanced Network/Insurance Carrier Org ID]],B100)/S100)</f>
        <v>NA</v>
      </c>
      <c r="X100" s="108" t="str">
        <f>IF(S100=0,"NA",SUMIFS(AN_TME_PY[[#All],[Claims: Professional, Specialty]],AN_TME_PY[[#All],[Insurance Category Code]],4,AN_TME_PY[[#All],[Advanced Network/Insurance Carrier Org ID]],B100)/S100)</f>
        <v>NA</v>
      </c>
      <c r="Y100" s="108" t="str">
        <f>IF(S100=0,"NA",SUMIFS(AN_TME_PY[[#All],[Claims: Professional Other]],AN_TME_PY[[#All],[Insurance Category Code]],4,AN_TME_PY[[#All],[Advanced Network/Insurance Carrier Org ID]],B100)/S100)</f>
        <v>NA</v>
      </c>
      <c r="Z100" s="108" t="str">
        <f>IF(S100=0,"NA",SUMIFS(AN_TME_PY[[#All],[Claims: Pharmacy]],AN_TME_PY[[#All],[Insurance Category Code]],4,AN_TME_PY[[#All],[Advanced Network/Insurance Carrier Org ID]],B100)/S100)</f>
        <v>NA</v>
      </c>
      <c r="AA100" s="108" t="str">
        <f>IF(S100=0,"NA",SUMIFS(AN_TME_PY[[#All],[Claims: Long-Term Care]],AN_TME_PY[[#All],[Insurance Category Code]],4,AN_TME_PY[[#All],[Advanced Network/Insurance Carrier Org ID]],B100)/S100)</f>
        <v>NA</v>
      </c>
      <c r="AB100" s="108" t="str">
        <f>IF(S100=0,"NA",SUMIFS(AN_TME_PY[[#All],[Claims: Other]],AN_TME_PY[[#All],[Insurance Category Code]],4,AN_TME_PY[[#All],[Advanced Network/Insurance Carrier Org ID]],B100)/S100)</f>
        <v>NA</v>
      </c>
      <c r="AC100" s="147" t="str">
        <f>IF(S100=0,"NA",SUMIFS(AN_TME_PY[[#All],[TOTAL Non-Truncated Unadjusted Claims Expenses]],AN_TME_PY[[#All],[Insurance Category Code]],4,AN_TME_PY[[#All],[Advanced Network/Insurance Carrier Org ID]],B100)/S100)</f>
        <v>NA</v>
      </c>
      <c r="AD100" s="147" t="str">
        <f>IF(S100=0,"NA",SUMIFS(AN_TME_PY[[#All],[TOTAL Truncated Unadjusted Claims Expenses (A21 -A19)]],AN_TME_PY[[#All],[Insurance Category Code]],4,AN_TME_PY[[#All],[Advanced Network/Insurance Carrier Org ID]],B100)/S100)</f>
        <v>NA</v>
      </c>
      <c r="AE100" s="147" t="str">
        <f>IF(S100=0,"NA",SUMIFS(AN_TME_PY[[#All],[TOTAL Non-Claims Expenses]],AN_TME_PY[[#All],[Insurance Category Code]],4,AN_TME_PY[[#All],[Advanced Network/Insurance Carrier Org ID]],B100)/S100)</f>
        <v>NA</v>
      </c>
      <c r="AF100" s="147" t="str">
        <f>IF(S100=0,"NA",SUMIFS(AN_TME_PY[[#All],[TOTAL Non-Truncated Unadjusted Expenses (A21 + A23)]],AN_TME_PY[[#All],[Insurance Category Code]],4,AN_TME_PY[[#All],[Advanced Network/Insurance Carrier Org ID]],B100)/S100)</f>
        <v>NA</v>
      </c>
      <c r="AG100" s="138" t="str">
        <f>IF(S100=0,"NA",SUMIFS(AN_TME_PY[[#All],[TOTAL Truncated Unadjusted Expenses (A22 + A23)]],AN_TME_PY[[#All],[Insurance Category Code]],4,AN_TME_PY[[#All],[Advanced Network/Insurance Carrier Org ID]],B100)/S100)</f>
        <v>NA</v>
      </c>
      <c r="AH100" s="419" t="str">
        <f>IF(D100=0,"NA",S100/D100-1)</f>
        <v>NA</v>
      </c>
      <c r="AI100" s="420" t="str">
        <f>IF(D100=0,"NA",T100/E100-1)</f>
        <v>NA</v>
      </c>
      <c r="AJ100" s="421" t="str">
        <f>IF(D100=0,"NA",U100/F100-1)</f>
        <v>NA</v>
      </c>
      <c r="AK100" s="421" t="str">
        <f>IF(D100=0,"NA",V100/G100-1)</f>
        <v>NA</v>
      </c>
      <c r="AL100" s="421" t="str">
        <f>IF(D100=0,"NA",W100/H100-1)</f>
        <v>NA</v>
      </c>
      <c r="AM100" s="421" t="str">
        <f>IF(D100=0,"NA",X100/I100-1)</f>
        <v>NA</v>
      </c>
      <c r="AN100" s="421" t="str">
        <f>IF(D100=0,"NA",Y100/J100-1)</f>
        <v>NA</v>
      </c>
      <c r="AO100" s="421" t="str">
        <f>IF(D100=0,"NA",Z100/K100-1)</f>
        <v>NA</v>
      </c>
      <c r="AP100" s="421" t="str">
        <f>IF(D100=0,"NA",AA100/L100-1)</f>
        <v>NA</v>
      </c>
      <c r="AQ100" s="421" t="str">
        <f>IF(D100=0,"NA",AB100/M100-1)</f>
        <v>NA</v>
      </c>
      <c r="AR100" s="422" t="str">
        <f>IF(D100=0,"NA",AC100/N100-1)</f>
        <v>NA</v>
      </c>
      <c r="AS100" s="422" t="str">
        <f>IF(D100=0,"NA",AD100/O100-1)</f>
        <v>NA</v>
      </c>
      <c r="AT100" s="422" t="str">
        <f>IF(D100=0,"NA",AE100/P100-1)</f>
        <v>NA</v>
      </c>
      <c r="AU100" s="422" t="str">
        <f>IF(D100=0,"NA",AF100/Q100-1)</f>
        <v>NA</v>
      </c>
      <c r="AV100" s="423" t="str">
        <f>IF(D100=0,"NA",AG100/R100-1)</f>
        <v>NA</v>
      </c>
    </row>
    <row r="101" spans="1:48" ht="15" customHeight="1" x14ac:dyDescent="0.25">
      <c r="A101" s="146"/>
      <c r="B101" s="148">
        <v>112</v>
      </c>
      <c r="C101" s="151" t="str">
        <f>_xlfn.XLOOKUP(B101, LgProvEntOrgIDs[Advanced Network/Insurer Carrier Org ID], LgProvEntOrgIDs[Advanced Network/Insurance Carrier Overall])</f>
        <v>Charter Oak Health Center</v>
      </c>
      <c r="D101" s="448">
        <f>SUMIFS(AN_TME_BY[[#All],[Member Months]],AN_TME_BY[[#All],[Insurance Category Code]],4,AN_TME_BY[[#All],[Advanced Network/Insurance Carrier Org ID]],B101)</f>
        <v>0</v>
      </c>
      <c r="E101" s="137" t="str">
        <f>IF(D101=0,"NA",SUMIFS(AN_TME_BY[[#All],[Claims: Hospital Inpatient]],AN_TME_BY[[#All],[Insurance Category Code]],4,AN_TME_BY[[#All],[Advanced Network/Insurance Carrier Org ID]],B101)/D101)</f>
        <v>NA</v>
      </c>
      <c r="F101" s="108" t="str">
        <f>IF(D101=0,"NA",SUMIFS(AN_TME_BY[[#All],[Claims: Hospital Outpatient]],AN_TME_BY[[#All],[Insurance Category Code]],4,AN_TME_BY[[#All],[Advanced Network/Insurance Carrier Org ID]],B101)/D101)</f>
        <v>NA</v>
      </c>
      <c r="G101" s="108" t="str">
        <f>IF(D101=0,"NA",SUMIFS(AN_TME_BY[[#All],[Claims: Professional, Primary Care]],AN_TME_BY[[#All],[Insurance Category Code]],4,AN_TME_BY[[#All],[Advanced Network/Insurance Carrier Org ID]],B101)/D101)</f>
        <v>NA</v>
      </c>
      <c r="H101" s="108" t="str">
        <f>IF(D101=0,"NA",SUMIFS(AN_TME_BY[[#All],[Claims: Professional, Primary Care (for Monitoring Purposes)]],AN_TME_BY[[#All],[Insurance Category Code]],4,AN_TME_BY[[#All],[Advanced Network/Insurance Carrier Org ID]],B101)/D101)</f>
        <v>NA</v>
      </c>
      <c r="I101" s="108" t="str">
        <f>IF(D101=0,"NA",SUMIFS(AN_TME_BY[[#All],[Claims: Professional, Specialty]],AN_TME_BY[[#All],[Insurance Category Code]],4,AN_TME_BY[[#All],[Advanced Network/Insurance Carrier Org ID]],B101)/D101)</f>
        <v>NA</v>
      </c>
      <c r="J101" s="108" t="str">
        <f>IF(D101=0,"NA",SUMIFS(AN_TME_BY[[#All],[Claims: Professional Other]],AN_TME_BY[[#All],[Insurance Category Code]],4,AN_TME_BY[[#All],[Advanced Network/Insurance Carrier Org ID]],B101)/D101)</f>
        <v>NA</v>
      </c>
      <c r="K101" s="108" t="str">
        <f>IF(D101=0,"NA",SUMIFS(AN_TME_BY[[#All],[Claims: Pharmacy]],AN_TME_BY[[#All],[Insurance Category Code]],4,AN_TME_BY[[#All],[Advanced Network/Insurance Carrier Org ID]],B101)/D101)</f>
        <v>NA</v>
      </c>
      <c r="L101" s="108" t="str">
        <f>IF(D101=0,"NA",SUMIFS(AN_TME_BY[[#All],[Claims: Long-Term Care]],AN_TME_BY[[#All],[Insurance Category Code]],4,AN_TME_BY[[#All],[Advanced Network/Insurance Carrier Org ID]],B101)/D101)</f>
        <v>NA</v>
      </c>
      <c r="M101" s="108" t="str">
        <f>IF(D101=0,"NA",SUMIFS(AN_TME_BY[[#All],[Claims: Other]],AN_TME_BY[[#All],[Insurance Category Code]],4,AN_TME_BY[[#All],[Advanced Network/Insurance Carrier Org ID]],B101)/D101)</f>
        <v>NA</v>
      </c>
      <c r="N101" s="147" t="str">
        <f>IF(D101=0,"NA",SUMIFS(AN_TME_BY[[#All],[TOTAL Non-Truncated Unadjusted Claims Expenses]],AN_TME_BY[[#All],[Insurance Category Code]],4,AN_TME_BY[[#All],[Advanced Network/Insurance Carrier Org ID]],B101)/D101)</f>
        <v>NA</v>
      </c>
      <c r="O101" s="147" t="str">
        <f>IF(D101=0,"NA",SUMIFS(AN_TME_BY[[#All],[TOTAL Truncated Unadjusted Claims Expenses (A21 -A19)]],AN_TME_BY[[#All],[Insurance Category Code]],4,AN_TME_BY[[#All],[Advanced Network/Insurance Carrier Org ID]],B101)/D101)</f>
        <v>NA</v>
      </c>
      <c r="P101" s="147" t="str">
        <f>IF(D101=0,"NA",SUMIFS(AN_TME_BY[[#All],[TOTAL Non-Claims Expenses]],AN_TME_BY[[#All],[Insurance Category Code]],4,AN_TME_BY[[#All],[Advanced Network/Insurance Carrier Org ID]],B101)/D101)</f>
        <v>NA</v>
      </c>
      <c r="Q101" s="147" t="str">
        <f>IF(D101=0,"NA",SUMIFS(AN_TME_BY[[#All],[TOTAL Non-Truncated Unadjusted Expenses (A21 + A23)]],AN_TME_BY[[#All],[Insurance Category Code]],4,AN_TME_BY[[#All],[Advanced Network/Insurance Carrier Org ID]],B101)/D101)</f>
        <v>NA</v>
      </c>
      <c r="R101" s="147" t="str">
        <f>IF(D101=0,"NA",SUMIFS(AN_TME_BY[[#All],[TOTAL Truncated Unadjusted Expenses (A22 + A23)]],AN_TME_BY[[#All],[Insurance Category Code]],4,AN_TME_BY[[#All],[Advanced Network/Insurance Carrier Org ID]],B101)/D101)</f>
        <v>NA</v>
      </c>
      <c r="S101" s="448">
        <f>SUMIFS(AN_TME_PY[[#All],[Member Months]],AN_TME_PY[[#All],[Insurance Category Code]],4,AN_TME_PY[[#All],[Advanced Network/Insurance Carrier Org ID]],B101)</f>
        <v>0</v>
      </c>
      <c r="T101" s="137" t="str">
        <f>IF(S101=0,"NA",SUMIFS(AN_TME_PY[[#All],[Claims: Hospital Inpatient]],AN_TME_PY[[#All],[Insurance Category Code]],4,AN_TME_PY[[#All],[Advanced Network/Insurance Carrier Org ID]],B101)/S101)</f>
        <v>NA</v>
      </c>
      <c r="U101" s="108" t="str">
        <f>IF(S101=0,"NA",SUMIFS(AN_TME_PY[[#All],[Claims: Hospital Outpatient]],AN_TME_PY[[#All],[Insurance Category Code]],4,AN_TME_PY[[#All],[Advanced Network/Insurance Carrier Org ID]],B101)/S101)</f>
        <v>NA</v>
      </c>
      <c r="V101" s="108" t="str">
        <f>IF(S101=0,"NA",SUMIFS(AN_TME_PY[[#All],[Claims: Professional, Primary Care]],AN_TME_PY[[#All],[Insurance Category Code]],4,AN_TME_PY[[#All],[Advanced Network/Insurance Carrier Org ID]],B101)/S101)</f>
        <v>NA</v>
      </c>
      <c r="W101" s="108" t="str">
        <f>IF(S101=0,"NA",SUMIFS(AN_TME_PY[[#All],[Claims: Professional, Primary Care (for Monitoring Purposes)]],AN_TME_PY[[#All],[Insurance Category Code]],4,AN_TME_PY[[#All],[Advanced Network/Insurance Carrier Org ID]],B101)/S101)</f>
        <v>NA</v>
      </c>
      <c r="X101" s="108" t="str">
        <f>IF(S101=0,"NA",SUMIFS(AN_TME_PY[[#All],[Claims: Professional, Specialty]],AN_TME_PY[[#All],[Insurance Category Code]],4,AN_TME_PY[[#All],[Advanced Network/Insurance Carrier Org ID]],B101)/S101)</f>
        <v>NA</v>
      </c>
      <c r="Y101" s="108" t="str">
        <f>IF(S101=0,"NA",SUMIFS(AN_TME_PY[[#All],[Claims: Professional Other]],AN_TME_PY[[#All],[Insurance Category Code]],4,AN_TME_PY[[#All],[Advanced Network/Insurance Carrier Org ID]],B101)/S101)</f>
        <v>NA</v>
      </c>
      <c r="Z101" s="108" t="str">
        <f>IF(S101=0,"NA",SUMIFS(AN_TME_PY[[#All],[Claims: Pharmacy]],AN_TME_PY[[#All],[Insurance Category Code]],4,AN_TME_PY[[#All],[Advanced Network/Insurance Carrier Org ID]],B101)/S101)</f>
        <v>NA</v>
      </c>
      <c r="AA101" s="108" t="str">
        <f>IF(S101=0,"NA",SUMIFS(AN_TME_PY[[#All],[Claims: Long-Term Care]],AN_TME_PY[[#All],[Insurance Category Code]],4,AN_TME_PY[[#All],[Advanced Network/Insurance Carrier Org ID]],B101)/S101)</f>
        <v>NA</v>
      </c>
      <c r="AB101" s="108" t="str">
        <f>IF(S101=0,"NA",SUMIFS(AN_TME_PY[[#All],[Claims: Other]],AN_TME_PY[[#All],[Insurance Category Code]],4,AN_TME_PY[[#All],[Advanced Network/Insurance Carrier Org ID]],B101)/S101)</f>
        <v>NA</v>
      </c>
      <c r="AC101" s="147" t="str">
        <f>IF(S101=0,"NA",SUMIFS(AN_TME_PY[[#All],[TOTAL Non-Truncated Unadjusted Claims Expenses]],AN_TME_PY[[#All],[Insurance Category Code]],4,AN_TME_PY[[#All],[Advanced Network/Insurance Carrier Org ID]],B101)/S101)</f>
        <v>NA</v>
      </c>
      <c r="AD101" s="147" t="str">
        <f>IF(S101=0,"NA",SUMIFS(AN_TME_PY[[#All],[TOTAL Truncated Unadjusted Claims Expenses (A21 -A19)]],AN_TME_PY[[#All],[Insurance Category Code]],4,AN_TME_PY[[#All],[Advanced Network/Insurance Carrier Org ID]],B101)/S101)</f>
        <v>NA</v>
      </c>
      <c r="AE101" s="147" t="str">
        <f>IF(S101=0,"NA",SUMIFS(AN_TME_PY[[#All],[TOTAL Non-Claims Expenses]],AN_TME_PY[[#All],[Insurance Category Code]],4,AN_TME_PY[[#All],[Advanced Network/Insurance Carrier Org ID]],B101)/S101)</f>
        <v>NA</v>
      </c>
      <c r="AF101" s="147" t="str">
        <f>IF(S101=0,"NA",SUMIFS(AN_TME_PY[[#All],[TOTAL Non-Truncated Unadjusted Expenses (A21 + A23)]],AN_TME_PY[[#All],[Insurance Category Code]],4,AN_TME_PY[[#All],[Advanced Network/Insurance Carrier Org ID]],B101)/S101)</f>
        <v>NA</v>
      </c>
      <c r="AG101" s="138" t="str">
        <f>IF(S101=0,"NA",SUMIFS(AN_TME_PY[[#All],[TOTAL Truncated Unadjusted Expenses (A22 + A23)]],AN_TME_PY[[#All],[Insurance Category Code]],4,AN_TME_PY[[#All],[Advanced Network/Insurance Carrier Org ID]],B101)/S101)</f>
        <v>NA</v>
      </c>
      <c r="AH101" s="419" t="str">
        <f t="shared" ref="AH101:AH120" si="137">IF(D101=0,"NA",S101/D101-1)</f>
        <v>NA</v>
      </c>
      <c r="AI101" s="420" t="str">
        <f t="shared" ref="AI101:AI120" si="138">IF(D101=0,"NA",T101/E101-1)</f>
        <v>NA</v>
      </c>
      <c r="AJ101" s="421" t="str">
        <f t="shared" ref="AJ101:AJ120" si="139">IF(D101=0,"NA",U101/F101-1)</f>
        <v>NA</v>
      </c>
      <c r="AK101" s="421" t="str">
        <f t="shared" ref="AK101:AK120" si="140">IF(D101=0,"NA",V101/G101-1)</f>
        <v>NA</v>
      </c>
      <c r="AL101" s="421" t="str">
        <f t="shared" ref="AL101:AL120" si="141">IF(D101=0,"NA",W101/H101-1)</f>
        <v>NA</v>
      </c>
      <c r="AM101" s="421" t="str">
        <f t="shared" ref="AM101:AM120" si="142">IF(D101=0,"NA",X101/I101-1)</f>
        <v>NA</v>
      </c>
      <c r="AN101" s="421" t="str">
        <f t="shared" ref="AN101:AN120" si="143">IF(D101=0,"NA",Y101/J101-1)</f>
        <v>NA</v>
      </c>
      <c r="AO101" s="421" t="str">
        <f t="shared" ref="AO101:AO120" si="144">IF(D101=0,"NA",Z101/K101-1)</f>
        <v>NA</v>
      </c>
      <c r="AP101" s="421" t="str">
        <f t="shared" ref="AP101:AP120" si="145">IF(D101=0,"NA",AA101/L101-1)</f>
        <v>NA</v>
      </c>
      <c r="AQ101" s="421" t="str">
        <f t="shared" ref="AQ101:AQ120" si="146">IF(D101=0,"NA",AB101/M101-1)</f>
        <v>NA</v>
      </c>
      <c r="AR101" s="422" t="str">
        <f t="shared" ref="AR101:AR120" si="147">IF(D101=0,"NA",AC101/N101-1)</f>
        <v>NA</v>
      </c>
      <c r="AS101" s="422" t="str">
        <f t="shared" ref="AS101:AS120" si="148">IF(D101=0,"NA",AD101/O101-1)</f>
        <v>NA</v>
      </c>
      <c r="AT101" s="422" t="str">
        <f t="shared" ref="AT101:AT120" si="149">IF(D101=0,"NA",AE101/P101-1)</f>
        <v>NA</v>
      </c>
      <c r="AU101" s="422" t="str">
        <f t="shared" ref="AU101:AU120" si="150">IF(D101=0,"NA",AF101/Q101-1)</f>
        <v>NA</v>
      </c>
      <c r="AV101" s="423" t="str">
        <f t="shared" ref="AV101:AV120" si="151">IF(D101=0,"NA",AG101/R101-1)</f>
        <v>NA</v>
      </c>
    </row>
    <row r="102" spans="1:48" ht="15" customHeight="1" x14ac:dyDescent="0.25">
      <c r="A102" s="146"/>
      <c r="B102" s="148">
        <v>113</v>
      </c>
      <c r="C102" s="151" t="str">
        <f>_xlfn.XLOOKUP(B102, LgProvEntOrgIDs[Advanced Network/Insurer Carrier Org ID], LgProvEntOrgIDs[Advanced Network/Insurance Carrier Overall])</f>
        <v>CIFC Greater Danbury Community Health Center</v>
      </c>
      <c r="D102" s="448">
        <f>SUMIFS(AN_TME_BY[[#All],[Member Months]],AN_TME_BY[[#All],[Insurance Category Code]],4,AN_TME_BY[[#All],[Advanced Network/Insurance Carrier Org ID]],B102)</f>
        <v>0</v>
      </c>
      <c r="E102" s="137" t="str">
        <f>IF(D102=0,"NA",SUMIFS(AN_TME_BY[[#All],[Claims: Hospital Inpatient]],AN_TME_BY[[#All],[Insurance Category Code]],4,AN_TME_BY[[#All],[Advanced Network/Insurance Carrier Org ID]],B102)/D102)</f>
        <v>NA</v>
      </c>
      <c r="F102" s="108" t="str">
        <f>IF(D102=0,"NA",SUMIFS(AN_TME_BY[[#All],[Claims: Hospital Outpatient]],AN_TME_BY[[#All],[Insurance Category Code]],4,AN_TME_BY[[#All],[Advanced Network/Insurance Carrier Org ID]],B102)/D102)</f>
        <v>NA</v>
      </c>
      <c r="G102" s="108" t="str">
        <f>IF(D102=0,"NA",SUMIFS(AN_TME_BY[[#All],[Claims: Professional, Primary Care]],AN_TME_BY[[#All],[Insurance Category Code]],4,AN_TME_BY[[#All],[Advanced Network/Insurance Carrier Org ID]],B102)/D102)</f>
        <v>NA</v>
      </c>
      <c r="H102" s="108" t="str">
        <f>IF(D102=0,"NA",SUMIFS(AN_TME_BY[[#All],[Claims: Professional, Primary Care (for Monitoring Purposes)]],AN_TME_BY[[#All],[Insurance Category Code]],4,AN_TME_BY[[#All],[Advanced Network/Insurance Carrier Org ID]],B102)/D102)</f>
        <v>NA</v>
      </c>
      <c r="I102" s="108" t="str">
        <f>IF(D102=0,"NA",SUMIFS(AN_TME_BY[[#All],[Claims: Professional, Specialty]],AN_TME_BY[[#All],[Insurance Category Code]],4,AN_TME_BY[[#All],[Advanced Network/Insurance Carrier Org ID]],B102)/D102)</f>
        <v>NA</v>
      </c>
      <c r="J102" s="108" t="str">
        <f>IF(D102=0,"NA",SUMIFS(AN_TME_BY[[#All],[Claims: Professional Other]],AN_TME_BY[[#All],[Insurance Category Code]],4,AN_TME_BY[[#All],[Advanced Network/Insurance Carrier Org ID]],B102)/D102)</f>
        <v>NA</v>
      </c>
      <c r="K102" s="108" t="str">
        <f>IF(D102=0,"NA",SUMIFS(AN_TME_BY[[#All],[Claims: Pharmacy]],AN_TME_BY[[#All],[Insurance Category Code]],4,AN_TME_BY[[#All],[Advanced Network/Insurance Carrier Org ID]],B102)/D102)</f>
        <v>NA</v>
      </c>
      <c r="L102" s="108" t="str">
        <f>IF(D102=0,"NA",SUMIFS(AN_TME_BY[[#All],[Claims: Long-Term Care]],AN_TME_BY[[#All],[Insurance Category Code]],4,AN_TME_BY[[#All],[Advanced Network/Insurance Carrier Org ID]],B102)/D102)</f>
        <v>NA</v>
      </c>
      <c r="M102" s="108" t="str">
        <f>IF(D102=0,"NA",SUMIFS(AN_TME_BY[[#All],[Claims: Other]],AN_TME_BY[[#All],[Insurance Category Code]],4,AN_TME_BY[[#All],[Advanced Network/Insurance Carrier Org ID]],B102)/D102)</f>
        <v>NA</v>
      </c>
      <c r="N102" s="147" t="str">
        <f>IF(D102=0,"NA",SUMIFS(AN_TME_BY[[#All],[TOTAL Non-Truncated Unadjusted Claims Expenses]],AN_TME_BY[[#All],[Insurance Category Code]],4,AN_TME_BY[[#All],[Advanced Network/Insurance Carrier Org ID]],B102)/D102)</f>
        <v>NA</v>
      </c>
      <c r="O102" s="147" t="str">
        <f>IF(D102=0,"NA",SUMIFS(AN_TME_BY[[#All],[TOTAL Truncated Unadjusted Claims Expenses (A21 -A19)]],AN_TME_BY[[#All],[Insurance Category Code]],4,AN_TME_BY[[#All],[Advanced Network/Insurance Carrier Org ID]],B102)/D102)</f>
        <v>NA</v>
      </c>
      <c r="P102" s="147" t="str">
        <f>IF(D102=0,"NA",SUMIFS(AN_TME_BY[[#All],[TOTAL Non-Claims Expenses]],AN_TME_BY[[#All],[Insurance Category Code]],4,AN_TME_BY[[#All],[Advanced Network/Insurance Carrier Org ID]],B102)/D102)</f>
        <v>NA</v>
      </c>
      <c r="Q102" s="147" t="str">
        <f>IF(D102=0,"NA",SUMIFS(AN_TME_BY[[#All],[TOTAL Non-Truncated Unadjusted Expenses (A21 + A23)]],AN_TME_BY[[#All],[Insurance Category Code]],4,AN_TME_BY[[#All],[Advanced Network/Insurance Carrier Org ID]],B102)/D102)</f>
        <v>NA</v>
      </c>
      <c r="R102" s="147" t="str">
        <f>IF(D102=0,"NA",SUMIFS(AN_TME_BY[[#All],[TOTAL Truncated Unadjusted Expenses (A22 + A23)]],AN_TME_BY[[#All],[Insurance Category Code]],4,AN_TME_BY[[#All],[Advanced Network/Insurance Carrier Org ID]],B102)/D102)</f>
        <v>NA</v>
      </c>
      <c r="S102" s="448">
        <f>SUMIFS(AN_TME_PY[[#All],[Member Months]],AN_TME_PY[[#All],[Insurance Category Code]],4,AN_TME_PY[[#All],[Advanced Network/Insurance Carrier Org ID]],B102)</f>
        <v>0</v>
      </c>
      <c r="T102" s="137" t="str">
        <f>IF(S102=0,"NA",SUMIFS(AN_TME_PY[[#All],[Claims: Hospital Inpatient]],AN_TME_PY[[#All],[Insurance Category Code]],4,AN_TME_PY[[#All],[Advanced Network/Insurance Carrier Org ID]],B102)/S102)</f>
        <v>NA</v>
      </c>
      <c r="U102" s="108" t="str">
        <f>IF(S102=0,"NA",SUMIFS(AN_TME_PY[[#All],[Claims: Hospital Outpatient]],AN_TME_PY[[#All],[Insurance Category Code]],4,AN_TME_PY[[#All],[Advanced Network/Insurance Carrier Org ID]],B102)/S102)</f>
        <v>NA</v>
      </c>
      <c r="V102" s="108" t="str">
        <f>IF(S102=0,"NA",SUMIFS(AN_TME_PY[[#All],[Claims: Professional, Primary Care]],AN_TME_PY[[#All],[Insurance Category Code]],4,AN_TME_PY[[#All],[Advanced Network/Insurance Carrier Org ID]],B102)/S102)</f>
        <v>NA</v>
      </c>
      <c r="W102" s="108" t="str">
        <f>IF(S102=0,"NA",SUMIFS(AN_TME_PY[[#All],[Claims: Professional, Primary Care (for Monitoring Purposes)]],AN_TME_PY[[#All],[Insurance Category Code]],4,AN_TME_PY[[#All],[Advanced Network/Insurance Carrier Org ID]],B102)/S102)</f>
        <v>NA</v>
      </c>
      <c r="X102" s="108" t="str">
        <f>IF(S102=0,"NA",SUMIFS(AN_TME_PY[[#All],[Claims: Professional, Specialty]],AN_TME_PY[[#All],[Insurance Category Code]],4,AN_TME_PY[[#All],[Advanced Network/Insurance Carrier Org ID]],B102)/S102)</f>
        <v>NA</v>
      </c>
      <c r="Y102" s="108" t="str">
        <f>IF(S102=0,"NA",SUMIFS(AN_TME_PY[[#All],[Claims: Professional Other]],AN_TME_PY[[#All],[Insurance Category Code]],4,AN_TME_PY[[#All],[Advanced Network/Insurance Carrier Org ID]],B102)/S102)</f>
        <v>NA</v>
      </c>
      <c r="Z102" s="108" t="str">
        <f>IF(S102=0,"NA",SUMIFS(AN_TME_PY[[#All],[Claims: Pharmacy]],AN_TME_PY[[#All],[Insurance Category Code]],4,AN_TME_PY[[#All],[Advanced Network/Insurance Carrier Org ID]],B102)/S102)</f>
        <v>NA</v>
      </c>
      <c r="AA102" s="108" t="str">
        <f>IF(S102=0,"NA",SUMIFS(AN_TME_PY[[#All],[Claims: Long-Term Care]],AN_TME_PY[[#All],[Insurance Category Code]],4,AN_TME_PY[[#All],[Advanced Network/Insurance Carrier Org ID]],B102)/S102)</f>
        <v>NA</v>
      </c>
      <c r="AB102" s="108" t="str">
        <f>IF(S102=0,"NA",SUMIFS(AN_TME_PY[[#All],[Claims: Other]],AN_TME_PY[[#All],[Insurance Category Code]],4,AN_TME_PY[[#All],[Advanced Network/Insurance Carrier Org ID]],B102)/S102)</f>
        <v>NA</v>
      </c>
      <c r="AC102" s="147" t="str">
        <f>IF(S102=0,"NA",SUMIFS(AN_TME_PY[[#All],[TOTAL Non-Truncated Unadjusted Claims Expenses]],AN_TME_PY[[#All],[Insurance Category Code]],4,AN_TME_PY[[#All],[Advanced Network/Insurance Carrier Org ID]],B102)/S102)</f>
        <v>NA</v>
      </c>
      <c r="AD102" s="147" t="str">
        <f>IF(S102=0,"NA",SUMIFS(AN_TME_PY[[#All],[TOTAL Truncated Unadjusted Claims Expenses (A21 -A19)]],AN_TME_PY[[#All],[Insurance Category Code]],4,AN_TME_PY[[#All],[Advanced Network/Insurance Carrier Org ID]],B102)/S102)</f>
        <v>NA</v>
      </c>
      <c r="AE102" s="147" t="str">
        <f>IF(S102=0,"NA",SUMIFS(AN_TME_PY[[#All],[TOTAL Non-Claims Expenses]],AN_TME_PY[[#All],[Insurance Category Code]],4,AN_TME_PY[[#All],[Advanced Network/Insurance Carrier Org ID]],B102)/S102)</f>
        <v>NA</v>
      </c>
      <c r="AF102" s="147" t="str">
        <f>IF(S102=0,"NA",SUMIFS(AN_TME_PY[[#All],[TOTAL Non-Truncated Unadjusted Expenses (A21 + A23)]],AN_TME_PY[[#All],[Insurance Category Code]],4,AN_TME_PY[[#All],[Advanced Network/Insurance Carrier Org ID]],B102)/S102)</f>
        <v>NA</v>
      </c>
      <c r="AG102" s="138" t="str">
        <f>IF(S102=0,"NA",SUMIFS(AN_TME_PY[[#All],[TOTAL Truncated Unadjusted Expenses (A22 + A23)]],AN_TME_PY[[#All],[Insurance Category Code]],4,AN_TME_PY[[#All],[Advanced Network/Insurance Carrier Org ID]],B102)/S102)</f>
        <v>NA</v>
      </c>
      <c r="AH102" s="419" t="str">
        <f t="shared" si="137"/>
        <v>NA</v>
      </c>
      <c r="AI102" s="420" t="str">
        <f t="shared" si="138"/>
        <v>NA</v>
      </c>
      <c r="AJ102" s="421" t="str">
        <f t="shared" si="139"/>
        <v>NA</v>
      </c>
      <c r="AK102" s="421" t="str">
        <f t="shared" si="140"/>
        <v>NA</v>
      </c>
      <c r="AL102" s="421" t="str">
        <f t="shared" si="141"/>
        <v>NA</v>
      </c>
      <c r="AM102" s="421" t="str">
        <f t="shared" si="142"/>
        <v>NA</v>
      </c>
      <c r="AN102" s="421" t="str">
        <f t="shared" si="143"/>
        <v>NA</v>
      </c>
      <c r="AO102" s="421" t="str">
        <f t="shared" si="144"/>
        <v>NA</v>
      </c>
      <c r="AP102" s="421" t="str">
        <f t="shared" si="145"/>
        <v>NA</v>
      </c>
      <c r="AQ102" s="421" t="str">
        <f t="shared" si="146"/>
        <v>NA</v>
      </c>
      <c r="AR102" s="422" t="str">
        <f t="shared" si="147"/>
        <v>NA</v>
      </c>
      <c r="AS102" s="422" t="str">
        <f t="shared" si="148"/>
        <v>NA</v>
      </c>
      <c r="AT102" s="422" t="str">
        <f t="shared" si="149"/>
        <v>NA</v>
      </c>
      <c r="AU102" s="422" t="str">
        <f t="shared" si="150"/>
        <v>NA</v>
      </c>
      <c r="AV102" s="423" t="str">
        <f t="shared" si="151"/>
        <v>NA</v>
      </c>
    </row>
    <row r="103" spans="1:48" ht="15" customHeight="1" x14ac:dyDescent="0.25">
      <c r="A103" s="146"/>
      <c r="B103" s="148">
        <v>114</v>
      </c>
      <c r="C103" s="151" t="str">
        <f>_xlfn.XLOOKUP(B103, LgProvEntOrgIDs[Advanced Network/Insurer Carrier Org ID], LgProvEntOrgIDs[Advanced Network/Insurance Carrier Overall])</f>
        <v>Community Health and Wellness Center of Greater Torrington</v>
      </c>
      <c r="D103" s="448">
        <f>SUMIFS(AN_TME_BY[[#All],[Member Months]],AN_TME_BY[[#All],[Insurance Category Code]],4,AN_TME_BY[[#All],[Advanced Network/Insurance Carrier Org ID]],B103)</f>
        <v>0</v>
      </c>
      <c r="E103" s="137" t="str">
        <f>IF(D103=0,"NA",SUMIFS(AN_TME_BY[[#All],[Claims: Hospital Inpatient]],AN_TME_BY[[#All],[Insurance Category Code]],4,AN_TME_BY[[#All],[Advanced Network/Insurance Carrier Org ID]],B103)/D103)</f>
        <v>NA</v>
      </c>
      <c r="F103" s="108" t="str">
        <f>IF(D103=0,"NA",SUMIFS(AN_TME_BY[[#All],[Claims: Hospital Outpatient]],AN_TME_BY[[#All],[Insurance Category Code]],4,AN_TME_BY[[#All],[Advanced Network/Insurance Carrier Org ID]],B103)/D103)</f>
        <v>NA</v>
      </c>
      <c r="G103" s="108" t="str">
        <f>IF(D103=0,"NA",SUMIFS(AN_TME_BY[[#All],[Claims: Professional, Primary Care]],AN_TME_BY[[#All],[Insurance Category Code]],4,AN_TME_BY[[#All],[Advanced Network/Insurance Carrier Org ID]],B103)/D103)</f>
        <v>NA</v>
      </c>
      <c r="H103" s="108" t="str">
        <f>IF(D103=0,"NA",SUMIFS(AN_TME_BY[[#All],[Claims: Professional, Primary Care (for Monitoring Purposes)]],AN_TME_BY[[#All],[Insurance Category Code]],4,AN_TME_BY[[#All],[Advanced Network/Insurance Carrier Org ID]],B103)/D103)</f>
        <v>NA</v>
      </c>
      <c r="I103" s="108" t="str">
        <f>IF(D103=0,"NA",SUMIFS(AN_TME_BY[[#All],[Claims: Professional, Specialty]],AN_TME_BY[[#All],[Insurance Category Code]],4,AN_TME_BY[[#All],[Advanced Network/Insurance Carrier Org ID]],B103)/D103)</f>
        <v>NA</v>
      </c>
      <c r="J103" s="108" t="str">
        <f>IF(D103=0,"NA",SUMIFS(AN_TME_BY[[#All],[Claims: Professional Other]],AN_TME_BY[[#All],[Insurance Category Code]],4,AN_TME_BY[[#All],[Advanced Network/Insurance Carrier Org ID]],B103)/D103)</f>
        <v>NA</v>
      </c>
      <c r="K103" s="108" t="str">
        <f>IF(D103=0,"NA",SUMIFS(AN_TME_BY[[#All],[Claims: Pharmacy]],AN_TME_BY[[#All],[Insurance Category Code]],4,AN_TME_BY[[#All],[Advanced Network/Insurance Carrier Org ID]],B103)/D103)</f>
        <v>NA</v>
      </c>
      <c r="L103" s="108" t="str">
        <f>IF(D103=0,"NA",SUMIFS(AN_TME_BY[[#All],[Claims: Long-Term Care]],AN_TME_BY[[#All],[Insurance Category Code]],4,AN_TME_BY[[#All],[Advanced Network/Insurance Carrier Org ID]],B103)/D103)</f>
        <v>NA</v>
      </c>
      <c r="M103" s="108" t="str">
        <f>IF(D103=0,"NA",SUMIFS(AN_TME_BY[[#All],[Claims: Other]],AN_TME_BY[[#All],[Insurance Category Code]],4,AN_TME_BY[[#All],[Advanced Network/Insurance Carrier Org ID]],B103)/D103)</f>
        <v>NA</v>
      </c>
      <c r="N103" s="147" t="str">
        <f>IF(D103=0,"NA",SUMIFS(AN_TME_BY[[#All],[TOTAL Non-Truncated Unadjusted Claims Expenses]],AN_TME_BY[[#All],[Insurance Category Code]],4,AN_TME_BY[[#All],[Advanced Network/Insurance Carrier Org ID]],B103)/D103)</f>
        <v>NA</v>
      </c>
      <c r="O103" s="147" t="str">
        <f>IF(D103=0,"NA",SUMIFS(AN_TME_BY[[#All],[TOTAL Truncated Unadjusted Claims Expenses (A21 -A19)]],AN_TME_BY[[#All],[Insurance Category Code]],4,AN_TME_BY[[#All],[Advanced Network/Insurance Carrier Org ID]],B103)/D103)</f>
        <v>NA</v>
      </c>
      <c r="P103" s="147" t="str">
        <f>IF(D103=0,"NA",SUMIFS(AN_TME_BY[[#All],[TOTAL Non-Claims Expenses]],AN_TME_BY[[#All],[Insurance Category Code]],4,AN_TME_BY[[#All],[Advanced Network/Insurance Carrier Org ID]],B103)/D103)</f>
        <v>NA</v>
      </c>
      <c r="Q103" s="147" t="str">
        <f>IF(D103=0,"NA",SUMIFS(AN_TME_BY[[#All],[TOTAL Non-Truncated Unadjusted Expenses (A21 + A23)]],AN_TME_BY[[#All],[Insurance Category Code]],4,AN_TME_BY[[#All],[Advanced Network/Insurance Carrier Org ID]],B103)/D103)</f>
        <v>NA</v>
      </c>
      <c r="R103" s="147" t="str">
        <f>IF(D103=0,"NA",SUMIFS(AN_TME_BY[[#All],[TOTAL Truncated Unadjusted Expenses (A22 + A23)]],AN_TME_BY[[#All],[Insurance Category Code]],4,AN_TME_BY[[#All],[Advanced Network/Insurance Carrier Org ID]],B103)/D103)</f>
        <v>NA</v>
      </c>
      <c r="S103" s="448">
        <f>SUMIFS(AN_TME_PY[[#All],[Member Months]],AN_TME_PY[[#All],[Insurance Category Code]],4,AN_TME_PY[[#All],[Advanced Network/Insurance Carrier Org ID]],B103)</f>
        <v>0</v>
      </c>
      <c r="T103" s="137" t="str">
        <f>IF(S103=0,"NA",SUMIFS(AN_TME_PY[[#All],[Claims: Hospital Inpatient]],AN_TME_PY[[#All],[Insurance Category Code]],4,AN_TME_PY[[#All],[Advanced Network/Insurance Carrier Org ID]],B103)/S103)</f>
        <v>NA</v>
      </c>
      <c r="U103" s="108" t="str">
        <f>IF(S103=0,"NA",SUMIFS(AN_TME_PY[[#All],[Claims: Hospital Outpatient]],AN_TME_PY[[#All],[Insurance Category Code]],4,AN_TME_PY[[#All],[Advanced Network/Insurance Carrier Org ID]],B103)/S103)</f>
        <v>NA</v>
      </c>
      <c r="V103" s="108" t="str">
        <f>IF(S103=0,"NA",SUMIFS(AN_TME_PY[[#All],[Claims: Professional, Primary Care]],AN_TME_PY[[#All],[Insurance Category Code]],4,AN_TME_PY[[#All],[Advanced Network/Insurance Carrier Org ID]],B103)/S103)</f>
        <v>NA</v>
      </c>
      <c r="W103" s="108" t="str">
        <f>IF(S103=0,"NA",SUMIFS(AN_TME_PY[[#All],[Claims: Professional, Primary Care (for Monitoring Purposes)]],AN_TME_PY[[#All],[Insurance Category Code]],4,AN_TME_PY[[#All],[Advanced Network/Insurance Carrier Org ID]],B103)/S103)</f>
        <v>NA</v>
      </c>
      <c r="X103" s="108" t="str">
        <f>IF(S103=0,"NA",SUMIFS(AN_TME_PY[[#All],[Claims: Professional, Specialty]],AN_TME_PY[[#All],[Insurance Category Code]],4,AN_TME_PY[[#All],[Advanced Network/Insurance Carrier Org ID]],B103)/S103)</f>
        <v>NA</v>
      </c>
      <c r="Y103" s="108" t="str">
        <f>IF(S103=0,"NA",SUMIFS(AN_TME_PY[[#All],[Claims: Professional Other]],AN_TME_PY[[#All],[Insurance Category Code]],4,AN_TME_PY[[#All],[Advanced Network/Insurance Carrier Org ID]],B103)/S103)</f>
        <v>NA</v>
      </c>
      <c r="Z103" s="108" t="str">
        <f>IF(S103=0,"NA",SUMIFS(AN_TME_PY[[#All],[Claims: Pharmacy]],AN_TME_PY[[#All],[Insurance Category Code]],4,AN_TME_PY[[#All],[Advanced Network/Insurance Carrier Org ID]],B103)/S103)</f>
        <v>NA</v>
      </c>
      <c r="AA103" s="108" t="str">
        <f>IF(S103=0,"NA",SUMIFS(AN_TME_PY[[#All],[Claims: Long-Term Care]],AN_TME_PY[[#All],[Insurance Category Code]],4,AN_TME_PY[[#All],[Advanced Network/Insurance Carrier Org ID]],B103)/S103)</f>
        <v>NA</v>
      </c>
      <c r="AB103" s="108" t="str">
        <f>IF(S103=0,"NA",SUMIFS(AN_TME_PY[[#All],[Claims: Other]],AN_TME_PY[[#All],[Insurance Category Code]],4,AN_TME_PY[[#All],[Advanced Network/Insurance Carrier Org ID]],B103)/S103)</f>
        <v>NA</v>
      </c>
      <c r="AC103" s="147" t="str">
        <f>IF(S103=0,"NA",SUMIFS(AN_TME_PY[[#All],[TOTAL Non-Truncated Unadjusted Claims Expenses]],AN_TME_PY[[#All],[Insurance Category Code]],4,AN_TME_PY[[#All],[Advanced Network/Insurance Carrier Org ID]],B103)/S103)</f>
        <v>NA</v>
      </c>
      <c r="AD103" s="147" t="str">
        <f>IF(S103=0,"NA",SUMIFS(AN_TME_PY[[#All],[TOTAL Truncated Unadjusted Claims Expenses (A21 -A19)]],AN_TME_PY[[#All],[Insurance Category Code]],4,AN_TME_PY[[#All],[Advanced Network/Insurance Carrier Org ID]],B103)/S103)</f>
        <v>NA</v>
      </c>
      <c r="AE103" s="147" t="str">
        <f>IF(S103=0,"NA",SUMIFS(AN_TME_PY[[#All],[TOTAL Non-Claims Expenses]],AN_TME_PY[[#All],[Insurance Category Code]],4,AN_TME_PY[[#All],[Advanced Network/Insurance Carrier Org ID]],B103)/S103)</f>
        <v>NA</v>
      </c>
      <c r="AF103" s="147" t="str">
        <f>IF(S103=0,"NA",SUMIFS(AN_TME_PY[[#All],[TOTAL Non-Truncated Unadjusted Expenses (A21 + A23)]],AN_TME_PY[[#All],[Insurance Category Code]],4,AN_TME_PY[[#All],[Advanced Network/Insurance Carrier Org ID]],B103)/S103)</f>
        <v>NA</v>
      </c>
      <c r="AG103" s="138" t="str">
        <f>IF(S103=0,"NA",SUMIFS(AN_TME_PY[[#All],[TOTAL Truncated Unadjusted Expenses (A22 + A23)]],AN_TME_PY[[#All],[Insurance Category Code]],4,AN_TME_PY[[#All],[Advanced Network/Insurance Carrier Org ID]],B103)/S103)</f>
        <v>NA</v>
      </c>
      <c r="AH103" s="419" t="str">
        <f t="shared" si="137"/>
        <v>NA</v>
      </c>
      <c r="AI103" s="420" t="str">
        <f t="shared" si="138"/>
        <v>NA</v>
      </c>
      <c r="AJ103" s="421" t="str">
        <f t="shared" si="139"/>
        <v>NA</v>
      </c>
      <c r="AK103" s="421" t="str">
        <f t="shared" si="140"/>
        <v>NA</v>
      </c>
      <c r="AL103" s="421" t="str">
        <f t="shared" si="141"/>
        <v>NA</v>
      </c>
      <c r="AM103" s="421" t="str">
        <f t="shared" si="142"/>
        <v>NA</v>
      </c>
      <c r="AN103" s="421" t="str">
        <f t="shared" si="143"/>
        <v>NA</v>
      </c>
      <c r="AO103" s="421" t="str">
        <f t="shared" si="144"/>
        <v>NA</v>
      </c>
      <c r="AP103" s="421" t="str">
        <f t="shared" si="145"/>
        <v>NA</v>
      </c>
      <c r="AQ103" s="421" t="str">
        <f t="shared" si="146"/>
        <v>NA</v>
      </c>
      <c r="AR103" s="422" t="str">
        <f t="shared" si="147"/>
        <v>NA</v>
      </c>
      <c r="AS103" s="422" t="str">
        <f t="shared" si="148"/>
        <v>NA</v>
      </c>
      <c r="AT103" s="422" t="str">
        <f t="shared" si="149"/>
        <v>NA</v>
      </c>
      <c r="AU103" s="422" t="str">
        <f t="shared" si="150"/>
        <v>NA</v>
      </c>
      <c r="AV103" s="423" t="str">
        <f t="shared" si="151"/>
        <v>NA</v>
      </c>
    </row>
    <row r="104" spans="1:48" ht="15" customHeight="1" x14ac:dyDescent="0.25">
      <c r="A104" s="146"/>
      <c r="B104" s="148">
        <v>115</v>
      </c>
      <c r="C104" s="151" t="str">
        <f>_xlfn.XLOOKUP(B104, LgProvEntOrgIDs[Advanced Network/Insurer Carrier Org ID], LgProvEntOrgIDs[Advanced Network/Insurance Carrier Overall])</f>
        <v>Community Health Center</v>
      </c>
      <c r="D104" s="448">
        <f>SUMIFS(AN_TME_BY[[#All],[Member Months]],AN_TME_BY[[#All],[Insurance Category Code]],4,AN_TME_BY[[#All],[Advanced Network/Insurance Carrier Org ID]],B104)</f>
        <v>0</v>
      </c>
      <c r="E104" s="137" t="str">
        <f>IF(D104=0,"NA",SUMIFS(AN_TME_BY[[#All],[Claims: Hospital Inpatient]],AN_TME_BY[[#All],[Insurance Category Code]],4,AN_TME_BY[[#All],[Advanced Network/Insurance Carrier Org ID]],B104)/D104)</f>
        <v>NA</v>
      </c>
      <c r="F104" s="108" t="str">
        <f>IF(D104=0,"NA",SUMIFS(AN_TME_BY[[#All],[Claims: Hospital Outpatient]],AN_TME_BY[[#All],[Insurance Category Code]],4,AN_TME_BY[[#All],[Advanced Network/Insurance Carrier Org ID]],B104)/D104)</f>
        <v>NA</v>
      </c>
      <c r="G104" s="108" t="str">
        <f>IF(D104=0,"NA",SUMIFS(AN_TME_BY[[#All],[Claims: Professional, Primary Care]],AN_TME_BY[[#All],[Insurance Category Code]],4,AN_TME_BY[[#All],[Advanced Network/Insurance Carrier Org ID]],B104)/D104)</f>
        <v>NA</v>
      </c>
      <c r="H104" s="108" t="str">
        <f>IF(D104=0,"NA",SUMIFS(AN_TME_BY[[#All],[Claims: Professional, Primary Care (for Monitoring Purposes)]],AN_TME_BY[[#All],[Insurance Category Code]],4,AN_TME_BY[[#All],[Advanced Network/Insurance Carrier Org ID]],B104)/D104)</f>
        <v>NA</v>
      </c>
      <c r="I104" s="108" t="str">
        <f>IF(D104=0,"NA",SUMIFS(AN_TME_BY[[#All],[Claims: Professional, Specialty]],AN_TME_BY[[#All],[Insurance Category Code]],4,AN_TME_BY[[#All],[Advanced Network/Insurance Carrier Org ID]],B104)/D104)</f>
        <v>NA</v>
      </c>
      <c r="J104" s="108" t="str">
        <f>IF(D104=0,"NA",SUMIFS(AN_TME_BY[[#All],[Claims: Professional Other]],AN_TME_BY[[#All],[Insurance Category Code]],4,AN_TME_BY[[#All],[Advanced Network/Insurance Carrier Org ID]],B104)/D104)</f>
        <v>NA</v>
      </c>
      <c r="K104" s="108" t="str">
        <f>IF(D104=0,"NA",SUMIFS(AN_TME_BY[[#All],[Claims: Pharmacy]],AN_TME_BY[[#All],[Insurance Category Code]],4,AN_TME_BY[[#All],[Advanced Network/Insurance Carrier Org ID]],B104)/D104)</f>
        <v>NA</v>
      </c>
      <c r="L104" s="108" t="str">
        <f>IF(D104=0,"NA",SUMIFS(AN_TME_BY[[#All],[Claims: Long-Term Care]],AN_TME_BY[[#All],[Insurance Category Code]],4,AN_TME_BY[[#All],[Advanced Network/Insurance Carrier Org ID]],B104)/D104)</f>
        <v>NA</v>
      </c>
      <c r="M104" s="108" t="str">
        <f>IF(D104=0,"NA",SUMIFS(AN_TME_BY[[#All],[Claims: Other]],AN_TME_BY[[#All],[Insurance Category Code]],4,AN_TME_BY[[#All],[Advanced Network/Insurance Carrier Org ID]],B104)/D104)</f>
        <v>NA</v>
      </c>
      <c r="N104" s="147" t="str">
        <f>IF(D104=0,"NA",SUMIFS(AN_TME_BY[[#All],[TOTAL Non-Truncated Unadjusted Claims Expenses]],AN_TME_BY[[#All],[Insurance Category Code]],4,AN_TME_BY[[#All],[Advanced Network/Insurance Carrier Org ID]],B104)/D104)</f>
        <v>NA</v>
      </c>
      <c r="O104" s="147" t="str">
        <f>IF(D104=0,"NA",SUMIFS(AN_TME_BY[[#All],[TOTAL Truncated Unadjusted Claims Expenses (A21 -A19)]],AN_TME_BY[[#All],[Insurance Category Code]],4,AN_TME_BY[[#All],[Advanced Network/Insurance Carrier Org ID]],B104)/D104)</f>
        <v>NA</v>
      </c>
      <c r="P104" s="147" t="str">
        <f>IF(D104=0,"NA",SUMIFS(AN_TME_BY[[#All],[TOTAL Non-Claims Expenses]],AN_TME_BY[[#All],[Insurance Category Code]],4,AN_TME_BY[[#All],[Advanced Network/Insurance Carrier Org ID]],B104)/D104)</f>
        <v>NA</v>
      </c>
      <c r="Q104" s="147" t="str">
        <f>IF(D104=0,"NA",SUMIFS(AN_TME_BY[[#All],[TOTAL Non-Truncated Unadjusted Expenses (A21 + A23)]],AN_TME_BY[[#All],[Insurance Category Code]],4,AN_TME_BY[[#All],[Advanced Network/Insurance Carrier Org ID]],B104)/D104)</f>
        <v>NA</v>
      </c>
      <c r="R104" s="147" t="str">
        <f>IF(D104=0,"NA",SUMIFS(AN_TME_BY[[#All],[TOTAL Truncated Unadjusted Expenses (A22 + A23)]],AN_TME_BY[[#All],[Insurance Category Code]],4,AN_TME_BY[[#All],[Advanced Network/Insurance Carrier Org ID]],B104)/D104)</f>
        <v>NA</v>
      </c>
      <c r="S104" s="448">
        <f>SUMIFS(AN_TME_PY[[#All],[Member Months]],AN_TME_PY[[#All],[Insurance Category Code]],4,AN_TME_PY[[#All],[Advanced Network/Insurance Carrier Org ID]],B104)</f>
        <v>0</v>
      </c>
      <c r="T104" s="137" t="str">
        <f>IF(S104=0,"NA",SUMIFS(AN_TME_PY[[#All],[Claims: Hospital Inpatient]],AN_TME_PY[[#All],[Insurance Category Code]],4,AN_TME_PY[[#All],[Advanced Network/Insurance Carrier Org ID]],B104)/S104)</f>
        <v>NA</v>
      </c>
      <c r="U104" s="108" t="str">
        <f>IF(S104=0,"NA",SUMIFS(AN_TME_PY[[#All],[Claims: Hospital Outpatient]],AN_TME_PY[[#All],[Insurance Category Code]],4,AN_TME_PY[[#All],[Advanced Network/Insurance Carrier Org ID]],B104)/S104)</f>
        <v>NA</v>
      </c>
      <c r="V104" s="108" t="str">
        <f>IF(S104=0,"NA",SUMIFS(AN_TME_PY[[#All],[Claims: Professional, Primary Care]],AN_TME_PY[[#All],[Insurance Category Code]],4,AN_TME_PY[[#All],[Advanced Network/Insurance Carrier Org ID]],B104)/S104)</f>
        <v>NA</v>
      </c>
      <c r="W104" s="108" t="str">
        <f>IF(S104=0,"NA",SUMIFS(AN_TME_PY[[#All],[Claims: Professional, Primary Care (for Monitoring Purposes)]],AN_TME_PY[[#All],[Insurance Category Code]],4,AN_TME_PY[[#All],[Advanced Network/Insurance Carrier Org ID]],B104)/S104)</f>
        <v>NA</v>
      </c>
      <c r="X104" s="108" t="str">
        <f>IF(S104=0,"NA",SUMIFS(AN_TME_PY[[#All],[Claims: Professional, Specialty]],AN_TME_PY[[#All],[Insurance Category Code]],4,AN_TME_PY[[#All],[Advanced Network/Insurance Carrier Org ID]],B104)/S104)</f>
        <v>NA</v>
      </c>
      <c r="Y104" s="108" t="str">
        <f>IF(S104=0,"NA",SUMIFS(AN_TME_PY[[#All],[Claims: Professional Other]],AN_TME_PY[[#All],[Insurance Category Code]],4,AN_TME_PY[[#All],[Advanced Network/Insurance Carrier Org ID]],B104)/S104)</f>
        <v>NA</v>
      </c>
      <c r="Z104" s="108" t="str">
        <f>IF(S104=0,"NA",SUMIFS(AN_TME_PY[[#All],[Claims: Pharmacy]],AN_TME_PY[[#All],[Insurance Category Code]],4,AN_TME_PY[[#All],[Advanced Network/Insurance Carrier Org ID]],B104)/S104)</f>
        <v>NA</v>
      </c>
      <c r="AA104" s="108" t="str">
        <f>IF(S104=0,"NA",SUMIFS(AN_TME_PY[[#All],[Claims: Long-Term Care]],AN_TME_PY[[#All],[Insurance Category Code]],4,AN_TME_PY[[#All],[Advanced Network/Insurance Carrier Org ID]],B104)/S104)</f>
        <v>NA</v>
      </c>
      <c r="AB104" s="108" t="str">
        <f>IF(S104=0,"NA",SUMIFS(AN_TME_PY[[#All],[Claims: Other]],AN_TME_PY[[#All],[Insurance Category Code]],4,AN_TME_PY[[#All],[Advanced Network/Insurance Carrier Org ID]],B104)/S104)</f>
        <v>NA</v>
      </c>
      <c r="AC104" s="147" t="str">
        <f>IF(S104=0,"NA",SUMIFS(AN_TME_PY[[#All],[TOTAL Non-Truncated Unadjusted Claims Expenses]],AN_TME_PY[[#All],[Insurance Category Code]],4,AN_TME_PY[[#All],[Advanced Network/Insurance Carrier Org ID]],B104)/S104)</f>
        <v>NA</v>
      </c>
      <c r="AD104" s="147" t="str">
        <f>IF(S104=0,"NA",SUMIFS(AN_TME_PY[[#All],[TOTAL Truncated Unadjusted Claims Expenses (A21 -A19)]],AN_TME_PY[[#All],[Insurance Category Code]],4,AN_TME_PY[[#All],[Advanced Network/Insurance Carrier Org ID]],B104)/S104)</f>
        <v>NA</v>
      </c>
      <c r="AE104" s="147" t="str">
        <f>IF(S104=0,"NA",SUMIFS(AN_TME_PY[[#All],[TOTAL Non-Claims Expenses]],AN_TME_PY[[#All],[Insurance Category Code]],4,AN_TME_PY[[#All],[Advanced Network/Insurance Carrier Org ID]],B104)/S104)</f>
        <v>NA</v>
      </c>
      <c r="AF104" s="147" t="str">
        <f>IF(S104=0,"NA",SUMIFS(AN_TME_PY[[#All],[TOTAL Non-Truncated Unadjusted Expenses (A21 + A23)]],AN_TME_PY[[#All],[Insurance Category Code]],4,AN_TME_PY[[#All],[Advanced Network/Insurance Carrier Org ID]],B104)/S104)</f>
        <v>NA</v>
      </c>
      <c r="AG104" s="138" t="str">
        <f>IF(S104=0,"NA",SUMIFS(AN_TME_PY[[#All],[TOTAL Truncated Unadjusted Expenses (A22 + A23)]],AN_TME_PY[[#All],[Insurance Category Code]],4,AN_TME_PY[[#All],[Advanced Network/Insurance Carrier Org ID]],B104)/S104)</f>
        <v>NA</v>
      </c>
      <c r="AH104" s="419" t="str">
        <f t="shared" si="137"/>
        <v>NA</v>
      </c>
      <c r="AI104" s="420" t="str">
        <f t="shared" si="138"/>
        <v>NA</v>
      </c>
      <c r="AJ104" s="421" t="str">
        <f t="shared" si="139"/>
        <v>NA</v>
      </c>
      <c r="AK104" s="421" t="str">
        <f t="shared" si="140"/>
        <v>NA</v>
      </c>
      <c r="AL104" s="421" t="str">
        <f t="shared" si="141"/>
        <v>NA</v>
      </c>
      <c r="AM104" s="421" t="str">
        <f t="shared" si="142"/>
        <v>NA</v>
      </c>
      <c r="AN104" s="421" t="str">
        <f t="shared" si="143"/>
        <v>NA</v>
      </c>
      <c r="AO104" s="421" t="str">
        <f t="shared" si="144"/>
        <v>NA</v>
      </c>
      <c r="AP104" s="421" t="str">
        <f t="shared" si="145"/>
        <v>NA</v>
      </c>
      <c r="AQ104" s="421" t="str">
        <f t="shared" si="146"/>
        <v>NA</v>
      </c>
      <c r="AR104" s="422" t="str">
        <f t="shared" si="147"/>
        <v>NA</v>
      </c>
      <c r="AS104" s="422" t="str">
        <f t="shared" si="148"/>
        <v>NA</v>
      </c>
      <c r="AT104" s="422" t="str">
        <f t="shared" si="149"/>
        <v>NA</v>
      </c>
      <c r="AU104" s="422" t="str">
        <f t="shared" si="150"/>
        <v>NA</v>
      </c>
      <c r="AV104" s="423" t="str">
        <f t="shared" si="151"/>
        <v>NA</v>
      </c>
    </row>
    <row r="105" spans="1:48" ht="15" customHeight="1" x14ac:dyDescent="0.25">
      <c r="A105" s="146"/>
      <c r="B105" s="148">
        <v>116</v>
      </c>
      <c r="C105" s="151" t="str">
        <f>_xlfn.XLOOKUP(B105, LgProvEntOrgIDs[Advanced Network/Insurer Carrier Org ID], LgProvEntOrgIDs[Advanced Network/Insurance Carrier Overall])</f>
        <v>Community Health Services</v>
      </c>
      <c r="D105" s="448">
        <f>SUMIFS(AN_TME_BY[[#All],[Member Months]],AN_TME_BY[[#All],[Insurance Category Code]],4,AN_TME_BY[[#All],[Advanced Network/Insurance Carrier Org ID]],B105)</f>
        <v>0</v>
      </c>
      <c r="E105" s="137" t="str">
        <f>IF(D105=0,"NA",SUMIFS(AN_TME_BY[[#All],[Claims: Hospital Inpatient]],AN_TME_BY[[#All],[Insurance Category Code]],4,AN_TME_BY[[#All],[Advanced Network/Insurance Carrier Org ID]],B105)/D105)</f>
        <v>NA</v>
      </c>
      <c r="F105" s="108" t="str">
        <f>IF(D105=0,"NA",SUMIFS(AN_TME_BY[[#All],[Claims: Hospital Outpatient]],AN_TME_BY[[#All],[Insurance Category Code]],4,AN_TME_BY[[#All],[Advanced Network/Insurance Carrier Org ID]],B105)/D105)</f>
        <v>NA</v>
      </c>
      <c r="G105" s="108" t="str">
        <f>IF(D105=0,"NA",SUMIFS(AN_TME_BY[[#All],[Claims: Professional, Primary Care]],AN_TME_BY[[#All],[Insurance Category Code]],4,AN_TME_BY[[#All],[Advanced Network/Insurance Carrier Org ID]],B105)/D105)</f>
        <v>NA</v>
      </c>
      <c r="H105" s="108" t="str">
        <f>IF(D105=0,"NA",SUMIFS(AN_TME_BY[[#All],[Claims: Professional, Primary Care (for Monitoring Purposes)]],AN_TME_BY[[#All],[Insurance Category Code]],4,AN_TME_BY[[#All],[Advanced Network/Insurance Carrier Org ID]],B105)/D105)</f>
        <v>NA</v>
      </c>
      <c r="I105" s="108" t="str">
        <f>IF(D105=0,"NA",SUMIFS(AN_TME_BY[[#All],[Claims: Professional, Specialty]],AN_TME_BY[[#All],[Insurance Category Code]],4,AN_TME_BY[[#All],[Advanced Network/Insurance Carrier Org ID]],B105)/D105)</f>
        <v>NA</v>
      </c>
      <c r="J105" s="108" t="str">
        <f>IF(D105=0,"NA",SUMIFS(AN_TME_BY[[#All],[Claims: Professional Other]],AN_TME_BY[[#All],[Insurance Category Code]],4,AN_TME_BY[[#All],[Advanced Network/Insurance Carrier Org ID]],B105)/D105)</f>
        <v>NA</v>
      </c>
      <c r="K105" s="108" t="str">
        <f>IF(D105=0,"NA",SUMIFS(AN_TME_BY[[#All],[Claims: Pharmacy]],AN_TME_BY[[#All],[Insurance Category Code]],4,AN_TME_BY[[#All],[Advanced Network/Insurance Carrier Org ID]],B105)/D105)</f>
        <v>NA</v>
      </c>
      <c r="L105" s="108" t="str">
        <f>IF(D105=0,"NA",SUMIFS(AN_TME_BY[[#All],[Claims: Long-Term Care]],AN_TME_BY[[#All],[Insurance Category Code]],4,AN_TME_BY[[#All],[Advanced Network/Insurance Carrier Org ID]],B105)/D105)</f>
        <v>NA</v>
      </c>
      <c r="M105" s="108" t="str">
        <f>IF(D105=0,"NA",SUMIFS(AN_TME_BY[[#All],[Claims: Other]],AN_TME_BY[[#All],[Insurance Category Code]],4,AN_TME_BY[[#All],[Advanced Network/Insurance Carrier Org ID]],B105)/D105)</f>
        <v>NA</v>
      </c>
      <c r="N105" s="147" t="str">
        <f>IF(D105=0,"NA",SUMIFS(AN_TME_BY[[#All],[TOTAL Non-Truncated Unadjusted Claims Expenses]],AN_TME_BY[[#All],[Insurance Category Code]],4,AN_TME_BY[[#All],[Advanced Network/Insurance Carrier Org ID]],B105)/D105)</f>
        <v>NA</v>
      </c>
      <c r="O105" s="147" t="str">
        <f>IF(D105=0,"NA",SUMIFS(AN_TME_BY[[#All],[TOTAL Truncated Unadjusted Claims Expenses (A21 -A19)]],AN_TME_BY[[#All],[Insurance Category Code]],4,AN_TME_BY[[#All],[Advanced Network/Insurance Carrier Org ID]],B105)/D105)</f>
        <v>NA</v>
      </c>
      <c r="P105" s="147" t="str">
        <f>IF(D105=0,"NA",SUMIFS(AN_TME_BY[[#All],[TOTAL Non-Claims Expenses]],AN_TME_BY[[#All],[Insurance Category Code]],4,AN_TME_BY[[#All],[Advanced Network/Insurance Carrier Org ID]],B105)/D105)</f>
        <v>NA</v>
      </c>
      <c r="Q105" s="147" t="str">
        <f>IF(D105=0,"NA",SUMIFS(AN_TME_BY[[#All],[TOTAL Non-Truncated Unadjusted Expenses (A21 + A23)]],AN_TME_BY[[#All],[Insurance Category Code]],4,AN_TME_BY[[#All],[Advanced Network/Insurance Carrier Org ID]],B105)/D105)</f>
        <v>NA</v>
      </c>
      <c r="R105" s="147" t="str">
        <f>IF(D105=0,"NA",SUMIFS(AN_TME_BY[[#All],[TOTAL Truncated Unadjusted Expenses (A22 + A23)]],AN_TME_BY[[#All],[Insurance Category Code]],4,AN_TME_BY[[#All],[Advanced Network/Insurance Carrier Org ID]],B105)/D105)</f>
        <v>NA</v>
      </c>
      <c r="S105" s="448">
        <f>SUMIFS(AN_TME_PY[[#All],[Member Months]],AN_TME_PY[[#All],[Insurance Category Code]],4,AN_TME_PY[[#All],[Advanced Network/Insurance Carrier Org ID]],B105)</f>
        <v>0</v>
      </c>
      <c r="T105" s="137" t="str">
        <f>IF(S105=0,"NA",SUMIFS(AN_TME_PY[[#All],[Claims: Hospital Inpatient]],AN_TME_PY[[#All],[Insurance Category Code]],4,AN_TME_PY[[#All],[Advanced Network/Insurance Carrier Org ID]],B105)/S105)</f>
        <v>NA</v>
      </c>
      <c r="U105" s="108" t="str">
        <f>IF(S105=0,"NA",SUMIFS(AN_TME_PY[[#All],[Claims: Hospital Outpatient]],AN_TME_PY[[#All],[Insurance Category Code]],4,AN_TME_PY[[#All],[Advanced Network/Insurance Carrier Org ID]],B105)/S105)</f>
        <v>NA</v>
      </c>
      <c r="V105" s="108" t="str">
        <f>IF(S105=0,"NA",SUMIFS(AN_TME_PY[[#All],[Claims: Professional, Primary Care]],AN_TME_PY[[#All],[Insurance Category Code]],4,AN_TME_PY[[#All],[Advanced Network/Insurance Carrier Org ID]],B105)/S105)</f>
        <v>NA</v>
      </c>
      <c r="W105" s="108" t="str">
        <f>IF(S105=0,"NA",SUMIFS(AN_TME_PY[[#All],[Claims: Professional, Primary Care (for Monitoring Purposes)]],AN_TME_PY[[#All],[Insurance Category Code]],4,AN_TME_PY[[#All],[Advanced Network/Insurance Carrier Org ID]],B105)/S105)</f>
        <v>NA</v>
      </c>
      <c r="X105" s="108" t="str">
        <f>IF(S105=0,"NA",SUMIFS(AN_TME_PY[[#All],[Claims: Professional, Specialty]],AN_TME_PY[[#All],[Insurance Category Code]],4,AN_TME_PY[[#All],[Advanced Network/Insurance Carrier Org ID]],B105)/S105)</f>
        <v>NA</v>
      </c>
      <c r="Y105" s="108" t="str">
        <f>IF(S105=0,"NA",SUMIFS(AN_TME_PY[[#All],[Claims: Professional Other]],AN_TME_PY[[#All],[Insurance Category Code]],4,AN_TME_PY[[#All],[Advanced Network/Insurance Carrier Org ID]],B105)/S105)</f>
        <v>NA</v>
      </c>
      <c r="Z105" s="108" t="str">
        <f>IF(S105=0,"NA",SUMIFS(AN_TME_PY[[#All],[Claims: Pharmacy]],AN_TME_PY[[#All],[Insurance Category Code]],4,AN_TME_PY[[#All],[Advanced Network/Insurance Carrier Org ID]],B105)/S105)</f>
        <v>NA</v>
      </c>
      <c r="AA105" s="108" t="str">
        <f>IF(S105=0,"NA",SUMIFS(AN_TME_PY[[#All],[Claims: Long-Term Care]],AN_TME_PY[[#All],[Insurance Category Code]],4,AN_TME_PY[[#All],[Advanced Network/Insurance Carrier Org ID]],B105)/S105)</f>
        <v>NA</v>
      </c>
      <c r="AB105" s="108" t="str">
        <f>IF(S105=0,"NA",SUMIFS(AN_TME_PY[[#All],[Claims: Other]],AN_TME_PY[[#All],[Insurance Category Code]],4,AN_TME_PY[[#All],[Advanced Network/Insurance Carrier Org ID]],B105)/S105)</f>
        <v>NA</v>
      </c>
      <c r="AC105" s="147" t="str">
        <f>IF(S105=0,"NA",SUMIFS(AN_TME_PY[[#All],[TOTAL Non-Truncated Unadjusted Claims Expenses]],AN_TME_PY[[#All],[Insurance Category Code]],4,AN_TME_PY[[#All],[Advanced Network/Insurance Carrier Org ID]],B105)/S105)</f>
        <v>NA</v>
      </c>
      <c r="AD105" s="147" t="str">
        <f>IF(S105=0,"NA",SUMIFS(AN_TME_PY[[#All],[TOTAL Truncated Unadjusted Claims Expenses (A21 -A19)]],AN_TME_PY[[#All],[Insurance Category Code]],4,AN_TME_PY[[#All],[Advanced Network/Insurance Carrier Org ID]],B105)/S105)</f>
        <v>NA</v>
      </c>
      <c r="AE105" s="147" t="str">
        <f>IF(S105=0,"NA",SUMIFS(AN_TME_PY[[#All],[TOTAL Non-Claims Expenses]],AN_TME_PY[[#All],[Insurance Category Code]],4,AN_TME_PY[[#All],[Advanced Network/Insurance Carrier Org ID]],B105)/S105)</f>
        <v>NA</v>
      </c>
      <c r="AF105" s="147" t="str">
        <f>IF(S105=0,"NA",SUMIFS(AN_TME_PY[[#All],[TOTAL Non-Truncated Unadjusted Expenses (A21 + A23)]],AN_TME_PY[[#All],[Insurance Category Code]],4,AN_TME_PY[[#All],[Advanced Network/Insurance Carrier Org ID]],B105)/S105)</f>
        <v>NA</v>
      </c>
      <c r="AG105" s="138" t="str">
        <f>IF(S105=0,"NA",SUMIFS(AN_TME_PY[[#All],[TOTAL Truncated Unadjusted Expenses (A22 + A23)]],AN_TME_PY[[#All],[Insurance Category Code]],4,AN_TME_PY[[#All],[Advanced Network/Insurance Carrier Org ID]],B105)/S105)</f>
        <v>NA</v>
      </c>
      <c r="AH105" s="419" t="str">
        <f t="shared" si="137"/>
        <v>NA</v>
      </c>
      <c r="AI105" s="420" t="str">
        <f t="shared" si="138"/>
        <v>NA</v>
      </c>
      <c r="AJ105" s="421" t="str">
        <f t="shared" si="139"/>
        <v>NA</v>
      </c>
      <c r="AK105" s="421" t="str">
        <f t="shared" si="140"/>
        <v>NA</v>
      </c>
      <c r="AL105" s="421" t="str">
        <f t="shared" si="141"/>
        <v>NA</v>
      </c>
      <c r="AM105" s="421" t="str">
        <f t="shared" si="142"/>
        <v>NA</v>
      </c>
      <c r="AN105" s="421" t="str">
        <f t="shared" si="143"/>
        <v>NA</v>
      </c>
      <c r="AO105" s="421" t="str">
        <f t="shared" si="144"/>
        <v>NA</v>
      </c>
      <c r="AP105" s="421" t="str">
        <f t="shared" si="145"/>
        <v>NA</v>
      </c>
      <c r="AQ105" s="421" t="str">
        <f t="shared" si="146"/>
        <v>NA</v>
      </c>
      <c r="AR105" s="422" t="str">
        <f t="shared" si="147"/>
        <v>NA</v>
      </c>
      <c r="AS105" s="422" t="str">
        <f t="shared" si="148"/>
        <v>NA</v>
      </c>
      <c r="AT105" s="422" t="str">
        <f t="shared" si="149"/>
        <v>NA</v>
      </c>
      <c r="AU105" s="422" t="str">
        <f t="shared" si="150"/>
        <v>NA</v>
      </c>
      <c r="AV105" s="423" t="str">
        <f t="shared" si="151"/>
        <v>NA</v>
      </c>
    </row>
    <row r="106" spans="1:48" ht="15" customHeight="1" x14ac:dyDescent="0.25">
      <c r="A106" s="146"/>
      <c r="B106" s="148">
        <v>117</v>
      </c>
      <c r="C106" s="151" t="str">
        <f>_xlfn.XLOOKUP(B106, LgProvEntOrgIDs[Advanced Network/Insurer Carrier Org ID], LgProvEntOrgIDs[Advanced Network/Insurance Carrier Overall])</f>
        <v>Cornell Scott Hill Health Center</v>
      </c>
      <c r="D106" s="448">
        <f>SUMIFS(AN_TME_BY[[#All],[Member Months]],AN_TME_BY[[#All],[Insurance Category Code]],4,AN_TME_BY[[#All],[Advanced Network/Insurance Carrier Org ID]],B106)</f>
        <v>0</v>
      </c>
      <c r="E106" s="137" t="str">
        <f>IF(D106=0,"NA",SUMIFS(AN_TME_BY[[#All],[Claims: Hospital Inpatient]],AN_TME_BY[[#All],[Insurance Category Code]],4,AN_TME_BY[[#All],[Advanced Network/Insurance Carrier Org ID]],B106)/D106)</f>
        <v>NA</v>
      </c>
      <c r="F106" s="108" t="str">
        <f>IF(D106=0,"NA",SUMIFS(AN_TME_BY[[#All],[Claims: Hospital Outpatient]],AN_TME_BY[[#All],[Insurance Category Code]],4,AN_TME_BY[[#All],[Advanced Network/Insurance Carrier Org ID]],B106)/D106)</f>
        <v>NA</v>
      </c>
      <c r="G106" s="108" t="str">
        <f>IF(D106=0,"NA",SUMIFS(AN_TME_BY[[#All],[Claims: Professional, Primary Care]],AN_TME_BY[[#All],[Insurance Category Code]],4,AN_TME_BY[[#All],[Advanced Network/Insurance Carrier Org ID]],B106)/D106)</f>
        <v>NA</v>
      </c>
      <c r="H106" s="108" t="str">
        <f>IF(D106=0,"NA",SUMIFS(AN_TME_BY[[#All],[Claims: Professional, Primary Care (for Monitoring Purposes)]],AN_TME_BY[[#All],[Insurance Category Code]],4,AN_TME_BY[[#All],[Advanced Network/Insurance Carrier Org ID]],B106)/D106)</f>
        <v>NA</v>
      </c>
      <c r="I106" s="108" t="str">
        <f>IF(D106=0,"NA",SUMIFS(AN_TME_BY[[#All],[Claims: Professional, Specialty]],AN_TME_BY[[#All],[Insurance Category Code]],4,AN_TME_BY[[#All],[Advanced Network/Insurance Carrier Org ID]],B106)/D106)</f>
        <v>NA</v>
      </c>
      <c r="J106" s="108" t="str">
        <f>IF(D106=0,"NA",SUMIFS(AN_TME_BY[[#All],[Claims: Professional Other]],AN_TME_BY[[#All],[Insurance Category Code]],4,AN_TME_BY[[#All],[Advanced Network/Insurance Carrier Org ID]],B106)/D106)</f>
        <v>NA</v>
      </c>
      <c r="K106" s="108" t="str">
        <f>IF(D106=0,"NA",SUMIFS(AN_TME_BY[[#All],[Claims: Pharmacy]],AN_TME_BY[[#All],[Insurance Category Code]],4,AN_TME_BY[[#All],[Advanced Network/Insurance Carrier Org ID]],B106)/D106)</f>
        <v>NA</v>
      </c>
      <c r="L106" s="108" t="str">
        <f>IF(D106=0,"NA",SUMIFS(AN_TME_BY[[#All],[Claims: Long-Term Care]],AN_TME_BY[[#All],[Insurance Category Code]],4,AN_TME_BY[[#All],[Advanced Network/Insurance Carrier Org ID]],B106)/D106)</f>
        <v>NA</v>
      </c>
      <c r="M106" s="108" t="str">
        <f>IF(D106=0,"NA",SUMIFS(AN_TME_BY[[#All],[Claims: Other]],AN_TME_BY[[#All],[Insurance Category Code]],4,AN_TME_BY[[#All],[Advanced Network/Insurance Carrier Org ID]],B106)/D106)</f>
        <v>NA</v>
      </c>
      <c r="N106" s="147" t="str">
        <f>IF(D106=0,"NA",SUMIFS(AN_TME_BY[[#All],[TOTAL Non-Truncated Unadjusted Claims Expenses]],AN_TME_BY[[#All],[Insurance Category Code]],4,AN_TME_BY[[#All],[Advanced Network/Insurance Carrier Org ID]],B106)/D106)</f>
        <v>NA</v>
      </c>
      <c r="O106" s="147" t="str">
        <f>IF(D106=0,"NA",SUMIFS(AN_TME_BY[[#All],[TOTAL Truncated Unadjusted Claims Expenses (A21 -A19)]],AN_TME_BY[[#All],[Insurance Category Code]],4,AN_TME_BY[[#All],[Advanced Network/Insurance Carrier Org ID]],B106)/D106)</f>
        <v>NA</v>
      </c>
      <c r="P106" s="147" t="str">
        <f>IF(D106=0,"NA",SUMIFS(AN_TME_BY[[#All],[TOTAL Non-Claims Expenses]],AN_TME_BY[[#All],[Insurance Category Code]],4,AN_TME_BY[[#All],[Advanced Network/Insurance Carrier Org ID]],B106)/D106)</f>
        <v>NA</v>
      </c>
      <c r="Q106" s="147" t="str">
        <f>IF(D106=0,"NA",SUMIFS(AN_TME_BY[[#All],[TOTAL Non-Truncated Unadjusted Expenses (A21 + A23)]],AN_TME_BY[[#All],[Insurance Category Code]],4,AN_TME_BY[[#All],[Advanced Network/Insurance Carrier Org ID]],B106)/D106)</f>
        <v>NA</v>
      </c>
      <c r="R106" s="147" t="str">
        <f>IF(D106=0,"NA",SUMIFS(AN_TME_BY[[#All],[TOTAL Truncated Unadjusted Expenses (A22 + A23)]],AN_TME_BY[[#All],[Insurance Category Code]],4,AN_TME_BY[[#All],[Advanced Network/Insurance Carrier Org ID]],B106)/D106)</f>
        <v>NA</v>
      </c>
      <c r="S106" s="448">
        <f>SUMIFS(AN_TME_PY[[#All],[Member Months]],AN_TME_PY[[#All],[Insurance Category Code]],4,AN_TME_PY[[#All],[Advanced Network/Insurance Carrier Org ID]],B106)</f>
        <v>0</v>
      </c>
      <c r="T106" s="137" t="str">
        <f>IF(S106=0,"NA",SUMIFS(AN_TME_PY[[#All],[Claims: Hospital Inpatient]],AN_TME_PY[[#All],[Insurance Category Code]],4,AN_TME_PY[[#All],[Advanced Network/Insurance Carrier Org ID]],B106)/S106)</f>
        <v>NA</v>
      </c>
      <c r="U106" s="108" t="str">
        <f>IF(S106=0,"NA",SUMIFS(AN_TME_PY[[#All],[Claims: Hospital Outpatient]],AN_TME_PY[[#All],[Insurance Category Code]],4,AN_TME_PY[[#All],[Advanced Network/Insurance Carrier Org ID]],B106)/S106)</f>
        <v>NA</v>
      </c>
      <c r="V106" s="108" t="str">
        <f>IF(S106=0,"NA",SUMIFS(AN_TME_PY[[#All],[Claims: Professional, Primary Care]],AN_TME_PY[[#All],[Insurance Category Code]],4,AN_TME_PY[[#All],[Advanced Network/Insurance Carrier Org ID]],B106)/S106)</f>
        <v>NA</v>
      </c>
      <c r="W106" s="108" t="str">
        <f>IF(S106=0,"NA",SUMIFS(AN_TME_PY[[#All],[Claims: Professional, Primary Care (for Monitoring Purposes)]],AN_TME_PY[[#All],[Insurance Category Code]],4,AN_TME_PY[[#All],[Advanced Network/Insurance Carrier Org ID]],B106)/S106)</f>
        <v>NA</v>
      </c>
      <c r="X106" s="108" t="str">
        <f>IF(S106=0,"NA",SUMIFS(AN_TME_PY[[#All],[Claims: Professional, Specialty]],AN_TME_PY[[#All],[Insurance Category Code]],4,AN_TME_PY[[#All],[Advanced Network/Insurance Carrier Org ID]],B106)/S106)</f>
        <v>NA</v>
      </c>
      <c r="Y106" s="108" t="str">
        <f>IF(S106=0,"NA",SUMIFS(AN_TME_PY[[#All],[Claims: Professional Other]],AN_TME_PY[[#All],[Insurance Category Code]],4,AN_TME_PY[[#All],[Advanced Network/Insurance Carrier Org ID]],B106)/S106)</f>
        <v>NA</v>
      </c>
      <c r="Z106" s="108" t="str">
        <f>IF(S106=0,"NA",SUMIFS(AN_TME_PY[[#All],[Claims: Pharmacy]],AN_TME_PY[[#All],[Insurance Category Code]],4,AN_TME_PY[[#All],[Advanced Network/Insurance Carrier Org ID]],B106)/S106)</f>
        <v>NA</v>
      </c>
      <c r="AA106" s="108" t="str">
        <f>IF(S106=0,"NA",SUMIFS(AN_TME_PY[[#All],[Claims: Long-Term Care]],AN_TME_PY[[#All],[Insurance Category Code]],4,AN_TME_PY[[#All],[Advanced Network/Insurance Carrier Org ID]],B106)/S106)</f>
        <v>NA</v>
      </c>
      <c r="AB106" s="108" t="str">
        <f>IF(S106=0,"NA",SUMIFS(AN_TME_PY[[#All],[Claims: Other]],AN_TME_PY[[#All],[Insurance Category Code]],4,AN_TME_PY[[#All],[Advanced Network/Insurance Carrier Org ID]],B106)/S106)</f>
        <v>NA</v>
      </c>
      <c r="AC106" s="147" t="str">
        <f>IF(S106=0,"NA",SUMIFS(AN_TME_PY[[#All],[TOTAL Non-Truncated Unadjusted Claims Expenses]],AN_TME_PY[[#All],[Insurance Category Code]],4,AN_TME_PY[[#All],[Advanced Network/Insurance Carrier Org ID]],B106)/S106)</f>
        <v>NA</v>
      </c>
      <c r="AD106" s="147" t="str">
        <f>IF(S106=0,"NA",SUMIFS(AN_TME_PY[[#All],[TOTAL Truncated Unadjusted Claims Expenses (A21 -A19)]],AN_TME_PY[[#All],[Insurance Category Code]],4,AN_TME_PY[[#All],[Advanced Network/Insurance Carrier Org ID]],B106)/S106)</f>
        <v>NA</v>
      </c>
      <c r="AE106" s="147" t="str">
        <f>IF(S106=0,"NA",SUMIFS(AN_TME_PY[[#All],[TOTAL Non-Claims Expenses]],AN_TME_PY[[#All],[Insurance Category Code]],4,AN_TME_PY[[#All],[Advanced Network/Insurance Carrier Org ID]],B106)/S106)</f>
        <v>NA</v>
      </c>
      <c r="AF106" s="147" t="str">
        <f>IF(S106=0,"NA",SUMIFS(AN_TME_PY[[#All],[TOTAL Non-Truncated Unadjusted Expenses (A21 + A23)]],AN_TME_PY[[#All],[Insurance Category Code]],4,AN_TME_PY[[#All],[Advanced Network/Insurance Carrier Org ID]],B106)/S106)</f>
        <v>NA</v>
      </c>
      <c r="AG106" s="138" t="str">
        <f>IF(S106=0,"NA",SUMIFS(AN_TME_PY[[#All],[TOTAL Truncated Unadjusted Expenses (A22 + A23)]],AN_TME_PY[[#All],[Insurance Category Code]],4,AN_TME_PY[[#All],[Advanced Network/Insurance Carrier Org ID]],B106)/S106)</f>
        <v>NA</v>
      </c>
      <c r="AH106" s="419" t="str">
        <f t="shared" si="137"/>
        <v>NA</v>
      </c>
      <c r="AI106" s="420" t="str">
        <f t="shared" si="138"/>
        <v>NA</v>
      </c>
      <c r="AJ106" s="421" t="str">
        <f t="shared" si="139"/>
        <v>NA</v>
      </c>
      <c r="AK106" s="421" t="str">
        <f t="shared" si="140"/>
        <v>NA</v>
      </c>
      <c r="AL106" s="421" t="str">
        <f t="shared" si="141"/>
        <v>NA</v>
      </c>
      <c r="AM106" s="421" t="str">
        <f t="shared" si="142"/>
        <v>NA</v>
      </c>
      <c r="AN106" s="421" t="str">
        <f t="shared" si="143"/>
        <v>NA</v>
      </c>
      <c r="AO106" s="421" t="str">
        <f t="shared" si="144"/>
        <v>NA</v>
      </c>
      <c r="AP106" s="421" t="str">
        <f t="shared" si="145"/>
        <v>NA</v>
      </c>
      <c r="AQ106" s="421" t="str">
        <f t="shared" si="146"/>
        <v>NA</v>
      </c>
      <c r="AR106" s="422" t="str">
        <f t="shared" si="147"/>
        <v>NA</v>
      </c>
      <c r="AS106" s="422" t="str">
        <f t="shared" si="148"/>
        <v>NA</v>
      </c>
      <c r="AT106" s="422" t="str">
        <f t="shared" si="149"/>
        <v>NA</v>
      </c>
      <c r="AU106" s="422" t="str">
        <f t="shared" si="150"/>
        <v>NA</v>
      </c>
      <c r="AV106" s="423" t="str">
        <f t="shared" si="151"/>
        <v>NA</v>
      </c>
    </row>
    <row r="107" spans="1:48" ht="15" customHeight="1" x14ac:dyDescent="0.25">
      <c r="A107" s="146"/>
      <c r="B107" s="148">
        <v>118</v>
      </c>
      <c r="C107" s="151" t="str">
        <f>_xlfn.XLOOKUP(B107, LgProvEntOrgIDs[Advanced Network/Insurer Carrier Org ID], LgProvEntOrgIDs[Advanced Network/Insurance Carrier Overall])</f>
        <v>Fair Haven Community Health Center</v>
      </c>
      <c r="D107" s="448">
        <f>SUMIFS(AN_TME_BY[[#All],[Member Months]],AN_TME_BY[[#All],[Insurance Category Code]],4,AN_TME_BY[[#All],[Advanced Network/Insurance Carrier Org ID]],B107)</f>
        <v>0</v>
      </c>
      <c r="E107" s="137" t="str">
        <f>IF(D107=0,"NA",SUMIFS(AN_TME_BY[[#All],[Claims: Hospital Inpatient]],AN_TME_BY[[#All],[Insurance Category Code]],4,AN_TME_BY[[#All],[Advanced Network/Insurance Carrier Org ID]],B107)/D107)</f>
        <v>NA</v>
      </c>
      <c r="F107" s="108" t="str">
        <f>IF(D107=0,"NA",SUMIFS(AN_TME_BY[[#All],[Claims: Hospital Outpatient]],AN_TME_BY[[#All],[Insurance Category Code]],4,AN_TME_BY[[#All],[Advanced Network/Insurance Carrier Org ID]],B107)/D107)</f>
        <v>NA</v>
      </c>
      <c r="G107" s="108" t="str">
        <f>IF(D107=0,"NA",SUMIFS(AN_TME_BY[[#All],[Claims: Professional, Primary Care]],AN_TME_BY[[#All],[Insurance Category Code]],4,AN_TME_BY[[#All],[Advanced Network/Insurance Carrier Org ID]],B107)/D107)</f>
        <v>NA</v>
      </c>
      <c r="H107" s="108" t="str">
        <f>IF(D107=0,"NA",SUMIFS(AN_TME_BY[[#All],[Claims: Professional, Primary Care (for Monitoring Purposes)]],AN_TME_BY[[#All],[Insurance Category Code]],4,AN_TME_BY[[#All],[Advanced Network/Insurance Carrier Org ID]],B107)/D107)</f>
        <v>NA</v>
      </c>
      <c r="I107" s="108" t="str">
        <f>IF(D107=0,"NA",SUMIFS(AN_TME_BY[[#All],[Claims: Professional, Specialty]],AN_TME_BY[[#All],[Insurance Category Code]],4,AN_TME_BY[[#All],[Advanced Network/Insurance Carrier Org ID]],B107)/D107)</f>
        <v>NA</v>
      </c>
      <c r="J107" s="108" t="str">
        <f>IF(D107=0,"NA",SUMIFS(AN_TME_BY[[#All],[Claims: Professional Other]],AN_TME_BY[[#All],[Insurance Category Code]],4,AN_TME_BY[[#All],[Advanced Network/Insurance Carrier Org ID]],B107)/D107)</f>
        <v>NA</v>
      </c>
      <c r="K107" s="108" t="str">
        <f>IF(D107=0,"NA",SUMIFS(AN_TME_BY[[#All],[Claims: Pharmacy]],AN_TME_BY[[#All],[Insurance Category Code]],4,AN_TME_BY[[#All],[Advanced Network/Insurance Carrier Org ID]],B107)/D107)</f>
        <v>NA</v>
      </c>
      <c r="L107" s="108" t="str">
        <f>IF(D107=0,"NA",SUMIFS(AN_TME_BY[[#All],[Claims: Long-Term Care]],AN_TME_BY[[#All],[Insurance Category Code]],4,AN_TME_BY[[#All],[Advanced Network/Insurance Carrier Org ID]],B107)/D107)</f>
        <v>NA</v>
      </c>
      <c r="M107" s="108" t="str">
        <f>IF(D107=0,"NA",SUMIFS(AN_TME_BY[[#All],[Claims: Other]],AN_TME_BY[[#All],[Insurance Category Code]],4,AN_TME_BY[[#All],[Advanced Network/Insurance Carrier Org ID]],B107)/D107)</f>
        <v>NA</v>
      </c>
      <c r="N107" s="147" t="str">
        <f>IF(D107=0,"NA",SUMIFS(AN_TME_BY[[#All],[TOTAL Non-Truncated Unadjusted Claims Expenses]],AN_TME_BY[[#All],[Insurance Category Code]],4,AN_TME_BY[[#All],[Advanced Network/Insurance Carrier Org ID]],B107)/D107)</f>
        <v>NA</v>
      </c>
      <c r="O107" s="147" t="str">
        <f>IF(D107=0,"NA",SUMIFS(AN_TME_BY[[#All],[TOTAL Truncated Unadjusted Claims Expenses (A21 -A19)]],AN_TME_BY[[#All],[Insurance Category Code]],4,AN_TME_BY[[#All],[Advanced Network/Insurance Carrier Org ID]],B107)/D107)</f>
        <v>NA</v>
      </c>
      <c r="P107" s="147" t="str">
        <f>IF(D107=0,"NA",SUMIFS(AN_TME_BY[[#All],[TOTAL Non-Claims Expenses]],AN_TME_BY[[#All],[Insurance Category Code]],4,AN_TME_BY[[#All],[Advanced Network/Insurance Carrier Org ID]],B107)/D107)</f>
        <v>NA</v>
      </c>
      <c r="Q107" s="147" t="str">
        <f>IF(D107=0,"NA",SUMIFS(AN_TME_BY[[#All],[TOTAL Non-Truncated Unadjusted Expenses (A21 + A23)]],AN_TME_BY[[#All],[Insurance Category Code]],4,AN_TME_BY[[#All],[Advanced Network/Insurance Carrier Org ID]],B107)/D107)</f>
        <v>NA</v>
      </c>
      <c r="R107" s="147" t="str">
        <f>IF(D107=0,"NA",SUMIFS(AN_TME_BY[[#All],[TOTAL Truncated Unadjusted Expenses (A22 + A23)]],AN_TME_BY[[#All],[Insurance Category Code]],4,AN_TME_BY[[#All],[Advanced Network/Insurance Carrier Org ID]],B107)/D107)</f>
        <v>NA</v>
      </c>
      <c r="S107" s="448">
        <f>SUMIFS(AN_TME_PY[[#All],[Member Months]],AN_TME_PY[[#All],[Insurance Category Code]],4,AN_TME_PY[[#All],[Advanced Network/Insurance Carrier Org ID]],B107)</f>
        <v>0</v>
      </c>
      <c r="T107" s="137" t="str">
        <f>IF(S107=0,"NA",SUMIFS(AN_TME_PY[[#All],[Claims: Hospital Inpatient]],AN_TME_PY[[#All],[Insurance Category Code]],4,AN_TME_PY[[#All],[Advanced Network/Insurance Carrier Org ID]],B107)/S107)</f>
        <v>NA</v>
      </c>
      <c r="U107" s="108" t="str">
        <f>IF(S107=0,"NA",SUMIFS(AN_TME_PY[[#All],[Claims: Hospital Outpatient]],AN_TME_PY[[#All],[Insurance Category Code]],4,AN_TME_PY[[#All],[Advanced Network/Insurance Carrier Org ID]],B107)/S107)</f>
        <v>NA</v>
      </c>
      <c r="V107" s="108" t="str">
        <f>IF(S107=0,"NA",SUMIFS(AN_TME_PY[[#All],[Claims: Professional, Primary Care]],AN_TME_PY[[#All],[Insurance Category Code]],4,AN_TME_PY[[#All],[Advanced Network/Insurance Carrier Org ID]],B107)/S107)</f>
        <v>NA</v>
      </c>
      <c r="W107" s="108" t="str">
        <f>IF(S107=0,"NA",SUMIFS(AN_TME_PY[[#All],[Claims: Professional, Primary Care (for Monitoring Purposes)]],AN_TME_PY[[#All],[Insurance Category Code]],4,AN_TME_PY[[#All],[Advanced Network/Insurance Carrier Org ID]],B107)/S107)</f>
        <v>NA</v>
      </c>
      <c r="X107" s="108" t="str">
        <f>IF(S107=0,"NA",SUMIFS(AN_TME_PY[[#All],[Claims: Professional, Specialty]],AN_TME_PY[[#All],[Insurance Category Code]],4,AN_TME_PY[[#All],[Advanced Network/Insurance Carrier Org ID]],B107)/S107)</f>
        <v>NA</v>
      </c>
      <c r="Y107" s="108" t="str">
        <f>IF(S107=0,"NA",SUMIFS(AN_TME_PY[[#All],[Claims: Professional Other]],AN_TME_PY[[#All],[Insurance Category Code]],4,AN_TME_PY[[#All],[Advanced Network/Insurance Carrier Org ID]],B107)/S107)</f>
        <v>NA</v>
      </c>
      <c r="Z107" s="108" t="str">
        <f>IF(S107=0,"NA",SUMIFS(AN_TME_PY[[#All],[Claims: Pharmacy]],AN_TME_PY[[#All],[Insurance Category Code]],4,AN_TME_PY[[#All],[Advanced Network/Insurance Carrier Org ID]],B107)/S107)</f>
        <v>NA</v>
      </c>
      <c r="AA107" s="108" t="str">
        <f>IF(S107=0,"NA",SUMIFS(AN_TME_PY[[#All],[Claims: Long-Term Care]],AN_TME_PY[[#All],[Insurance Category Code]],4,AN_TME_PY[[#All],[Advanced Network/Insurance Carrier Org ID]],B107)/S107)</f>
        <v>NA</v>
      </c>
      <c r="AB107" s="108" t="str">
        <f>IF(S107=0,"NA",SUMIFS(AN_TME_PY[[#All],[Claims: Other]],AN_TME_PY[[#All],[Insurance Category Code]],4,AN_TME_PY[[#All],[Advanced Network/Insurance Carrier Org ID]],B107)/S107)</f>
        <v>NA</v>
      </c>
      <c r="AC107" s="147" t="str">
        <f>IF(S107=0,"NA",SUMIFS(AN_TME_PY[[#All],[TOTAL Non-Truncated Unadjusted Claims Expenses]],AN_TME_PY[[#All],[Insurance Category Code]],4,AN_TME_PY[[#All],[Advanced Network/Insurance Carrier Org ID]],B107)/S107)</f>
        <v>NA</v>
      </c>
      <c r="AD107" s="147" t="str">
        <f>IF(S107=0,"NA",SUMIFS(AN_TME_PY[[#All],[TOTAL Truncated Unadjusted Claims Expenses (A21 -A19)]],AN_TME_PY[[#All],[Insurance Category Code]],4,AN_TME_PY[[#All],[Advanced Network/Insurance Carrier Org ID]],B107)/S107)</f>
        <v>NA</v>
      </c>
      <c r="AE107" s="147" t="str">
        <f>IF(S107=0,"NA",SUMIFS(AN_TME_PY[[#All],[TOTAL Non-Claims Expenses]],AN_TME_PY[[#All],[Insurance Category Code]],4,AN_TME_PY[[#All],[Advanced Network/Insurance Carrier Org ID]],B107)/S107)</f>
        <v>NA</v>
      </c>
      <c r="AF107" s="147" t="str">
        <f>IF(S107=0,"NA",SUMIFS(AN_TME_PY[[#All],[TOTAL Non-Truncated Unadjusted Expenses (A21 + A23)]],AN_TME_PY[[#All],[Insurance Category Code]],4,AN_TME_PY[[#All],[Advanced Network/Insurance Carrier Org ID]],B107)/S107)</f>
        <v>NA</v>
      </c>
      <c r="AG107" s="138" t="str">
        <f>IF(S107=0,"NA",SUMIFS(AN_TME_PY[[#All],[TOTAL Truncated Unadjusted Expenses (A22 + A23)]],AN_TME_PY[[#All],[Insurance Category Code]],4,AN_TME_PY[[#All],[Advanced Network/Insurance Carrier Org ID]],B107)/S107)</f>
        <v>NA</v>
      </c>
      <c r="AH107" s="419" t="str">
        <f t="shared" si="137"/>
        <v>NA</v>
      </c>
      <c r="AI107" s="420" t="str">
        <f t="shared" si="138"/>
        <v>NA</v>
      </c>
      <c r="AJ107" s="421" t="str">
        <f t="shared" si="139"/>
        <v>NA</v>
      </c>
      <c r="AK107" s="421" t="str">
        <f t="shared" si="140"/>
        <v>NA</v>
      </c>
      <c r="AL107" s="421" t="str">
        <f t="shared" si="141"/>
        <v>NA</v>
      </c>
      <c r="AM107" s="421" t="str">
        <f t="shared" si="142"/>
        <v>NA</v>
      </c>
      <c r="AN107" s="421" t="str">
        <f t="shared" si="143"/>
        <v>NA</v>
      </c>
      <c r="AO107" s="421" t="str">
        <f t="shared" si="144"/>
        <v>NA</v>
      </c>
      <c r="AP107" s="421" t="str">
        <f t="shared" si="145"/>
        <v>NA</v>
      </c>
      <c r="AQ107" s="421" t="str">
        <f t="shared" si="146"/>
        <v>NA</v>
      </c>
      <c r="AR107" s="422" t="str">
        <f t="shared" si="147"/>
        <v>NA</v>
      </c>
      <c r="AS107" s="422" t="str">
        <f t="shared" si="148"/>
        <v>NA</v>
      </c>
      <c r="AT107" s="422" t="str">
        <f t="shared" si="149"/>
        <v>NA</v>
      </c>
      <c r="AU107" s="422" t="str">
        <f t="shared" si="150"/>
        <v>NA</v>
      </c>
      <c r="AV107" s="423" t="str">
        <f t="shared" si="151"/>
        <v>NA</v>
      </c>
    </row>
    <row r="108" spans="1:48" ht="15" customHeight="1" x14ac:dyDescent="0.25">
      <c r="A108" s="146"/>
      <c r="B108" s="148">
        <v>119</v>
      </c>
      <c r="C108" s="151" t="str">
        <f>_xlfn.XLOOKUP(B108, LgProvEntOrgIDs[Advanced Network/Insurer Carrier Org ID], LgProvEntOrgIDs[Advanced Network/Insurance Carrier Overall])</f>
        <v>Family Centers</v>
      </c>
      <c r="D108" s="448">
        <f>SUMIFS(AN_TME_BY[[#All],[Member Months]],AN_TME_BY[[#All],[Insurance Category Code]],4,AN_TME_BY[[#All],[Advanced Network/Insurance Carrier Org ID]],B108)</f>
        <v>0</v>
      </c>
      <c r="E108" s="137" t="str">
        <f>IF(D108=0,"NA",SUMIFS(AN_TME_BY[[#All],[Claims: Hospital Inpatient]],AN_TME_BY[[#All],[Insurance Category Code]],4,AN_TME_BY[[#All],[Advanced Network/Insurance Carrier Org ID]],B108)/D108)</f>
        <v>NA</v>
      </c>
      <c r="F108" s="108" t="str">
        <f>IF(D108=0,"NA",SUMIFS(AN_TME_BY[[#All],[Claims: Hospital Outpatient]],AN_TME_BY[[#All],[Insurance Category Code]],4,AN_TME_BY[[#All],[Advanced Network/Insurance Carrier Org ID]],B108)/D108)</f>
        <v>NA</v>
      </c>
      <c r="G108" s="108" t="str">
        <f>IF(D108=0,"NA",SUMIFS(AN_TME_BY[[#All],[Claims: Professional, Primary Care]],AN_TME_BY[[#All],[Insurance Category Code]],4,AN_TME_BY[[#All],[Advanced Network/Insurance Carrier Org ID]],B108)/D108)</f>
        <v>NA</v>
      </c>
      <c r="H108" s="108" t="str">
        <f>IF(D108=0,"NA",SUMIFS(AN_TME_BY[[#All],[Claims: Professional, Primary Care (for Monitoring Purposes)]],AN_TME_BY[[#All],[Insurance Category Code]],4,AN_TME_BY[[#All],[Advanced Network/Insurance Carrier Org ID]],B108)/D108)</f>
        <v>NA</v>
      </c>
      <c r="I108" s="108" t="str">
        <f>IF(D108=0,"NA",SUMIFS(AN_TME_BY[[#All],[Claims: Professional, Specialty]],AN_TME_BY[[#All],[Insurance Category Code]],4,AN_TME_BY[[#All],[Advanced Network/Insurance Carrier Org ID]],B108)/D108)</f>
        <v>NA</v>
      </c>
      <c r="J108" s="108" t="str">
        <f>IF(D108=0,"NA",SUMIFS(AN_TME_BY[[#All],[Claims: Professional Other]],AN_TME_BY[[#All],[Insurance Category Code]],4,AN_TME_BY[[#All],[Advanced Network/Insurance Carrier Org ID]],B108)/D108)</f>
        <v>NA</v>
      </c>
      <c r="K108" s="108" t="str">
        <f>IF(D108=0,"NA",SUMIFS(AN_TME_BY[[#All],[Claims: Pharmacy]],AN_TME_BY[[#All],[Insurance Category Code]],4,AN_TME_BY[[#All],[Advanced Network/Insurance Carrier Org ID]],B108)/D108)</f>
        <v>NA</v>
      </c>
      <c r="L108" s="108" t="str">
        <f>IF(D108=0,"NA",SUMIFS(AN_TME_BY[[#All],[Claims: Long-Term Care]],AN_TME_BY[[#All],[Insurance Category Code]],4,AN_TME_BY[[#All],[Advanced Network/Insurance Carrier Org ID]],B108)/D108)</f>
        <v>NA</v>
      </c>
      <c r="M108" s="108" t="str">
        <f>IF(D108=0,"NA",SUMIFS(AN_TME_BY[[#All],[Claims: Other]],AN_TME_BY[[#All],[Insurance Category Code]],4,AN_TME_BY[[#All],[Advanced Network/Insurance Carrier Org ID]],B108)/D108)</f>
        <v>NA</v>
      </c>
      <c r="N108" s="147" t="str">
        <f>IF(D108=0,"NA",SUMIFS(AN_TME_BY[[#All],[TOTAL Non-Truncated Unadjusted Claims Expenses]],AN_TME_BY[[#All],[Insurance Category Code]],4,AN_TME_BY[[#All],[Advanced Network/Insurance Carrier Org ID]],B108)/D108)</f>
        <v>NA</v>
      </c>
      <c r="O108" s="147" t="str">
        <f>IF(D108=0,"NA",SUMIFS(AN_TME_BY[[#All],[TOTAL Truncated Unadjusted Claims Expenses (A21 -A19)]],AN_TME_BY[[#All],[Insurance Category Code]],4,AN_TME_BY[[#All],[Advanced Network/Insurance Carrier Org ID]],B108)/D108)</f>
        <v>NA</v>
      </c>
      <c r="P108" s="147" t="str">
        <f>IF(D108=0,"NA",SUMIFS(AN_TME_BY[[#All],[TOTAL Non-Claims Expenses]],AN_TME_BY[[#All],[Insurance Category Code]],4,AN_TME_BY[[#All],[Advanced Network/Insurance Carrier Org ID]],B108)/D108)</f>
        <v>NA</v>
      </c>
      <c r="Q108" s="147" t="str">
        <f>IF(D108=0,"NA",SUMIFS(AN_TME_BY[[#All],[TOTAL Non-Truncated Unadjusted Expenses (A21 + A23)]],AN_TME_BY[[#All],[Insurance Category Code]],4,AN_TME_BY[[#All],[Advanced Network/Insurance Carrier Org ID]],B108)/D108)</f>
        <v>NA</v>
      </c>
      <c r="R108" s="147" t="str">
        <f>IF(D108=0,"NA",SUMIFS(AN_TME_BY[[#All],[TOTAL Truncated Unadjusted Expenses (A22 + A23)]],AN_TME_BY[[#All],[Insurance Category Code]],4,AN_TME_BY[[#All],[Advanced Network/Insurance Carrier Org ID]],B108)/D108)</f>
        <v>NA</v>
      </c>
      <c r="S108" s="448">
        <f>SUMIFS(AN_TME_PY[[#All],[Member Months]],AN_TME_PY[[#All],[Insurance Category Code]],4,AN_TME_PY[[#All],[Advanced Network/Insurance Carrier Org ID]],B108)</f>
        <v>0</v>
      </c>
      <c r="T108" s="137" t="str">
        <f>IF(S108=0,"NA",SUMIFS(AN_TME_PY[[#All],[Claims: Hospital Inpatient]],AN_TME_PY[[#All],[Insurance Category Code]],4,AN_TME_PY[[#All],[Advanced Network/Insurance Carrier Org ID]],B108)/S108)</f>
        <v>NA</v>
      </c>
      <c r="U108" s="108" t="str">
        <f>IF(S108=0,"NA",SUMIFS(AN_TME_PY[[#All],[Claims: Hospital Outpatient]],AN_TME_PY[[#All],[Insurance Category Code]],4,AN_TME_PY[[#All],[Advanced Network/Insurance Carrier Org ID]],B108)/S108)</f>
        <v>NA</v>
      </c>
      <c r="V108" s="108" t="str">
        <f>IF(S108=0,"NA",SUMIFS(AN_TME_PY[[#All],[Claims: Professional, Primary Care]],AN_TME_PY[[#All],[Insurance Category Code]],4,AN_TME_PY[[#All],[Advanced Network/Insurance Carrier Org ID]],B108)/S108)</f>
        <v>NA</v>
      </c>
      <c r="W108" s="108" t="str">
        <f>IF(S108=0,"NA",SUMIFS(AN_TME_PY[[#All],[Claims: Professional, Primary Care (for Monitoring Purposes)]],AN_TME_PY[[#All],[Insurance Category Code]],4,AN_TME_PY[[#All],[Advanced Network/Insurance Carrier Org ID]],B108)/S108)</f>
        <v>NA</v>
      </c>
      <c r="X108" s="108" t="str">
        <f>IF(S108=0,"NA",SUMIFS(AN_TME_PY[[#All],[Claims: Professional, Specialty]],AN_TME_PY[[#All],[Insurance Category Code]],4,AN_TME_PY[[#All],[Advanced Network/Insurance Carrier Org ID]],B108)/S108)</f>
        <v>NA</v>
      </c>
      <c r="Y108" s="108" t="str">
        <f>IF(S108=0,"NA",SUMIFS(AN_TME_PY[[#All],[Claims: Professional Other]],AN_TME_PY[[#All],[Insurance Category Code]],4,AN_TME_PY[[#All],[Advanced Network/Insurance Carrier Org ID]],B108)/S108)</f>
        <v>NA</v>
      </c>
      <c r="Z108" s="108" t="str">
        <f>IF(S108=0,"NA",SUMIFS(AN_TME_PY[[#All],[Claims: Pharmacy]],AN_TME_PY[[#All],[Insurance Category Code]],4,AN_TME_PY[[#All],[Advanced Network/Insurance Carrier Org ID]],B108)/S108)</f>
        <v>NA</v>
      </c>
      <c r="AA108" s="108" t="str">
        <f>IF(S108=0,"NA",SUMIFS(AN_TME_PY[[#All],[Claims: Long-Term Care]],AN_TME_PY[[#All],[Insurance Category Code]],4,AN_TME_PY[[#All],[Advanced Network/Insurance Carrier Org ID]],B108)/S108)</f>
        <v>NA</v>
      </c>
      <c r="AB108" s="108" t="str">
        <f>IF(S108=0,"NA",SUMIFS(AN_TME_PY[[#All],[Claims: Other]],AN_TME_PY[[#All],[Insurance Category Code]],4,AN_TME_PY[[#All],[Advanced Network/Insurance Carrier Org ID]],B108)/S108)</f>
        <v>NA</v>
      </c>
      <c r="AC108" s="147" t="str">
        <f>IF(S108=0,"NA",SUMIFS(AN_TME_PY[[#All],[TOTAL Non-Truncated Unadjusted Claims Expenses]],AN_TME_PY[[#All],[Insurance Category Code]],4,AN_TME_PY[[#All],[Advanced Network/Insurance Carrier Org ID]],B108)/S108)</f>
        <v>NA</v>
      </c>
      <c r="AD108" s="147" t="str">
        <f>IF(S108=0,"NA",SUMIFS(AN_TME_PY[[#All],[TOTAL Truncated Unadjusted Claims Expenses (A21 -A19)]],AN_TME_PY[[#All],[Insurance Category Code]],4,AN_TME_PY[[#All],[Advanced Network/Insurance Carrier Org ID]],B108)/S108)</f>
        <v>NA</v>
      </c>
      <c r="AE108" s="147" t="str">
        <f>IF(S108=0,"NA",SUMIFS(AN_TME_PY[[#All],[TOTAL Non-Claims Expenses]],AN_TME_PY[[#All],[Insurance Category Code]],4,AN_TME_PY[[#All],[Advanced Network/Insurance Carrier Org ID]],B108)/S108)</f>
        <v>NA</v>
      </c>
      <c r="AF108" s="147" t="str">
        <f>IF(S108=0,"NA",SUMIFS(AN_TME_PY[[#All],[TOTAL Non-Truncated Unadjusted Expenses (A21 + A23)]],AN_TME_PY[[#All],[Insurance Category Code]],4,AN_TME_PY[[#All],[Advanced Network/Insurance Carrier Org ID]],B108)/S108)</f>
        <v>NA</v>
      </c>
      <c r="AG108" s="138" t="str">
        <f>IF(S108=0,"NA",SUMIFS(AN_TME_PY[[#All],[TOTAL Truncated Unadjusted Expenses (A22 + A23)]],AN_TME_PY[[#All],[Insurance Category Code]],4,AN_TME_PY[[#All],[Advanced Network/Insurance Carrier Org ID]],B108)/S108)</f>
        <v>NA</v>
      </c>
      <c r="AH108" s="419" t="str">
        <f t="shared" si="137"/>
        <v>NA</v>
      </c>
      <c r="AI108" s="420" t="str">
        <f t="shared" si="138"/>
        <v>NA</v>
      </c>
      <c r="AJ108" s="421" t="str">
        <f t="shared" si="139"/>
        <v>NA</v>
      </c>
      <c r="AK108" s="421" t="str">
        <f t="shared" si="140"/>
        <v>NA</v>
      </c>
      <c r="AL108" s="421" t="str">
        <f t="shared" si="141"/>
        <v>NA</v>
      </c>
      <c r="AM108" s="421" t="str">
        <f t="shared" si="142"/>
        <v>NA</v>
      </c>
      <c r="AN108" s="421" t="str">
        <f t="shared" si="143"/>
        <v>NA</v>
      </c>
      <c r="AO108" s="421" t="str">
        <f t="shared" si="144"/>
        <v>NA</v>
      </c>
      <c r="AP108" s="421" t="str">
        <f t="shared" si="145"/>
        <v>NA</v>
      </c>
      <c r="AQ108" s="421" t="str">
        <f t="shared" si="146"/>
        <v>NA</v>
      </c>
      <c r="AR108" s="422" t="str">
        <f t="shared" si="147"/>
        <v>NA</v>
      </c>
      <c r="AS108" s="422" t="str">
        <f t="shared" si="148"/>
        <v>NA</v>
      </c>
      <c r="AT108" s="422" t="str">
        <f t="shared" si="149"/>
        <v>NA</v>
      </c>
      <c r="AU108" s="422" t="str">
        <f t="shared" si="150"/>
        <v>NA</v>
      </c>
      <c r="AV108" s="423" t="str">
        <f t="shared" si="151"/>
        <v>NA</v>
      </c>
    </row>
    <row r="109" spans="1:48" ht="15" customHeight="1" x14ac:dyDescent="0.25">
      <c r="A109" s="146"/>
      <c r="B109" s="148">
        <v>120</v>
      </c>
      <c r="C109" s="151" t="str">
        <f>_xlfn.XLOOKUP(B109, LgProvEntOrgIDs[Advanced Network/Insurer Carrier Org ID], LgProvEntOrgIDs[Advanced Network/Insurance Carrier Overall])</f>
        <v>First Choice Community Health Centers</v>
      </c>
      <c r="D109" s="448">
        <f>SUMIFS(AN_TME_BY[[#All],[Member Months]],AN_TME_BY[[#All],[Insurance Category Code]],4,AN_TME_BY[[#All],[Advanced Network/Insurance Carrier Org ID]],B109)</f>
        <v>0</v>
      </c>
      <c r="E109" s="137" t="str">
        <f>IF(D109=0,"NA",SUMIFS(AN_TME_BY[[#All],[Claims: Hospital Inpatient]],AN_TME_BY[[#All],[Insurance Category Code]],4,AN_TME_BY[[#All],[Advanced Network/Insurance Carrier Org ID]],B109)/D109)</f>
        <v>NA</v>
      </c>
      <c r="F109" s="108" t="str">
        <f>IF(D109=0,"NA",SUMIFS(AN_TME_BY[[#All],[Claims: Hospital Outpatient]],AN_TME_BY[[#All],[Insurance Category Code]],4,AN_TME_BY[[#All],[Advanced Network/Insurance Carrier Org ID]],B109)/D109)</f>
        <v>NA</v>
      </c>
      <c r="G109" s="108" t="str">
        <f>IF(D109=0,"NA",SUMIFS(AN_TME_BY[[#All],[Claims: Professional, Primary Care]],AN_TME_BY[[#All],[Insurance Category Code]],4,AN_TME_BY[[#All],[Advanced Network/Insurance Carrier Org ID]],B109)/D109)</f>
        <v>NA</v>
      </c>
      <c r="H109" s="108" t="str">
        <f>IF(D109=0,"NA",SUMIFS(AN_TME_BY[[#All],[Claims: Professional, Primary Care (for Monitoring Purposes)]],AN_TME_BY[[#All],[Insurance Category Code]],4,AN_TME_BY[[#All],[Advanced Network/Insurance Carrier Org ID]],B109)/D109)</f>
        <v>NA</v>
      </c>
      <c r="I109" s="108" t="str">
        <f>IF(D109=0,"NA",SUMIFS(AN_TME_BY[[#All],[Claims: Professional, Specialty]],AN_TME_BY[[#All],[Insurance Category Code]],4,AN_TME_BY[[#All],[Advanced Network/Insurance Carrier Org ID]],B109)/D109)</f>
        <v>NA</v>
      </c>
      <c r="J109" s="108" t="str">
        <f>IF(D109=0,"NA",SUMIFS(AN_TME_BY[[#All],[Claims: Professional Other]],AN_TME_BY[[#All],[Insurance Category Code]],4,AN_TME_BY[[#All],[Advanced Network/Insurance Carrier Org ID]],B109)/D109)</f>
        <v>NA</v>
      </c>
      <c r="K109" s="108" t="str">
        <f>IF(D109=0,"NA",SUMIFS(AN_TME_BY[[#All],[Claims: Pharmacy]],AN_TME_BY[[#All],[Insurance Category Code]],4,AN_TME_BY[[#All],[Advanced Network/Insurance Carrier Org ID]],B109)/D109)</f>
        <v>NA</v>
      </c>
      <c r="L109" s="108" t="str">
        <f>IF(D109=0,"NA",SUMIFS(AN_TME_BY[[#All],[Claims: Long-Term Care]],AN_TME_BY[[#All],[Insurance Category Code]],4,AN_TME_BY[[#All],[Advanced Network/Insurance Carrier Org ID]],B109)/D109)</f>
        <v>NA</v>
      </c>
      <c r="M109" s="108" t="str">
        <f>IF(D109=0,"NA",SUMIFS(AN_TME_BY[[#All],[Claims: Other]],AN_TME_BY[[#All],[Insurance Category Code]],4,AN_TME_BY[[#All],[Advanced Network/Insurance Carrier Org ID]],B109)/D109)</f>
        <v>NA</v>
      </c>
      <c r="N109" s="147" t="str">
        <f>IF(D109=0,"NA",SUMIFS(AN_TME_BY[[#All],[TOTAL Non-Truncated Unadjusted Claims Expenses]],AN_TME_BY[[#All],[Insurance Category Code]],4,AN_TME_BY[[#All],[Advanced Network/Insurance Carrier Org ID]],B109)/D109)</f>
        <v>NA</v>
      </c>
      <c r="O109" s="147" t="str">
        <f>IF(D109=0,"NA",SUMIFS(AN_TME_BY[[#All],[TOTAL Truncated Unadjusted Claims Expenses (A21 -A19)]],AN_TME_BY[[#All],[Insurance Category Code]],4,AN_TME_BY[[#All],[Advanced Network/Insurance Carrier Org ID]],B109)/D109)</f>
        <v>NA</v>
      </c>
      <c r="P109" s="147" t="str">
        <f>IF(D109=0,"NA",SUMIFS(AN_TME_BY[[#All],[TOTAL Non-Claims Expenses]],AN_TME_BY[[#All],[Insurance Category Code]],4,AN_TME_BY[[#All],[Advanced Network/Insurance Carrier Org ID]],B109)/D109)</f>
        <v>NA</v>
      </c>
      <c r="Q109" s="147" t="str">
        <f>IF(D109=0,"NA",SUMIFS(AN_TME_BY[[#All],[TOTAL Non-Truncated Unadjusted Expenses (A21 + A23)]],AN_TME_BY[[#All],[Insurance Category Code]],4,AN_TME_BY[[#All],[Advanced Network/Insurance Carrier Org ID]],B109)/D109)</f>
        <v>NA</v>
      </c>
      <c r="R109" s="147" t="str">
        <f>IF(D109=0,"NA",SUMIFS(AN_TME_BY[[#All],[TOTAL Truncated Unadjusted Expenses (A22 + A23)]],AN_TME_BY[[#All],[Insurance Category Code]],4,AN_TME_BY[[#All],[Advanced Network/Insurance Carrier Org ID]],B109)/D109)</f>
        <v>NA</v>
      </c>
      <c r="S109" s="448">
        <f>SUMIFS(AN_TME_PY[[#All],[Member Months]],AN_TME_PY[[#All],[Insurance Category Code]],4,AN_TME_PY[[#All],[Advanced Network/Insurance Carrier Org ID]],B109)</f>
        <v>0</v>
      </c>
      <c r="T109" s="137" t="str">
        <f>IF(S109=0,"NA",SUMIFS(AN_TME_PY[[#All],[Claims: Hospital Inpatient]],AN_TME_PY[[#All],[Insurance Category Code]],4,AN_TME_PY[[#All],[Advanced Network/Insurance Carrier Org ID]],B109)/S109)</f>
        <v>NA</v>
      </c>
      <c r="U109" s="108" t="str">
        <f>IF(S109=0,"NA",SUMIFS(AN_TME_PY[[#All],[Claims: Hospital Outpatient]],AN_TME_PY[[#All],[Insurance Category Code]],4,AN_TME_PY[[#All],[Advanced Network/Insurance Carrier Org ID]],B109)/S109)</f>
        <v>NA</v>
      </c>
      <c r="V109" s="108" t="str">
        <f>IF(S109=0,"NA",SUMIFS(AN_TME_PY[[#All],[Claims: Professional, Primary Care]],AN_TME_PY[[#All],[Insurance Category Code]],4,AN_TME_PY[[#All],[Advanced Network/Insurance Carrier Org ID]],B109)/S109)</f>
        <v>NA</v>
      </c>
      <c r="W109" s="108" t="str">
        <f>IF(S109=0,"NA",SUMIFS(AN_TME_PY[[#All],[Claims: Professional, Primary Care (for Monitoring Purposes)]],AN_TME_PY[[#All],[Insurance Category Code]],4,AN_TME_PY[[#All],[Advanced Network/Insurance Carrier Org ID]],B109)/S109)</f>
        <v>NA</v>
      </c>
      <c r="X109" s="108" t="str">
        <f>IF(S109=0,"NA",SUMIFS(AN_TME_PY[[#All],[Claims: Professional, Specialty]],AN_TME_PY[[#All],[Insurance Category Code]],4,AN_TME_PY[[#All],[Advanced Network/Insurance Carrier Org ID]],B109)/S109)</f>
        <v>NA</v>
      </c>
      <c r="Y109" s="108" t="str">
        <f>IF(S109=0,"NA",SUMIFS(AN_TME_PY[[#All],[Claims: Professional Other]],AN_TME_PY[[#All],[Insurance Category Code]],4,AN_TME_PY[[#All],[Advanced Network/Insurance Carrier Org ID]],B109)/S109)</f>
        <v>NA</v>
      </c>
      <c r="Z109" s="108" t="str">
        <f>IF(S109=0,"NA",SUMIFS(AN_TME_PY[[#All],[Claims: Pharmacy]],AN_TME_PY[[#All],[Insurance Category Code]],4,AN_TME_PY[[#All],[Advanced Network/Insurance Carrier Org ID]],B109)/S109)</f>
        <v>NA</v>
      </c>
      <c r="AA109" s="108" t="str">
        <f>IF(S109=0,"NA",SUMIFS(AN_TME_PY[[#All],[Claims: Long-Term Care]],AN_TME_PY[[#All],[Insurance Category Code]],4,AN_TME_PY[[#All],[Advanced Network/Insurance Carrier Org ID]],B109)/S109)</f>
        <v>NA</v>
      </c>
      <c r="AB109" s="108" t="str">
        <f>IF(S109=0,"NA",SUMIFS(AN_TME_PY[[#All],[Claims: Other]],AN_TME_PY[[#All],[Insurance Category Code]],4,AN_TME_PY[[#All],[Advanced Network/Insurance Carrier Org ID]],B109)/S109)</f>
        <v>NA</v>
      </c>
      <c r="AC109" s="147" t="str">
        <f>IF(S109=0,"NA",SUMIFS(AN_TME_PY[[#All],[TOTAL Non-Truncated Unadjusted Claims Expenses]],AN_TME_PY[[#All],[Insurance Category Code]],4,AN_TME_PY[[#All],[Advanced Network/Insurance Carrier Org ID]],B109)/S109)</f>
        <v>NA</v>
      </c>
      <c r="AD109" s="147" t="str">
        <f>IF(S109=0,"NA",SUMIFS(AN_TME_PY[[#All],[TOTAL Truncated Unadjusted Claims Expenses (A21 -A19)]],AN_TME_PY[[#All],[Insurance Category Code]],4,AN_TME_PY[[#All],[Advanced Network/Insurance Carrier Org ID]],B109)/S109)</f>
        <v>NA</v>
      </c>
      <c r="AE109" s="147" t="str">
        <f>IF(S109=0,"NA",SUMIFS(AN_TME_PY[[#All],[TOTAL Non-Claims Expenses]],AN_TME_PY[[#All],[Insurance Category Code]],4,AN_TME_PY[[#All],[Advanced Network/Insurance Carrier Org ID]],B109)/S109)</f>
        <v>NA</v>
      </c>
      <c r="AF109" s="147" t="str">
        <f>IF(S109=0,"NA",SUMIFS(AN_TME_PY[[#All],[TOTAL Non-Truncated Unadjusted Expenses (A21 + A23)]],AN_TME_PY[[#All],[Insurance Category Code]],4,AN_TME_PY[[#All],[Advanced Network/Insurance Carrier Org ID]],B109)/S109)</f>
        <v>NA</v>
      </c>
      <c r="AG109" s="138" t="str">
        <f>IF(S109=0,"NA",SUMIFS(AN_TME_PY[[#All],[TOTAL Truncated Unadjusted Expenses (A22 + A23)]],AN_TME_PY[[#All],[Insurance Category Code]],4,AN_TME_PY[[#All],[Advanced Network/Insurance Carrier Org ID]],B109)/S109)</f>
        <v>NA</v>
      </c>
      <c r="AH109" s="419" t="str">
        <f t="shared" si="137"/>
        <v>NA</v>
      </c>
      <c r="AI109" s="420" t="str">
        <f t="shared" si="138"/>
        <v>NA</v>
      </c>
      <c r="AJ109" s="421" t="str">
        <f t="shared" si="139"/>
        <v>NA</v>
      </c>
      <c r="AK109" s="421" t="str">
        <f t="shared" si="140"/>
        <v>NA</v>
      </c>
      <c r="AL109" s="421" t="str">
        <f t="shared" si="141"/>
        <v>NA</v>
      </c>
      <c r="AM109" s="421" t="str">
        <f t="shared" si="142"/>
        <v>NA</v>
      </c>
      <c r="AN109" s="421" t="str">
        <f t="shared" si="143"/>
        <v>NA</v>
      </c>
      <c r="AO109" s="421" t="str">
        <f t="shared" si="144"/>
        <v>NA</v>
      </c>
      <c r="AP109" s="421" t="str">
        <f t="shared" si="145"/>
        <v>NA</v>
      </c>
      <c r="AQ109" s="421" t="str">
        <f t="shared" si="146"/>
        <v>NA</v>
      </c>
      <c r="AR109" s="422" t="str">
        <f t="shared" si="147"/>
        <v>NA</v>
      </c>
      <c r="AS109" s="422" t="str">
        <f t="shared" si="148"/>
        <v>NA</v>
      </c>
      <c r="AT109" s="422" t="str">
        <f t="shared" si="149"/>
        <v>NA</v>
      </c>
      <c r="AU109" s="422" t="str">
        <f t="shared" si="150"/>
        <v>NA</v>
      </c>
      <c r="AV109" s="423" t="str">
        <f t="shared" si="151"/>
        <v>NA</v>
      </c>
    </row>
    <row r="110" spans="1:48" ht="15" customHeight="1" x14ac:dyDescent="0.25">
      <c r="A110" s="146"/>
      <c r="B110" s="148">
        <v>121</v>
      </c>
      <c r="C110" s="151" t="str">
        <f>_xlfn.XLOOKUP(B110, LgProvEntOrgIDs[Advanced Network/Insurer Carrier Org ID], LgProvEntOrgIDs[Advanced Network/Insurance Carrier Overall])</f>
        <v>Generations Family Health Center</v>
      </c>
      <c r="D110" s="448">
        <f>SUMIFS(AN_TME_BY[[#All],[Member Months]],AN_TME_BY[[#All],[Insurance Category Code]],4,AN_TME_BY[[#All],[Advanced Network/Insurance Carrier Org ID]],B110)</f>
        <v>0</v>
      </c>
      <c r="E110" s="137" t="str">
        <f>IF(D110=0,"NA",SUMIFS(AN_TME_BY[[#All],[Claims: Hospital Inpatient]],AN_TME_BY[[#All],[Insurance Category Code]],4,AN_TME_BY[[#All],[Advanced Network/Insurance Carrier Org ID]],B110)/D110)</f>
        <v>NA</v>
      </c>
      <c r="F110" s="108" t="str">
        <f>IF(D110=0,"NA",SUMIFS(AN_TME_BY[[#All],[Claims: Hospital Outpatient]],AN_TME_BY[[#All],[Insurance Category Code]],4,AN_TME_BY[[#All],[Advanced Network/Insurance Carrier Org ID]],B110)/D110)</f>
        <v>NA</v>
      </c>
      <c r="G110" s="108" t="str">
        <f>IF(D110=0,"NA",SUMIFS(AN_TME_BY[[#All],[Claims: Professional, Primary Care]],AN_TME_BY[[#All],[Insurance Category Code]],4,AN_TME_BY[[#All],[Advanced Network/Insurance Carrier Org ID]],B110)/D110)</f>
        <v>NA</v>
      </c>
      <c r="H110" s="108" t="str">
        <f>IF(D110=0,"NA",SUMIFS(AN_TME_BY[[#All],[Claims: Professional, Primary Care (for Monitoring Purposes)]],AN_TME_BY[[#All],[Insurance Category Code]],4,AN_TME_BY[[#All],[Advanced Network/Insurance Carrier Org ID]],B110)/D110)</f>
        <v>NA</v>
      </c>
      <c r="I110" s="108" t="str">
        <f>IF(D110=0,"NA",SUMIFS(AN_TME_BY[[#All],[Claims: Professional, Specialty]],AN_TME_BY[[#All],[Insurance Category Code]],4,AN_TME_BY[[#All],[Advanced Network/Insurance Carrier Org ID]],B110)/D110)</f>
        <v>NA</v>
      </c>
      <c r="J110" s="108" t="str">
        <f>IF(D110=0,"NA",SUMIFS(AN_TME_BY[[#All],[Claims: Professional Other]],AN_TME_BY[[#All],[Insurance Category Code]],4,AN_TME_BY[[#All],[Advanced Network/Insurance Carrier Org ID]],B110)/D110)</f>
        <v>NA</v>
      </c>
      <c r="K110" s="108" t="str">
        <f>IF(D110=0,"NA",SUMIFS(AN_TME_BY[[#All],[Claims: Pharmacy]],AN_TME_BY[[#All],[Insurance Category Code]],4,AN_TME_BY[[#All],[Advanced Network/Insurance Carrier Org ID]],B110)/D110)</f>
        <v>NA</v>
      </c>
      <c r="L110" s="108" t="str">
        <f>IF(D110=0,"NA",SUMIFS(AN_TME_BY[[#All],[Claims: Long-Term Care]],AN_TME_BY[[#All],[Insurance Category Code]],4,AN_TME_BY[[#All],[Advanced Network/Insurance Carrier Org ID]],B110)/D110)</f>
        <v>NA</v>
      </c>
      <c r="M110" s="108" t="str">
        <f>IF(D110=0,"NA",SUMIFS(AN_TME_BY[[#All],[Claims: Other]],AN_TME_BY[[#All],[Insurance Category Code]],4,AN_TME_BY[[#All],[Advanced Network/Insurance Carrier Org ID]],B110)/D110)</f>
        <v>NA</v>
      </c>
      <c r="N110" s="147" t="str">
        <f>IF(D110=0,"NA",SUMIFS(AN_TME_BY[[#All],[TOTAL Non-Truncated Unadjusted Claims Expenses]],AN_TME_BY[[#All],[Insurance Category Code]],4,AN_TME_BY[[#All],[Advanced Network/Insurance Carrier Org ID]],B110)/D110)</f>
        <v>NA</v>
      </c>
      <c r="O110" s="147" t="str">
        <f>IF(D110=0,"NA",SUMIFS(AN_TME_BY[[#All],[TOTAL Truncated Unadjusted Claims Expenses (A21 -A19)]],AN_TME_BY[[#All],[Insurance Category Code]],4,AN_TME_BY[[#All],[Advanced Network/Insurance Carrier Org ID]],B110)/D110)</f>
        <v>NA</v>
      </c>
      <c r="P110" s="147" t="str">
        <f>IF(D110=0,"NA",SUMIFS(AN_TME_BY[[#All],[TOTAL Non-Claims Expenses]],AN_TME_BY[[#All],[Insurance Category Code]],4,AN_TME_BY[[#All],[Advanced Network/Insurance Carrier Org ID]],B110)/D110)</f>
        <v>NA</v>
      </c>
      <c r="Q110" s="147" t="str">
        <f>IF(D110=0,"NA",SUMIFS(AN_TME_BY[[#All],[TOTAL Non-Truncated Unadjusted Expenses (A21 + A23)]],AN_TME_BY[[#All],[Insurance Category Code]],4,AN_TME_BY[[#All],[Advanced Network/Insurance Carrier Org ID]],B110)/D110)</f>
        <v>NA</v>
      </c>
      <c r="R110" s="147" t="str">
        <f>IF(D110=0,"NA",SUMIFS(AN_TME_BY[[#All],[TOTAL Truncated Unadjusted Expenses (A22 + A23)]],AN_TME_BY[[#All],[Insurance Category Code]],4,AN_TME_BY[[#All],[Advanced Network/Insurance Carrier Org ID]],B110)/D110)</f>
        <v>NA</v>
      </c>
      <c r="S110" s="448">
        <f>SUMIFS(AN_TME_PY[[#All],[Member Months]],AN_TME_PY[[#All],[Insurance Category Code]],4,AN_TME_PY[[#All],[Advanced Network/Insurance Carrier Org ID]],B110)</f>
        <v>0</v>
      </c>
      <c r="T110" s="137" t="str">
        <f>IF(S110=0,"NA",SUMIFS(AN_TME_PY[[#All],[Claims: Hospital Inpatient]],AN_TME_PY[[#All],[Insurance Category Code]],4,AN_TME_PY[[#All],[Advanced Network/Insurance Carrier Org ID]],B110)/S110)</f>
        <v>NA</v>
      </c>
      <c r="U110" s="108" t="str">
        <f>IF(S110=0,"NA",SUMIFS(AN_TME_PY[[#All],[Claims: Hospital Outpatient]],AN_TME_PY[[#All],[Insurance Category Code]],4,AN_TME_PY[[#All],[Advanced Network/Insurance Carrier Org ID]],B110)/S110)</f>
        <v>NA</v>
      </c>
      <c r="V110" s="108" t="str">
        <f>IF(S110=0,"NA",SUMIFS(AN_TME_PY[[#All],[Claims: Professional, Primary Care]],AN_TME_PY[[#All],[Insurance Category Code]],4,AN_TME_PY[[#All],[Advanced Network/Insurance Carrier Org ID]],B110)/S110)</f>
        <v>NA</v>
      </c>
      <c r="W110" s="108" t="str">
        <f>IF(S110=0,"NA",SUMIFS(AN_TME_PY[[#All],[Claims: Professional, Primary Care (for Monitoring Purposes)]],AN_TME_PY[[#All],[Insurance Category Code]],4,AN_TME_PY[[#All],[Advanced Network/Insurance Carrier Org ID]],B110)/S110)</f>
        <v>NA</v>
      </c>
      <c r="X110" s="108" t="str">
        <f>IF(S110=0,"NA",SUMIFS(AN_TME_PY[[#All],[Claims: Professional, Specialty]],AN_TME_PY[[#All],[Insurance Category Code]],4,AN_TME_PY[[#All],[Advanced Network/Insurance Carrier Org ID]],B110)/S110)</f>
        <v>NA</v>
      </c>
      <c r="Y110" s="108" t="str">
        <f>IF(S110=0,"NA",SUMIFS(AN_TME_PY[[#All],[Claims: Professional Other]],AN_TME_PY[[#All],[Insurance Category Code]],4,AN_TME_PY[[#All],[Advanced Network/Insurance Carrier Org ID]],B110)/S110)</f>
        <v>NA</v>
      </c>
      <c r="Z110" s="108" t="str">
        <f>IF(S110=0,"NA",SUMIFS(AN_TME_PY[[#All],[Claims: Pharmacy]],AN_TME_PY[[#All],[Insurance Category Code]],4,AN_TME_PY[[#All],[Advanced Network/Insurance Carrier Org ID]],B110)/S110)</f>
        <v>NA</v>
      </c>
      <c r="AA110" s="108" t="str">
        <f>IF(S110=0,"NA",SUMIFS(AN_TME_PY[[#All],[Claims: Long-Term Care]],AN_TME_PY[[#All],[Insurance Category Code]],4,AN_TME_PY[[#All],[Advanced Network/Insurance Carrier Org ID]],B110)/S110)</f>
        <v>NA</v>
      </c>
      <c r="AB110" s="108" t="str">
        <f>IF(S110=0,"NA",SUMIFS(AN_TME_PY[[#All],[Claims: Other]],AN_TME_PY[[#All],[Insurance Category Code]],4,AN_TME_PY[[#All],[Advanced Network/Insurance Carrier Org ID]],B110)/S110)</f>
        <v>NA</v>
      </c>
      <c r="AC110" s="147" t="str">
        <f>IF(S110=0,"NA",SUMIFS(AN_TME_PY[[#All],[TOTAL Non-Truncated Unadjusted Claims Expenses]],AN_TME_PY[[#All],[Insurance Category Code]],4,AN_TME_PY[[#All],[Advanced Network/Insurance Carrier Org ID]],B110)/S110)</f>
        <v>NA</v>
      </c>
      <c r="AD110" s="147" t="str">
        <f>IF(S110=0,"NA",SUMIFS(AN_TME_PY[[#All],[TOTAL Truncated Unadjusted Claims Expenses (A21 -A19)]],AN_TME_PY[[#All],[Insurance Category Code]],4,AN_TME_PY[[#All],[Advanced Network/Insurance Carrier Org ID]],B110)/S110)</f>
        <v>NA</v>
      </c>
      <c r="AE110" s="147" t="str">
        <f>IF(S110=0,"NA",SUMIFS(AN_TME_PY[[#All],[TOTAL Non-Claims Expenses]],AN_TME_PY[[#All],[Insurance Category Code]],4,AN_TME_PY[[#All],[Advanced Network/Insurance Carrier Org ID]],B110)/S110)</f>
        <v>NA</v>
      </c>
      <c r="AF110" s="147" t="str">
        <f>IF(S110=0,"NA",SUMIFS(AN_TME_PY[[#All],[TOTAL Non-Truncated Unadjusted Expenses (A21 + A23)]],AN_TME_PY[[#All],[Insurance Category Code]],4,AN_TME_PY[[#All],[Advanced Network/Insurance Carrier Org ID]],B110)/S110)</f>
        <v>NA</v>
      </c>
      <c r="AG110" s="138" t="str">
        <f>IF(S110=0,"NA",SUMIFS(AN_TME_PY[[#All],[TOTAL Truncated Unadjusted Expenses (A22 + A23)]],AN_TME_PY[[#All],[Insurance Category Code]],4,AN_TME_PY[[#All],[Advanced Network/Insurance Carrier Org ID]],B110)/S110)</f>
        <v>NA</v>
      </c>
      <c r="AH110" s="419" t="str">
        <f t="shared" si="137"/>
        <v>NA</v>
      </c>
      <c r="AI110" s="420" t="str">
        <f t="shared" si="138"/>
        <v>NA</v>
      </c>
      <c r="AJ110" s="421" t="str">
        <f t="shared" si="139"/>
        <v>NA</v>
      </c>
      <c r="AK110" s="421" t="str">
        <f t="shared" si="140"/>
        <v>NA</v>
      </c>
      <c r="AL110" s="421" t="str">
        <f t="shared" si="141"/>
        <v>NA</v>
      </c>
      <c r="AM110" s="421" t="str">
        <f t="shared" si="142"/>
        <v>NA</v>
      </c>
      <c r="AN110" s="421" t="str">
        <f t="shared" si="143"/>
        <v>NA</v>
      </c>
      <c r="AO110" s="421" t="str">
        <f t="shared" si="144"/>
        <v>NA</v>
      </c>
      <c r="AP110" s="421" t="str">
        <f t="shared" si="145"/>
        <v>NA</v>
      </c>
      <c r="AQ110" s="421" t="str">
        <f t="shared" si="146"/>
        <v>NA</v>
      </c>
      <c r="AR110" s="422" t="str">
        <f t="shared" si="147"/>
        <v>NA</v>
      </c>
      <c r="AS110" s="422" t="str">
        <f t="shared" si="148"/>
        <v>NA</v>
      </c>
      <c r="AT110" s="422" t="str">
        <f t="shared" si="149"/>
        <v>NA</v>
      </c>
      <c r="AU110" s="422" t="str">
        <f t="shared" si="150"/>
        <v>NA</v>
      </c>
      <c r="AV110" s="423" t="str">
        <f t="shared" si="151"/>
        <v>NA</v>
      </c>
    </row>
    <row r="111" spans="1:48" ht="15" customHeight="1" x14ac:dyDescent="0.25">
      <c r="A111" s="146"/>
      <c r="B111" s="148">
        <v>122</v>
      </c>
      <c r="C111" s="151" t="str">
        <f>_xlfn.XLOOKUP(B111, LgProvEntOrgIDs[Advanced Network/Insurer Carrier Org ID], LgProvEntOrgIDs[Advanced Network/Insurance Carrier Overall])</f>
        <v>Norwalk Community Health Center</v>
      </c>
      <c r="D111" s="448">
        <f>SUMIFS(AN_TME_BY[[#All],[Member Months]],AN_TME_BY[[#All],[Insurance Category Code]],4,AN_TME_BY[[#All],[Advanced Network/Insurance Carrier Org ID]],B111)</f>
        <v>0</v>
      </c>
      <c r="E111" s="137" t="str">
        <f>IF(D111=0,"NA",SUMIFS(AN_TME_BY[[#All],[Claims: Hospital Inpatient]],AN_TME_BY[[#All],[Insurance Category Code]],4,AN_TME_BY[[#All],[Advanced Network/Insurance Carrier Org ID]],B111)/D111)</f>
        <v>NA</v>
      </c>
      <c r="F111" s="108" t="str">
        <f>IF(D111=0,"NA",SUMIFS(AN_TME_BY[[#All],[Claims: Hospital Outpatient]],AN_TME_BY[[#All],[Insurance Category Code]],4,AN_TME_BY[[#All],[Advanced Network/Insurance Carrier Org ID]],B111)/D111)</f>
        <v>NA</v>
      </c>
      <c r="G111" s="108" t="str">
        <f>IF(D111=0,"NA",SUMIFS(AN_TME_BY[[#All],[Claims: Professional, Primary Care]],AN_TME_BY[[#All],[Insurance Category Code]],4,AN_TME_BY[[#All],[Advanced Network/Insurance Carrier Org ID]],B111)/D111)</f>
        <v>NA</v>
      </c>
      <c r="H111" s="108" t="str">
        <f>IF(D111=0,"NA",SUMIFS(AN_TME_BY[[#All],[Claims: Professional, Primary Care (for Monitoring Purposes)]],AN_TME_BY[[#All],[Insurance Category Code]],4,AN_TME_BY[[#All],[Advanced Network/Insurance Carrier Org ID]],B111)/D111)</f>
        <v>NA</v>
      </c>
      <c r="I111" s="108" t="str">
        <f>IF(D111=0,"NA",SUMIFS(AN_TME_BY[[#All],[Claims: Professional, Specialty]],AN_TME_BY[[#All],[Insurance Category Code]],4,AN_TME_BY[[#All],[Advanced Network/Insurance Carrier Org ID]],B111)/D111)</f>
        <v>NA</v>
      </c>
      <c r="J111" s="108" t="str">
        <f>IF(D111=0,"NA",SUMIFS(AN_TME_BY[[#All],[Claims: Professional Other]],AN_TME_BY[[#All],[Insurance Category Code]],4,AN_TME_BY[[#All],[Advanced Network/Insurance Carrier Org ID]],B111)/D111)</f>
        <v>NA</v>
      </c>
      <c r="K111" s="108" t="str">
        <f>IF(D111=0,"NA",SUMIFS(AN_TME_BY[[#All],[Claims: Pharmacy]],AN_TME_BY[[#All],[Insurance Category Code]],4,AN_TME_BY[[#All],[Advanced Network/Insurance Carrier Org ID]],B111)/D111)</f>
        <v>NA</v>
      </c>
      <c r="L111" s="108" t="str">
        <f>IF(D111=0,"NA",SUMIFS(AN_TME_BY[[#All],[Claims: Long-Term Care]],AN_TME_BY[[#All],[Insurance Category Code]],4,AN_TME_BY[[#All],[Advanced Network/Insurance Carrier Org ID]],B111)/D111)</f>
        <v>NA</v>
      </c>
      <c r="M111" s="108" t="str">
        <f>IF(D111=0,"NA",SUMIFS(AN_TME_BY[[#All],[Claims: Other]],AN_TME_BY[[#All],[Insurance Category Code]],4,AN_TME_BY[[#All],[Advanced Network/Insurance Carrier Org ID]],B111)/D111)</f>
        <v>NA</v>
      </c>
      <c r="N111" s="147" t="str">
        <f>IF(D111=0,"NA",SUMIFS(AN_TME_BY[[#All],[TOTAL Non-Truncated Unadjusted Claims Expenses]],AN_TME_BY[[#All],[Insurance Category Code]],4,AN_TME_BY[[#All],[Advanced Network/Insurance Carrier Org ID]],B111)/D111)</f>
        <v>NA</v>
      </c>
      <c r="O111" s="147" t="str">
        <f>IF(D111=0,"NA",SUMIFS(AN_TME_BY[[#All],[TOTAL Truncated Unadjusted Claims Expenses (A21 -A19)]],AN_TME_BY[[#All],[Insurance Category Code]],4,AN_TME_BY[[#All],[Advanced Network/Insurance Carrier Org ID]],B111)/D111)</f>
        <v>NA</v>
      </c>
      <c r="P111" s="147" t="str">
        <f>IF(D111=0,"NA",SUMIFS(AN_TME_BY[[#All],[TOTAL Non-Claims Expenses]],AN_TME_BY[[#All],[Insurance Category Code]],4,AN_TME_BY[[#All],[Advanced Network/Insurance Carrier Org ID]],B111)/D111)</f>
        <v>NA</v>
      </c>
      <c r="Q111" s="147" t="str">
        <f>IF(D111=0,"NA",SUMIFS(AN_TME_BY[[#All],[TOTAL Non-Truncated Unadjusted Expenses (A21 + A23)]],AN_TME_BY[[#All],[Insurance Category Code]],4,AN_TME_BY[[#All],[Advanced Network/Insurance Carrier Org ID]],B111)/D111)</f>
        <v>NA</v>
      </c>
      <c r="R111" s="147" t="str">
        <f>IF(D111=0,"NA",SUMIFS(AN_TME_BY[[#All],[TOTAL Truncated Unadjusted Expenses (A22 + A23)]],AN_TME_BY[[#All],[Insurance Category Code]],4,AN_TME_BY[[#All],[Advanced Network/Insurance Carrier Org ID]],B111)/D111)</f>
        <v>NA</v>
      </c>
      <c r="S111" s="448">
        <f>SUMIFS(AN_TME_PY[[#All],[Member Months]],AN_TME_PY[[#All],[Insurance Category Code]],4,AN_TME_PY[[#All],[Advanced Network/Insurance Carrier Org ID]],B111)</f>
        <v>0</v>
      </c>
      <c r="T111" s="137" t="str">
        <f>IF(S111=0,"NA",SUMIFS(AN_TME_PY[[#All],[Claims: Hospital Inpatient]],AN_TME_PY[[#All],[Insurance Category Code]],4,AN_TME_PY[[#All],[Advanced Network/Insurance Carrier Org ID]],B111)/S111)</f>
        <v>NA</v>
      </c>
      <c r="U111" s="108" t="str">
        <f>IF(S111=0,"NA",SUMIFS(AN_TME_PY[[#All],[Claims: Hospital Outpatient]],AN_TME_PY[[#All],[Insurance Category Code]],4,AN_TME_PY[[#All],[Advanced Network/Insurance Carrier Org ID]],B111)/S111)</f>
        <v>NA</v>
      </c>
      <c r="V111" s="108" t="str">
        <f>IF(S111=0,"NA",SUMIFS(AN_TME_PY[[#All],[Claims: Professional, Primary Care]],AN_TME_PY[[#All],[Insurance Category Code]],4,AN_TME_PY[[#All],[Advanced Network/Insurance Carrier Org ID]],B111)/S111)</f>
        <v>NA</v>
      </c>
      <c r="W111" s="108" t="str">
        <f>IF(S111=0,"NA",SUMIFS(AN_TME_PY[[#All],[Claims: Professional, Primary Care (for Monitoring Purposes)]],AN_TME_PY[[#All],[Insurance Category Code]],4,AN_TME_PY[[#All],[Advanced Network/Insurance Carrier Org ID]],B111)/S111)</f>
        <v>NA</v>
      </c>
      <c r="X111" s="108" t="str">
        <f>IF(S111=0,"NA",SUMIFS(AN_TME_PY[[#All],[Claims: Professional, Specialty]],AN_TME_PY[[#All],[Insurance Category Code]],4,AN_TME_PY[[#All],[Advanced Network/Insurance Carrier Org ID]],B111)/S111)</f>
        <v>NA</v>
      </c>
      <c r="Y111" s="108" t="str">
        <f>IF(S111=0,"NA",SUMIFS(AN_TME_PY[[#All],[Claims: Professional Other]],AN_TME_PY[[#All],[Insurance Category Code]],4,AN_TME_PY[[#All],[Advanced Network/Insurance Carrier Org ID]],B111)/S111)</f>
        <v>NA</v>
      </c>
      <c r="Z111" s="108" t="str">
        <f>IF(S111=0,"NA",SUMIFS(AN_TME_PY[[#All],[Claims: Pharmacy]],AN_TME_PY[[#All],[Insurance Category Code]],4,AN_TME_PY[[#All],[Advanced Network/Insurance Carrier Org ID]],B111)/S111)</f>
        <v>NA</v>
      </c>
      <c r="AA111" s="108" t="str">
        <f>IF(S111=0,"NA",SUMIFS(AN_TME_PY[[#All],[Claims: Long-Term Care]],AN_TME_PY[[#All],[Insurance Category Code]],4,AN_TME_PY[[#All],[Advanced Network/Insurance Carrier Org ID]],B111)/S111)</f>
        <v>NA</v>
      </c>
      <c r="AB111" s="108" t="str">
        <f>IF(S111=0,"NA",SUMIFS(AN_TME_PY[[#All],[Claims: Other]],AN_TME_PY[[#All],[Insurance Category Code]],4,AN_TME_PY[[#All],[Advanced Network/Insurance Carrier Org ID]],B111)/S111)</f>
        <v>NA</v>
      </c>
      <c r="AC111" s="147" t="str">
        <f>IF(S111=0,"NA",SUMIFS(AN_TME_PY[[#All],[TOTAL Non-Truncated Unadjusted Claims Expenses]],AN_TME_PY[[#All],[Insurance Category Code]],4,AN_TME_PY[[#All],[Advanced Network/Insurance Carrier Org ID]],B111)/S111)</f>
        <v>NA</v>
      </c>
      <c r="AD111" s="147" t="str">
        <f>IF(S111=0,"NA",SUMIFS(AN_TME_PY[[#All],[TOTAL Truncated Unadjusted Claims Expenses (A21 -A19)]],AN_TME_PY[[#All],[Insurance Category Code]],4,AN_TME_PY[[#All],[Advanced Network/Insurance Carrier Org ID]],B111)/S111)</f>
        <v>NA</v>
      </c>
      <c r="AE111" s="147" t="str">
        <f>IF(S111=0,"NA",SUMIFS(AN_TME_PY[[#All],[TOTAL Non-Claims Expenses]],AN_TME_PY[[#All],[Insurance Category Code]],4,AN_TME_PY[[#All],[Advanced Network/Insurance Carrier Org ID]],B111)/S111)</f>
        <v>NA</v>
      </c>
      <c r="AF111" s="147" t="str">
        <f>IF(S111=0,"NA",SUMIFS(AN_TME_PY[[#All],[TOTAL Non-Truncated Unadjusted Expenses (A21 + A23)]],AN_TME_PY[[#All],[Insurance Category Code]],4,AN_TME_PY[[#All],[Advanced Network/Insurance Carrier Org ID]],B111)/S111)</f>
        <v>NA</v>
      </c>
      <c r="AG111" s="138" t="str">
        <f>IF(S111=0,"NA",SUMIFS(AN_TME_PY[[#All],[TOTAL Truncated Unadjusted Expenses (A22 + A23)]],AN_TME_PY[[#All],[Insurance Category Code]],4,AN_TME_PY[[#All],[Advanced Network/Insurance Carrier Org ID]],B111)/S111)</f>
        <v>NA</v>
      </c>
      <c r="AH111" s="419" t="str">
        <f t="shared" si="137"/>
        <v>NA</v>
      </c>
      <c r="AI111" s="420" t="str">
        <f t="shared" si="138"/>
        <v>NA</v>
      </c>
      <c r="AJ111" s="421" t="str">
        <f t="shared" si="139"/>
        <v>NA</v>
      </c>
      <c r="AK111" s="421" t="str">
        <f t="shared" si="140"/>
        <v>NA</v>
      </c>
      <c r="AL111" s="421" t="str">
        <f t="shared" si="141"/>
        <v>NA</v>
      </c>
      <c r="AM111" s="421" t="str">
        <f t="shared" si="142"/>
        <v>NA</v>
      </c>
      <c r="AN111" s="421" t="str">
        <f t="shared" si="143"/>
        <v>NA</v>
      </c>
      <c r="AO111" s="421" t="str">
        <f t="shared" si="144"/>
        <v>NA</v>
      </c>
      <c r="AP111" s="421" t="str">
        <f t="shared" si="145"/>
        <v>NA</v>
      </c>
      <c r="AQ111" s="421" t="str">
        <f t="shared" si="146"/>
        <v>NA</v>
      </c>
      <c r="AR111" s="422" t="str">
        <f t="shared" si="147"/>
        <v>NA</v>
      </c>
      <c r="AS111" s="422" t="str">
        <f t="shared" si="148"/>
        <v>NA</v>
      </c>
      <c r="AT111" s="422" t="str">
        <f t="shared" si="149"/>
        <v>NA</v>
      </c>
      <c r="AU111" s="422" t="str">
        <f t="shared" si="150"/>
        <v>NA</v>
      </c>
      <c r="AV111" s="423" t="str">
        <f t="shared" si="151"/>
        <v>NA</v>
      </c>
    </row>
    <row r="112" spans="1:48" ht="15" customHeight="1" x14ac:dyDescent="0.25">
      <c r="A112" s="146"/>
      <c r="B112" s="148">
        <v>123</v>
      </c>
      <c r="C112" s="151" t="str">
        <f>_xlfn.XLOOKUP(B112, LgProvEntOrgIDs[Advanced Network/Insurer Carrier Org ID], LgProvEntOrgIDs[Advanced Network/Insurance Carrier Overall])</f>
        <v>Optimus Health Care, Inc.</v>
      </c>
      <c r="D112" s="448">
        <f>SUMIFS(AN_TME_BY[[#All],[Member Months]],AN_TME_BY[[#All],[Insurance Category Code]],4,AN_TME_BY[[#All],[Advanced Network/Insurance Carrier Org ID]],B112)</f>
        <v>0</v>
      </c>
      <c r="E112" s="137" t="str">
        <f>IF(D112=0,"NA",SUMIFS(AN_TME_BY[[#All],[Claims: Hospital Inpatient]],AN_TME_BY[[#All],[Insurance Category Code]],4,AN_TME_BY[[#All],[Advanced Network/Insurance Carrier Org ID]],B112)/D112)</f>
        <v>NA</v>
      </c>
      <c r="F112" s="108" t="str">
        <f>IF(D112=0,"NA",SUMIFS(AN_TME_BY[[#All],[Claims: Hospital Outpatient]],AN_TME_BY[[#All],[Insurance Category Code]],4,AN_TME_BY[[#All],[Advanced Network/Insurance Carrier Org ID]],B112)/D112)</f>
        <v>NA</v>
      </c>
      <c r="G112" s="108" t="str">
        <f>IF(D112=0,"NA",SUMIFS(AN_TME_BY[[#All],[Claims: Professional, Primary Care]],AN_TME_BY[[#All],[Insurance Category Code]],4,AN_TME_BY[[#All],[Advanced Network/Insurance Carrier Org ID]],B112)/D112)</f>
        <v>NA</v>
      </c>
      <c r="H112" s="108" t="str">
        <f>IF(D112=0,"NA",SUMIFS(AN_TME_BY[[#All],[Claims: Professional, Primary Care (for Monitoring Purposes)]],AN_TME_BY[[#All],[Insurance Category Code]],4,AN_TME_BY[[#All],[Advanced Network/Insurance Carrier Org ID]],B112)/D112)</f>
        <v>NA</v>
      </c>
      <c r="I112" s="108" t="str">
        <f>IF(D112=0,"NA",SUMIFS(AN_TME_BY[[#All],[Claims: Professional, Specialty]],AN_TME_BY[[#All],[Insurance Category Code]],4,AN_TME_BY[[#All],[Advanced Network/Insurance Carrier Org ID]],B112)/D112)</f>
        <v>NA</v>
      </c>
      <c r="J112" s="108" t="str">
        <f>IF(D112=0,"NA",SUMIFS(AN_TME_BY[[#All],[Claims: Professional Other]],AN_TME_BY[[#All],[Insurance Category Code]],4,AN_TME_BY[[#All],[Advanced Network/Insurance Carrier Org ID]],B112)/D112)</f>
        <v>NA</v>
      </c>
      <c r="K112" s="108" t="str">
        <f>IF(D112=0,"NA",SUMIFS(AN_TME_BY[[#All],[Claims: Pharmacy]],AN_TME_BY[[#All],[Insurance Category Code]],4,AN_TME_BY[[#All],[Advanced Network/Insurance Carrier Org ID]],B112)/D112)</f>
        <v>NA</v>
      </c>
      <c r="L112" s="108" t="str">
        <f>IF(D112=0,"NA",SUMIFS(AN_TME_BY[[#All],[Claims: Long-Term Care]],AN_TME_BY[[#All],[Insurance Category Code]],4,AN_TME_BY[[#All],[Advanced Network/Insurance Carrier Org ID]],B112)/D112)</f>
        <v>NA</v>
      </c>
      <c r="M112" s="108" t="str">
        <f>IF(D112=0,"NA",SUMIFS(AN_TME_BY[[#All],[Claims: Other]],AN_TME_BY[[#All],[Insurance Category Code]],4,AN_TME_BY[[#All],[Advanced Network/Insurance Carrier Org ID]],B112)/D112)</f>
        <v>NA</v>
      </c>
      <c r="N112" s="147" t="str">
        <f>IF(D112=0,"NA",SUMIFS(AN_TME_BY[[#All],[TOTAL Non-Truncated Unadjusted Claims Expenses]],AN_TME_BY[[#All],[Insurance Category Code]],4,AN_TME_BY[[#All],[Advanced Network/Insurance Carrier Org ID]],B112)/D112)</f>
        <v>NA</v>
      </c>
      <c r="O112" s="147" t="str">
        <f>IF(D112=0,"NA",SUMIFS(AN_TME_BY[[#All],[TOTAL Truncated Unadjusted Claims Expenses (A21 -A19)]],AN_TME_BY[[#All],[Insurance Category Code]],4,AN_TME_BY[[#All],[Advanced Network/Insurance Carrier Org ID]],B112)/D112)</f>
        <v>NA</v>
      </c>
      <c r="P112" s="147" t="str">
        <f>IF(D112=0,"NA",SUMIFS(AN_TME_BY[[#All],[TOTAL Non-Claims Expenses]],AN_TME_BY[[#All],[Insurance Category Code]],4,AN_TME_BY[[#All],[Advanced Network/Insurance Carrier Org ID]],B112)/D112)</f>
        <v>NA</v>
      </c>
      <c r="Q112" s="147" t="str">
        <f>IF(D112=0,"NA",SUMIFS(AN_TME_BY[[#All],[TOTAL Non-Truncated Unadjusted Expenses (A21 + A23)]],AN_TME_BY[[#All],[Insurance Category Code]],4,AN_TME_BY[[#All],[Advanced Network/Insurance Carrier Org ID]],B112)/D112)</f>
        <v>NA</v>
      </c>
      <c r="R112" s="147" t="str">
        <f>IF(D112=0,"NA",SUMIFS(AN_TME_BY[[#All],[TOTAL Truncated Unadjusted Expenses (A22 + A23)]],AN_TME_BY[[#All],[Insurance Category Code]],4,AN_TME_BY[[#All],[Advanced Network/Insurance Carrier Org ID]],B112)/D112)</f>
        <v>NA</v>
      </c>
      <c r="S112" s="448">
        <f>SUMIFS(AN_TME_PY[[#All],[Member Months]],AN_TME_PY[[#All],[Insurance Category Code]],4,AN_TME_PY[[#All],[Advanced Network/Insurance Carrier Org ID]],B112)</f>
        <v>0</v>
      </c>
      <c r="T112" s="137" t="str">
        <f>IF(S112=0,"NA",SUMIFS(AN_TME_PY[[#All],[Claims: Hospital Inpatient]],AN_TME_PY[[#All],[Insurance Category Code]],4,AN_TME_PY[[#All],[Advanced Network/Insurance Carrier Org ID]],B112)/S112)</f>
        <v>NA</v>
      </c>
      <c r="U112" s="108" t="str">
        <f>IF(S112=0,"NA",SUMIFS(AN_TME_PY[[#All],[Claims: Hospital Outpatient]],AN_TME_PY[[#All],[Insurance Category Code]],4,AN_TME_PY[[#All],[Advanced Network/Insurance Carrier Org ID]],B112)/S112)</f>
        <v>NA</v>
      </c>
      <c r="V112" s="108" t="str">
        <f>IF(S112=0,"NA",SUMIFS(AN_TME_PY[[#All],[Claims: Professional, Primary Care]],AN_TME_PY[[#All],[Insurance Category Code]],4,AN_TME_PY[[#All],[Advanced Network/Insurance Carrier Org ID]],B112)/S112)</f>
        <v>NA</v>
      </c>
      <c r="W112" s="108" t="str">
        <f>IF(S112=0,"NA",SUMIFS(AN_TME_PY[[#All],[Claims: Professional, Primary Care (for Monitoring Purposes)]],AN_TME_PY[[#All],[Insurance Category Code]],4,AN_TME_PY[[#All],[Advanced Network/Insurance Carrier Org ID]],B112)/S112)</f>
        <v>NA</v>
      </c>
      <c r="X112" s="108" t="str">
        <f>IF(S112=0,"NA",SUMIFS(AN_TME_PY[[#All],[Claims: Professional, Specialty]],AN_TME_PY[[#All],[Insurance Category Code]],4,AN_TME_PY[[#All],[Advanced Network/Insurance Carrier Org ID]],B112)/S112)</f>
        <v>NA</v>
      </c>
      <c r="Y112" s="108" t="str">
        <f>IF(S112=0,"NA",SUMIFS(AN_TME_PY[[#All],[Claims: Professional Other]],AN_TME_PY[[#All],[Insurance Category Code]],4,AN_TME_PY[[#All],[Advanced Network/Insurance Carrier Org ID]],B112)/S112)</f>
        <v>NA</v>
      </c>
      <c r="Z112" s="108" t="str">
        <f>IF(S112=0,"NA",SUMIFS(AN_TME_PY[[#All],[Claims: Pharmacy]],AN_TME_PY[[#All],[Insurance Category Code]],4,AN_TME_PY[[#All],[Advanced Network/Insurance Carrier Org ID]],B112)/S112)</f>
        <v>NA</v>
      </c>
      <c r="AA112" s="108" t="str">
        <f>IF(S112=0,"NA",SUMIFS(AN_TME_PY[[#All],[Claims: Long-Term Care]],AN_TME_PY[[#All],[Insurance Category Code]],4,AN_TME_PY[[#All],[Advanced Network/Insurance Carrier Org ID]],B112)/S112)</f>
        <v>NA</v>
      </c>
      <c r="AB112" s="108" t="str">
        <f>IF(S112=0,"NA",SUMIFS(AN_TME_PY[[#All],[Claims: Other]],AN_TME_PY[[#All],[Insurance Category Code]],4,AN_TME_PY[[#All],[Advanced Network/Insurance Carrier Org ID]],B112)/S112)</f>
        <v>NA</v>
      </c>
      <c r="AC112" s="147" t="str">
        <f>IF(S112=0,"NA",SUMIFS(AN_TME_PY[[#All],[TOTAL Non-Truncated Unadjusted Claims Expenses]],AN_TME_PY[[#All],[Insurance Category Code]],4,AN_TME_PY[[#All],[Advanced Network/Insurance Carrier Org ID]],B112)/S112)</f>
        <v>NA</v>
      </c>
      <c r="AD112" s="147" t="str">
        <f>IF(S112=0,"NA",SUMIFS(AN_TME_PY[[#All],[TOTAL Truncated Unadjusted Claims Expenses (A21 -A19)]],AN_TME_PY[[#All],[Insurance Category Code]],4,AN_TME_PY[[#All],[Advanced Network/Insurance Carrier Org ID]],B112)/S112)</f>
        <v>NA</v>
      </c>
      <c r="AE112" s="147" t="str">
        <f>IF(S112=0,"NA",SUMIFS(AN_TME_PY[[#All],[TOTAL Non-Claims Expenses]],AN_TME_PY[[#All],[Insurance Category Code]],4,AN_TME_PY[[#All],[Advanced Network/Insurance Carrier Org ID]],B112)/S112)</f>
        <v>NA</v>
      </c>
      <c r="AF112" s="147" t="str">
        <f>IF(S112=0,"NA",SUMIFS(AN_TME_PY[[#All],[TOTAL Non-Truncated Unadjusted Expenses (A21 + A23)]],AN_TME_PY[[#All],[Insurance Category Code]],4,AN_TME_PY[[#All],[Advanced Network/Insurance Carrier Org ID]],B112)/S112)</f>
        <v>NA</v>
      </c>
      <c r="AG112" s="138" t="str">
        <f>IF(S112=0,"NA",SUMIFS(AN_TME_PY[[#All],[TOTAL Truncated Unadjusted Expenses (A22 + A23)]],AN_TME_PY[[#All],[Insurance Category Code]],4,AN_TME_PY[[#All],[Advanced Network/Insurance Carrier Org ID]],B112)/S112)</f>
        <v>NA</v>
      </c>
      <c r="AH112" s="419" t="str">
        <f t="shared" si="137"/>
        <v>NA</v>
      </c>
      <c r="AI112" s="420" t="str">
        <f t="shared" si="138"/>
        <v>NA</v>
      </c>
      <c r="AJ112" s="421" t="str">
        <f t="shared" si="139"/>
        <v>NA</v>
      </c>
      <c r="AK112" s="421" t="str">
        <f t="shared" si="140"/>
        <v>NA</v>
      </c>
      <c r="AL112" s="421" t="str">
        <f t="shared" si="141"/>
        <v>NA</v>
      </c>
      <c r="AM112" s="421" t="str">
        <f t="shared" si="142"/>
        <v>NA</v>
      </c>
      <c r="AN112" s="421" t="str">
        <f t="shared" si="143"/>
        <v>NA</v>
      </c>
      <c r="AO112" s="421" t="str">
        <f t="shared" si="144"/>
        <v>NA</v>
      </c>
      <c r="AP112" s="421" t="str">
        <f t="shared" si="145"/>
        <v>NA</v>
      </c>
      <c r="AQ112" s="421" t="str">
        <f t="shared" si="146"/>
        <v>NA</v>
      </c>
      <c r="AR112" s="422" t="str">
        <f t="shared" si="147"/>
        <v>NA</v>
      </c>
      <c r="AS112" s="422" t="str">
        <f t="shared" si="148"/>
        <v>NA</v>
      </c>
      <c r="AT112" s="422" t="str">
        <f t="shared" si="149"/>
        <v>NA</v>
      </c>
      <c r="AU112" s="422" t="str">
        <f t="shared" si="150"/>
        <v>NA</v>
      </c>
      <c r="AV112" s="423" t="str">
        <f t="shared" si="151"/>
        <v>NA</v>
      </c>
    </row>
    <row r="113" spans="1:48" ht="15" customHeight="1" x14ac:dyDescent="0.25">
      <c r="A113" s="146"/>
      <c r="B113" s="148">
        <v>124</v>
      </c>
      <c r="C113" s="151" t="str">
        <f>_xlfn.XLOOKUP(B113, LgProvEntOrgIDs[Advanced Network/Insurer Carrier Org ID], LgProvEntOrgIDs[Advanced Network/Insurance Carrier Overall])</f>
        <v>Southwest Community Health Center, Inc.</v>
      </c>
      <c r="D113" s="448">
        <f>SUMIFS(AN_TME_BY[[#All],[Member Months]],AN_TME_BY[[#All],[Insurance Category Code]],4,AN_TME_BY[[#All],[Advanced Network/Insurance Carrier Org ID]],B113)</f>
        <v>0</v>
      </c>
      <c r="E113" s="137" t="str">
        <f>IF(D113=0,"NA",SUMIFS(AN_TME_BY[[#All],[Claims: Hospital Inpatient]],AN_TME_BY[[#All],[Insurance Category Code]],4,AN_TME_BY[[#All],[Advanced Network/Insurance Carrier Org ID]],B113)/D113)</f>
        <v>NA</v>
      </c>
      <c r="F113" s="108" t="str">
        <f>IF(D113=0,"NA",SUMIFS(AN_TME_BY[[#All],[Claims: Hospital Outpatient]],AN_TME_BY[[#All],[Insurance Category Code]],4,AN_TME_BY[[#All],[Advanced Network/Insurance Carrier Org ID]],B113)/D113)</f>
        <v>NA</v>
      </c>
      <c r="G113" s="108" t="str">
        <f>IF(D113=0,"NA",SUMIFS(AN_TME_BY[[#All],[Claims: Professional, Primary Care]],AN_TME_BY[[#All],[Insurance Category Code]],4,AN_TME_BY[[#All],[Advanced Network/Insurance Carrier Org ID]],B113)/D113)</f>
        <v>NA</v>
      </c>
      <c r="H113" s="108" t="str">
        <f>IF(D113=0,"NA",SUMIFS(AN_TME_BY[[#All],[Claims: Professional, Primary Care (for Monitoring Purposes)]],AN_TME_BY[[#All],[Insurance Category Code]],4,AN_TME_BY[[#All],[Advanced Network/Insurance Carrier Org ID]],B113)/D113)</f>
        <v>NA</v>
      </c>
      <c r="I113" s="108" t="str">
        <f>IF(D113=0,"NA",SUMIFS(AN_TME_BY[[#All],[Claims: Professional, Specialty]],AN_TME_BY[[#All],[Insurance Category Code]],4,AN_TME_BY[[#All],[Advanced Network/Insurance Carrier Org ID]],B113)/D113)</f>
        <v>NA</v>
      </c>
      <c r="J113" s="108" t="str">
        <f>IF(D113=0,"NA",SUMIFS(AN_TME_BY[[#All],[Claims: Professional Other]],AN_TME_BY[[#All],[Insurance Category Code]],4,AN_TME_BY[[#All],[Advanced Network/Insurance Carrier Org ID]],B113)/D113)</f>
        <v>NA</v>
      </c>
      <c r="K113" s="108" t="str">
        <f>IF(D113=0,"NA",SUMIFS(AN_TME_BY[[#All],[Claims: Pharmacy]],AN_TME_BY[[#All],[Insurance Category Code]],4,AN_TME_BY[[#All],[Advanced Network/Insurance Carrier Org ID]],B113)/D113)</f>
        <v>NA</v>
      </c>
      <c r="L113" s="108" t="str">
        <f>IF(D113=0,"NA",SUMIFS(AN_TME_BY[[#All],[Claims: Long-Term Care]],AN_TME_BY[[#All],[Insurance Category Code]],4,AN_TME_BY[[#All],[Advanced Network/Insurance Carrier Org ID]],B113)/D113)</f>
        <v>NA</v>
      </c>
      <c r="M113" s="108" t="str">
        <f>IF(D113=0,"NA",SUMIFS(AN_TME_BY[[#All],[Claims: Other]],AN_TME_BY[[#All],[Insurance Category Code]],4,AN_TME_BY[[#All],[Advanced Network/Insurance Carrier Org ID]],B113)/D113)</f>
        <v>NA</v>
      </c>
      <c r="N113" s="147" t="str">
        <f>IF(D113=0,"NA",SUMIFS(AN_TME_BY[[#All],[TOTAL Non-Truncated Unadjusted Claims Expenses]],AN_TME_BY[[#All],[Insurance Category Code]],4,AN_TME_BY[[#All],[Advanced Network/Insurance Carrier Org ID]],B113)/D113)</f>
        <v>NA</v>
      </c>
      <c r="O113" s="147" t="str">
        <f>IF(D113=0,"NA",SUMIFS(AN_TME_BY[[#All],[TOTAL Truncated Unadjusted Claims Expenses (A21 -A19)]],AN_TME_BY[[#All],[Insurance Category Code]],4,AN_TME_BY[[#All],[Advanced Network/Insurance Carrier Org ID]],B113)/D113)</f>
        <v>NA</v>
      </c>
      <c r="P113" s="147" t="str">
        <f>IF(D113=0,"NA",SUMIFS(AN_TME_BY[[#All],[TOTAL Non-Claims Expenses]],AN_TME_BY[[#All],[Insurance Category Code]],4,AN_TME_BY[[#All],[Advanced Network/Insurance Carrier Org ID]],B113)/D113)</f>
        <v>NA</v>
      </c>
      <c r="Q113" s="147" t="str">
        <f>IF(D113=0,"NA",SUMIFS(AN_TME_BY[[#All],[TOTAL Non-Truncated Unadjusted Expenses (A21 + A23)]],AN_TME_BY[[#All],[Insurance Category Code]],4,AN_TME_BY[[#All],[Advanced Network/Insurance Carrier Org ID]],B113)/D113)</f>
        <v>NA</v>
      </c>
      <c r="R113" s="147" t="str">
        <f>IF(D113=0,"NA",SUMIFS(AN_TME_BY[[#All],[TOTAL Truncated Unadjusted Expenses (A22 + A23)]],AN_TME_BY[[#All],[Insurance Category Code]],4,AN_TME_BY[[#All],[Advanced Network/Insurance Carrier Org ID]],B113)/D113)</f>
        <v>NA</v>
      </c>
      <c r="S113" s="448">
        <f>SUMIFS(AN_TME_PY[[#All],[Member Months]],AN_TME_PY[[#All],[Insurance Category Code]],4,AN_TME_PY[[#All],[Advanced Network/Insurance Carrier Org ID]],B113)</f>
        <v>0</v>
      </c>
      <c r="T113" s="137" t="str">
        <f>IF(S113=0,"NA",SUMIFS(AN_TME_PY[[#All],[Claims: Hospital Inpatient]],AN_TME_PY[[#All],[Insurance Category Code]],4,AN_TME_PY[[#All],[Advanced Network/Insurance Carrier Org ID]],B113)/S113)</f>
        <v>NA</v>
      </c>
      <c r="U113" s="108" t="str">
        <f>IF(S113=0,"NA",SUMIFS(AN_TME_PY[[#All],[Claims: Hospital Outpatient]],AN_TME_PY[[#All],[Insurance Category Code]],4,AN_TME_PY[[#All],[Advanced Network/Insurance Carrier Org ID]],B113)/S113)</f>
        <v>NA</v>
      </c>
      <c r="V113" s="108" t="str">
        <f>IF(S113=0,"NA",SUMIFS(AN_TME_PY[[#All],[Claims: Professional, Primary Care]],AN_TME_PY[[#All],[Insurance Category Code]],4,AN_TME_PY[[#All],[Advanced Network/Insurance Carrier Org ID]],B113)/S113)</f>
        <v>NA</v>
      </c>
      <c r="W113" s="108" t="str">
        <f>IF(S113=0,"NA",SUMIFS(AN_TME_PY[[#All],[Claims: Professional, Primary Care (for Monitoring Purposes)]],AN_TME_PY[[#All],[Insurance Category Code]],4,AN_TME_PY[[#All],[Advanced Network/Insurance Carrier Org ID]],B113)/S113)</f>
        <v>NA</v>
      </c>
      <c r="X113" s="108" t="str">
        <f>IF(S113=0,"NA",SUMIFS(AN_TME_PY[[#All],[Claims: Professional, Specialty]],AN_TME_PY[[#All],[Insurance Category Code]],4,AN_TME_PY[[#All],[Advanced Network/Insurance Carrier Org ID]],B113)/S113)</f>
        <v>NA</v>
      </c>
      <c r="Y113" s="108" t="str">
        <f>IF(S113=0,"NA",SUMIFS(AN_TME_PY[[#All],[Claims: Professional Other]],AN_TME_PY[[#All],[Insurance Category Code]],4,AN_TME_PY[[#All],[Advanced Network/Insurance Carrier Org ID]],B113)/S113)</f>
        <v>NA</v>
      </c>
      <c r="Z113" s="108" t="str">
        <f>IF(S113=0,"NA",SUMIFS(AN_TME_PY[[#All],[Claims: Pharmacy]],AN_TME_PY[[#All],[Insurance Category Code]],4,AN_TME_PY[[#All],[Advanced Network/Insurance Carrier Org ID]],B113)/S113)</f>
        <v>NA</v>
      </c>
      <c r="AA113" s="108" t="str">
        <f>IF(S113=0,"NA",SUMIFS(AN_TME_PY[[#All],[Claims: Long-Term Care]],AN_TME_PY[[#All],[Insurance Category Code]],4,AN_TME_PY[[#All],[Advanced Network/Insurance Carrier Org ID]],B113)/S113)</f>
        <v>NA</v>
      </c>
      <c r="AB113" s="108" t="str">
        <f>IF(S113=0,"NA",SUMIFS(AN_TME_PY[[#All],[Claims: Other]],AN_TME_PY[[#All],[Insurance Category Code]],4,AN_TME_PY[[#All],[Advanced Network/Insurance Carrier Org ID]],B113)/S113)</f>
        <v>NA</v>
      </c>
      <c r="AC113" s="147" t="str">
        <f>IF(S113=0,"NA",SUMIFS(AN_TME_PY[[#All],[TOTAL Non-Truncated Unadjusted Claims Expenses]],AN_TME_PY[[#All],[Insurance Category Code]],4,AN_TME_PY[[#All],[Advanced Network/Insurance Carrier Org ID]],B113)/S113)</f>
        <v>NA</v>
      </c>
      <c r="AD113" s="147" t="str">
        <f>IF(S113=0,"NA",SUMIFS(AN_TME_PY[[#All],[TOTAL Truncated Unadjusted Claims Expenses (A21 -A19)]],AN_TME_PY[[#All],[Insurance Category Code]],4,AN_TME_PY[[#All],[Advanced Network/Insurance Carrier Org ID]],B113)/S113)</f>
        <v>NA</v>
      </c>
      <c r="AE113" s="147" t="str">
        <f>IF(S113=0,"NA",SUMIFS(AN_TME_PY[[#All],[TOTAL Non-Claims Expenses]],AN_TME_PY[[#All],[Insurance Category Code]],4,AN_TME_PY[[#All],[Advanced Network/Insurance Carrier Org ID]],B113)/S113)</f>
        <v>NA</v>
      </c>
      <c r="AF113" s="147" t="str">
        <f>IF(S113=0,"NA",SUMIFS(AN_TME_PY[[#All],[TOTAL Non-Truncated Unadjusted Expenses (A21 + A23)]],AN_TME_PY[[#All],[Insurance Category Code]],4,AN_TME_PY[[#All],[Advanced Network/Insurance Carrier Org ID]],B113)/S113)</f>
        <v>NA</v>
      </c>
      <c r="AG113" s="138" t="str">
        <f>IF(S113=0,"NA",SUMIFS(AN_TME_PY[[#All],[TOTAL Truncated Unadjusted Expenses (A22 + A23)]],AN_TME_PY[[#All],[Insurance Category Code]],4,AN_TME_PY[[#All],[Advanced Network/Insurance Carrier Org ID]],B113)/S113)</f>
        <v>NA</v>
      </c>
      <c r="AH113" s="419" t="str">
        <f t="shared" si="137"/>
        <v>NA</v>
      </c>
      <c r="AI113" s="420" t="str">
        <f t="shared" si="138"/>
        <v>NA</v>
      </c>
      <c r="AJ113" s="421" t="str">
        <f t="shared" si="139"/>
        <v>NA</v>
      </c>
      <c r="AK113" s="421" t="str">
        <f t="shared" si="140"/>
        <v>NA</v>
      </c>
      <c r="AL113" s="421" t="str">
        <f t="shared" si="141"/>
        <v>NA</v>
      </c>
      <c r="AM113" s="421" t="str">
        <f t="shared" si="142"/>
        <v>NA</v>
      </c>
      <c r="AN113" s="421" t="str">
        <f t="shared" si="143"/>
        <v>NA</v>
      </c>
      <c r="AO113" s="421" t="str">
        <f t="shared" si="144"/>
        <v>NA</v>
      </c>
      <c r="AP113" s="421" t="str">
        <f t="shared" si="145"/>
        <v>NA</v>
      </c>
      <c r="AQ113" s="421" t="str">
        <f t="shared" si="146"/>
        <v>NA</v>
      </c>
      <c r="AR113" s="422" t="str">
        <f t="shared" si="147"/>
        <v>NA</v>
      </c>
      <c r="AS113" s="422" t="str">
        <f t="shared" si="148"/>
        <v>NA</v>
      </c>
      <c r="AT113" s="422" t="str">
        <f t="shared" si="149"/>
        <v>NA</v>
      </c>
      <c r="AU113" s="422" t="str">
        <f t="shared" si="150"/>
        <v>NA</v>
      </c>
      <c r="AV113" s="423" t="str">
        <f t="shared" si="151"/>
        <v>NA</v>
      </c>
    </row>
    <row r="114" spans="1:48" ht="15" customHeight="1" x14ac:dyDescent="0.25">
      <c r="A114" s="146"/>
      <c r="B114" s="148">
        <v>125</v>
      </c>
      <c r="C114" s="151" t="str">
        <f>_xlfn.XLOOKUP(B114, LgProvEntOrgIDs[Advanced Network/Insurer Carrier Org ID], LgProvEntOrgIDs[Advanced Network/Insurance Carrier Overall])</f>
        <v>Stamford Health Medical Group</v>
      </c>
      <c r="D114" s="448">
        <f>SUMIFS(AN_TME_BY[[#All],[Member Months]],AN_TME_BY[[#All],[Insurance Category Code]],4,AN_TME_BY[[#All],[Advanced Network/Insurance Carrier Org ID]],B114)</f>
        <v>0</v>
      </c>
      <c r="E114" s="137" t="str">
        <f>IF(D114=0,"NA",SUMIFS(AN_TME_BY[[#All],[Claims: Hospital Inpatient]],AN_TME_BY[[#All],[Insurance Category Code]],4,AN_TME_BY[[#All],[Advanced Network/Insurance Carrier Org ID]],B114)/D114)</f>
        <v>NA</v>
      </c>
      <c r="F114" s="108" t="str">
        <f>IF(D114=0,"NA",SUMIFS(AN_TME_BY[[#All],[Claims: Hospital Outpatient]],AN_TME_BY[[#All],[Insurance Category Code]],4,AN_TME_BY[[#All],[Advanced Network/Insurance Carrier Org ID]],B114)/D114)</f>
        <v>NA</v>
      </c>
      <c r="G114" s="108" t="str">
        <f>IF(D114=0,"NA",SUMIFS(AN_TME_BY[[#All],[Claims: Professional, Primary Care]],AN_TME_BY[[#All],[Insurance Category Code]],4,AN_TME_BY[[#All],[Advanced Network/Insurance Carrier Org ID]],B114)/D114)</f>
        <v>NA</v>
      </c>
      <c r="H114" s="108" t="str">
        <f>IF(D114=0,"NA",SUMIFS(AN_TME_BY[[#All],[Claims: Professional, Primary Care (for Monitoring Purposes)]],AN_TME_BY[[#All],[Insurance Category Code]],4,AN_TME_BY[[#All],[Advanced Network/Insurance Carrier Org ID]],B114)/D114)</f>
        <v>NA</v>
      </c>
      <c r="I114" s="108" t="str">
        <f>IF(D114=0,"NA",SUMIFS(AN_TME_BY[[#All],[Claims: Professional, Specialty]],AN_TME_BY[[#All],[Insurance Category Code]],4,AN_TME_BY[[#All],[Advanced Network/Insurance Carrier Org ID]],B114)/D114)</f>
        <v>NA</v>
      </c>
      <c r="J114" s="108" t="str">
        <f>IF(D114=0,"NA",SUMIFS(AN_TME_BY[[#All],[Claims: Professional Other]],AN_TME_BY[[#All],[Insurance Category Code]],4,AN_TME_BY[[#All],[Advanced Network/Insurance Carrier Org ID]],B114)/D114)</f>
        <v>NA</v>
      </c>
      <c r="K114" s="108" t="str">
        <f>IF(D114=0,"NA",SUMIFS(AN_TME_BY[[#All],[Claims: Pharmacy]],AN_TME_BY[[#All],[Insurance Category Code]],4,AN_TME_BY[[#All],[Advanced Network/Insurance Carrier Org ID]],B114)/D114)</f>
        <v>NA</v>
      </c>
      <c r="L114" s="108" t="str">
        <f>IF(D114=0,"NA",SUMIFS(AN_TME_BY[[#All],[Claims: Long-Term Care]],AN_TME_BY[[#All],[Insurance Category Code]],4,AN_TME_BY[[#All],[Advanced Network/Insurance Carrier Org ID]],B114)/D114)</f>
        <v>NA</v>
      </c>
      <c r="M114" s="108" t="str">
        <f>IF(D114=0,"NA",SUMIFS(AN_TME_BY[[#All],[Claims: Other]],AN_TME_BY[[#All],[Insurance Category Code]],4,AN_TME_BY[[#All],[Advanced Network/Insurance Carrier Org ID]],B114)/D114)</f>
        <v>NA</v>
      </c>
      <c r="N114" s="147" t="str">
        <f>IF(D114=0,"NA",SUMIFS(AN_TME_BY[[#All],[TOTAL Non-Truncated Unadjusted Claims Expenses]],AN_TME_BY[[#All],[Insurance Category Code]],4,AN_TME_BY[[#All],[Advanced Network/Insurance Carrier Org ID]],B114)/D114)</f>
        <v>NA</v>
      </c>
      <c r="O114" s="147" t="str">
        <f>IF(D114=0,"NA",SUMIFS(AN_TME_BY[[#All],[TOTAL Truncated Unadjusted Claims Expenses (A21 -A19)]],AN_TME_BY[[#All],[Insurance Category Code]],4,AN_TME_BY[[#All],[Advanced Network/Insurance Carrier Org ID]],B114)/D114)</f>
        <v>NA</v>
      </c>
      <c r="P114" s="147" t="str">
        <f>IF(D114=0,"NA",SUMIFS(AN_TME_BY[[#All],[TOTAL Non-Claims Expenses]],AN_TME_BY[[#All],[Insurance Category Code]],4,AN_TME_BY[[#All],[Advanced Network/Insurance Carrier Org ID]],B114)/D114)</f>
        <v>NA</v>
      </c>
      <c r="Q114" s="147" t="str">
        <f>IF(D114=0,"NA",SUMIFS(AN_TME_BY[[#All],[TOTAL Non-Truncated Unadjusted Expenses (A21 + A23)]],AN_TME_BY[[#All],[Insurance Category Code]],4,AN_TME_BY[[#All],[Advanced Network/Insurance Carrier Org ID]],B114)/D114)</f>
        <v>NA</v>
      </c>
      <c r="R114" s="147" t="str">
        <f>IF(D114=0,"NA",SUMIFS(AN_TME_BY[[#All],[TOTAL Truncated Unadjusted Expenses (A22 + A23)]],AN_TME_BY[[#All],[Insurance Category Code]],4,AN_TME_BY[[#All],[Advanced Network/Insurance Carrier Org ID]],B114)/D114)</f>
        <v>NA</v>
      </c>
      <c r="S114" s="448">
        <f>SUMIFS(AN_TME_PY[[#All],[Member Months]],AN_TME_PY[[#All],[Insurance Category Code]],4,AN_TME_PY[[#All],[Advanced Network/Insurance Carrier Org ID]],B114)</f>
        <v>0</v>
      </c>
      <c r="T114" s="137" t="str">
        <f>IF(S114=0,"NA",SUMIFS(AN_TME_PY[[#All],[Claims: Hospital Inpatient]],AN_TME_PY[[#All],[Insurance Category Code]],4,AN_TME_PY[[#All],[Advanced Network/Insurance Carrier Org ID]],B114)/S114)</f>
        <v>NA</v>
      </c>
      <c r="U114" s="108" t="str">
        <f>IF(S114=0,"NA",SUMIFS(AN_TME_PY[[#All],[Claims: Hospital Outpatient]],AN_TME_PY[[#All],[Insurance Category Code]],4,AN_TME_PY[[#All],[Advanced Network/Insurance Carrier Org ID]],B114)/S114)</f>
        <v>NA</v>
      </c>
      <c r="V114" s="108" t="str">
        <f>IF(S114=0,"NA",SUMIFS(AN_TME_PY[[#All],[Claims: Professional, Primary Care]],AN_TME_PY[[#All],[Insurance Category Code]],4,AN_TME_PY[[#All],[Advanced Network/Insurance Carrier Org ID]],B114)/S114)</f>
        <v>NA</v>
      </c>
      <c r="W114" s="108" t="str">
        <f>IF(S114=0,"NA",SUMIFS(AN_TME_PY[[#All],[Claims: Professional, Primary Care (for Monitoring Purposes)]],AN_TME_PY[[#All],[Insurance Category Code]],4,AN_TME_PY[[#All],[Advanced Network/Insurance Carrier Org ID]],B114)/S114)</f>
        <v>NA</v>
      </c>
      <c r="X114" s="108" t="str">
        <f>IF(S114=0,"NA",SUMIFS(AN_TME_PY[[#All],[Claims: Professional, Specialty]],AN_TME_PY[[#All],[Insurance Category Code]],4,AN_TME_PY[[#All],[Advanced Network/Insurance Carrier Org ID]],B114)/S114)</f>
        <v>NA</v>
      </c>
      <c r="Y114" s="108" t="str">
        <f>IF(S114=0,"NA",SUMIFS(AN_TME_PY[[#All],[Claims: Professional Other]],AN_TME_PY[[#All],[Insurance Category Code]],4,AN_TME_PY[[#All],[Advanced Network/Insurance Carrier Org ID]],B114)/S114)</f>
        <v>NA</v>
      </c>
      <c r="Z114" s="108" t="str">
        <f>IF(S114=0,"NA",SUMIFS(AN_TME_PY[[#All],[Claims: Pharmacy]],AN_TME_PY[[#All],[Insurance Category Code]],4,AN_TME_PY[[#All],[Advanced Network/Insurance Carrier Org ID]],B114)/S114)</f>
        <v>NA</v>
      </c>
      <c r="AA114" s="108" t="str">
        <f>IF(S114=0,"NA",SUMIFS(AN_TME_PY[[#All],[Claims: Long-Term Care]],AN_TME_PY[[#All],[Insurance Category Code]],4,AN_TME_PY[[#All],[Advanced Network/Insurance Carrier Org ID]],B114)/S114)</f>
        <v>NA</v>
      </c>
      <c r="AB114" s="108" t="str">
        <f>IF(S114=0,"NA",SUMIFS(AN_TME_PY[[#All],[Claims: Other]],AN_TME_PY[[#All],[Insurance Category Code]],4,AN_TME_PY[[#All],[Advanced Network/Insurance Carrier Org ID]],B114)/S114)</f>
        <v>NA</v>
      </c>
      <c r="AC114" s="147" t="str">
        <f>IF(S114=0,"NA",SUMIFS(AN_TME_PY[[#All],[TOTAL Non-Truncated Unadjusted Claims Expenses]],AN_TME_PY[[#All],[Insurance Category Code]],4,AN_TME_PY[[#All],[Advanced Network/Insurance Carrier Org ID]],B114)/S114)</f>
        <v>NA</v>
      </c>
      <c r="AD114" s="147" t="str">
        <f>IF(S114=0,"NA",SUMIFS(AN_TME_PY[[#All],[TOTAL Truncated Unadjusted Claims Expenses (A21 -A19)]],AN_TME_PY[[#All],[Insurance Category Code]],4,AN_TME_PY[[#All],[Advanced Network/Insurance Carrier Org ID]],B114)/S114)</f>
        <v>NA</v>
      </c>
      <c r="AE114" s="147" t="str">
        <f>IF(S114=0,"NA",SUMIFS(AN_TME_PY[[#All],[TOTAL Non-Claims Expenses]],AN_TME_PY[[#All],[Insurance Category Code]],4,AN_TME_PY[[#All],[Advanced Network/Insurance Carrier Org ID]],B114)/S114)</f>
        <v>NA</v>
      </c>
      <c r="AF114" s="147" t="str">
        <f>IF(S114=0,"NA",SUMIFS(AN_TME_PY[[#All],[TOTAL Non-Truncated Unadjusted Expenses (A21 + A23)]],AN_TME_PY[[#All],[Insurance Category Code]],4,AN_TME_PY[[#All],[Advanced Network/Insurance Carrier Org ID]],B114)/S114)</f>
        <v>NA</v>
      </c>
      <c r="AG114" s="138" t="str">
        <f>IF(S114=0,"NA",SUMIFS(AN_TME_PY[[#All],[TOTAL Truncated Unadjusted Expenses (A22 + A23)]],AN_TME_PY[[#All],[Insurance Category Code]],4,AN_TME_PY[[#All],[Advanced Network/Insurance Carrier Org ID]],B114)/S114)</f>
        <v>NA</v>
      </c>
      <c r="AH114" s="419" t="str">
        <f t="shared" si="137"/>
        <v>NA</v>
      </c>
      <c r="AI114" s="420" t="str">
        <f t="shared" si="138"/>
        <v>NA</v>
      </c>
      <c r="AJ114" s="421" t="str">
        <f t="shared" si="139"/>
        <v>NA</v>
      </c>
      <c r="AK114" s="421" t="str">
        <f t="shared" si="140"/>
        <v>NA</v>
      </c>
      <c r="AL114" s="421" t="str">
        <f t="shared" si="141"/>
        <v>NA</v>
      </c>
      <c r="AM114" s="421" t="str">
        <f t="shared" si="142"/>
        <v>NA</v>
      </c>
      <c r="AN114" s="421" t="str">
        <f t="shared" si="143"/>
        <v>NA</v>
      </c>
      <c r="AO114" s="421" t="str">
        <f t="shared" si="144"/>
        <v>NA</v>
      </c>
      <c r="AP114" s="421" t="str">
        <f t="shared" si="145"/>
        <v>NA</v>
      </c>
      <c r="AQ114" s="421" t="str">
        <f t="shared" si="146"/>
        <v>NA</v>
      </c>
      <c r="AR114" s="422" t="str">
        <f t="shared" si="147"/>
        <v>NA</v>
      </c>
      <c r="AS114" s="422" t="str">
        <f t="shared" si="148"/>
        <v>NA</v>
      </c>
      <c r="AT114" s="422" t="str">
        <f t="shared" si="149"/>
        <v>NA</v>
      </c>
      <c r="AU114" s="422" t="str">
        <f t="shared" si="150"/>
        <v>NA</v>
      </c>
      <c r="AV114" s="423" t="str">
        <f t="shared" si="151"/>
        <v>NA</v>
      </c>
    </row>
    <row r="115" spans="1:48" ht="15" customHeight="1" x14ac:dyDescent="0.25">
      <c r="A115" s="146"/>
      <c r="B115" s="148">
        <v>126</v>
      </c>
      <c r="C115" s="151" t="str">
        <f>_xlfn.XLOOKUP(B115, LgProvEntOrgIDs[Advanced Network/Insurer Carrier Org ID], LgProvEntOrgIDs[Advanced Network/Insurance Carrier Overall])</f>
        <v>Starling Physicians</v>
      </c>
      <c r="D115" s="448">
        <f>SUMIFS(AN_TME_BY[[#All],[Member Months]],AN_TME_BY[[#All],[Insurance Category Code]],4,AN_TME_BY[[#All],[Advanced Network/Insurance Carrier Org ID]],B115)</f>
        <v>0</v>
      </c>
      <c r="E115" s="137" t="str">
        <f>IF(D115=0,"NA",SUMIFS(AN_TME_BY[[#All],[Claims: Hospital Inpatient]],AN_TME_BY[[#All],[Insurance Category Code]],4,AN_TME_BY[[#All],[Advanced Network/Insurance Carrier Org ID]],B115)/D115)</f>
        <v>NA</v>
      </c>
      <c r="F115" s="108" t="str">
        <f>IF(D115=0,"NA",SUMIFS(AN_TME_BY[[#All],[Claims: Hospital Outpatient]],AN_TME_BY[[#All],[Insurance Category Code]],4,AN_TME_BY[[#All],[Advanced Network/Insurance Carrier Org ID]],B115)/D115)</f>
        <v>NA</v>
      </c>
      <c r="G115" s="108" t="str">
        <f>IF(D115=0,"NA",SUMIFS(AN_TME_BY[[#All],[Claims: Professional, Primary Care]],AN_TME_BY[[#All],[Insurance Category Code]],4,AN_TME_BY[[#All],[Advanced Network/Insurance Carrier Org ID]],B115)/D115)</f>
        <v>NA</v>
      </c>
      <c r="H115" s="108" t="str">
        <f>IF(D115=0,"NA",SUMIFS(AN_TME_BY[[#All],[Claims: Professional, Primary Care (for Monitoring Purposes)]],AN_TME_BY[[#All],[Insurance Category Code]],4,AN_TME_BY[[#All],[Advanced Network/Insurance Carrier Org ID]],B115)/D115)</f>
        <v>NA</v>
      </c>
      <c r="I115" s="108" t="str">
        <f>IF(D115=0,"NA",SUMIFS(AN_TME_BY[[#All],[Claims: Professional, Specialty]],AN_TME_BY[[#All],[Insurance Category Code]],4,AN_TME_BY[[#All],[Advanced Network/Insurance Carrier Org ID]],B115)/D115)</f>
        <v>NA</v>
      </c>
      <c r="J115" s="108" t="str">
        <f>IF(D115=0,"NA",SUMIFS(AN_TME_BY[[#All],[Claims: Professional Other]],AN_TME_BY[[#All],[Insurance Category Code]],4,AN_TME_BY[[#All],[Advanced Network/Insurance Carrier Org ID]],B115)/D115)</f>
        <v>NA</v>
      </c>
      <c r="K115" s="108" t="str">
        <f>IF(D115=0,"NA",SUMIFS(AN_TME_BY[[#All],[Claims: Pharmacy]],AN_TME_BY[[#All],[Insurance Category Code]],4,AN_TME_BY[[#All],[Advanced Network/Insurance Carrier Org ID]],B115)/D115)</f>
        <v>NA</v>
      </c>
      <c r="L115" s="108" t="str">
        <f>IF(D115=0,"NA",SUMIFS(AN_TME_BY[[#All],[Claims: Long-Term Care]],AN_TME_BY[[#All],[Insurance Category Code]],4,AN_TME_BY[[#All],[Advanced Network/Insurance Carrier Org ID]],B115)/D115)</f>
        <v>NA</v>
      </c>
      <c r="M115" s="108" t="str">
        <f>IF(D115=0,"NA",SUMIFS(AN_TME_BY[[#All],[Claims: Other]],AN_TME_BY[[#All],[Insurance Category Code]],4,AN_TME_BY[[#All],[Advanced Network/Insurance Carrier Org ID]],B115)/D115)</f>
        <v>NA</v>
      </c>
      <c r="N115" s="147" t="str">
        <f>IF(D115=0,"NA",SUMIFS(AN_TME_BY[[#All],[TOTAL Non-Truncated Unadjusted Claims Expenses]],AN_TME_BY[[#All],[Insurance Category Code]],4,AN_TME_BY[[#All],[Advanced Network/Insurance Carrier Org ID]],B115)/D115)</f>
        <v>NA</v>
      </c>
      <c r="O115" s="147" t="str">
        <f>IF(D115=0,"NA",SUMIFS(AN_TME_BY[[#All],[TOTAL Truncated Unadjusted Claims Expenses (A21 -A19)]],AN_TME_BY[[#All],[Insurance Category Code]],4,AN_TME_BY[[#All],[Advanced Network/Insurance Carrier Org ID]],B115)/D115)</f>
        <v>NA</v>
      </c>
      <c r="P115" s="147" t="str">
        <f>IF(D115=0,"NA",SUMIFS(AN_TME_BY[[#All],[TOTAL Non-Claims Expenses]],AN_TME_BY[[#All],[Insurance Category Code]],4,AN_TME_BY[[#All],[Advanced Network/Insurance Carrier Org ID]],B115)/D115)</f>
        <v>NA</v>
      </c>
      <c r="Q115" s="147" t="str">
        <f>IF(D115=0,"NA",SUMIFS(AN_TME_BY[[#All],[TOTAL Non-Truncated Unadjusted Expenses (A21 + A23)]],AN_TME_BY[[#All],[Insurance Category Code]],4,AN_TME_BY[[#All],[Advanced Network/Insurance Carrier Org ID]],B115)/D115)</f>
        <v>NA</v>
      </c>
      <c r="R115" s="147" t="str">
        <f>IF(D115=0,"NA",SUMIFS(AN_TME_BY[[#All],[TOTAL Truncated Unadjusted Expenses (A22 + A23)]],AN_TME_BY[[#All],[Insurance Category Code]],4,AN_TME_BY[[#All],[Advanced Network/Insurance Carrier Org ID]],B115)/D115)</f>
        <v>NA</v>
      </c>
      <c r="S115" s="448">
        <f>SUMIFS(AN_TME_PY[[#All],[Member Months]],AN_TME_PY[[#All],[Insurance Category Code]],4,AN_TME_PY[[#All],[Advanced Network/Insurance Carrier Org ID]],B115)</f>
        <v>0</v>
      </c>
      <c r="T115" s="137" t="str">
        <f>IF(S115=0,"NA",SUMIFS(AN_TME_PY[[#All],[Claims: Hospital Inpatient]],AN_TME_PY[[#All],[Insurance Category Code]],4,AN_TME_PY[[#All],[Advanced Network/Insurance Carrier Org ID]],B115)/S115)</f>
        <v>NA</v>
      </c>
      <c r="U115" s="108" t="str">
        <f>IF(S115=0,"NA",SUMIFS(AN_TME_PY[[#All],[Claims: Hospital Outpatient]],AN_TME_PY[[#All],[Insurance Category Code]],4,AN_TME_PY[[#All],[Advanced Network/Insurance Carrier Org ID]],B115)/S115)</f>
        <v>NA</v>
      </c>
      <c r="V115" s="108" t="str">
        <f>IF(S115=0,"NA",SUMIFS(AN_TME_PY[[#All],[Claims: Professional, Primary Care]],AN_TME_PY[[#All],[Insurance Category Code]],4,AN_TME_PY[[#All],[Advanced Network/Insurance Carrier Org ID]],B115)/S115)</f>
        <v>NA</v>
      </c>
      <c r="W115" s="108" t="str">
        <f>IF(S115=0,"NA",SUMIFS(AN_TME_PY[[#All],[Claims: Professional, Primary Care (for Monitoring Purposes)]],AN_TME_PY[[#All],[Insurance Category Code]],4,AN_TME_PY[[#All],[Advanced Network/Insurance Carrier Org ID]],B115)/S115)</f>
        <v>NA</v>
      </c>
      <c r="X115" s="108" t="str">
        <f>IF(S115=0,"NA",SUMIFS(AN_TME_PY[[#All],[Claims: Professional, Specialty]],AN_TME_PY[[#All],[Insurance Category Code]],4,AN_TME_PY[[#All],[Advanced Network/Insurance Carrier Org ID]],B115)/S115)</f>
        <v>NA</v>
      </c>
      <c r="Y115" s="108" t="str">
        <f>IF(S115=0,"NA",SUMIFS(AN_TME_PY[[#All],[Claims: Professional Other]],AN_TME_PY[[#All],[Insurance Category Code]],4,AN_TME_PY[[#All],[Advanced Network/Insurance Carrier Org ID]],B115)/S115)</f>
        <v>NA</v>
      </c>
      <c r="Z115" s="108" t="str">
        <f>IF(S115=0,"NA",SUMIFS(AN_TME_PY[[#All],[Claims: Pharmacy]],AN_TME_PY[[#All],[Insurance Category Code]],4,AN_TME_PY[[#All],[Advanced Network/Insurance Carrier Org ID]],B115)/S115)</f>
        <v>NA</v>
      </c>
      <c r="AA115" s="108" t="str">
        <f>IF(S115=0,"NA",SUMIFS(AN_TME_PY[[#All],[Claims: Long-Term Care]],AN_TME_PY[[#All],[Insurance Category Code]],4,AN_TME_PY[[#All],[Advanced Network/Insurance Carrier Org ID]],B115)/S115)</f>
        <v>NA</v>
      </c>
      <c r="AB115" s="108" t="str">
        <f>IF(S115=0,"NA",SUMIFS(AN_TME_PY[[#All],[Claims: Other]],AN_TME_PY[[#All],[Insurance Category Code]],4,AN_TME_PY[[#All],[Advanced Network/Insurance Carrier Org ID]],B115)/S115)</f>
        <v>NA</v>
      </c>
      <c r="AC115" s="147" t="str">
        <f>IF(S115=0,"NA",SUMIFS(AN_TME_PY[[#All],[TOTAL Non-Truncated Unadjusted Claims Expenses]],AN_TME_PY[[#All],[Insurance Category Code]],4,AN_TME_PY[[#All],[Advanced Network/Insurance Carrier Org ID]],B115)/S115)</f>
        <v>NA</v>
      </c>
      <c r="AD115" s="147" t="str">
        <f>IF(S115=0,"NA",SUMIFS(AN_TME_PY[[#All],[TOTAL Truncated Unadjusted Claims Expenses (A21 -A19)]],AN_TME_PY[[#All],[Insurance Category Code]],4,AN_TME_PY[[#All],[Advanced Network/Insurance Carrier Org ID]],B115)/S115)</f>
        <v>NA</v>
      </c>
      <c r="AE115" s="147" t="str">
        <f>IF(S115=0,"NA",SUMIFS(AN_TME_PY[[#All],[TOTAL Non-Claims Expenses]],AN_TME_PY[[#All],[Insurance Category Code]],4,AN_TME_PY[[#All],[Advanced Network/Insurance Carrier Org ID]],B115)/S115)</f>
        <v>NA</v>
      </c>
      <c r="AF115" s="147" t="str">
        <f>IF(S115=0,"NA",SUMIFS(AN_TME_PY[[#All],[TOTAL Non-Truncated Unadjusted Expenses (A21 + A23)]],AN_TME_PY[[#All],[Insurance Category Code]],4,AN_TME_PY[[#All],[Advanced Network/Insurance Carrier Org ID]],B115)/S115)</f>
        <v>NA</v>
      </c>
      <c r="AG115" s="138" t="str">
        <f>IF(S115=0,"NA",SUMIFS(AN_TME_PY[[#All],[TOTAL Truncated Unadjusted Expenses (A22 + A23)]],AN_TME_PY[[#All],[Insurance Category Code]],4,AN_TME_PY[[#All],[Advanced Network/Insurance Carrier Org ID]],B115)/S115)</f>
        <v>NA</v>
      </c>
      <c r="AH115" s="419" t="str">
        <f t="shared" si="137"/>
        <v>NA</v>
      </c>
      <c r="AI115" s="420" t="str">
        <f t="shared" si="138"/>
        <v>NA</v>
      </c>
      <c r="AJ115" s="421" t="str">
        <f t="shared" si="139"/>
        <v>NA</v>
      </c>
      <c r="AK115" s="421" t="str">
        <f t="shared" si="140"/>
        <v>NA</v>
      </c>
      <c r="AL115" s="421" t="str">
        <f t="shared" si="141"/>
        <v>NA</v>
      </c>
      <c r="AM115" s="421" t="str">
        <f t="shared" si="142"/>
        <v>NA</v>
      </c>
      <c r="AN115" s="421" t="str">
        <f t="shared" si="143"/>
        <v>NA</v>
      </c>
      <c r="AO115" s="421" t="str">
        <f t="shared" si="144"/>
        <v>NA</v>
      </c>
      <c r="AP115" s="421" t="str">
        <f t="shared" si="145"/>
        <v>NA</v>
      </c>
      <c r="AQ115" s="421" t="str">
        <f t="shared" si="146"/>
        <v>NA</v>
      </c>
      <c r="AR115" s="422" t="str">
        <f t="shared" si="147"/>
        <v>NA</v>
      </c>
      <c r="AS115" s="422" t="str">
        <f t="shared" si="148"/>
        <v>NA</v>
      </c>
      <c r="AT115" s="422" t="str">
        <f t="shared" si="149"/>
        <v>NA</v>
      </c>
      <c r="AU115" s="422" t="str">
        <f t="shared" si="150"/>
        <v>NA</v>
      </c>
      <c r="AV115" s="423" t="str">
        <f t="shared" si="151"/>
        <v>NA</v>
      </c>
    </row>
    <row r="116" spans="1:48" ht="15" customHeight="1" x14ac:dyDescent="0.25">
      <c r="A116" s="146"/>
      <c r="B116" s="148">
        <v>127</v>
      </c>
      <c r="C116" s="151" t="str">
        <f>_xlfn.XLOOKUP(B116, LgProvEntOrgIDs[Advanced Network/Insurer Carrier Org ID], LgProvEntOrgIDs[Advanced Network/Insurance Carrier Overall])</f>
        <v>UConn Medical Group</v>
      </c>
      <c r="D116" s="448">
        <f>SUMIFS(AN_TME_BY[[#All],[Member Months]],AN_TME_BY[[#All],[Insurance Category Code]],4,AN_TME_BY[[#All],[Advanced Network/Insurance Carrier Org ID]],B116)</f>
        <v>0</v>
      </c>
      <c r="E116" s="137" t="str">
        <f>IF(D116=0,"NA",SUMIFS(AN_TME_BY[[#All],[Claims: Hospital Inpatient]],AN_TME_BY[[#All],[Insurance Category Code]],4,AN_TME_BY[[#All],[Advanced Network/Insurance Carrier Org ID]],B116)/D116)</f>
        <v>NA</v>
      </c>
      <c r="F116" s="108" t="str">
        <f>IF(D116=0,"NA",SUMIFS(AN_TME_BY[[#All],[Claims: Hospital Outpatient]],AN_TME_BY[[#All],[Insurance Category Code]],4,AN_TME_BY[[#All],[Advanced Network/Insurance Carrier Org ID]],B116)/D116)</f>
        <v>NA</v>
      </c>
      <c r="G116" s="108" t="str">
        <f>IF(D116=0,"NA",SUMIFS(AN_TME_BY[[#All],[Claims: Professional, Primary Care]],AN_TME_BY[[#All],[Insurance Category Code]],4,AN_TME_BY[[#All],[Advanced Network/Insurance Carrier Org ID]],B116)/D116)</f>
        <v>NA</v>
      </c>
      <c r="H116" s="108" t="str">
        <f>IF(D116=0,"NA",SUMIFS(AN_TME_BY[[#All],[Claims: Professional, Primary Care (for Monitoring Purposes)]],AN_TME_BY[[#All],[Insurance Category Code]],4,AN_TME_BY[[#All],[Advanced Network/Insurance Carrier Org ID]],B116)/D116)</f>
        <v>NA</v>
      </c>
      <c r="I116" s="108" t="str">
        <f>IF(D116=0,"NA",SUMIFS(AN_TME_BY[[#All],[Claims: Professional, Specialty]],AN_TME_BY[[#All],[Insurance Category Code]],4,AN_TME_BY[[#All],[Advanced Network/Insurance Carrier Org ID]],B116)/D116)</f>
        <v>NA</v>
      </c>
      <c r="J116" s="108" t="str">
        <f>IF(D116=0,"NA",SUMIFS(AN_TME_BY[[#All],[Claims: Professional Other]],AN_TME_BY[[#All],[Insurance Category Code]],4,AN_TME_BY[[#All],[Advanced Network/Insurance Carrier Org ID]],B116)/D116)</f>
        <v>NA</v>
      </c>
      <c r="K116" s="108" t="str">
        <f>IF(D116=0,"NA",SUMIFS(AN_TME_BY[[#All],[Claims: Pharmacy]],AN_TME_BY[[#All],[Insurance Category Code]],4,AN_TME_BY[[#All],[Advanced Network/Insurance Carrier Org ID]],B116)/D116)</f>
        <v>NA</v>
      </c>
      <c r="L116" s="108" t="str">
        <f>IF(D116=0,"NA",SUMIFS(AN_TME_BY[[#All],[Claims: Long-Term Care]],AN_TME_BY[[#All],[Insurance Category Code]],4,AN_TME_BY[[#All],[Advanced Network/Insurance Carrier Org ID]],B116)/D116)</f>
        <v>NA</v>
      </c>
      <c r="M116" s="108" t="str">
        <f>IF(D116=0,"NA",SUMIFS(AN_TME_BY[[#All],[Claims: Other]],AN_TME_BY[[#All],[Insurance Category Code]],4,AN_TME_BY[[#All],[Advanced Network/Insurance Carrier Org ID]],B116)/D116)</f>
        <v>NA</v>
      </c>
      <c r="N116" s="147" t="str">
        <f>IF(D116=0,"NA",SUMIFS(AN_TME_BY[[#All],[TOTAL Non-Truncated Unadjusted Claims Expenses]],AN_TME_BY[[#All],[Insurance Category Code]],4,AN_TME_BY[[#All],[Advanced Network/Insurance Carrier Org ID]],B116)/D116)</f>
        <v>NA</v>
      </c>
      <c r="O116" s="147" t="str">
        <f>IF(D116=0,"NA",SUMIFS(AN_TME_BY[[#All],[TOTAL Truncated Unadjusted Claims Expenses (A21 -A19)]],AN_TME_BY[[#All],[Insurance Category Code]],4,AN_TME_BY[[#All],[Advanced Network/Insurance Carrier Org ID]],B116)/D116)</f>
        <v>NA</v>
      </c>
      <c r="P116" s="147" t="str">
        <f>IF(D116=0,"NA",SUMIFS(AN_TME_BY[[#All],[TOTAL Non-Claims Expenses]],AN_TME_BY[[#All],[Insurance Category Code]],4,AN_TME_BY[[#All],[Advanced Network/Insurance Carrier Org ID]],B116)/D116)</f>
        <v>NA</v>
      </c>
      <c r="Q116" s="147" t="str">
        <f>IF(D116=0,"NA",SUMIFS(AN_TME_BY[[#All],[TOTAL Non-Truncated Unadjusted Expenses (A21 + A23)]],AN_TME_BY[[#All],[Insurance Category Code]],4,AN_TME_BY[[#All],[Advanced Network/Insurance Carrier Org ID]],B116)/D116)</f>
        <v>NA</v>
      </c>
      <c r="R116" s="147" t="str">
        <f>IF(D116=0,"NA",SUMIFS(AN_TME_BY[[#All],[TOTAL Truncated Unadjusted Expenses (A22 + A23)]],AN_TME_BY[[#All],[Insurance Category Code]],4,AN_TME_BY[[#All],[Advanced Network/Insurance Carrier Org ID]],B116)/D116)</f>
        <v>NA</v>
      </c>
      <c r="S116" s="448">
        <f>SUMIFS(AN_TME_PY[[#All],[Member Months]],AN_TME_PY[[#All],[Insurance Category Code]],4,AN_TME_PY[[#All],[Advanced Network/Insurance Carrier Org ID]],B116)</f>
        <v>0</v>
      </c>
      <c r="T116" s="137" t="str">
        <f>IF(S116=0,"NA",SUMIFS(AN_TME_PY[[#All],[Claims: Hospital Inpatient]],AN_TME_PY[[#All],[Insurance Category Code]],4,AN_TME_PY[[#All],[Advanced Network/Insurance Carrier Org ID]],B116)/S116)</f>
        <v>NA</v>
      </c>
      <c r="U116" s="108" t="str">
        <f>IF(S116=0,"NA",SUMIFS(AN_TME_PY[[#All],[Claims: Hospital Outpatient]],AN_TME_PY[[#All],[Insurance Category Code]],4,AN_TME_PY[[#All],[Advanced Network/Insurance Carrier Org ID]],B116)/S116)</f>
        <v>NA</v>
      </c>
      <c r="V116" s="108" t="str">
        <f>IF(S116=0,"NA",SUMIFS(AN_TME_PY[[#All],[Claims: Professional, Primary Care]],AN_TME_PY[[#All],[Insurance Category Code]],4,AN_TME_PY[[#All],[Advanced Network/Insurance Carrier Org ID]],B116)/S116)</f>
        <v>NA</v>
      </c>
      <c r="W116" s="108" t="str">
        <f>IF(S116=0,"NA",SUMIFS(AN_TME_PY[[#All],[Claims: Professional, Primary Care (for Monitoring Purposes)]],AN_TME_PY[[#All],[Insurance Category Code]],4,AN_TME_PY[[#All],[Advanced Network/Insurance Carrier Org ID]],B116)/S116)</f>
        <v>NA</v>
      </c>
      <c r="X116" s="108" t="str">
        <f>IF(S116=0,"NA",SUMIFS(AN_TME_PY[[#All],[Claims: Professional, Specialty]],AN_TME_PY[[#All],[Insurance Category Code]],4,AN_TME_PY[[#All],[Advanced Network/Insurance Carrier Org ID]],B116)/S116)</f>
        <v>NA</v>
      </c>
      <c r="Y116" s="108" t="str">
        <f>IF(S116=0,"NA",SUMIFS(AN_TME_PY[[#All],[Claims: Professional Other]],AN_TME_PY[[#All],[Insurance Category Code]],4,AN_TME_PY[[#All],[Advanced Network/Insurance Carrier Org ID]],B116)/S116)</f>
        <v>NA</v>
      </c>
      <c r="Z116" s="108" t="str">
        <f>IF(S116=0,"NA",SUMIFS(AN_TME_PY[[#All],[Claims: Pharmacy]],AN_TME_PY[[#All],[Insurance Category Code]],4,AN_TME_PY[[#All],[Advanced Network/Insurance Carrier Org ID]],B116)/S116)</f>
        <v>NA</v>
      </c>
      <c r="AA116" s="108" t="str">
        <f>IF(S116=0,"NA",SUMIFS(AN_TME_PY[[#All],[Claims: Long-Term Care]],AN_TME_PY[[#All],[Insurance Category Code]],4,AN_TME_PY[[#All],[Advanced Network/Insurance Carrier Org ID]],B116)/S116)</f>
        <v>NA</v>
      </c>
      <c r="AB116" s="108" t="str">
        <f>IF(S116=0,"NA",SUMIFS(AN_TME_PY[[#All],[Claims: Other]],AN_TME_PY[[#All],[Insurance Category Code]],4,AN_TME_PY[[#All],[Advanced Network/Insurance Carrier Org ID]],B116)/S116)</f>
        <v>NA</v>
      </c>
      <c r="AC116" s="147" t="str">
        <f>IF(S116=0,"NA",SUMIFS(AN_TME_PY[[#All],[TOTAL Non-Truncated Unadjusted Claims Expenses]],AN_TME_PY[[#All],[Insurance Category Code]],4,AN_TME_PY[[#All],[Advanced Network/Insurance Carrier Org ID]],B116)/S116)</f>
        <v>NA</v>
      </c>
      <c r="AD116" s="147" t="str">
        <f>IF(S116=0,"NA",SUMIFS(AN_TME_PY[[#All],[TOTAL Truncated Unadjusted Claims Expenses (A21 -A19)]],AN_TME_PY[[#All],[Insurance Category Code]],4,AN_TME_PY[[#All],[Advanced Network/Insurance Carrier Org ID]],B116)/S116)</f>
        <v>NA</v>
      </c>
      <c r="AE116" s="147" t="str">
        <f>IF(S116=0,"NA",SUMIFS(AN_TME_PY[[#All],[TOTAL Non-Claims Expenses]],AN_TME_PY[[#All],[Insurance Category Code]],4,AN_TME_PY[[#All],[Advanced Network/Insurance Carrier Org ID]],B116)/S116)</f>
        <v>NA</v>
      </c>
      <c r="AF116" s="147" t="str">
        <f>IF(S116=0,"NA",SUMIFS(AN_TME_PY[[#All],[TOTAL Non-Truncated Unadjusted Expenses (A21 + A23)]],AN_TME_PY[[#All],[Insurance Category Code]],4,AN_TME_PY[[#All],[Advanced Network/Insurance Carrier Org ID]],B116)/S116)</f>
        <v>NA</v>
      </c>
      <c r="AG116" s="138" t="str">
        <f>IF(S116=0,"NA",SUMIFS(AN_TME_PY[[#All],[TOTAL Truncated Unadjusted Expenses (A22 + A23)]],AN_TME_PY[[#All],[Insurance Category Code]],4,AN_TME_PY[[#All],[Advanced Network/Insurance Carrier Org ID]],B116)/S116)</f>
        <v>NA</v>
      </c>
      <c r="AH116" s="419" t="str">
        <f t="shared" si="137"/>
        <v>NA</v>
      </c>
      <c r="AI116" s="420" t="str">
        <f t="shared" si="138"/>
        <v>NA</v>
      </c>
      <c r="AJ116" s="421" t="str">
        <f t="shared" si="139"/>
        <v>NA</v>
      </c>
      <c r="AK116" s="421" t="str">
        <f t="shared" si="140"/>
        <v>NA</v>
      </c>
      <c r="AL116" s="421" t="str">
        <f t="shared" si="141"/>
        <v>NA</v>
      </c>
      <c r="AM116" s="421" t="str">
        <f t="shared" si="142"/>
        <v>NA</v>
      </c>
      <c r="AN116" s="421" t="str">
        <f t="shared" si="143"/>
        <v>NA</v>
      </c>
      <c r="AO116" s="421" t="str">
        <f t="shared" si="144"/>
        <v>NA</v>
      </c>
      <c r="AP116" s="421" t="str">
        <f t="shared" si="145"/>
        <v>NA</v>
      </c>
      <c r="AQ116" s="421" t="str">
        <f t="shared" si="146"/>
        <v>NA</v>
      </c>
      <c r="AR116" s="422" t="str">
        <f t="shared" si="147"/>
        <v>NA</v>
      </c>
      <c r="AS116" s="422" t="str">
        <f t="shared" si="148"/>
        <v>NA</v>
      </c>
      <c r="AT116" s="422" t="str">
        <f t="shared" si="149"/>
        <v>NA</v>
      </c>
      <c r="AU116" s="422" t="str">
        <f t="shared" si="150"/>
        <v>NA</v>
      </c>
      <c r="AV116" s="423" t="str">
        <f t="shared" si="151"/>
        <v>NA</v>
      </c>
    </row>
    <row r="117" spans="1:48" ht="15" customHeight="1" x14ac:dyDescent="0.25">
      <c r="A117" s="146"/>
      <c r="B117" s="148">
        <v>128</v>
      </c>
      <c r="C117" s="151" t="str">
        <f>_xlfn.XLOOKUP(B117, LgProvEntOrgIDs[Advanced Network/Insurer Carrier Org ID], LgProvEntOrgIDs[Advanced Network/Insurance Carrier Overall])</f>
        <v>United Community and Family Services</v>
      </c>
      <c r="D117" s="448">
        <f>SUMIFS(AN_TME_BY[[#All],[Member Months]],AN_TME_BY[[#All],[Insurance Category Code]],4,AN_TME_BY[[#All],[Advanced Network/Insurance Carrier Org ID]],B117)</f>
        <v>0</v>
      </c>
      <c r="E117" s="137" t="str">
        <f>IF(D117=0,"NA",SUMIFS(AN_TME_BY[[#All],[Claims: Hospital Inpatient]],AN_TME_BY[[#All],[Insurance Category Code]],4,AN_TME_BY[[#All],[Advanced Network/Insurance Carrier Org ID]],B117)/D117)</f>
        <v>NA</v>
      </c>
      <c r="F117" s="108" t="str">
        <f>IF(D117=0,"NA",SUMIFS(AN_TME_BY[[#All],[Claims: Hospital Outpatient]],AN_TME_BY[[#All],[Insurance Category Code]],4,AN_TME_BY[[#All],[Advanced Network/Insurance Carrier Org ID]],B117)/D117)</f>
        <v>NA</v>
      </c>
      <c r="G117" s="108" t="str">
        <f>IF(D117=0,"NA",SUMIFS(AN_TME_BY[[#All],[Claims: Professional, Primary Care]],AN_TME_BY[[#All],[Insurance Category Code]],4,AN_TME_BY[[#All],[Advanced Network/Insurance Carrier Org ID]],B117)/D117)</f>
        <v>NA</v>
      </c>
      <c r="H117" s="108" t="str">
        <f>IF(D117=0,"NA",SUMIFS(AN_TME_BY[[#All],[Claims: Professional, Primary Care (for Monitoring Purposes)]],AN_TME_BY[[#All],[Insurance Category Code]],4,AN_TME_BY[[#All],[Advanced Network/Insurance Carrier Org ID]],B117)/D117)</f>
        <v>NA</v>
      </c>
      <c r="I117" s="108" t="str">
        <f>IF(D117=0,"NA",SUMIFS(AN_TME_BY[[#All],[Claims: Professional, Specialty]],AN_TME_BY[[#All],[Insurance Category Code]],4,AN_TME_BY[[#All],[Advanced Network/Insurance Carrier Org ID]],B117)/D117)</f>
        <v>NA</v>
      </c>
      <c r="J117" s="108" t="str">
        <f>IF(D117=0,"NA",SUMIFS(AN_TME_BY[[#All],[Claims: Professional Other]],AN_TME_BY[[#All],[Insurance Category Code]],4,AN_TME_BY[[#All],[Advanced Network/Insurance Carrier Org ID]],B117)/D117)</f>
        <v>NA</v>
      </c>
      <c r="K117" s="108" t="str">
        <f>IF(D117=0,"NA",SUMIFS(AN_TME_BY[[#All],[Claims: Pharmacy]],AN_TME_BY[[#All],[Insurance Category Code]],4,AN_TME_BY[[#All],[Advanced Network/Insurance Carrier Org ID]],B117)/D117)</f>
        <v>NA</v>
      </c>
      <c r="L117" s="108" t="str">
        <f>IF(D117=0,"NA",SUMIFS(AN_TME_BY[[#All],[Claims: Long-Term Care]],AN_TME_BY[[#All],[Insurance Category Code]],4,AN_TME_BY[[#All],[Advanced Network/Insurance Carrier Org ID]],B117)/D117)</f>
        <v>NA</v>
      </c>
      <c r="M117" s="108" t="str">
        <f>IF(D117=0,"NA",SUMIFS(AN_TME_BY[[#All],[Claims: Other]],AN_TME_BY[[#All],[Insurance Category Code]],4,AN_TME_BY[[#All],[Advanced Network/Insurance Carrier Org ID]],B117)/D117)</f>
        <v>NA</v>
      </c>
      <c r="N117" s="147" t="str">
        <f>IF(D117=0,"NA",SUMIFS(AN_TME_BY[[#All],[TOTAL Non-Truncated Unadjusted Claims Expenses]],AN_TME_BY[[#All],[Insurance Category Code]],4,AN_TME_BY[[#All],[Advanced Network/Insurance Carrier Org ID]],B117)/D117)</f>
        <v>NA</v>
      </c>
      <c r="O117" s="147" t="str">
        <f>IF(D117=0,"NA",SUMIFS(AN_TME_BY[[#All],[TOTAL Truncated Unadjusted Claims Expenses (A21 -A19)]],AN_TME_BY[[#All],[Insurance Category Code]],4,AN_TME_BY[[#All],[Advanced Network/Insurance Carrier Org ID]],B117)/D117)</f>
        <v>NA</v>
      </c>
      <c r="P117" s="147" t="str">
        <f>IF(D117=0,"NA",SUMIFS(AN_TME_BY[[#All],[TOTAL Non-Claims Expenses]],AN_TME_BY[[#All],[Insurance Category Code]],4,AN_TME_BY[[#All],[Advanced Network/Insurance Carrier Org ID]],B117)/D117)</f>
        <v>NA</v>
      </c>
      <c r="Q117" s="147" t="str">
        <f>IF(D117=0,"NA",SUMIFS(AN_TME_BY[[#All],[TOTAL Non-Truncated Unadjusted Expenses (A21 + A23)]],AN_TME_BY[[#All],[Insurance Category Code]],4,AN_TME_BY[[#All],[Advanced Network/Insurance Carrier Org ID]],B117)/D117)</f>
        <v>NA</v>
      </c>
      <c r="R117" s="147" t="str">
        <f>IF(D117=0,"NA",SUMIFS(AN_TME_BY[[#All],[TOTAL Truncated Unadjusted Expenses (A22 + A23)]],AN_TME_BY[[#All],[Insurance Category Code]],4,AN_TME_BY[[#All],[Advanced Network/Insurance Carrier Org ID]],B117)/D117)</f>
        <v>NA</v>
      </c>
      <c r="S117" s="448">
        <f>SUMIFS(AN_TME_PY[[#All],[Member Months]],AN_TME_PY[[#All],[Insurance Category Code]],4,AN_TME_PY[[#All],[Advanced Network/Insurance Carrier Org ID]],B117)</f>
        <v>0</v>
      </c>
      <c r="T117" s="137" t="str">
        <f>IF(S117=0,"NA",SUMIFS(AN_TME_PY[[#All],[Claims: Hospital Inpatient]],AN_TME_PY[[#All],[Insurance Category Code]],4,AN_TME_PY[[#All],[Advanced Network/Insurance Carrier Org ID]],B117)/S117)</f>
        <v>NA</v>
      </c>
      <c r="U117" s="108" t="str">
        <f>IF(S117=0,"NA",SUMIFS(AN_TME_PY[[#All],[Claims: Hospital Outpatient]],AN_TME_PY[[#All],[Insurance Category Code]],4,AN_TME_PY[[#All],[Advanced Network/Insurance Carrier Org ID]],B117)/S117)</f>
        <v>NA</v>
      </c>
      <c r="V117" s="108" t="str">
        <f>IF(S117=0,"NA",SUMIFS(AN_TME_PY[[#All],[Claims: Professional, Primary Care]],AN_TME_PY[[#All],[Insurance Category Code]],4,AN_TME_PY[[#All],[Advanced Network/Insurance Carrier Org ID]],B117)/S117)</f>
        <v>NA</v>
      </c>
      <c r="W117" s="108" t="str">
        <f>IF(S117=0,"NA",SUMIFS(AN_TME_PY[[#All],[Claims: Professional, Primary Care (for Monitoring Purposes)]],AN_TME_PY[[#All],[Insurance Category Code]],4,AN_TME_PY[[#All],[Advanced Network/Insurance Carrier Org ID]],B117)/S117)</f>
        <v>NA</v>
      </c>
      <c r="X117" s="108" t="str">
        <f>IF(S117=0,"NA",SUMIFS(AN_TME_PY[[#All],[Claims: Professional, Specialty]],AN_TME_PY[[#All],[Insurance Category Code]],4,AN_TME_PY[[#All],[Advanced Network/Insurance Carrier Org ID]],B117)/S117)</f>
        <v>NA</v>
      </c>
      <c r="Y117" s="108" t="str">
        <f>IF(S117=0,"NA",SUMIFS(AN_TME_PY[[#All],[Claims: Professional Other]],AN_TME_PY[[#All],[Insurance Category Code]],4,AN_TME_PY[[#All],[Advanced Network/Insurance Carrier Org ID]],B117)/S117)</f>
        <v>NA</v>
      </c>
      <c r="Z117" s="108" t="str">
        <f>IF(S117=0,"NA",SUMIFS(AN_TME_PY[[#All],[Claims: Pharmacy]],AN_TME_PY[[#All],[Insurance Category Code]],4,AN_TME_PY[[#All],[Advanced Network/Insurance Carrier Org ID]],B117)/S117)</f>
        <v>NA</v>
      </c>
      <c r="AA117" s="108" t="str">
        <f>IF(S117=0,"NA",SUMIFS(AN_TME_PY[[#All],[Claims: Long-Term Care]],AN_TME_PY[[#All],[Insurance Category Code]],4,AN_TME_PY[[#All],[Advanced Network/Insurance Carrier Org ID]],B117)/S117)</f>
        <v>NA</v>
      </c>
      <c r="AB117" s="108" t="str">
        <f>IF(S117=0,"NA",SUMIFS(AN_TME_PY[[#All],[Claims: Other]],AN_TME_PY[[#All],[Insurance Category Code]],4,AN_TME_PY[[#All],[Advanced Network/Insurance Carrier Org ID]],B117)/S117)</f>
        <v>NA</v>
      </c>
      <c r="AC117" s="147" t="str">
        <f>IF(S117=0,"NA",SUMIFS(AN_TME_PY[[#All],[TOTAL Non-Truncated Unadjusted Claims Expenses]],AN_TME_PY[[#All],[Insurance Category Code]],4,AN_TME_PY[[#All],[Advanced Network/Insurance Carrier Org ID]],B117)/S117)</f>
        <v>NA</v>
      </c>
      <c r="AD117" s="147" t="str">
        <f>IF(S117=0,"NA",SUMIFS(AN_TME_PY[[#All],[TOTAL Truncated Unadjusted Claims Expenses (A21 -A19)]],AN_TME_PY[[#All],[Insurance Category Code]],4,AN_TME_PY[[#All],[Advanced Network/Insurance Carrier Org ID]],B117)/S117)</f>
        <v>NA</v>
      </c>
      <c r="AE117" s="147" t="str">
        <f>IF(S117=0,"NA",SUMIFS(AN_TME_PY[[#All],[TOTAL Non-Claims Expenses]],AN_TME_PY[[#All],[Insurance Category Code]],4,AN_TME_PY[[#All],[Advanced Network/Insurance Carrier Org ID]],B117)/S117)</f>
        <v>NA</v>
      </c>
      <c r="AF117" s="147" t="str">
        <f>IF(S117=0,"NA",SUMIFS(AN_TME_PY[[#All],[TOTAL Non-Truncated Unadjusted Expenses (A21 + A23)]],AN_TME_PY[[#All],[Insurance Category Code]],4,AN_TME_PY[[#All],[Advanced Network/Insurance Carrier Org ID]],B117)/S117)</f>
        <v>NA</v>
      </c>
      <c r="AG117" s="138" t="str">
        <f>IF(S117=0,"NA",SUMIFS(AN_TME_PY[[#All],[TOTAL Truncated Unadjusted Expenses (A22 + A23)]],AN_TME_PY[[#All],[Insurance Category Code]],4,AN_TME_PY[[#All],[Advanced Network/Insurance Carrier Org ID]],B117)/S117)</f>
        <v>NA</v>
      </c>
      <c r="AH117" s="419" t="str">
        <f t="shared" si="137"/>
        <v>NA</v>
      </c>
      <c r="AI117" s="420" t="str">
        <f t="shared" si="138"/>
        <v>NA</v>
      </c>
      <c r="AJ117" s="421" t="str">
        <f t="shared" si="139"/>
        <v>NA</v>
      </c>
      <c r="AK117" s="421" t="str">
        <f t="shared" si="140"/>
        <v>NA</v>
      </c>
      <c r="AL117" s="421" t="str">
        <f t="shared" si="141"/>
        <v>NA</v>
      </c>
      <c r="AM117" s="421" t="str">
        <f t="shared" si="142"/>
        <v>NA</v>
      </c>
      <c r="AN117" s="421" t="str">
        <f t="shared" si="143"/>
        <v>NA</v>
      </c>
      <c r="AO117" s="421" t="str">
        <f t="shared" si="144"/>
        <v>NA</v>
      </c>
      <c r="AP117" s="421" t="str">
        <f t="shared" si="145"/>
        <v>NA</v>
      </c>
      <c r="AQ117" s="421" t="str">
        <f t="shared" si="146"/>
        <v>NA</v>
      </c>
      <c r="AR117" s="422" t="str">
        <f t="shared" si="147"/>
        <v>NA</v>
      </c>
      <c r="AS117" s="422" t="str">
        <f t="shared" si="148"/>
        <v>NA</v>
      </c>
      <c r="AT117" s="422" t="str">
        <f t="shared" si="149"/>
        <v>NA</v>
      </c>
      <c r="AU117" s="422" t="str">
        <f t="shared" si="150"/>
        <v>NA</v>
      </c>
      <c r="AV117" s="423" t="str">
        <f t="shared" si="151"/>
        <v>NA</v>
      </c>
    </row>
    <row r="118" spans="1:48" ht="15" customHeight="1" x14ac:dyDescent="0.25">
      <c r="A118" s="146"/>
      <c r="B118" s="148">
        <v>129</v>
      </c>
      <c r="C118" s="151" t="str">
        <f>_xlfn.XLOOKUP(B118, LgProvEntOrgIDs[Advanced Network/Insurer Carrier Org ID], LgProvEntOrgIDs[Advanced Network/Insurance Carrier Overall])</f>
        <v>Westchester Medical Group PLLC (dba WestMed)</v>
      </c>
      <c r="D118" s="448">
        <f>SUMIFS(AN_TME_BY[[#All],[Member Months]],AN_TME_BY[[#All],[Insurance Category Code]],4,AN_TME_BY[[#All],[Advanced Network/Insurance Carrier Org ID]],B118)</f>
        <v>0</v>
      </c>
      <c r="E118" s="137" t="str">
        <f>IF(D118=0,"NA",SUMIFS(AN_TME_BY[[#All],[Claims: Hospital Inpatient]],AN_TME_BY[[#All],[Insurance Category Code]],4,AN_TME_BY[[#All],[Advanced Network/Insurance Carrier Org ID]],B118)/D118)</f>
        <v>NA</v>
      </c>
      <c r="F118" s="108" t="str">
        <f>IF(D118=0,"NA",SUMIFS(AN_TME_BY[[#All],[Claims: Hospital Outpatient]],AN_TME_BY[[#All],[Insurance Category Code]],4,AN_TME_BY[[#All],[Advanced Network/Insurance Carrier Org ID]],B118)/D118)</f>
        <v>NA</v>
      </c>
      <c r="G118" s="108" t="str">
        <f>IF(D118=0,"NA",SUMIFS(AN_TME_BY[[#All],[Claims: Professional, Primary Care]],AN_TME_BY[[#All],[Insurance Category Code]],4,AN_TME_BY[[#All],[Advanced Network/Insurance Carrier Org ID]],B118)/D118)</f>
        <v>NA</v>
      </c>
      <c r="H118" s="108" t="str">
        <f>IF(D118=0,"NA",SUMIFS(AN_TME_BY[[#All],[Claims: Professional, Primary Care (for Monitoring Purposes)]],AN_TME_BY[[#All],[Insurance Category Code]],4,AN_TME_BY[[#All],[Advanced Network/Insurance Carrier Org ID]],B118)/D118)</f>
        <v>NA</v>
      </c>
      <c r="I118" s="108" t="str">
        <f>IF(D118=0,"NA",SUMIFS(AN_TME_BY[[#All],[Claims: Professional, Specialty]],AN_TME_BY[[#All],[Insurance Category Code]],4,AN_TME_BY[[#All],[Advanced Network/Insurance Carrier Org ID]],B118)/D118)</f>
        <v>NA</v>
      </c>
      <c r="J118" s="108" t="str">
        <f>IF(D118=0,"NA",SUMIFS(AN_TME_BY[[#All],[Claims: Professional Other]],AN_TME_BY[[#All],[Insurance Category Code]],4,AN_TME_BY[[#All],[Advanced Network/Insurance Carrier Org ID]],B118)/D118)</f>
        <v>NA</v>
      </c>
      <c r="K118" s="108" t="str">
        <f>IF(D118=0,"NA",SUMIFS(AN_TME_BY[[#All],[Claims: Pharmacy]],AN_TME_BY[[#All],[Insurance Category Code]],4,AN_TME_BY[[#All],[Advanced Network/Insurance Carrier Org ID]],B118)/D118)</f>
        <v>NA</v>
      </c>
      <c r="L118" s="108" t="str">
        <f>IF(D118=0,"NA",SUMIFS(AN_TME_BY[[#All],[Claims: Long-Term Care]],AN_TME_BY[[#All],[Insurance Category Code]],4,AN_TME_BY[[#All],[Advanced Network/Insurance Carrier Org ID]],B118)/D118)</f>
        <v>NA</v>
      </c>
      <c r="M118" s="108" t="str">
        <f>IF(D118=0,"NA",SUMIFS(AN_TME_BY[[#All],[Claims: Other]],AN_TME_BY[[#All],[Insurance Category Code]],4,AN_TME_BY[[#All],[Advanced Network/Insurance Carrier Org ID]],B118)/D118)</f>
        <v>NA</v>
      </c>
      <c r="N118" s="147" t="str">
        <f>IF(D118=0,"NA",SUMIFS(AN_TME_BY[[#All],[TOTAL Non-Truncated Unadjusted Claims Expenses]],AN_TME_BY[[#All],[Insurance Category Code]],4,AN_TME_BY[[#All],[Advanced Network/Insurance Carrier Org ID]],B118)/D118)</f>
        <v>NA</v>
      </c>
      <c r="O118" s="147" t="str">
        <f>IF(D118=0,"NA",SUMIFS(AN_TME_BY[[#All],[TOTAL Truncated Unadjusted Claims Expenses (A21 -A19)]],AN_TME_BY[[#All],[Insurance Category Code]],4,AN_TME_BY[[#All],[Advanced Network/Insurance Carrier Org ID]],B118)/D118)</f>
        <v>NA</v>
      </c>
      <c r="P118" s="147" t="str">
        <f>IF(D118=0,"NA",SUMIFS(AN_TME_BY[[#All],[TOTAL Non-Claims Expenses]],AN_TME_BY[[#All],[Insurance Category Code]],4,AN_TME_BY[[#All],[Advanced Network/Insurance Carrier Org ID]],B118)/D118)</f>
        <v>NA</v>
      </c>
      <c r="Q118" s="147" t="str">
        <f>IF(D118=0,"NA",SUMIFS(AN_TME_BY[[#All],[TOTAL Non-Truncated Unadjusted Expenses (A21 + A23)]],AN_TME_BY[[#All],[Insurance Category Code]],4,AN_TME_BY[[#All],[Advanced Network/Insurance Carrier Org ID]],B118)/D118)</f>
        <v>NA</v>
      </c>
      <c r="R118" s="147" t="str">
        <f>IF(D118=0,"NA",SUMIFS(AN_TME_BY[[#All],[TOTAL Truncated Unadjusted Expenses (A22 + A23)]],AN_TME_BY[[#All],[Insurance Category Code]],4,AN_TME_BY[[#All],[Advanced Network/Insurance Carrier Org ID]],B118)/D118)</f>
        <v>NA</v>
      </c>
      <c r="S118" s="448">
        <f>SUMIFS(AN_TME_PY[[#All],[Member Months]],AN_TME_PY[[#All],[Insurance Category Code]],4,AN_TME_PY[[#All],[Advanced Network/Insurance Carrier Org ID]],B118)</f>
        <v>0</v>
      </c>
      <c r="T118" s="137" t="str">
        <f>IF(S118=0,"NA",SUMIFS(AN_TME_PY[[#All],[Claims: Hospital Inpatient]],AN_TME_PY[[#All],[Insurance Category Code]],4,AN_TME_PY[[#All],[Advanced Network/Insurance Carrier Org ID]],B118)/S118)</f>
        <v>NA</v>
      </c>
      <c r="U118" s="108" t="str">
        <f>IF(S118=0,"NA",SUMIFS(AN_TME_PY[[#All],[Claims: Hospital Outpatient]],AN_TME_PY[[#All],[Insurance Category Code]],4,AN_TME_PY[[#All],[Advanced Network/Insurance Carrier Org ID]],B118)/S118)</f>
        <v>NA</v>
      </c>
      <c r="V118" s="108" t="str">
        <f>IF(S118=0,"NA",SUMIFS(AN_TME_PY[[#All],[Claims: Professional, Primary Care]],AN_TME_PY[[#All],[Insurance Category Code]],4,AN_TME_PY[[#All],[Advanced Network/Insurance Carrier Org ID]],B118)/S118)</f>
        <v>NA</v>
      </c>
      <c r="W118" s="108" t="str">
        <f>IF(S118=0,"NA",SUMIFS(AN_TME_PY[[#All],[Claims: Professional, Primary Care (for Monitoring Purposes)]],AN_TME_PY[[#All],[Insurance Category Code]],4,AN_TME_PY[[#All],[Advanced Network/Insurance Carrier Org ID]],B118)/S118)</f>
        <v>NA</v>
      </c>
      <c r="X118" s="108" t="str">
        <f>IF(S118=0,"NA",SUMIFS(AN_TME_PY[[#All],[Claims: Professional, Specialty]],AN_TME_PY[[#All],[Insurance Category Code]],4,AN_TME_PY[[#All],[Advanced Network/Insurance Carrier Org ID]],B118)/S118)</f>
        <v>NA</v>
      </c>
      <c r="Y118" s="108" t="str">
        <f>IF(S118=0,"NA",SUMIFS(AN_TME_PY[[#All],[Claims: Professional Other]],AN_TME_PY[[#All],[Insurance Category Code]],4,AN_TME_PY[[#All],[Advanced Network/Insurance Carrier Org ID]],B118)/S118)</f>
        <v>NA</v>
      </c>
      <c r="Z118" s="108" t="str">
        <f>IF(S118=0,"NA",SUMIFS(AN_TME_PY[[#All],[Claims: Pharmacy]],AN_TME_PY[[#All],[Insurance Category Code]],4,AN_TME_PY[[#All],[Advanced Network/Insurance Carrier Org ID]],B118)/S118)</f>
        <v>NA</v>
      </c>
      <c r="AA118" s="108" t="str">
        <f>IF(S118=0,"NA",SUMIFS(AN_TME_PY[[#All],[Claims: Long-Term Care]],AN_TME_PY[[#All],[Insurance Category Code]],4,AN_TME_PY[[#All],[Advanced Network/Insurance Carrier Org ID]],B118)/S118)</f>
        <v>NA</v>
      </c>
      <c r="AB118" s="108" t="str">
        <f>IF(S118=0,"NA",SUMIFS(AN_TME_PY[[#All],[Claims: Other]],AN_TME_PY[[#All],[Insurance Category Code]],4,AN_TME_PY[[#All],[Advanced Network/Insurance Carrier Org ID]],B118)/S118)</f>
        <v>NA</v>
      </c>
      <c r="AC118" s="147" t="str">
        <f>IF(S118=0,"NA",SUMIFS(AN_TME_PY[[#All],[TOTAL Non-Truncated Unadjusted Claims Expenses]],AN_TME_PY[[#All],[Insurance Category Code]],4,AN_TME_PY[[#All],[Advanced Network/Insurance Carrier Org ID]],B118)/S118)</f>
        <v>NA</v>
      </c>
      <c r="AD118" s="147" t="str">
        <f>IF(S118=0,"NA",SUMIFS(AN_TME_PY[[#All],[TOTAL Truncated Unadjusted Claims Expenses (A21 -A19)]],AN_TME_PY[[#All],[Insurance Category Code]],4,AN_TME_PY[[#All],[Advanced Network/Insurance Carrier Org ID]],B118)/S118)</f>
        <v>NA</v>
      </c>
      <c r="AE118" s="147" t="str">
        <f>IF(S118=0,"NA",SUMIFS(AN_TME_PY[[#All],[TOTAL Non-Claims Expenses]],AN_TME_PY[[#All],[Insurance Category Code]],4,AN_TME_PY[[#All],[Advanced Network/Insurance Carrier Org ID]],B118)/S118)</f>
        <v>NA</v>
      </c>
      <c r="AF118" s="147" t="str">
        <f>IF(S118=0,"NA",SUMIFS(AN_TME_PY[[#All],[TOTAL Non-Truncated Unadjusted Expenses (A21 + A23)]],AN_TME_PY[[#All],[Insurance Category Code]],4,AN_TME_PY[[#All],[Advanced Network/Insurance Carrier Org ID]],B118)/S118)</f>
        <v>NA</v>
      </c>
      <c r="AG118" s="138" t="str">
        <f>IF(S118=0,"NA",SUMIFS(AN_TME_PY[[#All],[TOTAL Truncated Unadjusted Expenses (A22 + A23)]],AN_TME_PY[[#All],[Insurance Category Code]],4,AN_TME_PY[[#All],[Advanced Network/Insurance Carrier Org ID]],B118)/S118)</f>
        <v>NA</v>
      </c>
      <c r="AH118" s="419" t="str">
        <f t="shared" si="137"/>
        <v>NA</v>
      </c>
      <c r="AI118" s="420" t="str">
        <f t="shared" si="138"/>
        <v>NA</v>
      </c>
      <c r="AJ118" s="421" t="str">
        <f t="shared" si="139"/>
        <v>NA</v>
      </c>
      <c r="AK118" s="421" t="str">
        <f t="shared" si="140"/>
        <v>NA</v>
      </c>
      <c r="AL118" s="421" t="str">
        <f t="shared" si="141"/>
        <v>NA</v>
      </c>
      <c r="AM118" s="421" t="str">
        <f t="shared" si="142"/>
        <v>NA</v>
      </c>
      <c r="AN118" s="421" t="str">
        <f t="shared" si="143"/>
        <v>NA</v>
      </c>
      <c r="AO118" s="421" t="str">
        <f t="shared" si="144"/>
        <v>NA</v>
      </c>
      <c r="AP118" s="421" t="str">
        <f t="shared" si="145"/>
        <v>NA</v>
      </c>
      <c r="AQ118" s="421" t="str">
        <f t="shared" si="146"/>
        <v>NA</v>
      </c>
      <c r="AR118" s="422" t="str">
        <f t="shared" si="147"/>
        <v>NA</v>
      </c>
      <c r="AS118" s="422" t="str">
        <f t="shared" si="148"/>
        <v>NA</v>
      </c>
      <c r="AT118" s="422" t="str">
        <f t="shared" si="149"/>
        <v>NA</v>
      </c>
      <c r="AU118" s="422" t="str">
        <f t="shared" si="150"/>
        <v>NA</v>
      </c>
      <c r="AV118" s="423" t="str">
        <f t="shared" si="151"/>
        <v>NA</v>
      </c>
    </row>
    <row r="119" spans="1:48" ht="15" customHeight="1" x14ac:dyDescent="0.25">
      <c r="A119" s="146"/>
      <c r="B119" s="148">
        <v>130</v>
      </c>
      <c r="C119" s="151" t="str">
        <f>_xlfn.XLOOKUP(B119, LgProvEntOrgIDs[Advanced Network/Insurer Carrier Org ID], LgProvEntOrgIDs[Advanced Network/Insurance Carrier Overall])</f>
        <v>Wheeler Clinic</v>
      </c>
      <c r="D119" s="448">
        <f>SUMIFS(AN_TME_BY[[#All],[Member Months]],AN_TME_BY[[#All],[Insurance Category Code]],4,AN_TME_BY[[#All],[Advanced Network/Insurance Carrier Org ID]],B119)</f>
        <v>0</v>
      </c>
      <c r="E119" s="137" t="str">
        <f>IF(D119=0,"NA",SUMIFS(AN_TME_BY[[#All],[Claims: Hospital Inpatient]],AN_TME_BY[[#All],[Insurance Category Code]],4,AN_TME_BY[[#All],[Advanced Network/Insurance Carrier Org ID]],B119)/D119)</f>
        <v>NA</v>
      </c>
      <c r="F119" s="108" t="str">
        <f>IF(D119=0,"NA",SUMIFS(AN_TME_BY[[#All],[Claims: Hospital Outpatient]],AN_TME_BY[[#All],[Insurance Category Code]],4,AN_TME_BY[[#All],[Advanced Network/Insurance Carrier Org ID]],B119)/D119)</f>
        <v>NA</v>
      </c>
      <c r="G119" s="108" t="str">
        <f>IF(D119=0,"NA",SUMIFS(AN_TME_BY[[#All],[Claims: Professional, Primary Care]],AN_TME_BY[[#All],[Insurance Category Code]],4,AN_TME_BY[[#All],[Advanced Network/Insurance Carrier Org ID]],B119)/D119)</f>
        <v>NA</v>
      </c>
      <c r="H119" s="108" t="str">
        <f>IF(D119=0,"NA",SUMIFS(AN_TME_BY[[#All],[Claims: Professional, Primary Care (for Monitoring Purposes)]],AN_TME_BY[[#All],[Insurance Category Code]],4,AN_TME_BY[[#All],[Advanced Network/Insurance Carrier Org ID]],B119)/D119)</f>
        <v>NA</v>
      </c>
      <c r="I119" s="108" t="str">
        <f>IF(D119=0,"NA",SUMIFS(AN_TME_BY[[#All],[Claims: Professional, Specialty]],AN_TME_BY[[#All],[Insurance Category Code]],4,AN_TME_BY[[#All],[Advanced Network/Insurance Carrier Org ID]],B119)/D119)</f>
        <v>NA</v>
      </c>
      <c r="J119" s="108" t="str">
        <f>IF(D119=0,"NA",SUMIFS(AN_TME_BY[[#All],[Claims: Professional Other]],AN_TME_BY[[#All],[Insurance Category Code]],4,AN_TME_BY[[#All],[Advanced Network/Insurance Carrier Org ID]],B119)/D119)</f>
        <v>NA</v>
      </c>
      <c r="K119" s="108" t="str">
        <f>IF(D119=0,"NA",SUMIFS(AN_TME_BY[[#All],[Claims: Pharmacy]],AN_TME_BY[[#All],[Insurance Category Code]],4,AN_TME_BY[[#All],[Advanced Network/Insurance Carrier Org ID]],B119)/D119)</f>
        <v>NA</v>
      </c>
      <c r="L119" s="108" t="str">
        <f>IF(D119=0,"NA",SUMIFS(AN_TME_BY[[#All],[Claims: Long-Term Care]],AN_TME_BY[[#All],[Insurance Category Code]],4,AN_TME_BY[[#All],[Advanced Network/Insurance Carrier Org ID]],B119)/D119)</f>
        <v>NA</v>
      </c>
      <c r="M119" s="108" t="str">
        <f>IF(D119=0,"NA",SUMIFS(AN_TME_BY[[#All],[Claims: Other]],AN_TME_BY[[#All],[Insurance Category Code]],4,AN_TME_BY[[#All],[Advanced Network/Insurance Carrier Org ID]],B119)/D119)</f>
        <v>NA</v>
      </c>
      <c r="N119" s="147" t="str">
        <f>IF(D119=0,"NA",SUMIFS(AN_TME_BY[[#All],[TOTAL Non-Truncated Unadjusted Claims Expenses]],AN_TME_BY[[#All],[Insurance Category Code]],4,AN_TME_BY[[#All],[Advanced Network/Insurance Carrier Org ID]],B119)/D119)</f>
        <v>NA</v>
      </c>
      <c r="O119" s="147" t="str">
        <f>IF(D119=0,"NA",SUMIFS(AN_TME_BY[[#All],[TOTAL Truncated Unadjusted Claims Expenses (A21 -A19)]],AN_TME_BY[[#All],[Insurance Category Code]],4,AN_TME_BY[[#All],[Advanced Network/Insurance Carrier Org ID]],B119)/D119)</f>
        <v>NA</v>
      </c>
      <c r="P119" s="147" t="str">
        <f>IF(D119=0,"NA",SUMIFS(AN_TME_BY[[#All],[TOTAL Non-Claims Expenses]],AN_TME_BY[[#All],[Insurance Category Code]],4,AN_TME_BY[[#All],[Advanced Network/Insurance Carrier Org ID]],B119)/D119)</f>
        <v>NA</v>
      </c>
      <c r="Q119" s="147" t="str">
        <f>IF(D119=0,"NA",SUMIFS(AN_TME_BY[[#All],[TOTAL Non-Truncated Unadjusted Expenses (A21 + A23)]],AN_TME_BY[[#All],[Insurance Category Code]],4,AN_TME_BY[[#All],[Advanced Network/Insurance Carrier Org ID]],B119)/D119)</f>
        <v>NA</v>
      </c>
      <c r="R119" s="147" t="str">
        <f>IF(D119=0,"NA",SUMIFS(AN_TME_BY[[#All],[TOTAL Truncated Unadjusted Expenses (A22 + A23)]],AN_TME_BY[[#All],[Insurance Category Code]],4,AN_TME_BY[[#All],[Advanced Network/Insurance Carrier Org ID]],B119)/D119)</f>
        <v>NA</v>
      </c>
      <c r="S119" s="448">
        <f>SUMIFS(AN_TME_PY[[#All],[Member Months]],AN_TME_PY[[#All],[Insurance Category Code]],4,AN_TME_PY[[#All],[Advanced Network/Insurance Carrier Org ID]],B119)</f>
        <v>0</v>
      </c>
      <c r="T119" s="137" t="str">
        <f>IF(S119=0,"NA",SUMIFS(AN_TME_PY[[#All],[Claims: Hospital Inpatient]],AN_TME_PY[[#All],[Insurance Category Code]],4,AN_TME_PY[[#All],[Advanced Network/Insurance Carrier Org ID]],B119)/S119)</f>
        <v>NA</v>
      </c>
      <c r="U119" s="108" t="str">
        <f>IF(S119=0,"NA",SUMIFS(AN_TME_PY[[#All],[Claims: Hospital Outpatient]],AN_TME_PY[[#All],[Insurance Category Code]],4,AN_TME_PY[[#All],[Advanced Network/Insurance Carrier Org ID]],B119)/S119)</f>
        <v>NA</v>
      </c>
      <c r="V119" s="108" t="str">
        <f>IF(S119=0,"NA",SUMIFS(AN_TME_PY[[#All],[Claims: Professional, Primary Care]],AN_TME_PY[[#All],[Insurance Category Code]],4,AN_TME_PY[[#All],[Advanced Network/Insurance Carrier Org ID]],B119)/S119)</f>
        <v>NA</v>
      </c>
      <c r="W119" s="108" t="str">
        <f>IF(S119=0,"NA",SUMIFS(AN_TME_PY[[#All],[Claims: Professional, Primary Care (for Monitoring Purposes)]],AN_TME_PY[[#All],[Insurance Category Code]],4,AN_TME_PY[[#All],[Advanced Network/Insurance Carrier Org ID]],B119)/S119)</f>
        <v>NA</v>
      </c>
      <c r="X119" s="108" t="str">
        <f>IF(S119=0,"NA",SUMIFS(AN_TME_PY[[#All],[Claims: Professional, Specialty]],AN_TME_PY[[#All],[Insurance Category Code]],4,AN_TME_PY[[#All],[Advanced Network/Insurance Carrier Org ID]],B119)/S119)</f>
        <v>NA</v>
      </c>
      <c r="Y119" s="108" t="str">
        <f>IF(S119=0,"NA",SUMIFS(AN_TME_PY[[#All],[Claims: Professional Other]],AN_TME_PY[[#All],[Insurance Category Code]],4,AN_TME_PY[[#All],[Advanced Network/Insurance Carrier Org ID]],B119)/S119)</f>
        <v>NA</v>
      </c>
      <c r="Z119" s="108" t="str">
        <f>IF(S119=0,"NA",SUMIFS(AN_TME_PY[[#All],[Claims: Pharmacy]],AN_TME_PY[[#All],[Insurance Category Code]],4,AN_TME_PY[[#All],[Advanced Network/Insurance Carrier Org ID]],B119)/S119)</f>
        <v>NA</v>
      </c>
      <c r="AA119" s="108" t="str">
        <f>IF(S119=0,"NA",SUMIFS(AN_TME_PY[[#All],[Claims: Long-Term Care]],AN_TME_PY[[#All],[Insurance Category Code]],4,AN_TME_PY[[#All],[Advanced Network/Insurance Carrier Org ID]],B119)/S119)</f>
        <v>NA</v>
      </c>
      <c r="AB119" s="108" t="str">
        <f>IF(S119=0,"NA",SUMIFS(AN_TME_PY[[#All],[Claims: Other]],AN_TME_PY[[#All],[Insurance Category Code]],4,AN_TME_PY[[#All],[Advanced Network/Insurance Carrier Org ID]],B119)/S119)</f>
        <v>NA</v>
      </c>
      <c r="AC119" s="147" t="str">
        <f>IF(S119=0,"NA",SUMIFS(AN_TME_PY[[#All],[TOTAL Non-Truncated Unadjusted Claims Expenses]],AN_TME_PY[[#All],[Insurance Category Code]],4,AN_TME_PY[[#All],[Advanced Network/Insurance Carrier Org ID]],B119)/S119)</f>
        <v>NA</v>
      </c>
      <c r="AD119" s="147" t="str">
        <f>IF(S119=0,"NA",SUMIFS(AN_TME_PY[[#All],[TOTAL Truncated Unadjusted Claims Expenses (A21 -A19)]],AN_TME_PY[[#All],[Insurance Category Code]],4,AN_TME_PY[[#All],[Advanced Network/Insurance Carrier Org ID]],B119)/S119)</f>
        <v>NA</v>
      </c>
      <c r="AE119" s="147" t="str">
        <f>IF(S119=0,"NA",SUMIFS(AN_TME_PY[[#All],[TOTAL Non-Claims Expenses]],AN_TME_PY[[#All],[Insurance Category Code]],4,AN_TME_PY[[#All],[Advanced Network/Insurance Carrier Org ID]],B119)/S119)</f>
        <v>NA</v>
      </c>
      <c r="AF119" s="147" t="str">
        <f>IF(S119=0,"NA",SUMIFS(AN_TME_PY[[#All],[TOTAL Non-Truncated Unadjusted Expenses (A21 + A23)]],AN_TME_PY[[#All],[Insurance Category Code]],4,AN_TME_PY[[#All],[Advanced Network/Insurance Carrier Org ID]],B119)/S119)</f>
        <v>NA</v>
      </c>
      <c r="AG119" s="138" t="str">
        <f>IF(S119=0,"NA",SUMIFS(AN_TME_PY[[#All],[TOTAL Truncated Unadjusted Expenses (A22 + A23)]],AN_TME_PY[[#All],[Insurance Category Code]],4,AN_TME_PY[[#All],[Advanced Network/Insurance Carrier Org ID]],B119)/S119)</f>
        <v>NA</v>
      </c>
      <c r="AH119" s="419" t="str">
        <f t="shared" si="137"/>
        <v>NA</v>
      </c>
      <c r="AI119" s="420" t="str">
        <f t="shared" si="138"/>
        <v>NA</v>
      </c>
      <c r="AJ119" s="421" t="str">
        <f t="shared" si="139"/>
        <v>NA</v>
      </c>
      <c r="AK119" s="421" t="str">
        <f t="shared" si="140"/>
        <v>NA</v>
      </c>
      <c r="AL119" s="421" t="str">
        <f t="shared" si="141"/>
        <v>NA</v>
      </c>
      <c r="AM119" s="421" t="str">
        <f t="shared" si="142"/>
        <v>NA</v>
      </c>
      <c r="AN119" s="421" t="str">
        <f t="shared" si="143"/>
        <v>NA</v>
      </c>
      <c r="AO119" s="421" t="str">
        <f t="shared" si="144"/>
        <v>NA</v>
      </c>
      <c r="AP119" s="421" t="str">
        <f t="shared" si="145"/>
        <v>NA</v>
      </c>
      <c r="AQ119" s="421" t="str">
        <f t="shared" si="146"/>
        <v>NA</v>
      </c>
      <c r="AR119" s="422" t="str">
        <f t="shared" si="147"/>
        <v>NA</v>
      </c>
      <c r="AS119" s="422" t="str">
        <f t="shared" si="148"/>
        <v>NA</v>
      </c>
      <c r="AT119" s="422" t="str">
        <f t="shared" si="149"/>
        <v>NA</v>
      </c>
      <c r="AU119" s="422" t="str">
        <f t="shared" si="150"/>
        <v>NA</v>
      </c>
      <c r="AV119" s="423" t="str">
        <f t="shared" si="151"/>
        <v>NA</v>
      </c>
    </row>
    <row r="120" spans="1:48" ht="15" customHeight="1" x14ac:dyDescent="0.25">
      <c r="A120" s="146"/>
      <c r="B120" s="148">
        <v>131</v>
      </c>
      <c r="C120" s="151" t="str">
        <f>_xlfn.XLOOKUP(B120, LgProvEntOrgIDs[Advanced Network/Insurer Carrier Org ID], LgProvEntOrgIDs[Advanced Network/Insurance Carrier Overall])</f>
        <v>Yale Medicine</v>
      </c>
      <c r="D120" s="448">
        <f>SUMIFS(AN_TME_BY[[#All],[Member Months]],AN_TME_BY[[#All],[Insurance Category Code]],4,AN_TME_BY[[#All],[Advanced Network/Insurance Carrier Org ID]],B120)</f>
        <v>0</v>
      </c>
      <c r="E120" s="137" t="str">
        <f>IF(D120=0,"NA",SUMIFS(AN_TME_BY[[#All],[Claims: Hospital Inpatient]],AN_TME_BY[[#All],[Insurance Category Code]],4,AN_TME_BY[[#All],[Advanced Network/Insurance Carrier Org ID]],B120)/D120)</f>
        <v>NA</v>
      </c>
      <c r="F120" s="108" t="str">
        <f>IF(D120=0,"NA",SUMIFS(AN_TME_BY[[#All],[Claims: Hospital Outpatient]],AN_TME_BY[[#All],[Insurance Category Code]],4,AN_TME_BY[[#All],[Advanced Network/Insurance Carrier Org ID]],B120)/D120)</f>
        <v>NA</v>
      </c>
      <c r="G120" s="108" t="str">
        <f>IF(D120=0,"NA",SUMIFS(AN_TME_BY[[#All],[Claims: Professional, Primary Care]],AN_TME_BY[[#All],[Insurance Category Code]],4,AN_TME_BY[[#All],[Advanced Network/Insurance Carrier Org ID]],B120)/D120)</f>
        <v>NA</v>
      </c>
      <c r="H120" s="108" t="str">
        <f>IF(D120=0,"NA",SUMIFS(AN_TME_BY[[#All],[Claims: Professional, Primary Care (for Monitoring Purposes)]],AN_TME_BY[[#All],[Insurance Category Code]],4,AN_TME_BY[[#All],[Advanced Network/Insurance Carrier Org ID]],B120)/D120)</f>
        <v>NA</v>
      </c>
      <c r="I120" s="108" t="str">
        <f>IF(D120=0,"NA",SUMIFS(AN_TME_BY[[#All],[Claims: Professional, Specialty]],AN_TME_BY[[#All],[Insurance Category Code]],4,AN_TME_BY[[#All],[Advanced Network/Insurance Carrier Org ID]],B120)/D120)</f>
        <v>NA</v>
      </c>
      <c r="J120" s="108" t="str">
        <f>IF(D120=0,"NA",SUMIFS(AN_TME_BY[[#All],[Claims: Professional Other]],AN_TME_BY[[#All],[Insurance Category Code]],4,AN_TME_BY[[#All],[Advanced Network/Insurance Carrier Org ID]],B120)/D120)</f>
        <v>NA</v>
      </c>
      <c r="K120" s="108" t="str">
        <f>IF(D120=0,"NA",SUMIFS(AN_TME_BY[[#All],[Claims: Pharmacy]],AN_TME_BY[[#All],[Insurance Category Code]],4,AN_TME_BY[[#All],[Advanced Network/Insurance Carrier Org ID]],B120)/D120)</f>
        <v>NA</v>
      </c>
      <c r="L120" s="108" t="str">
        <f>IF(D120=0,"NA",SUMIFS(AN_TME_BY[[#All],[Claims: Long-Term Care]],AN_TME_BY[[#All],[Insurance Category Code]],4,AN_TME_BY[[#All],[Advanced Network/Insurance Carrier Org ID]],B120)/D120)</f>
        <v>NA</v>
      </c>
      <c r="M120" s="108" t="str">
        <f>IF(D120=0,"NA",SUMIFS(AN_TME_BY[[#All],[Claims: Other]],AN_TME_BY[[#All],[Insurance Category Code]],4,AN_TME_BY[[#All],[Advanced Network/Insurance Carrier Org ID]],B120)/D120)</f>
        <v>NA</v>
      </c>
      <c r="N120" s="147" t="str">
        <f>IF(D120=0,"NA",SUMIFS(AN_TME_BY[[#All],[TOTAL Non-Truncated Unadjusted Claims Expenses]],AN_TME_BY[[#All],[Insurance Category Code]],4,AN_TME_BY[[#All],[Advanced Network/Insurance Carrier Org ID]],B120)/D120)</f>
        <v>NA</v>
      </c>
      <c r="O120" s="147" t="str">
        <f>IF(D120=0,"NA",SUMIFS(AN_TME_BY[[#All],[TOTAL Truncated Unadjusted Claims Expenses (A21 -A19)]],AN_TME_BY[[#All],[Insurance Category Code]],4,AN_TME_BY[[#All],[Advanced Network/Insurance Carrier Org ID]],B120)/D120)</f>
        <v>NA</v>
      </c>
      <c r="P120" s="147" t="str">
        <f>IF(D120=0,"NA",SUMIFS(AN_TME_BY[[#All],[TOTAL Non-Claims Expenses]],AN_TME_BY[[#All],[Insurance Category Code]],4,AN_TME_BY[[#All],[Advanced Network/Insurance Carrier Org ID]],B120)/D120)</f>
        <v>NA</v>
      </c>
      <c r="Q120" s="147" t="str">
        <f>IF(D120=0,"NA",SUMIFS(AN_TME_BY[[#All],[TOTAL Non-Truncated Unadjusted Expenses (A21 + A23)]],AN_TME_BY[[#All],[Insurance Category Code]],4,AN_TME_BY[[#All],[Advanced Network/Insurance Carrier Org ID]],B120)/D120)</f>
        <v>NA</v>
      </c>
      <c r="R120" s="147" t="str">
        <f>IF(D120=0,"NA",SUMIFS(AN_TME_BY[[#All],[TOTAL Truncated Unadjusted Expenses (A22 + A23)]],AN_TME_BY[[#All],[Insurance Category Code]],4,AN_TME_BY[[#All],[Advanced Network/Insurance Carrier Org ID]],B120)/D120)</f>
        <v>NA</v>
      </c>
      <c r="S120" s="448">
        <f>SUMIFS(AN_TME_PY[[#All],[Member Months]],AN_TME_PY[[#All],[Insurance Category Code]],4,AN_TME_PY[[#All],[Advanced Network/Insurance Carrier Org ID]],B120)</f>
        <v>0</v>
      </c>
      <c r="T120" s="137" t="str">
        <f>IF(S120=0,"NA",SUMIFS(AN_TME_PY[[#All],[Claims: Hospital Inpatient]],AN_TME_PY[[#All],[Insurance Category Code]],4,AN_TME_PY[[#All],[Advanced Network/Insurance Carrier Org ID]],B120)/S120)</f>
        <v>NA</v>
      </c>
      <c r="U120" s="108" t="str">
        <f>IF(S120=0,"NA",SUMIFS(AN_TME_PY[[#All],[Claims: Hospital Outpatient]],AN_TME_PY[[#All],[Insurance Category Code]],4,AN_TME_PY[[#All],[Advanced Network/Insurance Carrier Org ID]],B120)/S120)</f>
        <v>NA</v>
      </c>
      <c r="V120" s="108" t="str">
        <f>IF(S120=0,"NA",SUMIFS(AN_TME_PY[[#All],[Claims: Professional, Primary Care]],AN_TME_PY[[#All],[Insurance Category Code]],4,AN_TME_PY[[#All],[Advanced Network/Insurance Carrier Org ID]],B120)/S120)</f>
        <v>NA</v>
      </c>
      <c r="W120" s="108" t="str">
        <f>IF(S120=0,"NA",SUMIFS(AN_TME_PY[[#All],[Claims: Professional, Primary Care (for Monitoring Purposes)]],AN_TME_PY[[#All],[Insurance Category Code]],4,AN_TME_PY[[#All],[Advanced Network/Insurance Carrier Org ID]],B120)/S120)</f>
        <v>NA</v>
      </c>
      <c r="X120" s="108" t="str">
        <f>IF(S120=0,"NA",SUMIFS(AN_TME_PY[[#All],[Claims: Professional, Specialty]],AN_TME_PY[[#All],[Insurance Category Code]],4,AN_TME_PY[[#All],[Advanced Network/Insurance Carrier Org ID]],B120)/S120)</f>
        <v>NA</v>
      </c>
      <c r="Y120" s="108" t="str">
        <f>IF(S120=0,"NA",SUMIFS(AN_TME_PY[[#All],[Claims: Professional Other]],AN_TME_PY[[#All],[Insurance Category Code]],4,AN_TME_PY[[#All],[Advanced Network/Insurance Carrier Org ID]],B120)/S120)</f>
        <v>NA</v>
      </c>
      <c r="Z120" s="108" t="str">
        <f>IF(S120=0,"NA",SUMIFS(AN_TME_PY[[#All],[Claims: Pharmacy]],AN_TME_PY[[#All],[Insurance Category Code]],4,AN_TME_PY[[#All],[Advanced Network/Insurance Carrier Org ID]],B120)/S120)</f>
        <v>NA</v>
      </c>
      <c r="AA120" s="108" t="str">
        <f>IF(S120=0,"NA",SUMIFS(AN_TME_PY[[#All],[Claims: Long-Term Care]],AN_TME_PY[[#All],[Insurance Category Code]],4,AN_TME_PY[[#All],[Advanced Network/Insurance Carrier Org ID]],B120)/S120)</f>
        <v>NA</v>
      </c>
      <c r="AB120" s="108" t="str">
        <f>IF(S120=0,"NA",SUMIFS(AN_TME_PY[[#All],[Claims: Other]],AN_TME_PY[[#All],[Insurance Category Code]],4,AN_TME_PY[[#All],[Advanced Network/Insurance Carrier Org ID]],B120)/S120)</f>
        <v>NA</v>
      </c>
      <c r="AC120" s="147" t="str">
        <f>IF(S120=0,"NA",SUMIFS(AN_TME_PY[[#All],[TOTAL Non-Truncated Unadjusted Claims Expenses]],AN_TME_PY[[#All],[Insurance Category Code]],4,AN_TME_PY[[#All],[Advanced Network/Insurance Carrier Org ID]],B120)/S120)</f>
        <v>NA</v>
      </c>
      <c r="AD120" s="147" t="str">
        <f>IF(S120=0,"NA",SUMIFS(AN_TME_PY[[#All],[TOTAL Truncated Unadjusted Claims Expenses (A21 -A19)]],AN_TME_PY[[#All],[Insurance Category Code]],4,AN_TME_PY[[#All],[Advanced Network/Insurance Carrier Org ID]],B120)/S120)</f>
        <v>NA</v>
      </c>
      <c r="AE120" s="147" t="str">
        <f>IF(S120=0,"NA",SUMIFS(AN_TME_PY[[#All],[TOTAL Non-Claims Expenses]],AN_TME_PY[[#All],[Insurance Category Code]],4,AN_TME_PY[[#All],[Advanced Network/Insurance Carrier Org ID]],B120)/S120)</f>
        <v>NA</v>
      </c>
      <c r="AF120" s="147" t="str">
        <f>IF(S120=0,"NA",SUMIFS(AN_TME_PY[[#All],[TOTAL Non-Truncated Unadjusted Expenses (A21 + A23)]],AN_TME_PY[[#All],[Insurance Category Code]],4,AN_TME_PY[[#All],[Advanced Network/Insurance Carrier Org ID]],B120)/S120)</f>
        <v>NA</v>
      </c>
      <c r="AG120" s="138" t="str">
        <f>IF(S120=0,"NA",SUMIFS(AN_TME_PY[[#All],[TOTAL Truncated Unadjusted Expenses (A22 + A23)]],AN_TME_PY[[#All],[Insurance Category Code]],4,AN_TME_PY[[#All],[Advanced Network/Insurance Carrier Org ID]],B120)/S120)</f>
        <v>NA</v>
      </c>
      <c r="AH120" s="419" t="str">
        <f t="shared" si="137"/>
        <v>NA</v>
      </c>
      <c r="AI120" s="420" t="str">
        <f t="shared" si="138"/>
        <v>NA</v>
      </c>
      <c r="AJ120" s="421" t="str">
        <f t="shared" si="139"/>
        <v>NA</v>
      </c>
      <c r="AK120" s="421" t="str">
        <f t="shared" si="140"/>
        <v>NA</v>
      </c>
      <c r="AL120" s="421" t="str">
        <f t="shared" si="141"/>
        <v>NA</v>
      </c>
      <c r="AM120" s="421" t="str">
        <f t="shared" si="142"/>
        <v>NA</v>
      </c>
      <c r="AN120" s="421" t="str">
        <f t="shared" si="143"/>
        <v>NA</v>
      </c>
      <c r="AO120" s="421" t="str">
        <f t="shared" si="144"/>
        <v>NA</v>
      </c>
      <c r="AP120" s="421" t="str">
        <f t="shared" si="145"/>
        <v>NA</v>
      </c>
      <c r="AQ120" s="421" t="str">
        <f t="shared" si="146"/>
        <v>NA</v>
      </c>
      <c r="AR120" s="422" t="str">
        <f t="shared" si="147"/>
        <v>NA</v>
      </c>
      <c r="AS120" s="422" t="str">
        <f t="shared" si="148"/>
        <v>NA</v>
      </c>
      <c r="AT120" s="422" t="str">
        <f t="shared" si="149"/>
        <v>NA</v>
      </c>
      <c r="AU120" s="422" t="str">
        <f t="shared" si="150"/>
        <v>NA</v>
      </c>
      <c r="AV120" s="423" t="str">
        <f t="shared" si="151"/>
        <v>NA</v>
      </c>
    </row>
    <row r="121" spans="1:48" ht="15" customHeight="1" x14ac:dyDescent="0.25">
      <c r="A121" s="146"/>
      <c r="B121" s="148">
        <v>132</v>
      </c>
      <c r="C121" s="151" t="str">
        <f>_xlfn.XLOOKUP(B121, LgProvEntOrgIDs[Advanced Network/Insurer Carrier Org ID], LgProvEntOrgIDs[Advanced Network/Insurance Carrier Overall])</f>
        <v>InterCommunity Health Care</v>
      </c>
      <c r="D121" s="448">
        <f>SUMIFS(AN_TME_BY[[#All],[Member Months]],AN_TME_BY[[#All],[Insurance Category Code]],4,AN_TME_BY[[#All],[Advanced Network/Insurance Carrier Org ID]],B121)</f>
        <v>0</v>
      </c>
      <c r="E121" s="137" t="str">
        <f>IF(D121=0,"NA",SUMIFS(AN_TME_BY[[#All],[Claims: Hospital Inpatient]],AN_TME_BY[[#All],[Insurance Category Code]],4,AN_TME_BY[[#All],[Advanced Network/Insurance Carrier Org ID]],B121)/D121)</f>
        <v>NA</v>
      </c>
      <c r="F121" s="108" t="str">
        <f>IF(D121=0,"NA",SUMIFS(AN_TME_BY[[#All],[Claims: Hospital Outpatient]],AN_TME_BY[[#All],[Insurance Category Code]],4,AN_TME_BY[[#All],[Advanced Network/Insurance Carrier Org ID]],B121)/D121)</f>
        <v>NA</v>
      </c>
      <c r="G121" s="108" t="str">
        <f>IF(D121=0,"NA",SUMIFS(AN_TME_BY[[#All],[Claims: Professional, Primary Care]],AN_TME_BY[[#All],[Insurance Category Code]],4,AN_TME_BY[[#All],[Advanced Network/Insurance Carrier Org ID]],B121)/D121)</f>
        <v>NA</v>
      </c>
      <c r="H121" s="108" t="str">
        <f>IF(D121=0,"NA",SUMIFS(AN_TME_BY[[#All],[Claims: Professional, Primary Care (for Monitoring Purposes)]],AN_TME_BY[[#All],[Insurance Category Code]],4,AN_TME_BY[[#All],[Advanced Network/Insurance Carrier Org ID]],B121)/D121)</f>
        <v>NA</v>
      </c>
      <c r="I121" s="108" t="str">
        <f>IF(D121=0,"NA",SUMIFS(AN_TME_BY[[#All],[Claims: Professional, Specialty]],AN_TME_BY[[#All],[Insurance Category Code]],4,AN_TME_BY[[#All],[Advanced Network/Insurance Carrier Org ID]],B121)/D121)</f>
        <v>NA</v>
      </c>
      <c r="J121" s="108" t="str">
        <f>IF(D121=0,"NA",SUMIFS(AN_TME_BY[[#All],[Claims: Professional Other]],AN_TME_BY[[#All],[Insurance Category Code]],4,AN_TME_BY[[#All],[Advanced Network/Insurance Carrier Org ID]],B121)/D121)</f>
        <v>NA</v>
      </c>
      <c r="K121" s="108" t="str">
        <f>IF(D121=0,"NA",SUMIFS(AN_TME_BY[[#All],[Claims: Pharmacy]],AN_TME_BY[[#All],[Insurance Category Code]],4,AN_TME_BY[[#All],[Advanced Network/Insurance Carrier Org ID]],B121)/D121)</f>
        <v>NA</v>
      </c>
      <c r="L121" s="108" t="str">
        <f>IF(D121=0,"NA",SUMIFS(AN_TME_BY[[#All],[Claims: Long-Term Care]],AN_TME_BY[[#All],[Insurance Category Code]],4,AN_TME_BY[[#All],[Advanced Network/Insurance Carrier Org ID]],B121)/D121)</f>
        <v>NA</v>
      </c>
      <c r="M121" s="108" t="str">
        <f>IF(D121=0,"NA",SUMIFS(AN_TME_BY[[#All],[Claims: Other]],AN_TME_BY[[#All],[Insurance Category Code]],4,AN_TME_BY[[#All],[Advanced Network/Insurance Carrier Org ID]],B121)/D121)</f>
        <v>NA</v>
      </c>
      <c r="N121" s="147" t="str">
        <f>IF(D121=0,"NA",SUMIFS(AN_TME_BY[[#All],[TOTAL Non-Truncated Unadjusted Claims Expenses]],AN_TME_BY[[#All],[Insurance Category Code]],4,AN_TME_BY[[#All],[Advanced Network/Insurance Carrier Org ID]],B121)/D121)</f>
        <v>NA</v>
      </c>
      <c r="O121" s="147" t="str">
        <f>IF(D121=0,"NA",SUMIFS(AN_TME_BY[[#All],[TOTAL Truncated Unadjusted Claims Expenses (A21 -A19)]],AN_TME_BY[[#All],[Insurance Category Code]],4,AN_TME_BY[[#All],[Advanced Network/Insurance Carrier Org ID]],B121)/D121)</f>
        <v>NA</v>
      </c>
      <c r="P121" s="147" t="str">
        <f>IF(D121=0,"NA",SUMIFS(AN_TME_BY[[#All],[TOTAL Non-Claims Expenses]],AN_TME_BY[[#All],[Insurance Category Code]],4,AN_TME_BY[[#All],[Advanced Network/Insurance Carrier Org ID]],B121)/D121)</f>
        <v>NA</v>
      </c>
      <c r="Q121" s="147" t="str">
        <f>IF(D121=0,"NA",SUMIFS(AN_TME_BY[[#All],[TOTAL Non-Truncated Unadjusted Expenses (A21 + A23)]],AN_TME_BY[[#All],[Insurance Category Code]],4,AN_TME_BY[[#All],[Advanced Network/Insurance Carrier Org ID]],B121)/D121)</f>
        <v>NA</v>
      </c>
      <c r="R121" s="147" t="str">
        <f>IF(D121=0,"NA",SUMIFS(AN_TME_BY[[#All],[TOTAL Truncated Unadjusted Expenses (A22 + A23)]],AN_TME_BY[[#All],[Insurance Category Code]],4,AN_TME_BY[[#All],[Advanced Network/Insurance Carrier Org ID]],B121)/D121)</f>
        <v>NA</v>
      </c>
      <c r="S121" s="448">
        <f>SUMIFS(AN_TME_PY[[#All],[Member Months]],AN_TME_PY[[#All],[Insurance Category Code]],4,AN_TME_PY[[#All],[Advanced Network/Insurance Carrier Org ID]],B121)</f>
        <v>0</v>
      </c>
      <c r="T121" s="137" t="str">
        <f>IF(S121=0,"NA",SUMIFS(AN_TME_PY[[#All],[Claims: Hospital Inpatient]],AN_TME_PY[[#All],[Insurance Category Code]],4,AN_TME_PY[[#All],[Advanced Network/Insurance Carrier Org ID]],B121)/S121)</f>
        <v>NA</v>
      </c>
      <c r="U121" s="108" t="str">
        <f>IF(S121=0,"NA",SUMIFS(AN_TME_PY[[#All],[Claims: Hospital Outpatient]],AN_TME_PY[[#All],[Insurance Category Code]],4,AN_TME_PY[[#All],[Advanced Network/Insurance Carrier Org ID]],B121)/S121)</f>
        <v>NA</v>
      </c>
      <c r="V121" s="108" t="str">
        <f>IF(S121=0,"NA",SUMIFS(AN_TME_PY[[#All],[Claims: Professional, Primary Care]],AN_TME_PY[[#All],[Insurance Category Code]],4,AN_TME_PY[[#All],[Advanced Network/Insurance Carrier Org ID]],B121)/S121)</f>
        <v>NA</v>
      </c>
      <c r="W121" s="108" t="str">
        <f>IF(S121=0,"NA",SUMIFS(AN_TME_PY[[#All],[Claims: Professional, Primary Care (for Monitoring Purposes)]],AN_TME_PY[[#All],[Insurance Category Code]],4,AN_TME_PY[[#All],[Advanced Network/Insurance Carrier Org ID]],B121)/S121)</f>
        <v>NA</v>
      </c>
      <c r="X121" s="108" t="str">
        <f>IF(S121=0,"NA",SUMIFS(AN_TME_PY[[#All],[Claims: Professional, Specialty]],AN_TME_PY[[#All],[Insurance Category Code]],4,AN_TME_PY[[#All],[Advanced Network/Insurance Carrier Org ID]],B121)/S121)</f>
        <v>NA</v>
      </c>
      <c r="Y121" s="108" t="str">
        <f>IF(S121=0,"NA",SUMIFS(AN_TME_PY[[#All],[Claims: Professional Other]],AN_TME_PY[[#All],[Insurance Category Code]],4,AN_TME_PY[[#All],[Advanced Network/Insurance Carrier Org ID]],B121)/S121)</f>
        <v>NA</v>
      </c>
      <c r="Z121" s="108" t="str">
        <f>IF(S121=0,"NA",SUMIFS(AN_TME_PY[[#All],[Claims: Pharmacy]],AN_TME_PY[[#All],[Insurance Category Code]],4,AN_TME_PY[[#All],[Advanced Network/Insurance Carrier Org ID]],B121)/S121)</f>
        <v>NA</v>
      </c>
      <c r="AA121" s="108" t="str">
        <f>IF(S121=0,"NA",SUMIFS(AN_TME_PY[[#All],[Claims: Long-Term Care]],AN_TME_PY[[#All],[Insurance Category Code]],4,AN_TME_PY[[#All],[Advanced Network/Insurance Carrier Org ID]],B121)/S121)</f>
        <v>NA</v>
      </c>
      <c r="AB121" s="108" t="str">
        <f>IF(S121=0,"NA",SUMIFS(AN_TME_PY[[#All],[Claims: Other]],AN_TME_PY[[#All],[Insurance Category Code]],4,AN_TME_PY[[#All],[Advanced Network/Insurance Carrier Org ID]],B121)/S121)</f>
        <v>NA</v>
      </c>
      <c r="AC121" s="147" t="str">
        <f>IF(S121=0,"NA",SUMIFS(AN_TME_PY[[#All],[TOTAL Non-Truncated Unadjusted Claims Expenses]],AN_TME_PY[[#All],[Insurance Category Code]],4,AN_TME_PY[[#All],[Advanced Network/Insurance Carrier Org ID]],B121)/S121)</f>
        <v>NA</v>
      </c>
      <c r="AD121" s="147" t="str">
        <f>IF(S121=0,"NA",SUMIFS(AN_TME_PY[[#All],[TOTAL Truncated Unadjusted Claims Expenses (A21 -A19)]],AN_TME_PY[[#All],[Insurance Category Code]],4,AN_TME_PY[[#All],[Advanced Network/Insurance Carrier Org ID]],B121)/S121)</f>
        <v>NA</v>
      </c>
      <c r="AE121" s="147" t="str">
        <f>IF(S121=0,"NA",SUMIFS(AN_TME_PY[[#All],[TOTAL Non-Claims Expenses]],AN_TME_PY[[#All],[Insurance Category Code]],4,AN_TME_PY[[#All],[Advanced Network/Insurance Carrier Org ID]],B121)/S121)</f>
        <v>NA</v>
      </c>
      <c r="AF121" s="147" t="str">
        <f>IF(S121=0,"NA",SUMIFS(AN_TME_PY[[#All],[TOTAL Non-Truncated Unadjusted Expenses (A21 + A23)]],AN_TME_PY[[#All],[Insurance Category Code]],4,AN_TME_PY[[#All],[Advanced Network/Insurance Carrier Org ID]],B121)/S121)</f>
        <v>NA</v>
      </c>
      <c r="AG121" s="138" t="str">
        <f>IF(S121=0,"NA",SUMIFS(AN_TME_PY[[#All],[TOTAL Truncated Unadjusted Expenses (A22 + A23)]],AN_TME_PY[[#All],[Insurance Category Code]],4,AN_TME_PY[[#All],[Advanced Network/Insurance Carrier Org ID]],B121)/S121)</f>
        <v>NA</v>
      </c>
      <c r="AH121" s="419" t="str">
        <f t="shared" ref="AH121:AH123" si="152">IF(D121=0,"NA",S121/D121-1)</f>
        <v>NA</v>
      </c>
      <c r="AI121" s="420" t="str">
        <f t="shared" ref="AI121:AI123" si="153">IF(D121=0,"NA",T121/E121-1)</f>
        <v>NA</v>
      </c>
      <c r="AJ121" s="421" t="str">
        <f t="shared" ref="AJ121:AJ123" si="154">IF(D121=0,"NA",U121/F121-1)</f>
        <v>NA</v>
      </c>
      <c r="AK121" s="421" t="str">
        <f t="shared" ref="AK121:AK123" si="155">IF(D121=0,"NA",V121/G121-1)</f>
        <v>NA</v>
      </c>
      <c r="AL121" s="421" t="str">
        <f t="shared" ref="AL121:AL123" si="156">IF(D121=0,"NA",W121/H121-1)</f>
        <v>NA</v>
      </c>
      <c r="AM121" s="421" t="str">
        <f t="shared" ref="AM121:AM123" si="157">IF(D121=0,"NA",X121/I121-1)</f>
        <v>NA</v>
      </c>
      <c r="AN121" s="421" t="str">
        <f t="shared" ref="AN121:AN123" si="158">IF(D121=0,"NA",Y121/J121-1)</f>
        <v>NA</v>
      </c>
      <c r="AO121" s="421" t="str">
        <f t="shared" ref="AO121:AO123" si="159">IF(D121=0,"NA",Z121/K121-1)</f>
        <v>NA</v>
      </c>
      <c r="AP121" s="421" t="str">
        <f t="shared" ref="AP121:AP123" si="160">IF(D121=0,"NA",AA121/L121-1)</f>
        <v>NA</v>
      </c>
      <c r="AQ121" s="421" t="str">
        <f t="shared" ref="AQ121:AQ123" si="161">IF(D121=0,"NA",AB121/M121-1)</f>
        <v>NA</v>
      </c>
      <c r="AR121" s="422" t="str">
        <f t="shared" ref="AR121:AR123" si="162">IF(D121=0,"NA",AC121/N121-1)</f>
        <v>NA</v>
      </c>
      <c r="AS121" s="422" t="str">
        <f t="shared" ref="AS121:AS123" si="163">IF(D121=0,"NA",AD121/O121-1)</f>
        <v>NA</v>
      </c>
      <c r="AT121" s="422" t="str">
        <f t="shared" ref="AT121:AT123" si="164">IF(D121=0,"NA",AE121/P121-1)</f>
        <v>NA</v>
      </c>
      <c r="AU121" s="422" t="str">
        <f t="shared" ref="AU121:AU123" si="165">IF(D121=0,"NA",AF121/Q121-1)</f>
        <v>NA</v>
      </c>
      <c r="AV121" s="423" t="str">
        <f t="shared" ref="AV121:AV123" si="166">IF(D121=0,"NA",AG121/R121-1)</f>
        <v>NA</v>
      </c>
    </row>
    <row r="122" spans="1:48" ht="15" customHeight="1" x14ac:dyDescent="0.25">
      <c r="A122" s="146"/>
      <c r="B122" s="148">
        <v>133</v>
      </c>
      <c r="C122" s="151" t="str">
        <f>_xlfn.XLOOKUP(B122, LgProvEntOrgIDs[Advanced Network/Insurer Carrier Org ID], LgProvEntOrgIDs[Advanced Network/Insurance Carrier Overall])</f>
        <v>Trinity Health, Inc.</v>
      </c>
      <c r="D122" s="448">
        <f>SUMIFS(AN_TME_BY[[#All],[Member Months]],AN_TME_BY[[#All],[Insurance Category Code]],4,AN_TME_BY[[#All],[Advanced Network/Insurance Carrier Org ID]],B122)</f>
        <v>0</v>
      </c>
      <c r="E122" s="137" t="str">
        <f>IF(D122=0,"NA",SUMIFS(AN_TME_BY[[#All],[Claims: Hospital Inpatient]],AN_TME_BY[[#All],[Insurance Category Code]],4,AN_TME_BY[[#All],[Advanced Network/Insurance Carrier Org ID]],B122)/D122)</f>
        <v>NA</v>
      </c>
      <c r="F122" s="108" t="str">
        <f>IF(D122=0,"NA",SUMIFS(AN_TME_BY[[#All],[Claims: Hospital Outpatient]],AN_TME_BY[[#All],[Insurance Category Code]],4,AN_TME_BY[[#All],[Advanced Network/Insurance Carrier Org ID]],B122)/D122)</f>
        <v>NA</v>
      </c>
      <c r="G122" s="108" t="str">
        <f>IF(D122=0,"NA",SUMIFS(AN_TME_BY[[#All],[Claims: Professional, Primary Care]],AN_TME_BY[[#All],[Insurance Category Code]],4,AN_TME_BY[[#All],[Advanced Network/Insurance Carrier Org ID]],B122)/D122)</f>
        <v>NA</v>
      </c>
      <c r="H122" s="108" t="str">
        <f>IF(D122=0,"NA",SUMIFS(AN_TME_BY[[#All],[Claims: Professional, Primary Care (for Monitoring Purposes)]],AN_TME_BY[[#All],[Insurance Category Code]],4,AN_TME_BY[[#All],[Advanced Network/Insurance Carrier Org ID]],B122)/D122)</f>
        <v>NA</v>
      </c>
      <c r="I122" s="108" t="str">
        <f>IF(D122=0,"NA",SUMIFS(AN_TME_BY[[#All],[Claims: Professional, Specialty]],AN_TME_BY[[#All],[Insurance Category Code]],4,AN_TME_BY[[#All],[Advanced Network/Insurance Carrier Org ID]],B122)/D122)</f>
        <v>NA</v>
      </c>
      <c r="J122" s="108" t="str">
        <f>IF(D122=0,"NA",SUMIFS(AN_TME_BY[[#All],[Claims: Professional Other]],AN_TME_BY[[#All],[Insurance Category Code]],4,AN_TME_BY[[#All],[Advanced Network/Insurance Carrier Org ID]],B122)/D122)</f>
        <v>NA</v>
      </c>
      <c r="K122" s="108" t="str">
        <f>IF(D122=0,"NA",SUMIFS(AN_TME_BY[[#All],[Claims: Pharmacy]],AN_TME_BY[[#All],[Insurance Category Code]],4,AN_TME_BY[[#All],[Advanced Network/Insurance Carrier Org ID]],B122)/D122)</f>
        <v>NA</v>
      </c>
      <c r="L122" s="108" t="str">
        <f>IF(D122=0,"NA",SUMIFS(AN_TME_BY[[#All],[Claims: Long-Term Care]],AN_TME_BY[[#All],[Insurance Category Code]],4,AN_TME_BY[[#All],[Advanced Network/Insurance Carrier Org ID]],B122)/D122)</f>
        <v>NA</v>
      </c>
      <c r="M122" s="108" t="str">
        <f>IF(D122=0,"NA",SUMIFS(AN_TME_BY[[#All],[Claims: Other]],AN_TME_BY[[#All],[Insurance Category Code]],4,AN_TME_BY[[#All],[Advanced Network/Insurance Carrier Org ID]],B122)/D122)</f>
        <v>NA</v>
      </c>
      <c r="N122" s="147" t="str">
        <f>IF(D122=0,"NA",SUMIFS(AN_TME_BY[[#All],[TOTAL Non-Truncated Unadjusted Claims Expenses]],AN_TME_BY[[#All],[Insurance Category Code]],4,AN_TME_BY[[#All],[Advanced Network/Insurance Carrier Org ID]],B122)/D122)</f>
        <v>NA</v>
      </c>
      <c r="O122" s="147" t="str">
        <f>IF(D122=0,"NA",SUMIFS(AN_TME_BY[[#All],[TOTAL Truncated Unadjusted Claims Expenses (A21 -A19)]],AN_TME_BY[[#All],[Insurance Category Code]],4,AN_TME_BY[[#All],[Advanced Network/Insurance Carrier Org ID]],B122)/D122)</f>
        <v>NA</v>
      </c>
      <c r="P122" s="147" t="str">
        <f>IF(D122=0,"NA",SUMIFS(AN_TME_BY[[#All],[TOTAL Non-Claims Expenses]],AN_TME_BY[[#All],[Insurance Category Code]],4,AN_TME_BY[[#All],[Advanced Network/Insurance Carrier Org ID]],B122)/D122)</f>
        <v>NA</v>
      </c>
      <c r="Q122" s="147" t="str">
        <f>IF(D122=0,"NA",SUMIFS(AN_TME_BY[[#All],[TOTAL Non-Truncated Unadjusted Expenses (A21 + A23)]],AN_TME_BY[[#All],[Insurance Category Code]],4,AN_TME_BY[[#All],[Advanced Network/Insurance Carrier Org ID]],B122)/D122)</f>
        <v>NA</v>
      </c>
      <c r="R122" s="147" t="str">
        <f>IF(D122=0,"NA",SUMIFS(AN_TME_BY[[#All],[TOTAL Truncated Unadjusted Expenses (A22 + A23)]],AN_TME_BY[[#All],[Insurance Category Code]],4,AN_TME_BY[[#All],[Advanced Network/Insurance Carrier Org ID]],B122)/D122)</f>
        <v>NA</v>
      </c>
      <c r="S122" s="448">
        <f>SUMIFS(AN_TME_PY[[#All],[Member Months]],AN_TME_PY[[#All],[Insurance Category Code]],4,AN_TME_PY[[#All],[Advanced Network/Insurance Carrier Org ID]],B122)</f>
        <v>0</v>
      </c>
      <c r="T122" s="137" t="str">
        <f>IF(S122=0,"NA",SUMIFS(AN_TME_PY[[#All],[Claims: Hospital Inpatient]],AN_TME_PY[[#All],[Insurance Category Code]],4,AN_TME_PY[[#All],[Advanced Network/Insurance Carrier Org ID]],B122)/S122)</f>
        <v>NA</v>
      </c>
      <c r="U122" s="108" t="str">
        <f>IF(S122=0,"NA",SUMIFS(AN_TME_PY[[#All],[Claims: Hospital Outpatient]],AN_TME_PY[[#All],[Insurance Category Code]],4,AN_TME_PY[[#All],[Advanced Network/Insurance Carrier Org ID]],B122)/S122)</f>
        <v>NA</v>
      </c>
      <c r="V122" s="108" t="str">
        <f>IF(S122=0,"NA",SUMIFS(AN_TME_PY[[#All],[Claims: Professional, Primary Care]],AN_TME_PY[[#All],[Insurance Category Code]],4,AN_TME_PY[[#All],[Advanced Network/Insurance Carrier Org ID]],B122)/S122)</f>
        <v>NA</v>
      </c>
      <c r="W122" s="108" t="str">
        <f>IF(S122=0,"NA",SUMIFS(AN_TME_PY[[#All],[Claims: Professional, Primary Care (for Monitoring Purposes)]],AN_TME_PY[[#All],[Insurance Category Code]],4,AN_TME_PY[[#All],[Advanced Network/Insurance Carrier Org ID]],B122)/S122)</f>
        <v>NA</v>
      </c>
      <c r="X122" s="108" t="str">
        <f>IF(S122=0,"NA",SUMIFS(AN_TME_PY[[#All],[Claims: Professional, Specialty]],AN_TME_PY[[#All],[Insurance Category Code]],4,AN_TME_PY[[#All],[Advanced Network/Insurance Carrier Org ID]],B122)/S122)</f>
        <v>NA</v>
      </c>
      <c r="Y122" s="108" t="str">
        <f>IF(S122=0,"NA",SUMIFS(AN_TME_PY[[#All],[Claims: Professional Other]],AN_TME_PY[[#All],[Insurance Category Code]],4,AN_TME_PY[[#All],[Advanced Network/Insurance Carrier Org ID]],B122)/S122)</f>
        <v>NA</v>
      </c>
      <c r="Z122" s="108" t="str">
        <f>IF(S122=0,"NA",SUMIFS(AN_TME_PY[[#All],[Claims: Pharmacy]],AN_TME_PY[[#All],[Insurance Category Code]],4,AN_TME_PY[[#All],[Advanced Network/Insurance Carrier Org ID]],B122)/S122)</f>
        <v>NA</v>
      </c>
      <c r="AA122" s="108" t="str">
        <f>IF(S122=0,"NA",SUMIFS(AN_TME_PY[[#All],[Claims: Long-Term Care]],AN_TME_PY[[#All],[Insurance Category Code]],4,AN_TME_PY[[#All],[Advanced Network/Insurance Carrier Org ID]],B122)/S122)</f>
        <v>NA</v>
      </c>
      <c r="AB122" s="108" t="str">
        <f>IF(S122=0,"NA",SUMIFS(AN_TME_PY[[#All],[Claims: Other]],AN_TME_PY[[#All],[Insurance Category Code]],4,AN_TME_PY[[#All],[Advanced Network/Insurance Carrier Org ID]],B122)/S122)</f>
        <v>NA</v>
      </c>
      <c r="AC122" s="147" t="str">
        <f>IF(S122=0,"NA",SUMIFS(AN_TME_PY[[#All],[TOTAL Non-Truncated Unadjusted Claims Expenses]],AN_TME_PY[[#All],[Insurance Category Code]],4,AN_TME_PY[[#All],[Advanced Network/Insurance Carrier Org ID]],B122)/S122)</f>
        <v>NA</v>
      </c>
      <c r="AD122" s="147" t="str">
        <f>IF(S122=0,"NA",SUMIFS(AN_TME_PY[[#All],[TOTAL Truncated Unadjusted Claims Expenses (A21 -A19)]],AN_TME_PY[[#All],[Insurance Category Code]],4,AN_TME_PY[[#All],[Advanced Network/Insurance Carrier Org ID]],B122)/S122)</f>
        <v>NA</v>
      </c>
      <c r="AE122" s="147" t="str">
        <f>IF(S122=0,"NA",SUMIFS(AN_TME_PY[[#All],[TOTAL Non-Claims Expenses]],AN_TME_PY[[#All],[Insurance Category Code]],4,AN_TME_PY[[#All],[Advanced Network/Insurance Carrier Org ID]],B122)/S122)</f>
        <v>NA</v>
      </c>
      <c r="AF122" s="147" t="str">
        <f>IF(S122=0,"NA",SUMIFS(AN_TME_PY[[#All],[TOTAL Non-Truncated Unadjusted Expenses (A21 + A23)]],AN_TME_PY[[#All],[Insurance Category Code]],4,AN_TME_PY[[#All],[Advanced Network/Insurance Carrier Org ID]],B122)/S122)</f>
        <v>NA</v>
      </c>
      <c r="AG122" s="138" t="str">
        <f>IF(S122=0,"NA",SUMIFS(AN_TME_PY[[#All],[TOTAL Truncated Unadjusted Expenses (A22 + A23)]],AN_TME_PY[[#All],[Insurance Category Code]],4,AN_TME_PY[[#All],[Advanced Network/Insurance Carrier Org ID]],B122)/S122)</f>
        <v>NA</v>
      </c>
      <c r="AH122" s="419" t="str">
        <f t="shared" si="152"/>
        <v>NA</v>
      </c>
      <c r="AI122" s="420" t="str">
        <f t="shared" si="153"/>
        <v>NA</v>
      </c>
      <c r="AJ122" s="421" t="str">
        <f t="shared" si="154"/>
        <v>NA</v>
      </c>
      <c r="AK122" s="421" t="str">
        <f t="shared" si="155"/>
        <v>NA</v>
      </c>
      <c r="AL122" s="421" t="str">
        <f t="shared" si="156"/>
        <v>NA</v>
      </c>
      <c r="AM122" s="421" t="str">
        <f t="shared" si="157"/>
        <v>NA</v>
      </c>
      <c r="AN122" s="421" t="str">
        <f t="shared" si="158"/>
        <v>NA</v>
      </c>
      <c r="AO122" s="421" t="str">
        <f t="shared" si="159"/>
        <v>NA</v>
      </c>
      <c r="AP122" s="421" t="str">
        <f t="shared" si="160"/>
        <v>NA</v>
      </c>
      <c r="AQ122" s="421" t="str">
        <f t="shared" si="161"/>
        <v>NA</v>
      </c>
      <c r="AR122" s="422" t="str">
        <f t="shared" si="162"/>
        <v>NA</v>
      </c>
      <c r="AS122" s="422" t="str">
        <f t="shared" si="163"/>
        <v>NA</v>
      </c>
      <c r="AT122" s="422" t="str">
        <f t="shared" si="164"/>
        <v>NA</v>
      </c>
      <c r="AU122" s="422" t="str">
        <f t="shared" si="165"/>
        <v>NA</v>
      </c>
      <c r="AV122" s="423" t="str">
        <f t="shared" si="166"/>
        <v>NA</v>
      </c>
    </row>
    <row r="123" spans="1:48" ht="15" customHeight="1" x14ac:dyDescent="0.25">
      <c r="A123" s="146"/>
      <c r="B123" s="148">
        <v>134</v>
      </c>
      <c r="C123" s="151" t="str">
        <f>_xlfn.XLOOKUP(B123, LgProvEntOrgIDs[Advanced Network/Insurer Carrier Org ID], LgProvEntOrgIDs[Advanced Network/Insurance Carrier Overall])</f>
        <v>Western Connecticut Health Network (WCHN) Physician Hospital Organization</v>
      </c>
      <c r="D123" s="448">
        <f>SUMIFS(AN_TME_BY[[#All],[Member Months]],AN_TME_BY[[#All],[Insurance Category Code]],4,AN_TME_BY[[#All],[Advanced Network/Insurance Carrier Org ID]],B123)</f>
        <v>0</v>
      </c>
      <c r="E123" s="137" t="str">
        <f>IF(D123=0,"NA",SUMIFS(AN_TME_BY[[#All],[Claims: Hospital Inpatient]],AN_TME_BY[[#All],[Insurance Category Code]],4,AN_TME_BY[[#All],[Advanced Network/Insurance Carrier Org ID]],B123)/D123)</f>
        <v>NA</v>
      </c>
      <c r="F123" s="108" t="str">
        <f>IF(D123=0,"NA",SUMIFS(AN_TME_BY[[#All],[Claims: Hospital Outpatient]],AN_TME_BY[[#All],[Insurance Category Code]],4,AN_TME_BY[[#All],[Advanced Network/Insurance Carrier Org ID]],B123)/D123)</f>
        <v>NA</v>
      </c>
      <c r="G123" s="108" t="str">
        <f>IF(D123=0,"NA",SUMIFS(AN_TME_BY[[#All],[Claims: Professional, Primary Care]],AN_TME_BY[[#All],[Insurance Category Code]],4,AN_TME_BY[[#All],[Advanced Network/Insurance Carrier Org ID]],B123)/D123)</f>
        <v>NA</v>
      </c>
      <c r="H123" s="108" t="str">
        <f>IF(D123=0,"NA",SUMIFS(AN_TME_BY[[#All],[Claims: Professional, Primary Care (for Monitoring Purposes)]],AN_TME_BY[[#All],[Insurance Category Code]],4,AN_TME_BY[[#All],[Advanced Network/Insurance Carrier Org ID]],B123)/D123)</f>
        <v>NA</v>
      </c>
      <c r="I123" s="108" t="str">
        <f>IF(D123=0,"NA",SUMIFS(AN_TME_BY[[#All],[Claims: Professional, Specialty]],AN_TME_BY[[#All],[Insurance Category Code]],4,AN_TME_BY[[#All],[Advanced Network/Insurance Carrier Org ID]],B123)/D123)</f>
        <v>NA</v>
      </c>
      <c r="J123" s="108" t="str">
        <f>IF(D123=0,"NA",SUMIFS(AN_TME_BY[[#All],[Claims: Professional Other]],AN_TME_BY[[#All],[Insurance Category Code]],4,AN_TME_BY[[#All],[Advanced Network/Insurance Carrier Org ID]],B123)/D123)</f>
        <v>NA</v>
      </c>
      <c r="K123" s="108" t="str">
        <f>IF(D123=0,"NA",SUMIFS(AN_TME_BY[[#All],[Claims: Pharmacy]],AN_TME_BY[[#All],[Insurance Category Code]],4,AN_TME_BY[[#All],[Advanced Network/Insurance Carrier Org ID]],B123)/D123)</f>
        <v>NA</v>
      </c>
      <c r="L123" s="108" t="str">
        <f>IF(D123=0,"NA",SUMIFS(AN_TME_BY[[#All],[Claims: Long-Term Care]],AN_TME_BY[[#All],[Insurance Category Code]],4,AN_TME_BY[[#All],[Advanced Network/Insurance Carrier Org ID]],B123)/D123)</f>
        <v>NA</v>
      </c>
      <c r="M123" s="108" t="str">
        <f>IF(D123=0,"NA",SUMIFS(AN_TME_BY[[#All],[Claims: Other]],AN_TME_BY[[#All],[Insurance Category Code]],4,AN_TME_BY[[#All],[Advanced Network/Insurance Carrier Org ID]],B123)/D123)</f>
        <v>NA</v>
      </c>
      <c r="N123" s="147" t="str">
        <f>IF(D123=0,"NA",SUMIFS(AN_TME_BY[[#All],[TOTAL Non-Truncated Unadjusted Claims Expenses]],AN_TME_BY[[#All],[Insurance Category Code]],4,AN_TME_BY[[#All],[Advanced Network/Insurance Carrier Org ID]],B123)/D123)</f>
        <v>NA</v>
      </c>
      <c r="O123" s="147" t="str">
        <f>IF(D123=0,"NA",SUMIFS(AN_TME_BY[[#All],[TOTAL Truncated Unadjusted Claims Expenses (A21 -A19)]],AN_TME_BY[[#All],[Insurance Category Code]],4,AN_TME_BY[[#All],[Advanced Network/Insurance Carrier Org ID]],B123)/D123)</f>
        <v>NA</v>
      </c>
      <c r="P123" s="147" t="str">
        <f>IF(D123=0,"NA",SUMIFS(AN_TME_BY[[#All],[TOTAL Non-Claims Expenses]],AN_TME_BY[[#All],[Insurance Category Code]],4,AN_TME_BY[[#All],[Advanced Network/Insurance Carrier Org ID]],B123)/D123)</f>
        <v>NA</v>
      </c>
      <c r="Q123" s="147" t="str">
        <f>IF(D123=0,"NA",SUMIFS(AN_TME_BY[[#All],[TOTAL Non-Truncated Unadjusted Expenses (A21 + A23)]],AN_TME_BY[[#All],[Insurance Category Code]],4,AN_TME_BY[[#All],[Advanced Network/Insurance Carrier Org ID]],B123)/D123)</f>
        <v>NA</v>
      </c>
      <c r="R123" s="147" t="str">
        <f>IF(D123=0,"NA",SUMIFS(AN_TME_BY[[#All],[TOTAL Truncated Unadjusted Expenses (A22 + A23)]],AN_TME_BY[[#All],[Insurance Category Code]],4,AN_TME_BY[[#All],[Advanced Network/Insurance Carrier Org ID]],B123)/D123)</f>
        <v>NA</v>
      </c>
      <c r="S123" s="448">
        <f>SUMIFS(AN_TME_PY[[#All],[Member Months]],AN_TME_PY[[#All],[Insurance Category Code]],4,AN_TME_PY[[#All],[Advanced Network/Insurance Carrier Org ID]],B123)</f>
        <v>0</v>
      </c>
      <c r="T123" s="137" t="str">
        <f>IF(S123=0,"NA",SUMIFS(AN_TME_PY[[#All],[Claims: Hospital Inpatient]],AN_TME_PY[[#All],[Insurance Category Code]],4,AN_TME_PY[[#All],[Advanced Network/Insurance Carrier Org ID]],B123)/S123)</f>
        <v>NA</v>
      </c>
      <c r="U123" s="108" t="str">
        <f>IF(S123=0,"NA",SUMIFS(AN_TME_PY[[#All],[Claims: Hospital Outpatient]],AN_TME_PY[[#All],[Insurance Category Code]],4,AN_TME_PY[[#All],[Advanced Network/Insurance Carrier Org ID]],B123)/S123)</f>
        <v>NA</v>
      </c>
      <c r="V123" s="108" t="str">
        <f>IF(S123=0,"NA",SUMIFS(AN_TME_PY[[#All],[Claims: Professional, Primary Care]],AN_TME_PY[[#All],[Insurance Category Code]],4,AN_TME_PY[[#All],[Advanced Network/Insurance Carrier Org ID]],B123)/S123)</f>
        <v>NA</v>
      </c>
      <c r="W123" s="108" t="str">
        <f>IF(S123=0,"NA",SUMIFS(AN_TME_PY[[#All],[Claims: Professional, Primary Care (for Monitoring Purposes)]],AN_TME_PY[[#All],[Insurance Category Code]],4,AN_TME_PY[[#All],[Advanced Network/Insurance Carrier Org ID]],B123)/S123)</f>
        <v>NA</v>
      </c>
      <c r="X123" s="108" t="str">
        <f>IF(S123=0,"NA",SUMIFS(AN_TME_PY[[#All],[Claims: Professional, Specialty]],AN_TME_PY[[#All],[Insurance Category Code]],4,AN_TME_PY[[#All],[Advanced Network/Insurance Carrier Org ID]],B123)/S123)</f>
        <v>NA</v>
      </c>
      <c r="Y123" s="108" t="str">
        <f>IF(S123=0,"NA",SUMIFS(AN_TME_PY[[#All],[Claims: Professional Other]],AN_TME_PY[[#All],[Insurance Category Code]],4,AN_TME_PY[[#All],[Advanced Network/Insurance Carrier Org ID]],B123)/S123)</f>
        <v>NA</v>
      </c>
      <c r="Z123" s="108" t="str">
        <f>IF(S123=0,"NA",SUMIFS(AN_TME_PY[[#All],[Claims: Pharmacy]],AN_TME_PY[[#All],[Insurance Category Code]],4,AN_TME_PY[[#All],[Advanced Network/Insurance Carrier Org ID]],B123)/S123)</f>
        <v>NA</v>
      </c>
      <c r="AA123" s="108" t="str">
        <f>IF(S123=0,"NA",SUMIFS(AN_TME_PY[[#All],[Claims: Long-Term Care]],AN_TME_PY[[#All],[Insurance Category Code]],4,AN_TME_PY[[#All],[Advanced Network/Insurance Carrier Org ID]],B123)/S123)</f>
        <v>NA</v>
      </c>
      <c r="AB123" s="108" t="str">
        <f>IF(S123=0,"NA",SUMIFS(AN_TME_PY[[#All],[Claims: Other]],AN_TME_PY[[#All],[Insurance Category Code]],4,AN_TME_PY[[#All],[Advanced Network/Insurance Carrier Org ID]],B123)/S123)</f>
        <v>NA</v>
      </c>
      <c r="AC123" s="147" t="str">
        <f>IF(S123=0,"NA",SUMIFS(AN_TME_PY[[#All],[TOTAL Non-Truncated Unadjusted Claims Expenses]],AN_TME_PY[[#All],[Insurance Category Code]],4,AN_TME_PY[[#All],[Advanced Network/Insurance Carrier Org ID]],B123)/S123)</f>
        <v>NA</v>
      </c>
      <c r="AD123" s="147" t="str">
        <f>IF(S123=0,"NA",SUMIFS(AN_TME_PY[[#All],[TOTAL Truncated Unadjusted Claims Expenses (A21 -A19)]],AN_TME_PY[[#All],[Insurance Category Code]],4,AN_TME_PY[[#All],[Advanced Network/Insurance Carrier Org ID]],B123)/S123)</f>
        <v>NA</v>
      </c>
      <c r="AE123" s="147" t="str">
        <f>IF(S123=0,"NA",SUMIFS(AN_TME_PY[[#All],[TOTAL Non-Claims Expenses]],AN_TME_PY[[#All],[Insurance Category Code]],4,AN_TME_PY[[#All],[Advanced Network/Insurance Carrier Org ID]],B123)/S123)</f>
        <v>NA</v>
      </c>
      <c r="AF123" s="147" t="str">
        <f>IF(S123=0,"NA",SUMIFS(AN_TME_PY[[#All],[TOTAL Non-Truncated Unadjusted Expenses (A21 + A23)]],AN_TME_PY[[#All],[Insurance Category Code]],4,AN_TME_PY[[#All],[Advanced Network/Insurance Carrier Org ID]],B123)/S123)</f>
        <v>NA</v>
      </c>
      <c r="AG123" s="138" t="str">
        <f>IF(S123=0,"NA",SUMIFS(AN_TME_PY[[#All],[TOTAL Truncated Unadjusted Expenses (A22 + A23)]],AN_TME_PY[[#All],[Insurance Category Code]],4,AN_TME_PY[[#All],[Advanced Network/Insurance Carrier Org ID]],B123)/S123)</f>
        <v>NA</v>
      </c>
      <c r="AH123" s="419" t="str">
        <f t="shared" si="152"/>
        <v>NA</v>
      </c>
      <c r="AI123" s="420" t="str">
        <f t="shared" si="153"/>
        <v>NA</v>
      </c>
      <c r="AJ123" s="421" t="str">
        <f t="shared" si="154"/>
        <v>NA</v>
      </c>
      <c r="AK123" s="421" t="str">
        <f t="shared" si="155"/>
        <v>NA</v>
      </c>
      <c r="AL123" s="421" t="str">
        <f t="shared" si="156"/>
        <v>NA</v>
      </c>
      <c r="AM123" s="421" t="str">
        <f t="shared" si="157"/>
        <v>NA</v>
      </c>
      <c r="AN123" s="421" t="str">
        <f t="shared" si="158"/>
        <v>NA</v>
      </c>
      <c r="AO123" s="421" t="str">
        <f t="shared" si="159"/>
        <v>NA</v>
      </c>
      <c r="AP123" s="421" t="str">
        <f t="shared" si="160"/>
        <v>NA</v>
      </c>
      <c r="AQ123" s="421" t="str">
        <f t="shared" si="161"/>
        <v>NA</v>
      </c>
      <c r="AR123" s="422" t="str">
        <f t="shared" si="162"/>
        <v>NA</v>
      </c>
      <c r="AS123" s="422" t="str">
        <f t="shared" si="163"/>
        <v>NA</v>
      </c>
      <c r="AT123" s="422" t="str">
        <f t="shared" si="164"/>
        <v>NA</v>
      </c>
      <c r="AU123" s="422" t="str">
        <f t="shared" si="165"/>
        <v>NA</v>
      </c>
      <c r="AV123" s="423" t="str">
        <f t="shared" si="166"/>
        <v>NA</v>
      </c>
    </row>
    <row r="124" spans="1:48" ht="15" customHeight="1" x14ac:dyDescent="0.25">
      <c r="A124" s="146"/>
      <c r="B124" s="148">
        <v>999</v>
      </c>
      <c r="C124" s="151" t="str">
        <f>_xlfn.XLOOKUP(B124, LgProvEntOrgIDs[Advanced Network/Insurer Carrier Org ID], LgProvEntOrgIDs[Advanced Network/Insurance Carrier Overall])</f>
        <v>Members Not Attributed to an Advanced Network</v>
      </c>
      <c r="D124" s="448">
        <f>SUMIFS(AN_TME_BY[[#All],[Member Months]],AN_TME_BY[[#All],[Insurance Category Code]],4,AN_TME_BY[[#All],[Advanced Network/Insurance Carrier Org ID]],B124)</f>
        <v>0</v>
      </c>
      <c r="E124" s="137" t="str">
        <f>IF(D124=0,"NA",SUMIFS(AN_TME_BY[[#All],[Claims: Hospital Inpatient]],AN_TME_BY[[#All],[Insurance Category Code]],4,AN_TME_BY[[#All],[Advanced Network/Insurance Carrier Org ID]],B124)/D124)</f>
        <v>NA</v>
      </c>
      <c r="F124" s="108" t="str">
        <f>IF(D124=0,"NA",SUMIFS(AN_TME_BY[[#All],[Claims: Hospital Outpatient]],AN_TME_BY[[#All],[Insurance Category Code]],4,AN_TME_BY[[#All],[Advanced Network/Insurance Carrier Org ID]],B124)/D124)</f>
        <v>NA</v>
      </c>
      <c r="G124" s="108" t="str">
        <f>IF(D124=0,"NA",SUMIFS(AN_TME_BY[[#All],[Claims: Professional, Primary Care]],AN_TME_BY[[#All],[Insurance Category Code]],4,AN_TME_BY[[#All],[Advanced Network/Insurance Carrier Org ID]],B124)/D124)</f>
        <v>NA</v>
      </c>
      <c r="H124" s="108" t="str">
        <f>IF(D124=0,"NA",SUMIFS(AN_TME_BY[[#All],[Claims: Professional, Primary Care (for Monitoring Purposes)]],AN_TME_BY[[#All],[Insurance Category Code]],4,AN_TME_BY[[#All],[Advanced Network/Insurance Carrier Org ID]],B124)/D124)</f>
        <v>NA</v>
      </c>
      <c r="I124" s="108" t="str">
        <f>IF(D124=0,"NA",SUMIFS(AN_TME_BY[[#All],[Claims: Professional, Specialty]],AN_TME_BY[[#All],[Insurance Category Code]],4,AN_TME_BY[[#All],[Advanced Network/Insurance Carrier Org ID]],B124)/D124)</f>
        <v>NA</v>
      </c>
      <c r="J124" s="108" t="str">
        <f>IF(D124=0,"NA",SUMIFS(AN_TME_BY[[#All],[Claims: Professional Other]],AN_TME_BY[[#All],[Insurance Category Code]],4,AN_TME_BY[[#All],[Advanced Network/Insurance Carrier Org ID]],B124)/D124)</f>
        <v>NA</v>
      </c>
      <c r="K124" s="108" t="str">
        <f>IF(D124=0,"NA",SUMIFS(AN_TME_BY[[#All],[Claims: Pharmacy]],AN_TME_BY[[#All],[Insurance Category Code]],4,AN_TME_BY[[#All],[Advanced Network/Insurance Carrier Org ID]],B124)/D124)</f>
        <v>NA</v>
      </c>
      <c r="L124" s="108" t="str">
        <f>IF(D124=0,"NA",SUMIFS(AN_TME_BY[[#All],[Claims: Long-Term Care]],AN_TME_BY[[#All],[Insurance Category Code]],4,AN_TME_BY[[#All],[Advanced Network/Insurance Carrier Org ID]],B124)/D124)</f>
        <v>NA</v>
      </c>
      <c r="M124" s="108" t="str">
        <f>IF(D124=0,"NA",SUMIFS(AN_TME_BY[[#All],[Claims: Other]],AN_TME_BY[[#All],[Insurance Category Code]],4,AN_TME_BY[[#All],[Advanced Network/Insurance Carrier Org ID]],B124)/D124)</f>
        <v>NA</v>
      </c>
      <c r="N124" s="147" t="str">
        <f>IF(D124=0,"NA",SUMIFS(AN_TME_BY[[#All],[TOTAL Non-Truncated Unadjusted Claims Expenses]],AN_TME_BY[[#All],[Insurance Category Code]],4,AN_TME_BY[[#All],[Advanced Network/Insurance Carrier Org ID]],B124)/D124)</f>
        <v>NA</v>
      </c>
      <c r="O124" s="147" t="str">
        <f>IF(D124=0,"NA",SUMIFS(AN_TME_BY[[#All],[TOTAL Truncated Unadjusted Claims Expenses (A21 -A19)]],AN_TME_BY[[#All],[Insurance Category Code]],4,AN_TME_BY[[#All],[Advanced Network/Insurance Carrier Org ID]],B124)/D124)</f>
        <v>NA</v>
      </c>
      <c r="P124" s="147" t="str">
        <f>IF(D124=0,"NA",SUMIFS(AN_TME_BY[[#All],[TOTAL Non-Claims Expenses]],AN_TME_BY[[#All],[Insurance Category Code]],4,AN_TME_BY[[#All],[Advanced Network/Insurance Carrier Org ID]],B124)/D124)</f>
        <v>NA</v>
      </c>
      <c r="Q124" s="147" t="str">
        <f>IF(D124=0,"NA",SUMIFS(AN_TME_BY[[#All],[TOTAL Non-Truncated Unadjusted Expenses (A21 + A23)]],AN_TME_BY[[#All],[Insurance Category Code]],4,AN_TME_BY[[#All],[Advanced Network/Insurance Carrier Org ID]],B124)/D124)</f>
        <v>NA</v>
      </c>
      <c r="R124" s="147" t="str">
        <f>IF(D124=0,"NA",SUMIFS(AN_TME_BY[[#All],[TOTAL Truncated Unadjusted Expenses (A22 + A23)]],AN_TME_BY[[#All],[Insurance Category Code]],4,AN_TME_BY[[#All],[Advanced Network/Insurance Carrier Org ID]],B124)/D124)</f>
        <v>NA</v>
      </c>
      <c r="S124" s="448">
        <f>SUMIFS(AN_TME_PY[[#All],[Member Months]],AN_TME_PY[[#All],[Insurance Category Code]],4,AN_TME_PY[[#All],[Advanced Network/Insurance Carrier Org ID]],B124)</f>
        <v>0</v>
      </c>
      <c r="T124" s="137" t="str">
        <f>IF(S124=0,"NA",SUMIFS(AN_TME_PY[[#All],[Claims: Hospital Inpatient]],AN_TME_PY[[#All],[Insurance Category Code]],4,AN_TME_PY[[#All],[Advanced Network/Insurance Carrier Org ID]],B124)/S124)</f>
        <v>NA</v>
      </c>
      <c r="U124" s="108" t="str">
        <f>IF(S124=0,"NA",SUMIFS(AN_TME_PY[[#All],[Claims: Hospital Outpatient]],AN_TME_PY[[#All],[Insurance Category Code]],4,AN_TME_PY[[#All],[Advanced Network/Insurance Carrier Org ID]],B124)/S124)</f>
        <v>NA</v>
      </c>
      <c r="V124" s="108" t="str">
        <f>IF(S124=0,"NA",SUMIFS(AN_TME_PY[[#All],[Claims: Professional, Primary Care]],AN_TME_PY[[#All],[Insurance Category Code]],4,AN_TME_PY[[#All],[Advanced Network/Insurance Carrier Org ID]],B124)/S124)</f>
        <v>NA</v>
      </c>
      <c r="W124" s="108" t="str">
        <f>IF(S124=0,"NA",SUMIFS(AN_TME_PY[[#All],[Claims: Professional, Primary Care (for Monitoring Purposes)]],AN_TME_PY[[#All],[Insurance Category Code]],4,AN_TME_PY[[#All],[Advanced Network/Insurance Carrier Org ID]],B124)/S124)</f>
        <v>NA</v>
      </c>
      <c r="X124" s="108" t="str">
        <f>IF(S124=0,"NA",SUMIFS(AN_TME_PY[[#All],[Claims: Professional, Specialty]],AN_TME_PY[[#All],[Insurance Category Code]],4,AN_TME_PY[[#All],[Advanced Network/Insurance Carrier Org ID]],B124)/S124)</f>
        <v>NA</v>
      </c>
      <c r="Y124" s="108" t="str">
        <f>IF(S124=0,"NA",SUMIFS(AN_TME_PY[[#All],[Claims: Professional Other]],AN_TME_PY[[#All],[Insurance Category Code]],4,AN_TME_PY[[#All],[Advanced Network/Insurance Carrier Org ID]],B124)/S124)</f>
        <v>NA</v>
      </c>
      <c r="Z124" s="108" t="str">
        <f>IF(S124=0,"NA",SUMIFS(AN_TME_PY[[#All],[Claims: Pharmacy]],AN_TME_PY[[#All],[Insurance Category Code]],4,AN_TME_PY[[#All],[Advanced Network/Insurance Carrier Org ID]],B124)/S124)</f>
        <v>NA</v>
      </c>
      <c r="AA124" s="108" t="str">
        <f>IF(S124=0,"NA",SUMIFS(AN_TME_PY[[#All],[Claims: Long-Term Care]],AN_TME_PY[[#All],[Insurance Category Code]],4,AN_TME_PY[[#All],[Advanced Network/Insurance Carrier Org ID]],B124)/S124)</f>
        <v>NA</v>
      </c>
      <c r="AB124" s="108" t="str">
        <f>IF(S124=0,"NA",SUMIFS(AN_TME_PY[[#All],[Claims: Other]],AN_TME_PY[[#All],[Insurance Category Code]],4,AN_TME_PY[[#All],[Advanced Network/Insurance Carrier Org ID]],B124)/S124)</f>
        <v>NA</v>
      </c>
      <c r="AC124" s="147" t="str">
        <f>IF(S124=0,"NA",SUMIFS(AN_TME_PY[[#All],[TOTAL Non-Truncated Unadjusted Claims Expenses]],AN_TME_PY[[#All],[Insurance Category Code]],4,AN_TME_PY[[#All],[Advanced Network/Insurance Carrier Org ID]],B124)/S124)</f>
        <v>NA</v>
      </c>
      <c r="AD124" s="147" t="str">
        <f>IF(S124=0,"NA",SUMIFS(AN_TME_PY[[#All],[TOTAL Truncated Unadjusted Claims Expenses (A21 -A19)]],AN_TME_PY[[#All],[Insurance Category Code]],4,AN_TME_PY[[#All],[Advanced Network/Insurance Carrier Org ID]],B124)/S124)</f>
        <v>NA</v>
      </c>
      <c r="AE124" s="147" t="str">
        <f>IF(S124=0,"NA",SUMIFS(AN_TME_PY[[#All],[TOTAL Non-Claims Expenses]],AN_TME_PY[[#All],[Insurance Category Code]],4,AN_TME_PY[[#All],[Advanced Network/Insurance Carrier Org ID]],B124)/S124)</f>
        <v>NA</v>
      </c>
      <c r="AF124" s="147" t="str">
        <f>IF(S124=0,"NA",SUMIFS(AN_TME_PY[[#All],[TOTAL Non-Truncated Unadjusted Expenses (A21 + A23)]],AN_TME_PY[[#All],[Insurance Category Code]],4,AN_TME_PY[[#All],[Advanced Network/Insurance Carrier Org ID]],B124)/S124)</f>
        <v>NA</v>
      </c>
      <c r="AG124" s="138" t="str">
        <f>IF(S124=0,"NA",SUMIFS(AN_TME_PY[[#All],[TOTAL Truncated Unadjusted Expenses (A22 + A23)]],AN_TME_PY[[#All],[Insurance Category Code]],4,AN_TME_PY[[#All],[Advanced Network/Insurance Carrier Org ID]],B124)/S124)</f>
        <v>NA</v>
      </c>
      <c r="AH124" s="419" t="str">
        <f>IF(D124=0,"NA",S124/D124-1)</f>
        <v>NA</v>
      </c>
      <c r="AI124" s="420" t="str">
        <f>IF(D124=0,"NA",T124/E124-1)</f>
        <v>NA</v>
      </c>
      <c r="AJ124" s="421" t="str">
        <f>IF(D124=0,"NA",U124/F124-1)</f>
        <v>NA</v>
      </c>
      <c r="AK124" s="421" t="str">
        <f>IF(D124=0,"NA",V124/G124-1)</f>
        <v>NA</v>
      </c>
      <c r="AL124" s="421" t="str">
        <f>IF(D124=0,"NA",W124/H124-1)</f>
        <v>NA</v>
      </c>
      <c r="AM124" s="421" t="str">
        <f>IF(D124=0,"NA",X124/I124-1)</f>
        <v>NA</v>
      </c>
      <c r="AN124" s="421" t="str">
        <f>IF(D124=0,"NA",Y124/J124-1)</f>
        <v>NA</v>
      </c>
      <c r="AO124" s="421" t="str">
        <f>IF(D124=0,"NA",Z124/K124-1)</f>
        <v>NA</v>
      </c>
      <c r="AP124" s="421" t="str">
        <f>IF(D124=0,"NA",AA124/L124-1)</f>
        <v>NA</v>
      </c>
      <c r="AQ124" s="421" t="str">
        <f>IF(D124=0,"NA",AB124/M124-1)</f>
        <v>NA</v>
      </c>
      <c r="AR124" s="422" t="str">
        <f>IF(D124=0,"NA",AC124/N124-1)</f>
        <v>NA</v>
      </c>
      <c r="AS124" s="422" t="str">
        <f>IF(D124=0,"NA",AD124/O124-1)</f>
        <v>NA</v>
      </c>
      <c r="AT124" s="422" t="str">
        <f>IF(D124=0,"NA",AE124/P124-1)</f>
        <v>NA</v>
      </c>
      <c r="AU124" s="422" t="str">
        <f>IF(D124=0,"NA",AF124/Q124-1)</f>
        <v>NA</v>
      </c>
      <c r="AV124" s="423" t="str">
        <f>IF(D124=0,"NA",AG124/R124-1)</f>
        <v>NA</v>
      </c>
    </row>
    <row r="125" spans="1:48" ht="15" customHeight="1" x14ac:dyDescent="0.25">
      <c r="B125" s="149"/>
      <c r="C125" s="152" t="s">
        <v>332</v>
      </c>
      <c r="D125" s="449">
        <f>SUM(D90:D124)</f>
        <v>0</v>
      </c>
      <c r="E125" s="139" t="str">
        <f>IF(D125=0,"NA",SUMPRODUCT(E90:E124,D90:D124)/D125)</f>
        <v>NA</v>
      </c>
      <c r="F125" s="109" t="str">
        <f>IF(D125=0,"NA",SUMPRODUCT(F90:F124,D90:D124)/D125)</f>
        <v>NA</v>
      </c>
      <c r="G125" s="109" t="str">
        <f>IF(D125=0,"NA",SUMPRODUCT(G90:G124,D90:D124)/D125)</f>
        <v>NA</v>
      </c>
      <c r="H125" s="109" t="str">
        <f>IF(D125=0,"NA",SUMPRODUCT(H90:H124,D90:D124)/D125)</f>
        <v>NA</v>
      </c>
      <c r="I125" s="109" t="str">
        <f>IF(D125=0,"NA",SUMPRODUCT(I90:I124,D90:D124)/D125)</f>
        <v>NA</v>
      </c>
      <c r="J125" s="109" t="str">
        <f>IF(D125=0,"NA",SUMPRODUCT(J90:J124,D90:D124)/D125)</f>
        <v>NA</v>
      </c>
      <c r="K125" s="109" t="str">
        <f>IF(D125=0,"NA",SUMPRODUCT(K90:K124,D90:D124)/D125)</f>
        <v>NA</v>
      </c>
      <c r="L125" s="109" t="str">
        <f>IF(D125=0,"NA",SUMPRODUCT(L90:L124,D90:D124)/D125)</f>
        <v>NA</v>
      </c>
      <c r="M125" s="109" t="str">
        <f>IF(D125=0,"NA",SUMPRODUCT(M90:M124,D90:D124)/D125)</f>
        <v>NA</v>
      </c>
      <c r="N125" s="140" t="str">
        <f>IF(D125=0,"NA",SUMPRODUCT(N90:N124,D90:D124)/D125)</f>
        <v>NA</v>
      </c>
      <c r="O125" s="140" t="str">
        <f>IF(D125=0,"NA",SUMPRODUCT(O90:O124,D90:D124)/D125)</f>
        <v>NA</v>
      </c>
      <c r="P125" s="140" t="str">
        <f>IF(D125=0,"NA",SUMPRODUCT(P90:P124,D90:D124)/D125)</f>
        <v>NA</v>
      </c>
      <c r="Q125" s="140" t="str">
        <f>IF(D125=0,"NA",SUMPRODUCT(Q90:Q124,D90:D124)/D125)</f>
        <v>NA</v>
      </c>
      <c r="R125" s="140" t="str">
        <f>IF(D125=0,"NA",SUMPRODUCT(R90:R124,D90:D124)/D125)</f>
        <v>NA</v>
      </c>
      <c r="S125" s="449">
        <f>SUM(S90:S124)</f>
        <v>0</v>
      </c>
      <c r="T125" s="139" t="str">
        <f>IF(S125=0,"NA",SUMPRODUCT(T90:T124,S90:S124)/S125)</f>
        <v>NA</v>
      </c>
      <c r="U125" s="109" t="str">
        <f>IF(S125=0,"NA",SUMPRODUCT(U90:U124,S90:S124)/S125)</f>
        <v>NA</v>
      </c>
      <c r="V125" s="109" t="str">
        <f>IF(S125=0,"NA",SUMPRODUCT(V90:V124,S90:S124)/S125)</f>
        <v>NA</v>
      </c>
      <c r="W125" s="109" t="str">
        <f>IF(S125=0,"NA",SUMPRODUCT(W90:W124,S90:S124)/S125)</f>
        <v>NA</v>
      </c>
      <c r="X125" s="109" t="str">
        <f>IF(S125=0,"NA",SUMPRODUCT(X90:X124,S90:S124)/S125)</f>
        <v>NA</v>
      </c>
      <c r="Y125" s="109" t="str">
        <f>IF(S125=0,"NA",SUMPRODUCT(Y90:Y124,S90:S124)/S125)</f>
        <v>NA</v>
      </c>
      <c r="Z125" s="109" t="str">
        <f>IF(S125=0,"NA",SUMPRODUCT(Z90:Z124,S90:S124)/S125)</f>
        <v>NA</v>
      </c>
      <c r="AA125" s="109" t="str">
        <f>IF(S125=0,"NA",SUMPRODUCT(AA90:AA124,S90:S124)/S125)</f>
        <v>NA</v>
      </c>
      <c r="AB125" s="109" t="str">
        <f>IF(S125=0,"NA",SUMPRODUCT(AB90:AB124,S90:S124)/S125)</f>
        <v>NA</v>
      </c>
      <c r="AC125" s="140" t="str">
        <f>IF(S125=0,"NA",SUMPRODUCT(AC90:AC124,S90:S124)/S125)</f>
        <v>NA</v>
      </c>
      <c r="AD125" s="140" t="str">
        <f>IF(S125=0,"NA",SUMPRODUCT(AD90:AD124,S90:S124)/S125)</f>
        <v>NA</v>
      </c>
      <c r="AE125" s="140" t="str">
        <f>IF(S125=0,"NA",SUMPRODUCT(AE90:AE124,S90:S124)/S125)</f>
        <v>NA</v>
      </c>
      <c r="AF125" s="140" t="str">
        <f>IF(S125=0,"NA",SUMPRODUCT(AF90:AF124,S90:S124)/S125)</f>
        <v>NA</v>
      </c>
      <c r="AG125" s="141" t="str">
        <f>IF(S125=0,"NA",SUMPRODUCT(AG90:AG124,S90:S124)/S125)</f>
        <v>NA</v>
      </c>
      <c r="AH125" s="424" t="str">
        <f>IF(D125=0,"NA",S125/D125-1)</f>
        <v>NA</v>
      </c>
      <c r="AI125" s="425" t="str">
        <f>IF(D125=0,"NA",T125/E125-1)</f>
        <v>NA</v>
      </c>
      <c r="AJ125" s="426" t="str">
        <f>IF(D125=0,"NA",U125/F125-1)</f>
        <v>NA</v>
      </c>
      <c r="AK125" s="426" t="str">
        <f>IF(D125=0,"NA",V125/G125-1)</f>
        <v>NA</v>
      </c>
      <c r="AL125" s="426" t="str">
        <f>IF(D125=0,"NA",W125/H125-1)</f>
        <v>NA</v>
      </c>
      <c r="AM125" s="426" t="str">
        <f>IF(D125=0,"NA",X125/I125-1)</f>
        <v>NA</v>
      </c>
      <c r="AN125" s="426" t="str">
        <f>IF(D125=0,"NA",Y125/J125-1)</f>
        <v>NA</v>
      </c>
      <c r="AO125" s="426" t="str">
        <f>IF(D125=0,"NA",Z125/K125-1)</f>
        <v>NA</v>
      </c>
      <c r="AP125" s="426" t="str">
        <f>IF(D125=0,"NA",AA125/L125-1)</f>
        <v>NA</v>
      </c>
      <c r="AQ125" s="426" t="str">
        <f>IF(D125=0,"NA",AB125/M125-1)</f>
        <v>NA</v>
      </c>
      <c r="AR125" s="427" t="str">
        <f>IF(D125=0,"NA",AC125/N125-1)</f>
        <v>NA</v>
      </c>
      <c r="AS125" s="427" t="str">
        <f>IF(D125=0,"NA",AD125/O125-1)</f>
        <v>NA</v>
      </c>
      <c r="AT125" s="427" t="str">
        <f>IF(D125=0,"NA",AE125/P125-1)</f>
        <v>NA</v>
      </c>
      <c r="AU125" s="427" t="str">
        <f>IF(D125=0,"NA",AF125/Q125-1)</f>
        <v>NA</v>
      </c>
      <c r="AV125" s="428" t="str">
        <f>IF(D125=0,"NA",AG125/R125-1)</f>
        <v>NA</v>
      </c>
    </row>
    <row r="126" spans="1:48" ht="15.75" customHeight="1" thickBot="1" x14ac:dyDescent="0.3">
      <c r="B126" s="150"/>
      <c r="C126" s="153" t="s">
        <v>333</v>
      </c>
      <c r="D126" s="450">
        <f t="shared" ref="D126:J126" si="167">D125</f>
        <v>0</v>
      </c>
      <c r="E126" s="142" t="str">
        <f t="shared" si="167"/>
        <v>NA</v>
      </c>
      <c r="F126" s="143" t="str">
        <f t="shared" si="167"/>
        <v>NA</v>
      </c>
      <c r="G126" s="143" t="str">
        <f t="shared" si="167"/>
        <v>NA</v>
      </c>
      <c r="H126" s="143" t="str">
        <f t="shared" si="167"/>
        <v>NA</v>
      </c>
      <c r="I126" s="143" t="str">
        <f t="shared" si="167"/>
        <v>NA</v>
      </c>
      <c r="J126" s="143" t="str">
        <f t="shared" si="167"/>
        <v>NA</v>
      </c>
      <c r="K126" s="143" t="str">
        <f>IF(D126=0,"NA",(SUMPRODUCT(K90:K124,D90:D124)-ABS(SUMIF(RX_REBATES_BY[[#All],[Insurance Category Code]],4,RX_REBATES_BY[[#All],[Total Pharmacy Rebates]])))/D126)</f>
        <v>NA</v>
      </c>
      <c r="L126" s="143" t="str">
        <f>L125</f>
        <v>NA</v>
      </c>
      <c r="M126" s="143" t="str">
        <f>M125</f>
        <v>NA</v>
      </c>
      <c r="N126" s="144" t="str">
        <f>IF(D126=0,"NA",(SUMPRODUCT(N90:N124,D90:D124)-ABS(SUMIF(RX_REBATES_BY[[#All],[Insurance Category Code]],4,RX_REBATES_BY[[#All],[Total Pharmacy Rebates]])))/D126)</f>
        <v>NA</v>
      </c>
      <c r="O126" s="144" t="str">
        <f>IF(D126=0,"NA",(SUMPRODUCT(O90:O124,D90:D124)-ABS(SUMIF(RX_REBATES_BY[[#All],[Insurance Category Code]],4,RX_REBATES_BY[[#All],[Total Pharmacy Rebates]])))/D126)</f>
        <v>NA</v>
      </c>
      <c r="P126" s="144" t="str">
        <f>IF(D126=0,"NA",(SUMPRODUCT(P90:P124,D90:D124)-ABS(SUMIF(RX_REBATES_BY[[#All],[Insurance Category Code]],4,RX_REBATES_BY[[#All],[Total Pharmacy Rebates]])))/D126)</f>
        <v>NA</v>
      </c>
      <c r="Q126" s="144" t="str">
        <f>IF(D126=0,"NA",(SUMPRODUCT(Q90:Q124,D90:D124)-ABS(SUMIF(RX_REBATES_BY[[#All],[Insurance Category Code]],4,RX_REBATES_BY[[#All],[Total Pharmacy Rebates]])))/D126)</f>
        <v>NA</v>
      </c>
      <c r="R126" s="144" t="str">
        <f>IF(D126=0,"NA",(SUMPRODUCT(R90:R124,D90:D124)-ABS(SUMIF(RX_REBATES_BY[[#All],[Insurance Category Code]],4,RX_REBATES_BY[[#All],[Total Pharmacy Rebates]])))/D126)</f>
        <v>NA</v>
      </c>
      <c r="S126" s="450">
        <f t="shared" ref="S126:Y126" si="168">S125</f>
        <v>0</v>
      </c>
      <c r="T126" s="142" t="str">
        <f t="shared" si="168"/>
        <v>NA</v>
      </c>
      <c r="U126" s="143" t="str">
        <f t="shared" si="168"/>
        <v>NA</v>
      </c>
      <c r="V126" s="143" t="str">
        <f t="shared" si="168"/>
        <v>NA</v>
      </c>
      <c r="W126" s="143" t="str">
        <f t="shared" si="168"/>
        <v>NA</v>
      </c>
      <c r="X126" s="143" t="str">
        <f t="shared" si="168"/>
        <v>NA</v>
      </c>
      <c r="Y126" s="143" t="str">
        <f t="shared" si="168"/>
        <v>NA</v>
      </c>
      <c r="Z126" s="143" t="str">
        <f>IF(S126=0,"NA",(SUMPRODUCT(Z90:Z124,S90:S124)-ABS(SUMIF(RX_REBATES_PY[[#All],[Insurance Category Code]],4,RX_REBATES_PY[[#All],[Total Pharmacy Rebates]])))/S126)</f>
        <v>NA</v>
      </c>
      <c r="AA126" s="143" t="str">
        <f>AA125</f>
        <v>NA</v>
      </c>
      <c r="AB126" s="143" t="str">
        <f>AB125</f>
        <v>NA</v>
      </c>
      <c r="AC126" s="144" t="str">
        <f>IF(S126=0,"NA",(SUMPRODUCT(AC90:AC124,S90:S124)-ABS(SUMIF(RX_REBATES_PY[[#All],[Insurance Category Code]],4,RX_REBATES_PY[[#All],[Total Pharmacy Rebates]])))/S126)</f>
        <v>NA</v>
      </c>
      <c r="AD126" s="144" t="str">
        <f>IF(S126=0,"NA",(SUMPRODUCT(AD90:AD124,S90:S124)-ABS(SUMIF(RX_REBATES_PY[[#All],[Insurance Category Code]],4,RX_REBATES_PY[[#All],[Total Pharmacy Rebates]])))/S126)</f>
        <v>NA</v>
      </c>
      <c r="AE126" s="144" t="str">
        <f>IF(S126=0,"NA",(SUMPRODUCT(AE90:AE124,S90:S124)-ABS(SUMIF(RX_REBATES_PY[[#All],[Insurance Category Code]],4,RX_REBATES_PY[[#All],[Total Pharmacy Rebates]])))/S126)</f>
        <v>NA</v>
      </c>
      <c r="AF126" s="144" t="str">
        <f>IF(S126=0,"NA",(SUMPRODUCT(AF90:AF124,S90:S124)-ABS(SUMIF(RX_REBATES_PY[[#All],[Insurance Category Code]],4,RX_REBATES_PY[[#All],[Total Pharmacy Rebates]])))/S126)</f>
        <v>NA</v>
      </c>
      <c r="AG126" s="144" t="str">
        <f>IF(S126=0,"NA",(SUMPRODUCT(AG90:AG124,S90:S124)-ABS(SUMIF(RX_REBATES_PY[[#All],[Insurance Category Code]],4,RX_REBATES_PY[[#All],[Total Pharmacy Rebates]])))/S126)</f>
        <v>NA</v>
      </c>
      <c r="AH126" s="429" t="str">
        <f>IF(D126=0,"NA",S126/D126-1)</f>
        <v>NA</v>
      </c>
      <c r="AI126" s="430" t="str">
        <f>IF(D126=0,"NA",T126/E126-1)</f>
        <v>NA</v>
      </c>
      <c r="AJ126" s="431" t="str">
        <f>IF(D126=0,"NA",U126/F126-1)</f>
        <v>NA</v>
      </c>
      <c r="AK126" s="431" t="str">
        <f>IF(D126=0,"NA",V126/G126-1)</f>
        <v>NA</v>
      </c>
      <c r="AL126" s="431" t="str">
        <f>IF(D126=0,"NA",W126/H126-1)</f>
        <v>NA</v>
      </c>
      <c r="AM126" s="431" t="str">
        <f>IF(D126=0,"NA",X126/I126-1)</f>
        <v>NA</v>
      </c>
      <c r="AN126" s="431" t="str">
        <f>IF(D126=0,"NA",Y126/J126-1)</f>
        <v>NA</v>
      </c>
      <c r="AO126" s="431" t="str">
        <f>IF(D126=0,"NA",Z126/K126-1)</f>
        <v>NA</v>
      </c>
      <c r="AP126" s="431" t="str">
        <f>IF(D126=0,"NA",AA126/L126-1)</f>
        <v>NA</v>
      </c>
      <c r="AQ126" s="431" t="str">
        <f>IF(D126=0,"NA",AB126/M126-1)</f>
        <v>NA</v>
      </c>
      <c r="AR126" s="432" t="str">
        <f>IF(D126=0,"NA",AC126/N126-1)</f>
        <v>NA</v>
      </c>
      <c r="AS126" s="432" t="str">
        <f>IF(D126=0,"NA",AD126/O126-1)</f>
        <v>NA</v>
      </c>
      <c r="AT126" s="432" t="str">
        <f>IF(D126=0,"NA",AE126/P126-1)</f>
        <v>NA</v>
      </c>
      <c r="AU126" s="432" t="str">
        <f>IF(D126=0,"NA",AF126/Q126-1)</f>
        <v>NA</v>
      </c>
      <c r="AV126" s="433" t="str">
        <f>IF(D126=0,"NA",AG126/R126-1)</f>
        <v>NA</v>
      </c>
    </row>
    <row r="128" spans="1:48" ht="16.5" thickBot="1" x14ac:dyDescent="0.3">
      <c r="B128" s="53" t="s">
        <v>336</v>
      </c>
      <c r="C128" s="464"/>
    </row>
    <row r="129" spans="2:48" x14ac:dyDescent="0.25">
      <c r="B129" s="619" t="s">
        <v>322</v>
      </c>
      <c r="C129" s="620"/>
      <c r="D129" s="617">
        <v>2023</v>
      </c>
      <c r="E129" s="618"/>
      <c r="F129" s="618"/>
      <c r="G129" s="618"/>
      <c r="H129" s="618"/>
      <c r="I129" s="618"/>
      <c r="J129" s="618"/>
      <c r="K129" s="618"/>
      <c r="L129" s="618"/>
      <c r="M129" s="618"/>
      <c r="N129" s="618"/>
      <c r="O129" s="618"/>
      <c r="P129" s="618"/>
      <c r="Q129" s="618"/>
      <c r="R129" s="618"/>
      <c r="S129" s="617">
        <v>2024</v>
      </c>
      <c r="T129" s="618"/>
      <c r="U129" s="618"/>
      <c r="V129" s="618"/>
      <c r="W129" s="618"/>
      <c r="X129" s="618"/>
      <c r="Y129" s="618"/>
      <c r="Z129" s="618"/>
      <c r="AA129" s="618"/>
      <c r="AB129" s="618"/>
      <c r="AC129" s="618"/>
      <c r="AD129" s="618"/>
      <c r="AE129" s="618"/>
      <c r="AF129" s="618"/>
      <c r="AG129" s="623"/>
      <c r="AH129" s="595" t="s">
        <v>292</v>
      </c>
      <c r="AI129" s="596"/>
      <c r="AJ129" s="597"/>
      <c r="AK129" s="597"/>
      <c r="AL129" s="597"/>
      <c r="AM129" s="597"/>
      <c r="AN129" s="597"/>
      <c r="AO129" s="597"/>
      <c r="AP129" s="597"/>
      <c r="AQ129" s="597"/>
      <c r="AR129" s="598"/>
      <c r="AS129" s="598"/>
      <c r="AT129" s="598"/>
      <c r="AU129" s="598"/>
      <c r="AV129" s="599"/>
    </row>
    <row r="130" spans="2:48" ht="30" x14ac:dyDescent="0.25">
      <c r="B130" s="201" t="s">
        <v>323</v>
      </c>
      <c r="C130" s="205" t="s">
        <v>324</v>
      </c>
      <c r="D130" s="201" t="s">
        <v>212</v>
      </c>
      <c r="E130" s="202" t="s">
        <v>124</v>
      </c>
      <c r="F130" s="203" t="s">
        <v>125</v>
      </c>
      <c r="G130" s="203" t="s">
        <v>127</v>
      </c>
      <c r="H130" s="203" t="s">
        <v>325</v>
      </c>
      <c r="I130" s="203" t="s">
        <v>129</v>
      </c>
      <c r="J130" s="203" t="s">
        <v>130</v>
      </c>
      <c r="K130" s="203" t="s">
        <v>326</v>
      </c>
      <c r="L130" s="203" t="s">
        <v>327</v>
      </c>
      <c r="M130" s="203" t="s">
        <v>134</v>
      </c>
      <c r="N130" s="204" t="s">
        <v>328</v>
      </c>
      <c r="O130" s="204" t="s">
        <v>329</v>
      </c>
      <c r="P130" s="204" t="s">
        <v>218</v>
      </c>
      <c r="Q130" s="204" t="s">
        <v>330</v>
      </c>
      <c r="R130" s="204" t="s">
        <v>331</v>
      </c>
      <c r="S130" s="201" t="s">
        <v>212</v>
      </c>
      <c r="T130" s="202" t="s">
        <v>124</v>
      </c>
      <c r="U130" s="203" t="s">
        <v>125</v>
      </c>
      <c r="V130" s="203" t="s">
        <v>127</v>
      </c>
      <c r="W130" s="203" t="s">
        <v>325</v>
      </c>
      <c r="X130" s="203" t="s">
        <v>129</v>
      </c>
      <c r="Y130" s="203" t="s">
        <v>130</v>
      </c>
      <c r="Z130" s="203" t="s">
        <v>326</v>
      </c>
      <c r="AA130" s="203" t="s">
        <v>327</v>
      </c>
      <c r="AB130" s="203" t="s">
        <v>134</v>
      </c>
      <c r="AC130" s="204" t="s">
        <v>328</v>
      </c>
      <c r="AD130" s="204" t="s">
        <v>329</v>
      </c>
      <c r="AE130" s="204" t="s">
        <v>218</v>
      </c>
      <c r="AF130" s="204" t="s">
        <v>330</v>
      </c>
      <c r="AG130" s="205" t="s">
        <v>331</v>
      </c>
      <c r="AH130" s="201" t="s">
        <v>212</v>
      </c>
      <c r="AI130" s="202" t="s">
        <v>124</v>
      </c>
      <c r="AJ130" s="203" t="s">
        <v>125</v>
      </c>
      <c r="AK130" s="203" t="s">
        <v>127</v>
      </c>
      <c r="AL130" s="203" t="s">
        <v>325</v>
      </c>
      <c r="AM130" s="203" t="s">
        <v>129</v>
      </c>
      <c r="AN130" s="203" t="s">
        <v>130</v>
      </c>
      <c r="AO130" s="203" t="s">
        <v>326</v>
      </c>
      <c r="AP130" s="203" t="s">
        <v>327</v>
      </c>
      <c r="AQ130" s="203" t="s">
        <v>134</v>
      </c>
      <c r="AR130" s="204" t="s">
        <v>328</v>
      </c>
      <c r="AS130" s="204" t="s">
        <v>329</v>
      </c>
      <c r="AT130" s="204" t="s">
        <v>218</v>
      </c>
      <c r="AU130" s="204" t="s">
        <v>330</v>
      </c>
      <c r="AV130" s="205" t="s">
        <v>331</v>
      </c>
    </row>
    <row r="131" spans="2:48" ht="15" customHeight="1" x14ac:dyDescent="0.25">
      <c r="B131" s="148">
        <v>101</v>
      </c>
      <c r="C131" s="151" t="str">
        <f>_xlfn.XLOOKUP(B131, LgProvEntOrgIDs[Advanced Network/Insurer Carrier Org ID], LgProvEntOrgIDs[Advanced Network/Insurance Carrier Overall])</f>
        <v>Privia Quality Network of Connecticut (PQN CT) (formerly Community Medical Group)</v>
      </c>
      <c r="D131" s="448">
        <f t="shared" ref="D131:D161" si="169">D172+D213</f>
        <v>0</v>
      </c>
      <c r="E131" s="137" t="str">
        <f t="shared" ref="E131:E161" si="170">IF(D131=0,"NA",(SUMPRODUCT(E172,D172)+SUMPRODUCT(E213,D213))/D131)</f>
        <v>NA</v>
      </c>
      <c r="F131" s="137" t="str">
        <f t="shared" ref="F131:F161" si="171">IF(D131=0,"NA",(SUMPRODUCT(F172,D172)+SUMPRODUCT(F213,D213))/D131)</f>
        <v>NA</v>
      </c>
      <c r="G131" s="137" t="str">
        <f t="shared" ref="G131:G160" si="172">IF(D131=0,"NA",(SUMPRODUCT(G172,D172)+SUMPRODUCT(G213,D213))/D131)</f>
        <v>NA</v>
      </c>
      <c r="H131" s="137" t="str">
        <f t="shared" ref="H131:H161" si="173">IF(D131=0,"NA",(SUMPRODUCT(H172,D172)+SUMPRODUCT(H213,D213))/D131)</f>
        <v>NA</v>
      </c>
      <c r="I131" s="137" t="str">
        <f t="shared" ref="I131:I161" si="174">IF(D131=0,"NA",(SUMPRODUCT(I172,D172)+SUMPRODUCT(I213,D213))/D131)</f>
        <v>NA</v>
      </c>
      <c r="J131" s="137" t="str">
        <f t="shared" ref="J131:J161" si="175">IF(D131=0,"NA",(SUMPRODUCT(J172,D172)+SUMPRODUCT(J213,D213))/D131)</f>
        <v>NA</v>
      </c>
      <c r="K131" s="137" t="str">
        <f t="shared" ref="K131:K161" si="176">IF(D131=0,"NA",(SUMPRODUCT(K172,D172)+SUMPRODUCT(K213,D213))/D131)</f>
        <v>NA</v>
      </c>
      <c r="L131" s="137" t="str">
        <f t="shared" ref="L131:L161" si="177">IF(D131=0,"NA",(SUMPRODUCT(L172,D172)+SUMPRODUCT(L213,D213))/D131)</f>
        <v>NA</v>
      </c>
      <c r="M131" s="137" t="str">
        <f t="shared" ref="M131:M161" si="178">IF(D131=0,"NA",(SUMPRODUCT(M172,D172)+SUMPRODUCT(M213,D213))/D131)</f>
        <v>NA</v>
      </c>
      <c r="N131" s="137" t="str">
        <f t="shared" ref="N131:N161" si="179">IF(D131=0,"NA",(SUMPRODUCT(N172,D172)+SUMPRODUCT(N213,D213))/D131)</f>
        <v>NA</v>
      </c>
      <c r="O131" s="137" t="str">
        <f t="shared" ref="O131:O161" si="180">IF(D131=0,"NA",(SUMPRODUCT(O172,D172)+SUMPRODUCT(O213,D213))/D131)</f>
        <v>NA</v>
      </c>
      <c r="P131" s="137" t="str">
        <f t="shared" ref="P131:P161" si="181">IF(D131=0,"NA",(SUMPRODUCT(P172,D172)+SUMPRODUCT(P213,D213))/D131)</f>
        <v>NA</v>
      </c>
      <c r="Q131" s="137" t="str">
        <f t="shared" ref="Q131:Q161" si="182">IF(D131=0,"NA",(SUMPRODUCT(Q172,D172)+SUMPRODUCT(Q213,D213))/D131)</f>
        <v>NA</v>
      </c>
      <c r="R131" s="147" t="str">
        <f t="shared" ref="R131:R161" si="183">IF(D131=0,"NA",(SUMPRODUCT(R172,D172)+SUMPRODUCT(R213,D213))/D131)</f>
        <v>NA</v>
      </c>
      <c r="S131" s="448">
        <f t="shared" ref="S131:S161" si="184">S172+S213</f>
        <v>0</v>
      </c>
      <c r="T131" s="137" t="str">
        <f t="shared" ref="T131:T161" si="185">IF(S131=0,"NA",(SUMPRODUCT(T172,S172)+SUMPRODUCT(T213,S213))/S131)</f>
        <v>NA</v>
      </c>
      <c r="U131" s="137" t="str">
        <f t="shared" ref="U131:U161" si="186">IF(S131=0,"NA",(SUMPRODUCT(U172,S172)+SUMPRODUCT(U213,S213))/S131)</f>
        <v>NA</v>
      </c>
      <c r="V131" s="137" t="str">
        <f t="shared" ref="V131:V161" si="187">IF(S131=0,"NA",(SUMPRODUCT(V172,S172)+SUMPRODUCT(V213,S213))/S131)</f>
        <v>NA</v>
      </c>
      <c r="W131" s="137" t="str">
        <f t="shared" ref="W131:W161" si="188">IF(S131=0,"NA",(SUMPRODUCT(W172,S172)+SUMPRODUCT(W213,S213))/S131)</f>
        <v>NA</v>
      </c>
      <c r="X131" s="137" t="str">
        <f t="shared" ref="X131:X161" si="189">IF(S131=0,"NA",(SUMPRODUCT(X172,S172)+SUMPRODUCT(X213,S213))/S131)</f>
        <v>NA</v>
      </c>
      <c r="Y131" s="137" t="str">
        <f t="shared" ref="Y131:Y161" si="190">IF(S131=0,"NA",(SUMPRODUCT(Y172,S172)+SUMPRODUCT(Y213,S213))/S131)</f>
        <v>NA</v>
      </c>
      <c r="Z131" s="137" t="str">
        <f t="shared" ref="Z131:Z161" si="191">IF(S131=0,"NA",(SUMPRODUCT(Z172,S172)+SUMPRODUCT(Z213,S213))/S131)</f>
        <v>NA</v>
      </c>
      <c r="AA131" s="137" t="str">
        <f t="shared" ref="AA131:AA161" si="192">IF(S131=0,"NA",(SUMPRODUCT(AA172,S172)+SUMPRODUCT(AA213,S213))/S131)</f>
        <v>NA</v>
      </c>
      <c r="AB131" s="137" t="str">
        <f t="shared" ref="AB131:AB161" si="193">IF(S131=0,"NA",(SUMPRODUCT(AB172,S172)+SUMPRODUCT(AB213,S213))/S131)</f>
        <v>NA</v>
      </c>
      <c r="AC131" s="137" t="str">
        <f t="shared" ref="AC131:AC161" si="194">IF(S131=0,"NA",(SUMPRODUCT(AC172,S172)+SUMPRODUCT(AC213,S213))/S131)</f>
        <v>NA</v>
      </c>
      <c r="AD131" s="137" t="str">
        <f t="shared" ref="AD131:AD161" si="195">IF(S131=0,"NA",(SUMPRODUCT(AD172,S172)+SUMPRODUCT(AD213,S213))/S131)</f>
        <v>NA</v>
      </c>
      <c r="AE131" s="137" t="str">
        <f t="shared" ref="AE131:AE161" si="196">IF(S131=0,"NA",(SUMPRODUCT(AE172,S172)+SUMPRODUCT(AE213,S213))/S131)</f>
        <v>NA</v>
      </c>
      <c r="AF131" s="137" t="str">
        <f t="shared" ref="AF131:AF161" si="197">IF(S131=0,"NA",(SUMPRODUCT(AF172,S172)+SUMPRODUCT(AF213,S213))/S131)</f>
        <v>NA</v>
      </c>
      <c r="AG131" s="138" t="str">
        <f t="shared" ref="AG131:AG161" si="198">IF(S131=0,"NA",(SUMPRODUCT(AG172,S172)+SUMPRODUCT(AG213,S213))/S131)</f>
        <v>NA</v>
      </c>
      <c r="AH131" s="419" t="str">
        <f>IF(D131=0,"NA",S131/D131-1)</f>
        <v>NA</v>
      </c>
      <c r="AI131" s="420" t="str">
        <f>IF(D131=0,"NA",T131/E131-1)</f>
        <v>NA</v>
      </c>
      <c r="AJ131" s="421" t="str">
        <f>IF(D131=0,"NA",U131/F131-1)</f>
        <v>NA</v>
      </c>
      <c r="AK131" s="421" t="str">
        <f>IF(D131=0,"NA",V131/G131-1)</f>
        <v>NA</v>
      </c>
      <c r="AL131" s="421" t="str">
        <f>IF(D131=0,"NA",W131/H131-1)</f>
        <v>NA</v>
      </c>
      <c r="AM131" s="421" t="str">
        <f>IF(D131=0,"NA",X131/I131-1)</f>
        <v>NA</v>
      </c>
      <c r="AN131" s="421" t="str">
        <f>IF(D131=0,"NA",Y131/J131-1)</f>
        <v>NA</v>
      </c>
      <c r="AO131" s="421" t="str">
        <f>IF(D131=0,"NA",Z131/K131-1)</f>
        <v>NA</v>
      </c>
      <c r="AP131" s="421" t="str">
        <f>IF(D131=0,"NA",AA131/L131-1)</f>
        <v>NA</v>
      </c>
      <c r="AQ131" s="421" t="str">
        <f>IF(D131=0,"NA",AB131/M131-1)</f>
        <v>NA</v>
      </c>
      <c r="AR131" s="422" t="str">
        <f>IF(D131=0,"NA",AC131/N131-1)</f>
        <v>NA</v>
      </c>
      <c r="AS131" s="422" t="str">
        <f>IF(D131=0,"NA",AD131/O131-1)</f>
        <v>NA</v>
      </c>
      <c r="AT131" s="422" t="str">
        <f>IF(D131=0,"NA",AE131/P131-1)</f>
        <v>NA</v>
      </c>
      <c r="AU131" s="422" t="str">
        <f>IF(D131=0,"NA",AF131/Q131-1)</f>
        <v>NA</v>
      </c>
      <c r="AV131" s="423" t="str">
        <f>IF(D131=0,"NA",AG131/R131-1)</f>
        <v>NA</v>
      </c>
    </row>
    <row r="132" spans="2:48" ht="15" customHeight="1" x14ac:dyDescent="0.25">
      <c r="B132" s="148">
        <v>102</v>
      </c>
      <c r="C132" s="151" t="str">
        <f>_xlfn.XLOOKUP(B132, LgProvEntOrgIDs[Advanced Network/Insurer Carrier Org ID], LgProvEntOrgIDs[Advanced Network/Insurance Carrier Overall])</f>
        <v>Connecticut Children's Care Network</v>
      </c>
      <c r="D132" s="448">
        <f t="shared" si="169"/>
        <v>0</v>
      </c>
      <c r="E132" s="137" t="str">
        <f t="shared" si="170"/>
        <v>NA</v>
      </c>
      <c r="F132" s="137" t="str">
        <f t="shared" si="171"/>
        <v>NA</v>
      </c>
      <c r="G132" s="137" t="str">
        <f t="shared" si="172"/>
        <v>NA</v>
      </c>
      <c r="H132" s="137" t="str">
        <f t="shared" si="173"/>
        <v>NA</v>
      </c>
      <c r="I132" s="137" t="str">
        <f t="shared" si="174"/>
        <v>NA</v>
      </c>
      <c r="J132" s="137" t="str">
        <f t="shared" si="175"/>
        <v>NA</v>
      </c>
      <c r="K132" s="137" t="str">
        <f t="shared" si="176"/>
        <v>NA</v>
      </c>
      <c r="L132" s="137" t="str">
        <f t="shared" si="177"/>
        <v>NA</v>
      </c>
      <c r="M132" s="137" t="str">
        <f t="shared" si="178"/>
        <v>NA</v>
      </c>
      <c r="N132" s="137" t="str">
        <f t="shared" si="179"/>
        <v>NA</v>
      </c>
      <c r="O132" s="137" t="str">
        <f t="shared" si="180"/>
        <v>NA</v>
      </c>
      <c r="P132" s="137" t="str">
        <f t="shared" si="181"/>
        <v>NA</v>
      </c>
      <c r="Q132" s="137" t="str">
        <f t="shared" si="182"/>
        <v>NA</v>
      </c>
      <c r="R132" s="147" t="str">
        <f t="shared" si="183"/>
        <v>NA</v>
      </c>
      <c r="S132" s="448">
        <f t="shared" si="184"/>
        <v>0</v>
      </c>
      <c r="T132" s="137" t="str">
        <f t="shared" si="185"/>
        <v>NA</v>
      </c>
      <c r="U132" s="137" t="str">
        <f t="shared" si="186"/>
        <v>NA</v>
      </c>
      <c r="V132" s="137" t="str">
        <f t="shared" si="187"/>
        <v>NA</v>
      </c>
      <c r="W132" s="137" t="str">
        <f t="shared" si="188"/>
        <v>NA</v>
      </c>
      <c r="X132" s="137" t="str">
        <f t="shared" si="189"/>
        <v>NA</v>
      </c>
      <c r="Y132" s="137" t="str">
        <f t="shared" si="190"/>
        <v>NA</v>
      </c>
      <c r="Z132" s="137" t="str">
        <f t="shared" si="191"/>
        <v>NA</v>
      </c>
      <c r="AA132" s="137" t="str">
        <f t="shared" si="192"/>
        <v>NA</v>
      </c>
      <c r="AB132" s="137" t="str">
        <f t="shared" si="193"/>
        <v>NA</v>
      </c>
      <c r="AC132" s="137" t="str">
        <f t="shared" si="194"/>
        <v>NA</v>
      </c>
      <c r="AD132" s="137" t="str">
        <f t="shared" si="195"/>
        <v>NA</v>
      </c>
      <c r="AE132" s="137" t="str">
        <f t="shared" si="196"/>
        <v>NA</v>
      </c>
      <c r="AF132" s="137" t="str">
        <f t="shared" si="197"/>
        <v>NA</v>
      </c>
      <c r="AG132" s="138" t="str">
        <f t="shared" si="198"/>
        <v>NA</v>
      </c>
      <c r="AH132" s="419" t="str">
        <f t="shared" ref="AH132:AH140" si="199">IF(D132=0,"NA",S132/D132-1)</f>
        <v>NA</v>
      </c>
      <c r="AI132" s="420" t="str">
        <f t="shared" ref="AI132:AI140" si="200">IF(D132=0,"NA",T132/E132-1)</f>
        <v>NA</v>
      </c>
      <c r="AJ132" s="421" t="str">
        <f t="shared" ref="AJ132:AJ140" si="201">IF(D132=0,"NA",U132/F132-1)</f>
        <v>NA</v>
      </c>
      <c r="AK132" s="421" t="str">
        <f t="shared" ref="AK132:AK140" si="202">IF(D132=0,"NA",V132/G132-1)</f>
        <v>NA</v>
      </c>
      <c r="AL132" s="421" t="str">
        <f t="shared" ref="AL132:AL140" si="203">IF(D132=0,"NA",W132/H132-1)</f>
        <v>NA</v>
      </c>
      <c r="AM132" s="421" t="str">
        <f t="shared" ref="AM132:AM140" si="204">IF(D132=0,"NA",X132/I132-1)</f>
        <v>NA</v>
      </c>
      <c r="AN132" s="421" t="str">
        <f t="shared" ref="AN132:AN140" si="205">IF(D132=0,"NA",Y132/J132-1)</f>
        <v>NA</v>
      </c>
      <c r="AO132" s="421" t="str">
        <f t="shared" ref="AO132:AO140" si="206">IF(D132=0,"NA",Z132/K132-1)</f>
        <v>NA</v>
      </c>
      <c r="AP132" s="421" t="str">
        <f t="shared" ref="AP132:AP140" si="207">IF(D132=0,"NA",AA132/L132-1)</f>
        <v>NA</v>
      </c>
      <c r="AQ132" s="421" t="str">
        <f t="shared" ref="AQ132:AQ140" si="208">IF(D132=0,"NA",AB132/M132-1)</f>
        <v>NA</v>
      </c>
      <c r="AR132" s="422" t="str">
        <f t="shared" ref="AR132:AR140" si="209">IF(D132=0,"NA",AC132/N132-1)</f>
        <v>NA</v>
      </c>
      <c r="AS132" s="422" t="str">
        <f t="shared" ref="AS132:AS140" si="210">IF(D132=0,"NA",AD132/O132-1)</f>
        <v>NA</v>
      </c>
      <c r="AT132" s="422" t="str">
        <f t="shared" ref="AT132:AT140" si="211">IF(D132=0,"NA",AE132/P132-1)</f>
        <v>NA</v>
      </c>
      <c r="AU132" s="422" t="str">
        <f t="shared" ref="AU132:AU140" si="212">IF(D132=0,"NA",AF132/Q132-1)</f>
        <v>NA</v>
      </c>
      <c r="AV132" s="423" t="str">
        <f t="shared" ref="AV132:AV140" si="213">IF(D132=0,"NA",AG132/R132-1)</f>
        <v>NA</v>
      </c>
    </row>
    <row r="133" spans="2:48" ht="15" customHeight="1" x14ac:dyDescent="0.25">
      <c r="B133" s="148">
        <v>103</v>
      </c>
      <c r="C133" s="151" t="str">
        <f>_xlfn.XLOOKUP(B133, LgProvEntOrgIDs[Advanced Network/Insurer Carrier Org ID], LgProvEntOrgIDs[Advanced Network/Insurance Carrier Overall])</f>
        <v>Connecticut State Medical Society IPA</v>
      </c>
      <c r="D133" s="448">
        <f t="shared" si="169"/>
        <v>0</v>
      </c>
      <c r="E133" s="137" t="str">
        <f t="shared" si="170"/>
        <v>NA</v>
      </c>
      <c r="F133" s="137" t="str">
        <f t="shared" si="171"/>
        <v>NA</v>
      </c>
      <c r="G133" s="137" t="str">
        <f t="shared" si="172"/>
        <v>NA</v>
      </c>
      <c r="H133" s="137" t="str">
        <f t="shared" si="173"/>
        <v>NA</v>
      </c>
      <c r="I133" s="137" t="str">
        <f t="shared" si="174"/>
        <v>NA</v>
      </c>
      <c r="J133" s="137" t="str">
        <f t="shared" si="175"/>
        <v>NA</v>
      </c>
      <c r="K133" s="137" t="str">
        <f t="shared" si="176"/>
        <v>NA</v>
      </c>
      <c r="L133" s="137" t="str">
        <f t="shared" si="177"/>
        <v>NA</v>
      </c>
      <c r="M133" s="137" t="str">
        <f t="shared" si="178"/>
        <v>NA</v>
      </c>
      <c r="N133" s="137" t="str">
        <f t="shared" si="179"/>
        <v>NA</v>
      </c>
      <c r="O133" s="137" t="str">
        <f t="shared" si="180"/>
        <v>NA</v>
      </c>
      <c r="P133" s="137" t="str">
        <f t="shared" si="181"/>
        <v>NA</v>
      </c>
      <c r="Q133" s="137" t="str">
        <f t="shared" si="182"/>
        <v>NA</v>
      </c>
      <c r="R133" s="147" t="str">
        <f t="shared" si="183"/>
        <v>NA</v>
      </c>
      <c r="S133" s="448">
        <f t="shared" si="184"/>
        <v>0</v>
      </c>
      <c r="T133" s="137" t="str">
        <f t="shared" si="185"/>
        <v>NA</v>
      </c>
      <c r="U133" s="137" t="str">
        <f t="shared" si="186"/>
        <v>NA</v>
      </c>
      <c r="V133" s="137" t="str">
        <f t="shared" si="187"/>
        <v>NA</v>
      </c>
      <c r="W133" s="137" t="str">
        <f t="shared" si="188"/>
        <v>NA</v>
      </c>
      <c r="X133" s="137" t="str">
        <f t="shared" si="189"/>
        <v>NA</v>
      </c>
      <c r="Y133" s="137" t="str">
        <f t="shared" si="190"/>
        <v>NA</v>
      </c>
      <c r="Z133" s="137" t="str">
        <f t="shared" si="191"/>
        <v>NA</v>
      </c>
      <c r="AA133" s="137" t="str">
        <f t="shared" si="192"/>
        <v>NA</v>
      </c>
      <c r="AB133" s="137" t="str">
        <f t="shared" si="193"/>
        <v>NA</v>
      </c>
      <c r="AC133" s="137" t="str">
        <f t="shared" si="194"/>
        <v>NA</v>
      </c>
      <c r="AD133" s="137" t="str">
        <f t="shared" si="195"/>
        <v>NA</v>
      </c>
      <c r="AE133" s="137" t="str">
        <f t="shared" si="196"/>
        <v>NA</v>
      </c>
      <c r="AF133" s="137" t="str">
        <f t="shared" si="197"/>
        <v>NA</v>
      </c>
      <c r="AG133" s="138" t="str">
        <f t="shared" si="198"/>
        <v>NA</v>
      </c>
      <c r="AH133" s="419" t="str">
        <f t="shared" si="199"/>
        <v>NA</v>
      </c>
      <c r="AI133" s="420" t="str">
        <f t="shared" si="200"/>
        <v>NA</v>
      </c>
      <c r="AJ133" s="421" t="str">
        <f t="shared" si="201"/>
        <v>NA</v>
      </c>
      <c r="AK133" s="421" t="str">
        <f t="shared" si="202"/>
        <v>NA</v>
      </c>
      <c r="AL133" s="421" t="str">
        <f t="shared" si="203"/>
        <v>NA</v>
      </c>
      <c r="AM133" s="421" t="str">
        <f t="shared" si="204"/>
        <v>NA</v>
      </c>
      <c r="AN133" s="421" t="str">
        <f t="shared" si="205"/>
        <v>NA</v>
      </c>
      <c r="AO133" s="421" t="str">
        <f t="shared" si="206"/>
        <v>NA</v>
      </c>
      <c r="AP133" s="421" t="str">
        <f t="shared" si="207"/>
        <v>NA</v>
      </c>
      <c r="AQ133" s="421" t="str">
        <f t="shared" si="208"/>
        <v>NA</v>
      </c>
      <c r="AR133" s="422" t="str">
        <f t="shared" si="209"/>
        <v>NA</v>
      </c>
      <c r="AS133" s="422" t="str">
        <f t="shared" si="210"/>
        <v>NA</v>
      </c>
      <c r="AT133" s="422" t="str">
        <f t="shared" si="211"/>
        <v>NA</v>
      </c>
      <c r="AU133" s="422" t="str">
        <f t="shared" si="212"/>
        <v>NA</v>
      </c>
      <c r="AV133" s="423" t="str">
        <f t="shared" si="213"/>
        <v>NA</v>
      </c>
    </row>
    <row r="134" spans="2:48" ht="15" customHeight="1" x14ac:dyDescent="0.25">
      <c r="B134" s="148">
        <v>104</v>
      </c>
      <c r="C134" s="151" t="str">
        <f>_xlfn.XLOOKUP(B134, LgProvEntOrgIDs[Advanced Network/Insurer Carrier Org ID], LgProvEntOrgIDs[Advanced Network/Insurance Carrier Overall])</f>
        <v>Hartford Healthcare Integrated Care Partners</v>
      </c>
      <c r="D134" s="448">
        <f t="shared" si="169"/>
        <v>0</v>
      </c>
      <c r="E134" s="137" t="str">
        <f t="shared" si="170"/>
        <v>NA</v>
      </c>
      <c r="F134" s="137" t="str">
        <f t="shared" si="171"/>
        <v>NA</v>
      </c>
      <c r="G134" s="137" t="str">
        <f t="shared" si="172"/>
        <v>NA</v>
      </c>
      <c r="H134" s="137" t="str">
        <f t="shared" si="173"/>
        <v>NA</v>
      </c>
      <c r="I134" s="137" t="str">
        <f t="shared" si="174"/>
        <v>NA</v>
      </c>
      <c r="J134" s="137" t="str">
        <f t="shared" si="175"/>
        <v>NA</v>
      </c>
      <c r="K134" s="137" t="str">
        <f t="shared" si="176"/>
        <v>NA</v>
      </c>
      <c r="L134" s="137" t="str">
        <f t="shared" si="177"/>
        <v>NA</v>
      </c>
      <c r="M134" s="137" t="str">
        <f t="shared" si="178"/>
        <v>NA</v>
      </c>
      <c r="N134" s="137" t="str">
        <f t="shared" si="179"/>
        <v>NA</v>
      </c>
      <c r="O134" s="137" t="str">
        <f t="shared" si="180"/>
        <v>NA</v>
      </c>
      <c r="P134" s="137" t="str">
        <f t="shared" si="181"/>
        <v>NA</v>
      </c>
      <c r="Q134" s="137" t="str">
        <f t="shared" si="182"/>
        <v>NA</v>
      </c>
      <c r="R134" s="147" t="str">
        <f t="shared" si="183"/>
        <v>NA</v>
      </c>
      <c r="S134" s="448">
        <f t="shared" si="184"/>
        <v>0</v>
      </c>
      <c r="T134" s="137" t="str">
        <f t="shared" si="185"/>
        <v>NA</v>
      </c>
      <c r="U134" s="137" t="str">
        <f t="shared" si="186"/>
        <v>NA</v>
      </c>
      <c r="V134" s="137" t="str">
        <f t="shared" si="187"/>
        <v>NA</v>
      </c>
      <c r="W134" s="137" t="str">
        <f t="shared" si="188"/>
        <v>NA</v>
      </c>
      <c r="X134" s="137" t="str">
        <f t="shared" si="189"/>
        <v>NA</v>
      </c>
      <c r="Y134" s="137" t="str">
        <f t="shared" si="190"/>
        <v>NA</v>
      </c>
      <c r="Z134" s="137" t="str">
        <f t="shared" si="191"/>
        <v>NA</v>
      </c>
      <c r="AA134" s="137" t="str">
        <f t="shared" si="192"/>
        <v>NA</v>
      </c>
      <c r="AB134" s="137" t="str">
        <f t="shared" si="193"/>
        <v>NA</v>
      </c>
      <c r="AC134" s="137" t="str">
        <f t="shared" si="194"/>
        <v>NA</v>
      </c>
      <c r="AD134" s="137" t="str">
        <f t="shared" si="195"/>
        <v>NA</v>
      </c>
      <c r="AE134" s="137" t="str">
        <f t="shared" si="196"/>
        <v>NA</v>
      </c>
      <c r="AF134" s="137" t="str">
        <f t="shared" si="197"/>
        <v>NA</v>
      </c>
      <c r="AG134" s="138" t="str">
        <f t="shared" si="198"/>
        <v>NA</v>
      </c>
      <c r="AH134" s="419" t="str">
        <f t="shared" si="199"/>
        <v>NA</v>
      </c>
      <c r="AI134" s="420" t="str">
        <f t="shared" si="200"/>
        <v>NA</v>
      </c>
      <c r="AJ134" s="421" t="str">
        <f t="shared" si="201"/>
        <v>NA</v>
      </c>
      <c r="AK134" s="421" t="str">
        <f t="shared" si="202"/>
        <v>NA</v>
      </c>
      <c r="AL134" s="421" t="str">
        <f t="shared" si="203"/>
        <v>NA</v>
      </c>
      <c r="AM134" s="421" t="str">
        <f t="shared" si="204"/>
        <v>NA</v>
      </c>
      <c r="AN134" s="421" t="str">
        <f t="shared" si="205"/>
        <v>NA</v>
      </c>
      <c r="AO134" s="421" t="str">
        <f t="shared" si="206"/>
        <v>NA</v>
      </c>
      <c r="AP134" s="421" t="str">
        <f t="shared" si="207"/>
        <v>NA</v>
      </c>
      <c r="AQ134" s="421" t="str">
        <f t="shared" si="208"/>
        <v>NA</v>
      </c>
      <c r="AR134" s="422" t="str">
        <f t="shared" si="209"/>
        <v>NA</v>
      </c>
      <c r="AS134" s="422" t="str">
        <f t="shared" si="210"/>
        <v>NA</v>
      </c>
      <c r="AT134" s="422" t="str">
        <f t="shared" si="211"/>
        <v>NA</v>
      </c>
      <c r="AU134" s="422" t="str">
        <f t="shared" si="212"/>
        <v>NA</v>
      </c>
      <c r="AV134" s="423" t="str">
        <f t="shared" si="213"/>
        <v>NA</v>
      </c>
    </row>
    <row r="135" spans="2:48" ht="15" customHeight="1" x14ac:dyDescent="0.25">
      <c r="B135" s="148">
        <v>105</v>
      </c>
      <c r="C135" s="151" t="str">
        <f>_xlfn.XLOOKUP(B135, LgProvEntOrgIDs[Advanced Network/Insurer Carrier Org ID], LgProvEntOrgIDs[Advanced Network/Insurance Carrier Overall])</f>
        <v>NA</v>
      </c>
      <c r="D135" s="448">
        <f t="shared" si="169"/>
        <v>0</v>
      </c>
      <c r="E135" s="137" t="str">
        <f t="shared" si="170"/>
        <v>NA</v>
      </c>
      <c r="F135" s="137" t="str">
        <f t="shared" si="171"/>
        <v>NA</v>
      </c>
      <c r="G135" s="137" t="str">
        <f t="shared" si="172"/>
        <v>NA</v>
      </c>
      <c r="H135" s="137" t="str">
        <f t="shared" si="173"/>
        <v>NA</v>
      </c>
      <c r="I135" s="137" t="str">
        <f t="shared" si="174"/>
        <v>NA</v>
      </c>
      <c r="J135" s="137" t="str">
        <f t="shared" si="175"/>
        <v>NA</v>
      </c>
      <c r="K135" s="137" t="str">
        <f t="shared" si="176"/>
        <v>NA</v>
      </c>
      <c r="L135" s="137" t="str">
        <f t="shared" si="177"/>
        <v>NA</v>
      </c>
      <c r="M135" s="137" t="str">
        <f t="shared" si="178"/>
        <v>NA</v>
      </c>
      <c r="N135" s="137" t="str">
        <f t="shared" si="179"/>
        <v>NA</v>
      </c>
      <c r="O135" s="137" t="str">
        <f t="shared" si="180"/>
        <v>NA</v>
      </c>
      <c r="P135" s="137" t="str">
        <f t="shared" si="181"/>
        <v>NA</v>
      </c>
      <c r="Q135" s="137" t="str">
        <f t="shared" si="182"/>
        <v>NA</v>
      </c>
      <c r="R135" s="147" t="str">
        <f t="shared" si="183"/>
        <v>NA</v>
      </c>
      <c r="S135" s="448">
        <f t="shared" si="184"/>
        <v>0</v>
      </c>
      <c r="T135" s="137" t="str">
        <f t="shared" si="185"/>
        <v>NA</v>
      </c>
      <c r="U135" s="137" t="str">
        <f t="shared" si="186"/>
        <v>NA</v>
      </c>
      <c r="V135" s="137" t="str">
        <f t="shared" si="187"/>
        <v>NA</v>
      </c>
      <c r="W135" s="137" t="str">
        <f t="shared" si="188"/>
        <v>NA</v>
      </c>
      <c r="X135" s="137" t="str">
        <f t="shared" si="189"/>
        <v>NA</v>
      </c>
      <c r="Y135" s="137" t="str">
        <f t="shared" si="190"/>
        <v>NA</v>
      </c>
      <c r="Z135" s="137" t="str">
        <f t="shared" si="191"/>
        <v>NA</v>
      </c>
      <c r="AA135" s="137" t="str">
        <f t="shared" si="192"/>
        <v>NA</v>
      </c>
      <c r="AB135" s="137" t="str">
        <f t="shared" si="193"/>
        <v>NA</v>
      </c>
      <c r="AC135" s="137" t="str">
        <f t="shared" si="194"/>
        <v>NA</v>
      </c>
      <c r="AD135" s="137" t="str">
        <f t="shared" si="195"/>
        <v>NA</v>
      </c>
      <c r="AE135" s="137" t="str">
        <f t="shared" si="196"/>
        <v>NA</v>
      </c>
      <c r="AF135" s="137" t="str">
        <f t="shared" si="197"/>
        <v>NA</v>
      </c>
      <c r="AG135" s="138" t="str">
        <f t="shared" si="198"/>
        <v>NA</v>
      </c>
      <c r="AH135" s="419" t="str">
        <f t="shared" si="199"/>
        <v>NA</v>
      </c>
      <c r="AI135" s="420" t="str">
        <f t="shared" si="200"/>
        <v>NA</v>
      </c>
      <c r="AJ135" s="421" t="str">
        <f t="shared" si="201"/>
        <v>NA</v>
      </c>
      <c r="AK135" s="421" t="str">
        <f t="shared" si="202"/>
        <v>NA</v>
      </c>
      <c r="AL135" s="421" t="str">
        <f t="shared" si="203"/>
        <v>NA</v>
      </c>
      <c r="AM135" s="421" t="str">
        <f t="shared" si="204"/>
        <v>NA</v>
      </c>
      <c r="AN135" s="421" t="str">
        <f t="shared" si="205"/>
        <v>NA</v>
      </c>
      <c r="AO135" s="421" t="str">
        <f t="shared" si="206"/>
        <v>NA</v>
      </c>
      <c r="AP135" s="421" t="str">
        <f t="shared" si="207"/>
        <v>NA</v>
      </c>
      <c r="AQ135" s="421" t="str">
        <f t="shared" si="208"/>
        <v>NA</v>
      </c>
      <c r="AR135" s="422" t="str">
        <f t="shared" si="209"/>
        <v>NA</v>
      </c>
      <c r="AS135" s="422" t="str">
        <f t="shared" si="210"/>
        <v>NA</v>
      </c>
      <c r="AT135" s="422" t="str">
        <f t="shared" si="211"/>
        <v>NA</v>
      </c>
      <c r="AU135" s="422" t="str">
        <f t="shared" si="212"/>
        <v>NA</v>
      </c>
      <c r="AV135" s="423" t="str">
        <f t="shared" si="213"/>
        <v>NA</v>
      </c>
    </row>
    <row r="136" spans="2:48" ht="15" customHeight="1" x14ac:dyDescent="0.25">
      <c r="B136" s="148">
        <v>106</v>
      </c>
      <c r="C136" s="151" t="str">
        <f>_xlfn.XLOOKUP(B136, LgProvEntOrgIDs[Advanced Network/Insurer Carrier Org ID], LgProvEntOrgIDs[Advanced Network/Insurance Carrier Overall])</f>
        <v>Northeast Medical Group</v>
      </c>
      <c r="D136" s="448">
        <f t="shared" si="169"/>
        <v>0</v>
      </c>
      <c r="E136" s="137" t="str">
        <f t="shared" si="170"/>
        <v>NA</v>
      </c>
      <c r="F136" s="137" t="str">
        <f t="shared" si="171"/>
        <v>NA</v>
      </c>
      <c r="G136" s="137" t="str">
        <f t="shared" si="172"/>
        <v>NA</v>
      </c>
      <c r="H136" s="137" t="str">
        <f t="shared" si="173"/>
        <v>NA</v>
      </c>
      <c r="I136" s="137" t="str">
        <f t="shared" si="174"/>
        <v>NA</v>
      </c>
      <c r="J136" s="137" t="str">
        <f t="shared" si="175"/>
        <v>NA</v>
      </c>
      <c r="K136" s="137" t="str">
        <f t="shared" si="176"/>
        <v>NA</v>
      </c>
      <c r="L136" s="137" t="str">
        <f t="shared" si="177"/>
        <v>NA</v>
      </c>
      <c r="M136" s="137" t="str">
        <f t="shared" si="178"/>
        <v>NA</v>
      </c>
      <c r="N136" s="137" t="str">
        <f t="shared" si="179"/>
        <v>NA</v>
      </c>
      <c r="O136" s="137" t="str">
        <f t="shared" si="180"/>
        <v>NA</v>
      </c>
      <c r="P136" s="137" t="str">
        <f t="shared" si="181"/>
        <v>NA</v>
      </c>
      <c r="Q136" s="137" t="str">
        <f t="shared" si="182"/>
        <v>NA</v>
      </c>
      <c r="R136" s="147" t="str">
        <f t="shared" si="183"/>
        <v>NA</v>
      </c>
      <c r="S136" s="448">
        <f t="shared" si="184"/>
        <v>0</v>
      </c>
      <c r="T136" s="137" t="str">
        <f t="shared" si="185"/>
        <v>NA</v>
      </c>
      <c r="U136" s="137" t="str">
        <f t="shared" si="186"/>
        <v>NA</v>
      </c>
      <c r="V136" s="137" t="str">
        <f t="shared" si="187"/>
        <v>NA</v>
      </c>
      <c r="W136" s="137" t="str">
        <f t="shared" si="188"/>
        <v>NA</v>
      </c>
      <c r="X136" s="137" t="str">
        <f t="shared" si="189"/>
        <v>NA</v>
      </c>
      <c r="Y136" s="137" t="str">
        <f t="shared" si="190"/>
        <v>NA</v>
      </c>
      <c r="Z136" s="137" t="str">
        <f t="shared" si="191"/>
        <v>NA</v>
      </c>
      <c r="AA136" s="137" t="str">
        <f t="shared" si="192"/>
        <v>NA</v>
      </c>
      <c r="AB136" s="137" t="str">
        <f t="shared" si="193"/>
        <v>NA</v>
      </c>
      <c r="AC136" s="137" t="str">
        <f t="shared" si="194"/>
        <v>NA</v>
      </c>
      <c r="AD136" s="137" t="str">
        <f t="shared" si="195"/>
        <v>NA</v>
      </c>
      <c r="AE136" s="137" t="str">
        <f t="shared" si="196"/>
        <v>NA</v>
      </c>
      <c r="AF136" s="137" t="str">
        <f t="shared" si="197"/>
        <v>NA</v>
      </c>
      <c r="AG136" s="138" t="str">
        <f t="shared" si="198"/>
        <v>NA</v>
      </c>
      <c r="AH136" s="419" t="str">
        <f t="shared" si="199"/>
        <v>NA</v>
      </c>
      <c r="AI136" s="420" t="str">
        <f t="shared" si="200"/>
        <v>NA</v>
      </c>
      <c r="AJ136" s="421" t="str">
        <f t="shared" si="201"/>
        <v>NA</v>
      </c>
      <c r="AK136" s="421" t="str">
        <f t="shared" si="202"/>
        <v>NA</v>
      </c>
      <c r="AL136" s="421" t="str">
        <f t="shared" si="203"/>
        <v>NA</v>
      </c>
      <c r="AM136" s="421" t="str">
        <f t="shared" si="204"/>
        <v>NA</v>
      </c>
      <c r="AN136" s="421" t="str">
        <f t="shared" si="205"/>
        <v>NA</v>
      </c>
      <c r="AO136" s="421" t="str">
        <f t="shared" si="206"/>
        <v>NA</v>
      </c>
      <c r="AP136" s="421" t="str">
        <f t="shared" si="207"/>
        <v>NA</v>
      </c>
      <c r="AQ136" s="421" t="str">
        <f t="shared" si="208"/>
        <v>NA</v>
      </c>
      <c r="AR136" s="422" t="str">
        <f t="shared" si="209"/>
        <v>NA</v>
      </c>
      <c r="AS136" s="422" t="str">
        <f t="shared" si="210"/>
        <v>NA</v>
      </c>
      <c r="AT136" s="422" t="str">
        <f t="shared" si="211"/>
        <v>NA</v>
      </c>
      <c r="AU136" s="422" t="str">
        <f t="shared" si="212"/>
        <v>NA</v>
      </c>
      <c r="AV136" s="423" t="str">
        <f t="shared" si="213"/>
        <v>NA</v>
      </c>
    </row>
    <row r="137" spans="2:48" ht="15" customHeight="1" x14ac:dyDescent="0.25">
      <c r="B137" s="148">
        <v>107</v>
      </c>
      <c r="C137" s="151" t="str">
        <f>_xlfn.XLOOKUP(B137, LgProvEntOrgIDs[Advanced Network/Insurer Carrier Org ID], LgProvEntOrgIDs[Advanced Network/Insurance Carrier Overall])</f>
        <v>Senior Care Network of CT (dba Advantage Plus Network)</v>
      </c>
      <c r="D137" s="448">
        <f t="shared" si="169"/>
        <v>0</v>
      </c>
      <c r="E137" s="137" t="str">
        <f t="shared" si="170"/>
        <v>NA</v>
      </c>
      <c r="F137" s="137" t="str">
        <f t="shared" si="171"/>
        <v>NA</v>
      </c>
      <c r="G137" s="137" t="str">
        <f t="shared" si="172"/>
        <v>NA</v>
      </c>
      <c r="H137" s="137" t="str">
        <f t="shared" si="173"/>
        <v>NA</v>
      </c>
      <c r="I137" s="137" t="str">
        <f t="shared" si="174"/>
        <v>NA</v>
      </c>
      <c r="J137" s="137" t="str">
        <f t="shared" si="175"/>
        <v>NA</v>
      </c>
      <c r="K137" s="137" t="str">
        <f t="shared" si="176"/>
        <v>NA</v>
      </c>
      <c r="L137" s="137" t="str">
        <f t="shared" si="177"/>
        <v>NA</v>
      </c>
      <c r="M137" s="137" t="str">
        <f t="shared" si="178"/>
        <v>NA</v>
      </c>
      <c r="N137" s="137" t="str">
        <f t="shared" si="179"/>
        <v>NA</v>
      </c>
      <c r="O137" s="137" t="str">
        <f t="shared" si="180"/>
        <v>NA</v>
      </c>
      <c r="P137" s="137" t="str">
        <f t="shared" si="181"/>
        <v>NA</v>
      </c>
      <c r="Q137" s="137" t="str">
        <f t="shared" si="182"/>
        <v>NA</v>
      </c>
      <c r="R137" s="147" t="str">
        <f t="shared" si="183"/>
        <v>NA</v>
      </c>
      <c r="S137" s="448">
        <f t="shared" si="184"/>
        <v>0</v>
      </c>
      <c r="T137" s="137" t="str">
        <f t="shared" si="185"/>
        <v>NA</v>
      </c>
      <c r="U137" s="137" t="str">
        <f t="shared" si="186"/>
        <v>NA</v>
      </c>
      <c r="V137" s="137" t="str">
        <f t="shared" si="187"/>
        <v>NA</v>
      </c>
      <c r="W137" s="137" t="str">
        <f t="shared" si="188"/>
        <v>NA</v>
      </c>
      <c r="X137" s="137" t="str">
        <f t="shared" si="189"/>
        <v>NA</v>
      </c>
      <c r="Y137" s="137" t="str">
        <f t="shared" si="190"/>
        <v>NA</v>
      </c>
      <c r="Z137" s="137" t="str">
        <f t="shared" si="191"/>
        <v>NA</v>
      </c>
      <c r="AA137" s="137" t="str">
        <f t="shared" si="192"/>
        <v>NA</v>
      </c>
      <c r="AB137" s="137" t="str">
        <f t="shared" si="193"/>
        <v>NA</v>
      </c>
      <c r="AC137" s="137" t="str">
        <f t="shared" si="194"/>
        <v>NA</v>
      </c>
      <c r="AD137" s="137" t="str">
        <f t="shared" si="195"/>
        <v>NA</v>
      </c>
      <c r="AE137" s="137" t="str">
        <f t="shared" si="196"/>
        <v>NA</v>
      </c>
      <c r="AF137" s="137" t="str">
        <f t="shared" si="197"/>
        <v>NA</v>
      </c>
      <c r="AG137" s="138" t="str">
        <f t="shared" si="198"/>
        <v>NA</v>
      </c>
      <c r="AH137" s="419" t="str">
        <f t="shared" si="199"/>
        <v>NA</v>
      </c>
      <c r="AI137" s="420" t="str">
        <f t="shared" si="200"/>
        <v>NA</v>
      </c>
      <c r="AJ137" s="421" t="str">
        <f t="shared" si="201"/>
        <v>NA</v>
      </c>
      <c r="AK137" s="421" t="str">
        <f t="shared" si="202"/>
        <v>NA</v>
      </c>
      <c r="AL137" s="421" t="str">
        <f t="shared" si="203"/>
        <v>NA</v>
      </c>
      <c r="AM137" s="421" t="str">
        <f t="shared" si="204"/>
        <v>NA</v>
      </c>
      <c r="AN137" s="421" t="str">
        <f t="shared" si="205"/>
        <v>NA</v>
      </c>
      <c r="AO137" s="421" t="str">
        <f t="shared" si="206"/>
        <v>NA</v>
      </c>
      <c r="AP137" s="421" t="str">
        <f t="shared" si="207"/>
        <v>NA</v>
      </c>
      <c r="AQ137" s="421" t="str">
        <f t="shared" si="208"/>
        <v>NA</v>
      </c>
      <c r="AR137" s="422" t="str">
        <f t="shared" si="209"/>
        <v>NA</v>
      </c>
      <c r="AS137" s="422" t="str">
        <f t="shared" si="210"/>
        <v>NA</v>
      </c>
      <c r="AT137" s="422" t="str">
        <f t="shared" si="211"/>
        <v>NA</v>
      </c>
      <c r="AU137" s="422" t="str">
        <f t="shared" si="212"/>
        <v>NA</v>
      </c>
      <c r="AV137" s="423" t="str">
        <f t="shared" si="213"/>
        <v>NA</v>
      </c>
    </row>
    <row r="138" spans="2:48" ht="45" customHeight="1" x14ac:dyDescent="0.25">
      <c r="B138" s="148">
        <v>108</v>
      </c>
      <c r="C138" s="151" t="str">
        <f>_xlfn.XLOOKUP(B138, LgProvEntOrgIDs[Advanced Network/Insurer Carrier Org ID], LgProvEntOrgIDs[Advanced Network/Insurance Carrier Overall])</f>
        <v>Prospect Connecticut Medical Foundation Inc. (dba Prospect Medical, Prospect Health Services, Prospect Holdings)</v>
      </c>
      <c r="D138" s="448">
        <f t="shared" si="169"/>
        <v>0</v>
      </c>
      <c r="E138" s="137" t="str">
        <f t="shared" si="170"/>
        <v>NA</v>
      </c>
      <c r="F138" s="137" t="str">
        <f t="shared" si="171"/>
        <v>NA</v>
      </c>
      <c r="G138" s="137" t="str">
        <f t="shared" si="172"/>
        <v>NA</v>
      </c>
      <c r="H138" s="137" t="str">
        <f t="shared" si="173"/>
        <v>NA</v>
      </c>
      <c r="I138" s="137" t="str">
        <f t="shared" si="174"/>
        <v>NA</v>
      </c>
      <c r="J138" s="137" t="str">
        <f t="shared" si="175"/>
        <v>NA</v>
      </c>
      <c r="K138" s="137" t="str">
        <f t="shared" si="176"/>
        <v>NA</v>
      </c>
      <c r="L138" s="137" t="str">
        <f t="shared" si="177"/>
        <v>NA</v>
      </c>
      <c r="M138" s="137" t="str">
        <f t="shared" si="178"/>
        <v>NA</v>
      </c>
      <c r="N138" s="137" t="str">
        <f t="shared" si="179"/>
        <v>NA</v>
      </c>
      <c r="O138" s="137" t="str">
        <f t="shared" si="180"/>
        <v>NA</v>
      </c>
      <c r="P138" s="137" t="str">
        <f t="shared" si="181"/>
        <v>NA</v>
      </c>
      <c r="Q138" s="137" t="str">
        <f t="shared" si="182"/>
        <v>NA</v>
      </c>
      <c r="R138" s="147" t="str">
        <f t="shared" si="183"/>
        <v>NA</v>
      </c>
      <c r="S138" s="448">
        <f t="shared" si="184"/>
        <v>0</v>
      </c>
      <c r="T138" s="137" t="str">
        <f t="shared" si="185"/>
        <v>NA</v>
      </c>
      <c r="U138" s="137" t="str">
        <f t="shared" si="186"/>
        <v>NA</v>
      </c>
      <c r="V138" s="137" t="str">
        <f t="shared" si="187"/>
        <v>NA</v>
      </c>
      <c r="W138" s="137" t="str">
        <f t="shared" si="188"/>
        <v>NA</v>
      </c>
      <c r="X138" s="137" t="str">
        <f t="shared" si="189"/>
        <v>NA</v>
      </c>
      <c r="Y138" s="137" t="str">
        <f t="shared" si="190"/>
        <v>NA</v>
      </c>
      <c r="Z138" s="137" t="str">
        <f t="shared" si="191"/>
        <v>NA</v>
      </c>
      <c r="AA138" s="137" t="str">
        <f t="shared" si="192"/>
        <v>NA</v>
      </c>
      <c r="AB138" s="137" t="str">
        <f t="shared" si="193"/>
        <v>NA</v>
      </c>
      <c r="AC138" s="137" t="str">
        <f t="shared" si="194"/>
        <v>NA</v>
      </c>
      <c r="AD138" s="137" t="str">
        <f t="shared" si="195"/>
        <v>NA</v>
      </c>
      <c r="AE138" s="137" t="str">
        <f t="shared" si="196"/>
        <v>NA</v>
      </c>
      <c r="AF138" s="137" t="str">
        <f t="shared" si="197"/>
        <v>NA</v>
      </c>
      <c r="AG138" s="138" t="str">
        <f t="shared" si="198"/>
        <v>NA</v>
      </c>
      <c r="AH138" s="419" t="str">
        <f t="shared" si="199"/>
        <v>NA</v>
      </c>
      <c r="AI138" s="420" t="str">
        <f t="shared" si="200"/>
        <v>NA</v>
      </c>
      <c r="AJ138" s="421" t="str">
        <f t="shared" si="201"/>
        <v>NA</v>
      </c>
      <c r="AK138" s="421" t="str">
        <f t="shared" si="202"/>
        <v>NA</v>
      </c>
      <c r="AL138" s="421" t="str">
        <f t="shared" si="203"/>
        <v>NA</v>
      </c>
      <c r="AM138" s="421" t="str">
        <f t="shared" si="204"/>
        <v>NA</v>
      </c>
      <c r="AN138" s="421" t="str">
        <f t="shared" si="205"/>
        <v>NA</v>
      </c>
      <c r="AO138" s="421" t="str">
        <f t="shared" si="206"/>
        <v>NA</v>
      </c>
      <c r="AP138" s="421" t="str">
        <f t="shared" si="207"/>
        <v>NA</v>
      </c>
      <c r="AQ138" s="421" t="str">
        <f t="shared" si="208"/>
        <v>NA</v>
      </c>
      <c r="AR138" s="422" t="str">
        <f t="shared" si="209"/>
        <v>NA</v>
      </c>
      <c r="AS138" s="422" t="str">
        <f t="shared" si="210"/>
        <v>NA</v>
      </c>
      <c r="AT138" s="422" t="str">
        <f t="shared" si="211"/>
        <v>NA</v>
      </c>
      <c r="AU138" s="422" t="str">
        <f t="shared" si="212"/>
        <v>NA</v>
      </c>
      <c r="AV138" s="423" t="str">
        <f t="shared" si="213"/>
        <v>NA</v>
      </c>
    </row>
    <row r="139" spans="2:48" ht="45" customHeight="1" x14ac:dyDescent="0.25">
      <c r="B139" s="148">
        <v>109</v>
      </c>
      <c r="C139" s="151" t="str">
        <f>_xlfn.XLOOKUP(B139, LgProvEntOrgIDs[Advanced Network/Insurer Carrier Org ID], LgProvEntOrgIDs[Advanced Network/Insurance Carrier Overall])</f>
        <v>Southern New England Health Care Organization (aka SoNE Health)</v>
      </c>
      <c r="D139" s="448">
        <f t="shared" si="169"/>
        <v>0</v>
      </c>
      <c r="E139" s="137" t="str">
        <f t="shared" si="170"/>
        <v>NA</v>
      </c>
      <c r="F139" s="137" t="str">
        <f t="shared" si="171"/>
        <v>NA</v>
      </c>
      <c r="G139" s="137" t="str">
        <f t="shared" si="172"/>
        <v>NA</v>
      </c>
      <c r="H139" s="137" t="str">
        <f t="shared" si="173"/>
        <v>NA</v>
      </c>
      <c r="I139" s="137" t="str">
        <f t="shared" si="174"/>
        <v>NA</v>
      </c>
      <c r="J139" s="137" t="str">
        <f t="shared" si="175"/>
        <v>NA</v>
      </c>
      <c r="K139" s="137" t="str">
        <f t="shared" si="176"/>
        <v>NA</v>
      </c>
      <c r="L139" s="137" t="str">
        <f t="shared" si="177"/>
        <v>NA</v>
      </c>
      <c r="M139" s="137" t="str">
        <f t="shared" si="178"/>
        <v>NA</v>
      </c>
      <c r="N139" s="137" t="str">
        <f t="shared" si="179"/>
        <v>NA</v>
      </c>
      <c r="O139" s="137" t="str">
        <f t="shared" si="180"/>
        <v>NA</v>
      </c>
      <c r="P139" s="137" t="str">
        <f t="shared" si="181"/>
        <v>NA</v>
      </c>
      <c r="Q139" s="137" t="str">
        <f t="shared" si="182"/>
        <v>NA</v>
      </c>
      <c r="R139" s="147" t="str">
        <f t="shared" si="183"/>
        <v>NA</v>
      </c>
      <c r="S139" s="448">
        <f t="shared" si="184"/>
        <v>0</v>
      </c>
      <c r="T139" s="137" t="str">
        <f t="shared" si="185"/>
        <v>NA</v>
      </c>
      <c r="U139" s="137" t="str">
        <f t="shared" si="186"/>
        <v>NA</v>
      </c>
      <c r="V139" s="137" t="str">
        <f t="shared" si="187"/>
        <v>NA</v>
      </c>
      <c r="W139" s="137" t="str">
        <f t="shared" si="188"/>
        <v>NA</v>
      </c>
      <c r="X139" s="137" t="str">
        <f t="shared" si="189"/>
        <v>NA</v>
      </c>
      <c r="Y139" s="137" t="str">
        <f t="shared" si="190"/>
        <v>NA</v>
      </c>
      <c r="Z139" s="137" t="str">
        <f t="shared" si="191"/>
        <v>NA</v>
      </c>
      <c r="AA139" s="137" t="str">
        <f t="shared" si="192"/>
        <v>NA</v>
      </c>
      <c r="AB139" s="137" t="str">
        <f t="shared" si="193"/>
        <v>NA</v>
      </c>
      <c r="AC139" s="137" t="str">
        <f t="shared" si="194"/>
        <v>NA</v>
      </c>
      <c r="AD139" s="137" t="str">
        <f t="shared" si="195"/>
        <v>NA</v>
      </c>
      <c r="AE139" s="137" t="str">
        <f t="shared" si="196"/>
        <v>NA</v>
      </c>
      <c r="AF139" s="137" t="str">
        <f t="shared" si="197"/>
        <v>NA</v>
      </c>
      <c r="AG139" s="138" t="str">
        <f t="shared" si="198"/>
        <v>NA</v>
      </c>
      <c r="AH139" s="419" t="str">
        <f t="shared" si="199"/>
        <v>NA</v>
      </c>
      <c r="AI139" s="420" t="str">
        <f t="shared" si="200"/>
        <v>NA</v>
      </c>
      <c r="AJ139" s="421" t="str">
        <f t="shared" si="201"/>
        <v>NA</v>
      </c>
      <c r="AK139" s="421" t="str">
        <f t="shared" si="202"/>
        <v>NA</v>
      </c>
      <c r="AL139" s="421" t="str">
        <f t="shared" si="203"/>
        <v>NA</v>
      </c>
      <c r="AM139" s="421" t="str">
        <f t="shared" si="204"/>
        <v>NA</v>
      </c>
      <c r="AN139" s="421" t="str">
        <f t="shared" si="205"/>
        <v>NA</v>
      </c>
      <c r="AO139" s="421" t="str">
        <f t="shared" si="206"/>
        <v>NA</v>
      </c>
      <c r="AP139" s="421" t="str">
        <f t="shared" si="207"/>
        <v>NA</v>
      </c>
      <c r="AQ139" s="421" t="str">
        <f t="shared" si="208"/>
        <v>NA</v>
      </c>
      <c r="AR139" s="422" t="str">
        <f t="shared" si="209"/>
        <v>NA</v>
      </c>
      <c r="AS139" s="422" t="str">
        <f t="shared" si="210"/>
        <v>NA</v>
      </c>
      <c r="AT139" s="422" t="str">
        <f t="shared" si="211"/>
        <v>NA</v>
      </c>
      <c r="AU139" s="422" t="str">
        <f t="shared" si="212"/>
        <v>NA</v>
      </c>
      <c r="AV139" s="423" t="str">
        <f t="shared" si="213"/>
        <v>NA</v>
      </c>
    </row>
    <row r="140" spans="2:48" ht="15" customHeight="1" x14ac:dyDescent="0.25">
      <c r="B140" s="148">
        <v>110</v>
      </c>
      <c r="C140" s="151" t="str">
        <f>_xlfn.XLOOKUP(B140, LgProvEntOrgIDs[Advanced Network/Insurer Carrier Org ID], LgProvEntOrgIDs[Advanced Network/Insurance Carrier Overall])</f>
        <v>Value Care Alliance</v>
      </c>
      <c r="D140" s="448">
        <f t="shared" si="169"/>
        <v>0</v>
      </c>
      <c r="E140" s="137" t="str">
        <f t="shared" si="170"/>
        <v>NA</v>
      </c>
      <c r="F140" s="137" t="str">
        <f t="shared" si="171"/>
        <v>NA</v>
      </c>
      <c r="G140" s="137" t="str">
        <f t="shared" si="172"/>
        <v>NA</v>
      </c>
      <c r="H140" s="137" t="str">
        <f t="shared" si="173"/>
        <v>NA</v>
      </c>
      <c r="I140" s="137" t="str">
        <f t="shared" si="174"/>
        <v>NA</v>
      </c>
      <c r="J140" s="137" t="str">
        <f t="shared" si="175"/>
        <v>NA</v>
      </c>
      <c r="K140" s="137" t="str">
        <f t="shared" si="176"/>
        <v>NA</v>
      </c>
      <c r="L140" s="137" t="str">
        <f t="shared" si="177"/>
        <v>NA</v>
      </c>
      <c r="M140" s="137" t="str">
        <f t="shared" si="178"/>
        <v>NA</v>
      </c>
      <c r="N140" s="137" t="str">
        <f t="shared" si="179"/>
        <v>NA</v>
      </c>
      <c r="O140" s="137" t="str">
        <f t="shared" si="180"/>
        <v>NA</v>
      </c>
      <c r="P140" s="137" t="str">
        <f t="shared" si="181"/>
        <v>NA</v>
      </c>
      <c r="Q140" s="137" t="str">
        <f t="shared" si="182"/>
        <v>NA</v>
      </c>
      <c r="R140" s="147" t="str">
        <f t="shared" si="183"/>
        <v>NA</v>
      </c>
      <c r="S140" s="448">
        <f t="shared" si="184"/>
        <v>0</v>
      </c>
      <c r="T140" s="137" t="str">
        <f t="shared" si="185"/>
        <v>NA</v>
      </c>
      <c r="U140" s="137" t="str">
        <f t="shared" si="186"/>
        <v>NA</v>
      </c>
      <c r="V140" s="137" t="str">
        <f t="shared" si="187"/>
        <v>NA</v>
      </c>
      <c r="W140" s="137" t="str">
        <f t="shared" si="188"/>
        <v>NA</v>
      </c>
      <c r="X140" s="137" t="str">
        <f t="shared" si="189"/>
        <v>NA</v>
      </c>
      <c r="Y140" s="137" t="str">
        <f t="shared" si="190"/>
        <v>NA</v>
      </c>
      <c r="Z140" s="137" t="str">
        <f t="shared" si="191"/>
        <v>NA</v>
      </c>
      <c r="AA140" s="137" t="str">
        <f t="shared" si="192"/>
        <v>NA</v>
      </c>
      <c r="AB140" s="137" t="str">
        <f t="shared" si="193"/>
        <v>NA</v>
      </c>
      <c r="AC140" s="137" t="str">
        <f t="shared" si="194"/>
        <v>NA</v>
      </c>
      <c r="AD140" s="137" t="str">
        <f t="shared" si="195"/>
        <v>NA</v>
      </c>
      <c r="AE140" s="137" t="str">
        <f t="shared" si="196"/>
        <v>NA</v>
      </c>
      <c r="AF140" s="137" t="str">
        <f t="shared" si="197"/>
        <v>NA</v>
      </c>
      <c r="AG140" s="138" t="str">
        <f t="shared" si="198"/>
        <v>NA</v>
      </c>
      <c r="AH140" s="419" t="str">
        <f t="shared" si="199"/>
        <v>NA</v>
      </c>
      <c r="AI140" s="420" t="str">
        <f t="shared" si="200"/>
        <v>NA</v>
      </c>
      <c r="AJ140" s="421" t="str">
        <f t="shared" si="201"/>
        <v>NA</v>
      </c>
      <c r="AK140" s="421" t="str">
        <f t="shared" si="202"/>
        <v>NA</v>
      </c>
      <c r="AL140" s="421" t="str">
        <f t="shared" si="203"/>
        <v>NA</v>
      </c>
      <c r="AM140" s="421" t="str">
        <f t="shared" si="204"/>
        <v>NA</v>
      </c>
      <c r="AN140" s="421" t="str">
        <f t="shared" si="205"/>
        <v>NA</v>
      </c>
      <c r="AO140" s="421" t="str">
        <f t="shared" si="206"/>
        <v>NA</v>
      </c>
      <c r="AP140" s="421" t="str">
        <f t="shared" si="207"/>
        <v>NA</v>
      </c>
      <c r="AQ140" s="421" t="str">
        <f t="shared" si="208"/>
        <v>NA</v>
      </c>
      <c r="AR140" s="422" t="str">
        <f t="shared" si="209"/>
        <v>NA</v>
      </c>
      <c r="AS140" s="422" t="str">
        <f t="shared" si="210"/>
        <v>NA</v>
      </c>
      <c r="AT140" s="422" t="str">
        <f t="shared" si="211"/>
        <v>NA</v>
      </c>
      <c r="AU140" s="422" t="str">
        <f t="shared" si="212"/>
        <v>NA</v>
      </c>
      <c r="AV140" s="423" t="str">
        <f t="shared" si="213"/>
        <v>NA</v>
      </c>
    </row>
    <row r="141" spans="2:48" ht="15" customHeight="1" x14ac:dyDescent="0.25">
      <c r="B141" s="148">
        <v>111</v>
      </c>
      <c r="C141" s="151" t="str">
        <f>_xlfn.XLOOKUP(B141, LgProvEntOrgIDs[Advanced Network/Insurer Carrier Org ID], LgProvEntOrgIDs[Advanced Network/Insurance Carrier Overall])</f>
        <v>NA</v>
      </c>
      <c r="D141" s="448">
        <f t="shared" si="169"/>
        <v>0</v>
      </c>
      <c r="E141" s="137" t="str">
        <f t="shared" si="170"/>
        <v>NA</v>
      </c>
      <c r="F141" s="137" t="str">
        <f t="shared" si="171"/>
        <v>NA</v>
      </c>
      <c r="G141" s="137" t="str">
        <f t="shared" si="172"/>
        <v>NA</v>
      </c>
      <c r="H141" s="137" t="str">
        <f t="shared" si="173"/>
        <v>NA</v>
      </c>
      <c r="I141" s="137" t="str">
        <f t="shared" si="174"/>
        <v>NA</v>
      </c>
      <c r="J141" s="137" t="str">
        <f t="shared" si="175"/>
        <v>NA</v>
      </c>
      <c r="K141" s="137" t="str">
        <f t="shared" si="176"/>
        <v>NA</v>
      </c>
      <c r="L141" s="137" t="str">
        <f t="shared" si="177"/>
        <v>NA</v>
      </c>
      <c r="M141" s="137" t="str">
        <f t="shared" si="178"/>
        <v>NA</v>
      </c>
      <c r="N141" s="137" t="str">
        <f t="shared" si="179"/>
        <v>NA</v>
      </c>
      <c r="O141" s="137" t="str">
        <f t="shared" si="180"/>
        <v>NA</v>
      </c>
      <c r="P141" s="137" t="str">
        <f t="shared" si="181"/>
        <v>NA</v>
      </c>
      <c r="Q141" s="137" t="str">
        <f t="shared" si="182"/>
        <v>NA</v>
      </c>
      <c r="R141" s="147" t="str">
        <f t="shared" si="183"/>
        <v>NA</v>
      </c>
      <c r="S141" s="448">
        <f t="shared" si="184"/>
        <v>0</v>
      </c>
      <c r="T141" s="137" t="str">
        <f t="shared" si="185"/>
        <v>NA</v>
      </c>
      <c r="U141" s="137" t="str">
        <f t="shared" si="186"/>
        <v>NA</v>
      </c>
      <c r="V141" s="137" t="str">
        <f t="shared" si="187"/>
        <v>NA</v>
      </c>
      <c r="W141" s="137" t="str">
        <f t="shared" si="188"/>
        <v>NA</v>
      </c>
      <c r="X141" s="137" t="str">
        <f t="shared" si="189"/>
        <v>NA</v>
      </c>
      <c r="Y141" s="137" t="str">
        <f t="shared" si="190"/>
        <v>NA</v>
      </c>
      <c r="Z141" s="137" t="str">
        <f t="shared" si="191"/>
        <v>NA</v>
      </c>
      <c r="AA141" s="137" t="str">
        <f t="shared" si="192"/>
        <v>NA</v>
      </c>
      <c r="AB141" s="137" t="str">
        <f t="shared" si="193"/>
        <v>NA</v>
      </c>
      <c r="AC141" s="137" t="str">
        <f t="shared" si="194"/>
        <v>NA</v>
      </c>
      <c r="AD141" s="137" t="str">
        <f t="shared" si="195"/>
        <v>NA</v>
      </c>
      <c r="AE141" s="137" t="str">
        <f t="shared" si="196"/>
        <v>NA</v>
      </c>
      <c r="AF141" s="137" t="str">
        <f t="shared" si="197"/>
        <v>NA</v>
      </c>
      <c r="AG141" s="138" t="str">
        <f t="shared" si="198"/>
        <v>NA</v>
      </c>
      <c r="AH141" s="419" t="str">
        <f>IF(D141=0,"NA",S141/D141-1)</f>
        <v>NA</v>
      </c>
      <c r="AI141" s="420" t="str">
        <f>IF(D141=0,"NA",T141/E141-1)</f>
        <v>NA</v>
      </c>
      <c r="AJ141" s="421" t="str">
        <f>IF(D141=0,"NA",U141/F141-1)</f>
        <v>NA</v>
      </c>
      <c r="AK141" s="421" t="str">
        <f>IF(D141=0,"NA",V141/G141-1)</f>
        <v>NA</v>
      </c>
      <c r="AL141" s="421" t="str">
        <f>IF(D141=0,"NA",W141/H141-1)</f>
        <v>NA</v>
      </c>
      <c r="AM141" s="421" t="str">
        <f>IF(D141=0,"NA",X141/I141-1)</f>
        <v>NA</v>
      </c>
      <c r="AN141" s="421" t="str">
        <f>IF(D141=0,"NA",Y141/J141-1)</f>
        <v>NA</v>
      </c>
      <c r="AO141" s="421" t="str">
        <f>IF(D141=0,"NA",Z141/K141-1)</f>
        <v>NA</v>
      </c>
      <c r="AP141" s="421" t="str">
        <f>IF(D141=0,"NA",AA141/L141-1)</f>
        <v>NA</v>
      </c>
      <c r="AQ141" s="421" t="str">
        <f>IF(D141=0,"NA",AB141/M141-1)</f>
        <v>NA</v>
      </c>
      <c r="AR141" s="422" t="str">
        <f>IF(D141=0,"NA",AC141/N141-1)</f>
        <v>NA</v>
      </c>
      <c r="AS141" s="422" t="str">
        <f>IF(D141=0,"NA",AD141/O141-1)</f>
        <v>NA</v>
      </c>
      <c r="AT141" s="422" t="str">
        <f>IF(D141=0,"NA",AE141/P141-1)</f>
        <v>NA</v>
      </c>
      <c r="AU141" s="422" t="str">
        <f>IF(D141=0,"NA",AF141/Q141-1)</f>
        <v>NA</v>
      </c>
      <c r="AV141" s="423" t="str">
        <f>IF(D141=0,"NA",AG141/R141-1)</f>
        <v>NA</v>
      </c>
    </row>
    <row r="142" spans="2:48" ht="15" customHeight="1" x14ac:dyDescent="0.25">
      <c r="B142" s="148">
        <v>112</v>
      </c>
      <c r="C142" s="151" t="str">
        <f>_xlfn.XLOOKUP(B142, LgProvEntOrgIDs[Advanced Network/Insurer Carrier Org ID], LgProvEntOrgIDs[Advanced Network/Insurance Carrier Overall])</f>
        <v>Charter Oak Health Center</v>
      </c>
      <c r="D142" s="448">
        <f t="shared" si="169"/>
        <v>0</v>
      </c>
      <c r="E142" s="137" t="str">
        <f t="shared" si="170"/>
        <v>NA</v>
      </c>
      <c r="F142" s="137" t="str">
        <f t="shared" si="171"/>
        <v>NA</v>
      </c>
      <c r="G142" s="137" t="str">
        <f t="shared" si="172"/>
        <v>NA</v>
      </c>
      <c r="H142" s="137" t="str">
        <f t="shared" si="173"/>
        <v>NA</v>
      </c>
      <c r="I142" s="137" t="str">
        <f t="shared" si="174"/>
        <v>NA</v>
      </c>
      <c r="J142" s="137" t="str">
        <f t="shared" si="175"/>
        <v>NA</v>
      </c>
      <c r="K142" s="137" t="str">
        <f t="shared" si="176"/>
        <v>NA</v>
      </c>
      <c r="L142" s="137" t="str">
        <f t="shared" si="177"/>
        <v>NA</v>
      </c>
      <c r="M142" s="137" t="str">
        <f t="shared" si="178"/>
        <v>NA</v>
      </c>
      <c r="N142" s="137" t="str">
        <f t="shared" si="179"/>
        <v>NA</v>
      </c>
      <c r="O142" s="137" t="str">
        <f t="shared" si="180"/>
        <v>NA</v>
      </c>
      <c r="P142" s="137" t="str">
        <f t="shared" si="181"/>
        <v>NA</v>
      </c>
      <c r="Q142" s="137" t="str">
        <f t="shared" si="182"/>
        <v>NA</v>
      </c>
      <c r="R142" s="147" t="str">
        <f t="shared" si="183"/>
        <v>NA</v>
      </c>
      <c r="S142" s="448">
        <f t="shared" si="184"/>
        <v>0</v>
      </c>
      <c r="T142" s="137" t="str">
        <f t="shared" si="185"/>
        <v>NA</v>
      </c>
      <c r="U142" s="137" t="str">
        <f t="shared" si="186"/>
        <v>NA</v>
      </c>
      <c r="V142" s="137" t="str">
        <f t="shared" si="187"/>
        <v>NA</v>
      </c>
      <c r="W142" s="137" t="str">
        <f t="shared" si="188"/>
        <v>NA</v>
      </c>
      <c r="X142" s="137" t="str">
        <f t="shared" si="189"/>
        <v>NA</v>
      </c>
      <c r="Y142" s="137" t="str">
        <f t="shared" si="190"/>
        <v>NA</v>
      </c>
      <c r="Z142" s="137" t="str">
        <f t="shared" si="191"/>
        <v>NA</v>
      </c>
      <c r="AA142" s="137" t="str">
        <f t="shared" si="192"/>
        <v>NA</v>
      </c>
      <c r="AB142" s="137" t="str">
        <f t="shared" si="193"/>
        <v>NA</v>
      </c>
      <c r="AC142" s="137" t="str">
        <f t="shared" si="194"/>
        <v>NA</v>
      </c>
      <c r="AD142" s="137" t="str">
        <f t="shared" si="195"/>
        <v>NA</v>
      </c>
      <c r="AE142" s="137" t="str">
        <f t="shared" si="196"/>
        <v>NA</v>
      </c>
      <c r="AF142" s="137" t="str">
        <f t="shared" si="197"/>
        <v>NA</v>
      </c>
      <c r="AG142" s="138" t="str">
        <f t="shared" si="198"/>
        <v>NA</v>
      </c>
      <c r="AH142" s="419" t="str">
        <f t="shared" ref="AH142:AH161" si="214">IF(D142=0,"NA",S142/D142-1)</f>
        <v>NA</v>
      </c>
      <c r="AI142" s="420" t="str">
        <f t="shared" ref="AI142:AI161" si="215">IF(D142=0,"NA",T142/E142-1)</f>
        <v>NA</v>
      </c>
      <c r="AJ142" s="421" t="str">
        <f t="shared" ref="AJ142:AJ161" si="216">IF(D142=0,"NA",U142/F142-1)</f>
        <v>NA</v>
      </c>
      <c r="AK142" s="421" t="str">
        <f t="shared" ref="AK142:AK161" si="217">IF(D142=0,"NA",V142/G142-1)</f>
        <v>NA</v>
      </c>
      <c r="AL142" s="421" t="str">
        <f t="shared" ref="AL142:AL161" si="218">IF(D142=0,"NA",W142/H142-1)</f>
        <v>NA</v>
      </c>
      <c r="AM142" s="421" t="str">
        <f t="shared" ref="AM142:AM161" si="219">IF(D142=0,"NA",X142/I142-1)</f>
        <v>NA</v>
      </c>
      <c r="AN142" s="421" t="str">
        <f t="shared" ref="AN142:AN161" si="220">IF(D142=0,"NA",Y142/J142-1)</f>
        <v>NA</v>
      </c>
      <c r="AO142" s="421" t="str">
        <f t="shared" ref="AO142:AO161" si="221">IF(D142=0,"NA",Z142/K142-1)</f>
        <v>NA</v>
      </c>
      <c r="AP142" s="421" t="str">
        <f t="shared" ref="AP142:AP161" si="222">IF(D142=0,"NA",AA142/L142-1)</f>
        <v>NA</v>
      </c>
      <c r="AQ142" s="421" t="str">
        <f t="shared" ref="AQ142:AQ161" si="223">IF(D142=0,"NA",AB142/M142-1)</f>
        <v>NA</v>
      </c>
      <c r="AR142" s="422" t="str">
        <f t="shared" ref="AR142:AR161" si="224">IF(D142=0,"NA",AC142/N142-1)</f>
        <v>NA</v>
      </c>
      <c r="AS142" s="422" t="str">
        <f t="shared" ref="AS142:AS161" si="225">IF(D142=0,"NA",AD142/O142-1)</f>
        <v>NA</v>
      </c>
      <c r="AT142" s="422" t="str">
        <f t="shared" ref="AT142:AT161" si="226">IF(D142=0,"NA",AE142/P142-1)</f>
        <v>NA</v>
      </c>
      <c r="AU142" s="422" t="str">
        <f t="shared" ref="AU142:AU161" si="227">IF(D142=0,"NA",AF142/Q142-1)</f>
        <v>NA</v>
      </c>
      <c r="AV142" s="423" t="str">
        <f t="shared" ref="AV142:AV161" si="228">IF(D142=0,"NA",AG142/R142-1)</f>
        <v>NA</v>
      </c>
    </row>
    <row r="143" spans="2:48" ht="15" customHeight="1" x14ac:dyDescent="0.25">
      <c r="B143" s="148">
        <v>113</v>
      </c>
      <c r="C143" s="151" t="str">
        <f>_xlfn.XLOOKUP(B143, LgProvEntOrgIDs[Advanced Network/Insurer Carrier Org ID], LgProvEntOrgIDs[Advanced Network/Insurance Carrier Overall])</f>
        <v>CIFC Greater Danbury Community Health Center</v>
      </c>
      <c r="D143" s="448">
        <f t="shared" si="169"/>
        <v>0</v>
      </c>
      <c r="E143" s="137" t="str">
        <f t="shared" si="170"/>
        <v>NA</v>
      </c>
      <c r="F143" s="137" t="str">
        <f t="shared" si="171"/>
        <v>NA</v>
      </c>
      <c r="G143" s="137" t="str">
        <f t="shared" si="172"/>
        <v>NA</v>
      </c>
      <c r="H143" s="137" t="str">
        <f t="shared" si="173"/>
        <v>NA</v>
      </c>
      <c r="I143" s="137" t="str">
        <f t="shared" si="174"/>
        <v>NA</v>
      </c>
      <c r="J143" s="137" t="str">
        <f t="shared" si="175"/>
        <v>NA</v>
      </c>
      <c r="K143" s="137" t="str">
        <f t="shared" si="176"/>
        <v>NA</v>
      </c>
      <c r="L143" s="137" t="str">
        <f t="shared" si="177"/>
        <v>NA</v>
      </c>
      <c r="M143" s="137" t="str">
        <f t="shared" si="178"/>
        <v>NA</v>
      </c>
      <c r="N143" s="137" t="str">
        <f t="shared" si="179"/>
        <v>NA</v>
      </c>
      <c r="O143" s="137" t="str">
        <f t="shared" si="180"/>
        <v>NA</v>
      </c>
      <c r="P143" s="137" t="str">
        <f t="shared" si="181"/>
        <v>NA</v>
      </c>
      <c r="Q143" s="137" t="str">
        <f t="shared" si="182"/>
        <v>NA</v>
      </c>
      <c r="R143" s="147" t="str">
        <f t="shared" si="183"/>
        <v>NA</v>
      </c>
      <c r="S143" s="448">
        <f t="shared" si="184"/>
        <v>0</v>
      </c>
      <c r="T143" s="137" t="str">
        <f t="shared" si="185"/>
        <v>NA</v>
      </c>
      <c r="U143" s="137" t="str">
        <f t="shared" si="186"/>
        <v>NA</v>
      </c>
      <c r="V143" s="137" t="str">
        <f t="shared" si="187"/>
        <v>NA</v>
      </c>
      <c r="W143" s="137" t="str">
        <f t="shared" si="188"/>
        <v>NA</v>
      </c>
      <c r="X143" s="137" t="str">
        <f t="shared" si="189"/>
        <v>NA</v>
      </c>
      <c r="Y143" s="137" t="str">
        <f t="shared" si="190"/>
        <v>NA</v>
      </c>
      <c r="Z143" s="137" t="str">
        <f t="shared" si="191"/>
        <v>NA</v>
      </c>
      <c r="AA143" s="137" t="str">
        <f t="shared" si="192"/>
        <v>NA</v>
      </c>
      <c r="AB143" s="137" t="str">
        <f t="shared" si="193"/>
        <v>NA</v>
      </c>
      <c r="AC143" s="137" t="str">
        <f t="shared" si="194"/>
        <v>NA</v>
      </c>
      <c r="AD143" s="137" t="str">
        <f t="shared" si="195"/>
        <v>NA</v>
      </c>
      <c r="AE143" s="137" t="str">
        <f t="shared" si="196"/>
        <v>NA</v>
      </c>
      <c r="AF143" s="137" t="str">
        <f t="shared" si="197"/>
        <v>NA</v>
      </c>
      <c r="AG143" s="138" t="str">
        <f t="shared" si="198"/>
        <v>NA</v>
      </c>
      <c r="AH143" s="419" t="str">
        <f t="shared" si="214"/>
        <v>NA</v>
      </c>
      <c r="AI143" s="420" t="str">
        <f t="shared" si="215"/>
        <v>NA</v>
      </c>
      <c r="AJ143" s="421" t="str">
        <f t="shared" si="216"/>
        <v>NA</v>
      </c>
      <c r="AK143" s="421" t="str">
        <f t="shared" si="217"/>
        <v>NA</v>
      </c>
      <c r="AL143" s="421" t="str">
        <f t="shared" si="218"/>
        <v>NA</v>
      </c>
      <c r="AM143" s="421" t="str">
        <f t="shared" si="219"/>
        <v>NA</v>
      </c>
      <c r="AN143" s="421" t="str">
        <f t="shared" si="220"/>
        <v>NA</v>
      </c>
      <c r="AO143" s="421" t="str">
        <f t="shared" si="221"/>
        <v>NA</v>
      </c>
      <c r="AP143" s="421" t="str">
        <f t="shared" si="222"/>
        <v>NA</v>
      </c>
      <c r="AQ143" s="421" t="str">
        <f t="shared" si="223"/>
        <v>NA</v>
      </c>
      <c r="AR143" s="422" t="str">
        <f t="shared" si="224"/>
        <v>NA</v>
      </c>
      <c r="AS143" s="422" t="str">
        <f t="shared" si="225"/>
        <v>NA</v>
      </c>
      <c r="AT143" s="422" t="str">
        <f t="shared" si="226"/>
        <v>NA</v>
      </c>
      <c r="AU143" s="422" t="str">
        <f t="shared" si="227"/>
        <v>NA</v>
      </c>
      <c r="AV143" s="423" t="str">
        <f t="shared" si="228"/>
        <v>NA</v>
      </c>
    </row>
    <row r="144" spans="2:48" ht="15" customHeight="1" x14ac:dyDescent="0.25">
      <c r="B144" s="148">
        <v>114</v>
      </c>
      <c r="C144" s="151" t="str">
        <f>_xlfn.XLOOKUP(B144, LgProvEntOrgIDs[Advanced Network/Insurer Carrier Org ID], LgProvEntOrgIDs[Advanced Network/Insurance Carrier Overall])</f>
        <v>Community Health and Wellness Center of Greater Torrington</v>
      </c>
      <c r="D144" s="448">
        <f t="shared" si="169"/>
        <v>0</v>
      </c>
      <c r="E144" s="137" t="str">
        <f t="shared" si="170"/>
        <v>NA</v>
      </c>
      <c r="F144" s="137" t="str">
        <f t="shared" si="171"/>
        <v>NA</v>
      </c>
      <c r="G144" s="137" t="str">
        <f t="shared" si="172"/>
        <v>NA</v>
      </c>
      <c r="H144" s="137" t="str">
        <f t="shared" si="173"/>
        <v>NA</v>
      </c>
      <c r="I144" s="137" t="str">
        <f t="shared" si="174"/>
        <v>NA</v>
      </c>
      <c r="J144" s="137" t="str">
        <f t="shared" si="175"/>
        <v>NA</v>
      </c>
      <c r="K144" s="137" t="str">
        <f t="shared" si="176"/>
        <v>NA</v>
      </c>
      <c r="L144" s="137" t="str">
        <f t="shared" si="177"/>
        <v>NA</v>
      </c>
      <c r="M144" s="137" t="str">
        <f t="shared" si="178"/>
        <v>NA</v>
      </c>
      <c r="N144" s="137" t="str">
        <f t="shared" si="179"/>
        <v>NA</v>
      </c>
      <c r="O144" s="137" t="str">
        <f t="shared" si="180"/>
        <v>NA</v>
      </c>
      <c r="P144" s="137" t="str">
        <f t="shared" si="181"/>
        <v>NA</v>
      </c>
      <c r="Q144" s="137" t="str">
        <f t="shared" si="182"/>
        <v>NA</v>
      </c>
      <c r="R144" s="147" t="str">
        <f t="shared" si="183"/>
        <v>NA</v>
      </c>
      <c r="S144" s="448">
        <f t="shared" si="184"/>
        <v>0</v>
      </c>
      <c r="T144" s="137" t="str">
        <f t="shared" si="185"/>
        <v>NA</v>
      </c>
      <c r="U144" s="137" t="str">
        <f t="shared" si="186"/>
        <v>NA</v>
      </c>
      <c r="V144" s="137" t="str">
        <f t="shared" si="187"/>
        <v>NA</v>
      </c>
      <c r="W144" s="137" t="str">
        <f t="shared" si="188"/>
        <v>NA</v>
      </c>
      <c r="X144" s="137" t="str">
        <f t="shared" si="189"/>
        <v>NA</v>
      </c>
      <c r="Y144" s="137" t="str">
        <f t="shared" si="190"/>
        <v>NA</v>
      </c>
      <c r="Z144" s="137" t="str">
        <f t="shared" si="191"/>
        <v>NA</v>
      </c>
      <c r="AA144" s="137" t="str">
        <f t="shared" si="192"/>
        <v>NA</v>
      </c>
      <c r="AB144" s="137" t="str">
        <f t="shared" si="193"/>
        <v>NA</v>
      </c>
      <c r="AC144" s="137" t="str">
        <f t="shared" si="194"/>
        <v>NA</v>
      </c>
      <c r="AD144" s="137" t="str">
        <f t="shared" si="195"/>
        <v>NA</v>
      </c>
      <c r="AE144" s="137" t="str">
        <f t="shared" si="196"/>
        <v>NA</v>
      </c>
      <c r="AF144" s="137" t="str">
        <f t="shared" si="197"/>
        <v>NA</v>
      </c>
      <c r="AG144" s="138" t="str">
        <f t="shared" si="198"/>
        <v>NA</v>
      </c>
      <c r="AH144" s="419" t="str">
        <f t="shared" si="214"/>
        <v>NA</v>
      </c>
      <c r="AI144" s="420" t="str">
        <f t="shared" si="215"/>
        <v>NA</v>
      </c>
      <c r="AJ144" s="421" t="str">
        <f t="shared" si="216"/>
        <v>NA</v>
      </c>
      <c r="AK144" s="421" t="str">
        <f t="shared" si="217"/>
        <v>NA</v>
      </c>
      <c r="AL144" s="421" t="str">
        <f t="shared" si="218"/>
        <v>NA</v>
      </c>
      <c r="AM144" s="421" t="str">
        <f t="shared" si="219"/>
        <v>NA</v>
      </c>
      <c r="AN144" s="421" t="str">
        <f t="shared" si="220"/>
        <v>NA</v>
      </c>
      <c r="AO144" s="421" t="str">
        <f t="shared" si="221"/>
        <v>NA</v>
      </c>
      <c r="AP144" s="421" t="str">
        <f t="shared" si="222"/>
        <v>NA</v>
      </c>
      <c r="AQ144" s="421" t="str">
        <f t="shared" si="223"/>
        <v>NA</v>
      </c>
      <c r="AR144" s="422" t="str">
        <f t="shared" si="224"/>
        <v>NA</v>
      </c>
      <c r="AS144" s="422" t="str">
        <f t="shared" si="225"/>
        <v>NA</v>
      </c>
      <c r="AT144" s="422" t="str">
        <f t="shared" si="226"/>
        <v>NA</v>
      </c>
      <c r="AU144" s="422" t="str">
        <f t="shared" si="227"/>
        <v>NA</v>
      </c>
      <c r="AV144" s="423" t="str">
        <f t="shared" si="228"/>
        <v>NA</v>
      </c>
    </row>
    <row r="145" spans="2:48" ht="15" customHeight="1" x14ac:dyDescent="0.25">
      <c r="B145" s="148">
        <v>115</v>
      </c>
      <c r="C145" s="151" t="str">
        <f>_xlfn.XLOOKUP(B145, LgProvEntOrgIDs[Advanced Network/Insurer Carrier Org ID], LgProvEntOrgIDs[Advanced Network/Insurance Carrier Overall])</f>
        <v>Community Health Center</v>
      </c>
      <c r="D145" s="448">
        <f t="shared" si="169"/>
        <v>0</v>
      </c>
      <c r="E145" s="137" t="str">
        <f t="shared" si="170"/>
        <v>NA</v>
      </c>
      <c r="F145" s="137" t="str">
        <f t="shared" si="171"/>
        <v>NA</v>
      </c>
      <c r="G145" s="137" t="str">
        <f t="shared" si="172"/>
        <v>NA</v>
      </c>
      <c r="H145" s="137" t="str">
        <f t="shared" si="173"/>
        <v>NA</v>
      </c>
      <c r="I145" s="137" t="str">
        <f t="shared" si="174"/>
        <v>NA</v>
      </c>
      <c r="J145" s="137" t="str">
        <f t="shared" si="175"/>
        <v>NA</v>
      </c>
      <c r="K145" s="137" t="str">
        <f t="shared" si="176"/>
        <v>NA</v>
      </c>
      <c r="L145" s="137" t="str">
        <f t="shared" si="177"/>
        <v>NA</v>
      </c>
      <c r="M145" s="137" t="str">
        <f t="shared" si="178"/>
        <v>NA</v>
      </c>
      <c r="N145" s="137" t="str">
        <f t="shared" si="179"/>
        <v>NA</v>
      </c>
      <c r="O145" s="137" t="str">
        <f t="shared" si="180"/>
        <v>NA</v>
      </c>
      <c r="P145" s="137" t="str">
        <f t="shared" si="181"/>
        <v>NA</v>
      </c>
      <c r="Q145" s="137" t="str">
        <f t="shared" si="182"/>
        <v>NA</v>
      </c>
      <c r="R145" s="147" t="str">
        <f t="shared" si="183"/>
        <v>NA</v>
      </c>
      <c r="S145" s="448">
        <f t="shared" si="184"/>
        <v>0</v>
      </c>
      <c r="T145" s="137" t="str">
        <f t="shared" si="185"/>
        <v>NA</v>
      </c>
      <c r="U145" s="137" t="str">
        <f t="shared" si="186"/>
        <v>NA</v>
      </c>
      <c r="V145" s="137" t="str">
        <f t="shared" si="187"/>
        <v>NA</v>
      </c>
      <c r="W145" s="137" t="str">
        <f t="shared" si="188"/>
        <v>NA</v>
      </c>
      <c r="X145" s="137" t="str">
        <f t="shared" si="189"/>
        <v>NA</v>
      </c>
      <c r="Y145" s="137" t="str">
        <f t="shared" si="190"/>
        <v>NA</v>
      </c>
      <c r="Z145" s="137" t="str">
        <f t="shared" si="191"/>
        <v>NA</v>
      </c>
      <c r="AA145" s="137" t="str">
        <f t="shared" si="192"/>
        <v>NA</v>
      </c>
      <c r="AB145" s="137" t="str">
        <f t="shared" si="193"/>
        <v>NA</v>
      </c>
      <c r="AC145" s="137" t="str">
        <f t="shared" si="194"/>
        <v>NA</v>
      </c>
      <c r="AD145" s="137" t="str">
        <f t="shared" si="195"/>
        <v>NA</v>
      </c>
      <c r="AE145" s="137" t="str">
        <f t="shared" si="196"/>
        <v>NA</v>
      </c>
      <c r="AF145" s="137" t="str">
        <f t="shared" si="197"/>
        <v>NA</v>
      </c>
      <c r="AG145" s="138" t="str">
        <f t="shared" si="198"/>
        <v>NA</v>
      </c>
      <c r="AH145" s="419" t="str">
        <f t="shared" si="214"/>
        <v>NA</v>
      </c>
      <c r="AI145" s="420" t="str">
        <f t="shared" si="215"/>
        <v>NA</v>
      </c>
      <c r="AJ145" s="421" t="str">
        <f t="shared" si="216"/>
        <v>NA</v>
      </c>
      <c r="AK145" s="421" t="str">
        <f t="shared" si="217"/>
        <v>NA</v>
      </c>
      <c r="AL145" s="421" t="str">
        <f t="shared" si="218"/>
        <v>NA</v>
      </c>
      <c r="AM145" s="421" t="str">
        <f t="shared" si="219"/>
        <v>NA</v>
      </c>
      <c r="AN145" s="421" t="str">
        <f t="shared" si="220"/>
        <v>NA</v>
      </c>
      <c r="AO145" s="421" t="str">
        <f t="shared" si="221"/>
        <v>NA</v>
      </c>
      <c r="AP145" s="421" t="str">
        <f t="shared" si="222"/>
        <v>NA</v>
      </c>
      <c r="AQ145" s="421" t="str">
        <f t="shared" si="223"/>
        <v>NA</v>
      </c>
      <c r="AR145" s="422" t="str">
        <f t="shared" si="224"/>
        <v>NA</v>
      </c>
      <c r="AS145" s="422" t="str">
        <f t="shared" si="225"/>
        <v>NA</v>
      </c>
      <c r="AT145" s="422" t="str">
        <f t="shared" si="226"/>
        <v>NA</v>
      </c>
      <c r="AU145" s="422" t="str">
        <f t="shared" si="227"/>
        <v>NA</v>
      </c>
      <c r="AV145" s="423" t="str">
        <f t="shared" si="228"/>
        <v>NA</v>
      </c>
    </row>
    <row r="146" spans="2:48" ht="15" customHeight="1" x14ac:dyDescent="0.25">
      <c r="B146" s="148">
        <v>116</v>
      </c>
      <c r="C146" s="151" t="str">
        <f>_xlfn.XLOOKUP(B146, LgProvEntOrgIDs[Advanced Network/Insurer Carrier Org ID], LgProvEntOrgIDs[Advanced Network/Insurance Carrier Overall])</f>
        <v>Community Health Services</v>
      </c>
      <c r="D146" s="448">
        <f t="shared" si="169"/>
        <v>0</v>
      </c>
      <c r="E146" s="137" t="str">
        <f t="shared" si="170"/>
        <v>NA</v>
      </c>
      <c r="F146" s="137" t="str">
        <f t="shared" si="171"/>
        <v>NA</v>
      </c>
      <c r="G146" s="137" t="str">
        <f t="shared" si="172"/>
        <v>NA</v>
      </c>
      <c r="H146" s="137" t="str">
        <f t="shared" si="173"/>
        <v>NA</v>
      </c>
      <c r="I146" s="137" t="str">
        <f t="shared" si="174"/>
        <v>NA</v>
      </c>
      <c r="J146" s="137" t="str">
        <f t="shared" si="175"/>
        <v>NA</v>
      </c>
      <c r="K146" s="137" t="str">
        <f t="shared" si="176"/>
        <v>NA</v>
      </c>
      <c r="L146" s="137" t="str">
        <f t="shared" si="177"/>
        <v>NA</v>
      </c>
      <c r="M146" s="137" t="str">
        <f t="shared" si="178"/>
        <v>NA</v>
      </c>
      <c r="N146" s="137" t="str">
        <f t="shared" si="179"/>
        <v>NA</v>
      </c>
      <c r="O146" s="137" t="str">
        <f t="shared" si="180"/>
        <v>NA</v>
      </c>
      <c r="P146" s="137" t="str">
        <f t="shared" si="181"/>
        <v>NA</v>
      </c>
      <c r="Q146" s="137" t="str">
        <f t="shared" si="182"/>
        <v>NA</v>
      </c>
      <c r="R146" s="147" t="str">
        <f t="shared" si="183"/>
        <v>NA</v>
      </c>
      <c r="S146" s="448">
        <f t="shared" si="184"/>
        <v>0</v>
      </c>
      <c r="T146" s="137" t="str">
        <f t="shared" si="185"/>
        <v>NA</v>
      </c>
      <c r="U146" s="137" t="str">
        <f t="shared" si="186"/>
        <v>NA</v>
      </c>
      <c r="V146" s="137" t="str">
        <f t="shared" si="187"/>
        <v>NA</v>
      </c>
      <c r="W146" s="137" t="str">
        <f t="shared" si="188"/>
        <v>NA</v>
      </c>
      <c r="X146" s="137" t="str">
        <f t="shared" si="189"/>
        <v>NA</v>
      </c>
      <c r="Y146" s="137" t="str">
        <f t="shared" si="190"/>
        <v>NA</v>
      </c>
      <c r="Z146" s="137" t="str">
        <f t="shared" si="191"/>
        <v>NA</v>
      </c>
      <c r="AA146" s="137" t="str">
        <f t="shared" si="192"/>
        <v>NA</v>
      </c>
      <c r="AB146" s="137" t="str">
        <f t="shared" si="193"/>
        <v>NA</v>
      </c>
      <c r="AC146" s="137" t="str">
        <f t="shared" si="194"/>
        <v>NA</v>
      </c>
      <c r="AD146" s="137" t="str">
        <f t="shared" si="195"/>
        <v>NA</v>
      </c>
      <c r="AE146" s="137" t="str">
        <f t="shared" si="196"/>
        <v>NA</v>
      </c>
      <c r="AF146" s="137" t="str">
        <f t="shared" si="197"/>
        <v>NA</v>
      </c>
      <c r="AG146" s="138" t="str">
        <f t="shared" si="198"/>
        <v>NA</v>
      </c>
      <c r="AH146" s="419" t="str">
        <f t="shared" si="214"/>
        <v>NA</v>
      </c>
      <c r="AI146" s="420" t="str">
        <f t="shared" si="215"/>
        <v>NA</v>
      </c>
      <c r="AJ146" s="421" t="str">
        <f t="shared" si="216"/>
        <v>NA</v>
      </c>
      <c r="AK146" s="421" t="str">
        <f t="shared" si="217"/>
        <v>NA</v>
      </c>
      <c r="AL146" s="421" t="str">
        <f t="shared" si="218"/>
        <v>NA</v>
      </c>
      <c r="AM146" s="421" t="str">
        <f t="shared" si="219"/>
        <v>NA</v>
      </c>
      <c r="AN146" s="421" t="str">
        <f t="shared" si="220"/>
        <v>NA</v>
      </c>
      <c r="AO146" s="421" t="str">
        <f t="shared" si="221"/>
        <v>NA</v>
      </c>
      <c r="AP146" s="421" t="str">
        <f t="shared" si="222"/>
        <v>NA</v>
      </c>
      <c r="AQ146" s="421" t="str">
        <f t="shared" si="223"/>
        <v>NA</v>
      </c>
      <c r="AR146" s="422" t="str">
        <f t="shared" si="224"/>
        <v>NA</v>
      </c>
      <c r="AS146" s="422" t="str">
        <f t="shared" si="225"/>
        <v>NA</v>
      </c>
      <c r="AT146" s="422" t="str">
        <f t="shared" si="226"/>
        <v>NA</v>
      </c>
      <c r="AU146" s="422" t="str">
        <f t="shared" si="227"/>
        <v>NA</v>
      </c>
      <c r="AV146" s="423" t="str">
        <f t="shared" si="228"/>
        <v>NA</v>
      </c>
    </row>
    <row r="147" spans="2:48" ht="15" customHeight="1" x14ac:dyDescent="0.25">
      <c r="B147" s="148">
        <v>117</v>
      </c>
      <c r="C147" s="151" t="str">
        <f>_xlfn.XLOOKUP(B147, LgProvEntOrgIDs[Advanced Network/Insurer Carrier Org ID], LgProvEntOrgIDs[Advanced Network/Insurance Carrier Overall])</f>
        <v>Cornell Scott Hill Health Center</v>
      </c>
      <c r="D147" s="448">
        <f t="shared" si="169"/>
        <v>0</v>
      </c>
      <c r="E147" s="137" t="str">
        <f t="shared" si="170"/>
        <v>NA</v>
      </c>
      <c r="F147" s="137" t="str">
        <f t="shared" si="171"/>
        <v>NA</v>
      </c>
      <c r="G147" s="137" t="str">
        <f t="shared" si="172"/>
        <v>NA</v>
      </c>
      <c r="H147" s="137" t="str">
        <f t="shared" si="173"/>
        <v>NA</v>
      </c>
      <c r="I147" s="137" t="str">
        <f t="shared" si="174"/>
        <v>NA</v>
      </c>
      <c r="J147" s="137" t="str">
        <f t="shared" si="175"/>
        <v>NA</v>
      </c>
      <c r="K147" s="137" t="str">
        <f t="shared" si="176"/>
        <v>NA</v>
      </c>
      <c r="L147" s="137" t="str">
        <f t="shared" si="177"/>
        <v>NA</v>
      </c>
      <c r="M147" s="137" t="str">
        <f t="shared" si="178"/>
        <v>NA</v>
      </c>
      <c r="N147" s="137" t="str">
        <f t="shared" si="179"/>
        <v>NA</v>
      </c>
      <c r="O147" s="137" t="str">
        <f t="shared" si="180"/>
        <v>NA</v>
      </c>
      <c r="P147" s="137" t="str">
        <f t="shared" si="181"/>
        <v>NA</v>
      </c>
      <c r="Q147" s="137" t="str">
        <f t="shared" si="182"/>
        <v>NA</v>
      </c>
      <c r="R147" s="147" t="str">
        <f t="shared" si="183"/>
        <v>NA</v>
      </c>
      <c r="S147" s="448">
        <f t="shared" si="184"/>
        <v>0</v>
      </c>
      <c r="T147" s="137" t="str">
        <f t="shared" si="185"/>
        <v>NA</v>
      </c>
      <c r="U147" s="137" t="str">
        <f t="shared" si="186"/>
        <v>NA</v>
      </c>
      <c r="V147" s="137" t="str">
        <f t="shared" si="187"/>
        <v>NA</v>
      </c>
      <c r="W147" s="137" t="str">
        <f t="shared" si="188"/>
        <v>NA</v>
      </c>
      <c r="X147" s="137" t="str">
        <f t="shared" si="189"/>
        <v>NA</v>
      </c>
      <c r="Y147" s="137" t="str">
        <f t="shared" si="190"/>
        <v>NA</v>
      </c>
      <c r="Z147" s="137" t="str">
        <f t="shared" si="191"/>
        <v>NA</v>
      </c>
      <c r="AA147" s="137" t="str">
        <f t="shared" si="192"/>
        <v>NA</v>
      </c>
      <c r="AB147" s="137" t="str">
        <f t="shared" si="193"/>
        <v>NA</v>
      </c>
      <c r="AC147" s="137" t="str">
        <f t="shared" si="194"/>
        <v>NA</v>
      </c>
      <c r="AD147" s="137" t="str">
        <f t="shared" si="195"/>
        <v>NA</v>
      </c>
      <c r="AE147" s="137" t="str">
        <f t="shared" si="196"/>
        <v>NA</v>
      </c>
      <c r="AF147" s="137" t="str">
        <f t="shared" si="197"/>
        <v>NA</v>
      </c>
      <c r="AG147" s="138" t="str">
        <f t="shared" si="198"/>
        <v>NA</v>
      </c>
      <c r="AH147" s="419" t="str">
        <f t="shared" si="214"/>
        <v>NA</v>
      </c>
      <c r="AI147" s="420" t="str">
        <f t="shared" si="215"/>
        <v>NA</v>
      </c>
      <c r="AJ147" s="421" t="str">
        <f t="shared" si="216"/>
        <v>NA</v>
      </c>
      <c r="AK147" s="421" t="str">
        <f t="shared" si="217"/>
        <v>NA</v>
      </c>
      <c r="AL147" s="421" t="str">
        <f t="shared" si="218"/>
        <v>NA</v>
      </c>
      <c r="AM147" s="421" t="str">
        <f t="shared" si="219"/>
        <v>NA</v>
      </c>
      <c r="AN147" s="421" t="str">
        <f t="shared" si="220"/>
        <v>NA</v>
      </c>
      <c r="AO147" s="421" t="str">
        <f t="shared" si="221"/>
        <v>NA</v>
      </c>
      <c r="AP147" s="421" t="str">
        <f t="shared" si="222"/>
        <v>NA</v>
      </c>
      <c r="AQ147" s="421" t="str">
        <f t="shared" si="223"/>
        <v>NA</v>
      </c>
      <c r="AR147" s="422" t="str">
        <f t="shared" si="224"/>
        <v>NA</v>
      </c>
      <c r="AS147" s="422" t="str">
        <f t="shared" si="225"/>
        <v>NA</v>
      </c>
      <c r="AT147" s="422" t="str">
        <f t="shared" si="226"/>
        <v>NA</v>
      </c>
      <c r="AU147" s="422" t="str">
        <f t="shared" si="227"/>
        <v>NA</v>
      </c>
      <c r="AV147" s="423" t="str">
        <f t="shared" si="228"/>
        <v>NA</v>
      </c>
    </row>
    <row r="148" spans="2:48" ht="15" customHeight="1" x14ac:dyDescent="0.25">
      <c r="B148" s="148">
        <v>118</v>
      </c>
      <c r="C148" s="151" t="str">
        <f>_xlfn.XLOOKUP(B148, LgProvEntOrgIDs[Advanced Network/Insurer Carrier Org ID], LgProvEntOrgIDs[Advanced Network/Insurance Carrier Overall])</f>
        <v>Fair Haven Community Health Center</v>
      </c>
      <c r="D148" s="448">
        <f t="shared" si="169"/>
        <v>0</v>
      </c>
      <c r="E148" s="137" t="str">
        <f t="shared" si="170"/>
        <v>NA</v>
      </c>
      <c r="F148" s="137" t="str">
        <f t="shared" si="171"/>
        <v>NA</v>
      </c>
      <c r="G148" s="137" t="str">
        <f t="shared" si="172"/>
        <v>NA</v>
      </c>
      <c r="H148" s="137" t="str">
        <f t="shared" si="173"/>
        <v>NA</v>
      </c>
      <c r="I148" s="137" t="str">
        <f t="shared" si="174"/>
        <v>NA</v>
      </c>
      <c r="J148" s="137" t="str">
        <f t="shared" si="175"/>
        <v>NA</v>
      </c>
      <c r="K148" s="137" t="str">
        <f t="shared" si="176"/>
        <v>NA</v>
      </c>
      <c r="L148" s="137" t="str">
        <f t="shared" si="177"/>
        <v>NA</v>
      </c>
      <c r="M148" s="137" t="str">
        <f t="shared" si="178"/>
        <v>NA</v>
      </c>
      <c r="N148" s="137" t="str">
        <f t="shared" si="179"/>
        <v>NA</v>
      </c>
      <c r="O148" s="137" t="str">
        <f t="shared" si="180"/>
        <v>NA</v>
      </c>
      <c r="P148" s="137" t="str">
        <f t="shared" si="181"/>
        <v>NA</v>
      </c>
      <c r="Q148" s="137" t="str">
        <f t="shared" si="182"/>
        <v>NA</v>
      </c>
      <c r="R148" s="147" t="str">
        <f t="shared" si="183"/>
        <v>NA</v>
      </c>
      <c r="S148" s="448">
        <f t="shared" si="184"/>
        <v>0</v>
      </c>
      <c r="T148" s="137" t="str">
        <f t="shared" si="185"/>
        <v>NA</v>
      </c>
      <c r="U148" s="137" t="str">
        <f t="shared" si="186"/>
        <v>NA</v>
      </c>
      <c r="V148" s="137" t="str">
        <f t="shared" si="187"/>
        <v>NA</v>
      </c>
      <c r="W148" s="137" t="str">
        <f t="shared" si="188"/>
        <v>NA</v>
      </c>
      <c r="X148" s="137" t="str">
        <f t="shared" si="189"/>
        <v>NA</v>
      </c>
      <c r="Y148" s="137" t="str">
        <f t="shared" si="190"/>
        <v>NA</v>
      </c>
      <c r="Z148" s="137" t="str">
        <f t="shared" si="191"/>
        <v>NA</v>
      </c>
      <c r="AA148" s="137" t="str">
        <f t="shared" si="192"/>
        <v>NA</v>
      </c>
      <c r="AB148" s="137" t="str">
        <f t="shared" si="193"/>
        <v>NA</v>
      </c>
      <c r="AC148" s="137" t="str">
        <f t="shared" si="194"/>
        <v>NA</v>
      </c>
      <c r="AD148" s="137" t="str">
        <f t="shared" si="195"/>
        <v>NA</v>
      </c>
      <c r="AE148" s="137" t="str">
        <f t="shared" si="196"/>
        <v>NA</v>
      </c>
      <c r="AF148" s="137" t="str">
        <f t="shared" si="197"/>
        <v>NA</v>
      </c>
      <c r="AG148" s="138" t="str">
        <f t="shared" si="198"/>
        <v>NA</v>
      </c>
      <c r="AH148" s="419" t="str">
        <f t="shared" si="214"/>
        <v>NA</v>
      </c>
      <c r="AI148" s="420" t="str">
        <f t="shared" si="215"/>
        <v>NA</v>
      </c>
      <c r="AJ148" s="421" t="str">
        <f t="shared" si="216"/>
        <v>NA</v>
      </c>
      <c r="AK148" s="421" t="str">
        <f t="shared" si="217"/>
        <v>NA</v>
      </c>
      <c r="AL148" s="421" t="str">
        <f t="shared" si="218"/>
        <v>NA</v>
      </c>
      <c r="AM148" s="421" t="str">
        <f t="shared" si="219"/>
        <v>NA</v>
      </c>
      <c r="AN148" s="421" t="str">
        <f t="shared" si="220"/>
        <v>NA</v>
      </c>
      <c r="AO148" s="421" t="str">
        <f t="shared" si="221"/>
        <v>NA</v>
      </c>
      <c r="AP148" s="421" t="str">
        <f t="shared" si="222"/>
        <v>NA</v>
      </c>
      <c r="AQ148" s="421" t="str">
        <f t="shared" si="223"/>
        <v>NA</v>
      </c>
      <c r="AR148" s="422" t="str">
        <f t="shared" si="224"/>
        <v>NA</v>
      </c>
      <c r="AS148" s="422" t="str">
        <f t="shared" si="225"/>
        <v>NA</v>
      </c>
      <c r="AT148" s="422" t="str">
        <f t="shared" si="226"/>
        <v>NA</v>
      </c>
      <c r="AU148" s="422" t="str">
        <f t="shared" si="227"/>
        <v>NA</v>
      </c>
      <c r="AV148" s="423" t="str">
        <f t="shared" si="228"/>
        <v>NA</v>
      </c>
    </row>
    <row r="149" spans="2:48" ht="15" customHeight="1" x14ac:dyDescent="0.25">
      <c r="B149" s="148">
        <v>119</v>
      </c>
      <c r="C149" s="151" t="str">
        <f>_xlfn.XLOOKUP(B149, LgProvEntOrgIDs[Advanced Network/Insurer Carrier Org ID], LgProvEntOrgIDs[Advanced Network/Insurance Carrier Overall])</f>
        <v>Family Centers</v>
      </c>
      <c r="D149" s="448">
        <f t="shared" si="169"/>
        <v>0</v>
      </c>
      <c r="E149" s="137" t="str">
        <f t="shared" si="170"/>
        <v>NA</v>
      </c>
      <c r="F149" s="137" t="str">
        <f t="shared" si="171"/>
        <v>NA</v>
      </c>
      <c r="G149" s="137" t="str">
        <f t="shared" si="172"/>
        <v>NA</v>
      </c>
      <c r="H149" s="137" t="str">
        <f t="shared" si="173"/>
        <v>NA</v>
      </c>
      <c r="I149" s="137" t="str">
        <f t="shared" si="174"/>
        <v>NA</v>
      </c>
      <c r="J149" s="137" t="str">
        <f t="shared" si="175"/>
        <v>NA</v>
      </c>
      <c r="K149" s="137" t="str">
        <f t="shared" si="176"/>
        <v>NA</v>
      </c>
      <c r="L149" s="137" t="str">
        <f t="shared" si="177"/>
        <v>NA</v>
      </c>
      <c r="M149" s="137" t="str">
        <f t="shared" si="178"/>
        <v>NA</v>
      </c>
      <c r="N149" s="137" t="str">
        <f t="shared" si="179"/>
        <v>NA</v>
      </c>
      <c r="O149" s="137" t="str">
        <f t="shared" si="180"/>
        <v>NA</v>
      </c>
      <c r="P149" s="137" t="str">
        <f t="shared" si="181"/>
        <v>NA</v>
      </c>
      <c r="Q149" s="137" t="str">
        <f t="shared" si="182"/>
        <v>NA</v>
      </c>
      <c r="R149" s="147" t="str">
        <f t="shared" si="183"/>
        <v>NA</v>
      </c>
      <c r="S149" s="448">
        <f t="shared" si="184"/>
        <v>0</v>
      </c>
      <c r="T149" s="137" t="str">
        <f t="shared" si="185"/>
        <v>NA</v>
      </c>
      <c r="U149" s="137" t="str">
        <f t="shared" si="186"/>
        <v>NA</v>
      </c>
      <c r="V149" s="137" t="str">
        <f t="shared" si="187"/>
        <v>NA</v>
      </c>
      <c r="W149" s="137" t="str">
        <f t="shared" si="188"/>
        <v>NA</v>
      </c>
      <c r="X149" s="137" t="str">
        <f t="shared" si="189"/>
        <v>NA</v>
      </c>
      <c r="Y149" s="137" t="str">
        <f t="shared" si="190"/>
        <v>NA</v>
      </c>
      <c r="Z149" s="137" t="str">
        <f t="shared" si="191"/>
        <v>NA</v>
      </c>
      <c r="AA149" s="137" t="str">
        <f t="shared" si="192"/>
        <v>NA</v>
      </c>
      <c r="AB149" s="137" t="str">
        <f t="shared" si="193"/>
        <v>NA</v>
      </c>
      <c r="AC149" s="137" t="str">
        <f t="shared" si="194"/>
        <v>NA</v>
      </c>
      <c r="AD149" s="137" t="str">
        <f t="shared" si="195"/>
        <v>NA</v>
      </c>
      <c r="AE149" s="137" t="str">
        <f t="shared" si="196"/>
        <v>NA</v>
      </c>
      <c r="AF149" s="137" t="str">
        <f t="shared" si="197"/>
        <v>NA</v>
      </c>
      <c r="AG149" s="138" t="str">
        <f t="shared" si="198"/>
        <v>NA</v>
      </c>
      <c r="AH149" s="419" t="str">
        <f t="shared" si="214"/>
        <v>NA</v>
      </c>
      <c r="AI149" s="420" t="str">
        <f t="shared" si="215"/>
        <v>NA</v>
      </c>
      <c r="AJ149" s="421" t="str">
        <f t="shared" si="216"/>
        <v>NA</v>
      </c>
      <c r="AK149" s="421" t="str">
        <f t="shared" si="217"/>
        <v>NA</v>
      </c>
      <c r="AL149" s="421" t="str">
        <f t="shared" si="218"/>
        <v>NA</v>
      </c>
      <c r="AM149" s="421" t="str">
        <f t="shared" si="219"/>
        <v>NA</v>
      </c>
      <c r="AN149" s="421" t="str">
        <f t="shared" si="220"/>
        <v>NA</v>
      </c>
      <c r="AO149" s="421" t="str">
        <f t="shared" si="221"/>
        <v>NA</v>
      </c>
      <c r="AP149" s="421" t="str">
        <f t="shared" si="222"/>
        <v>NA</v>
      </c>
      <c r="AQ149" s="421" t="str">
        <f t="shared" si="223"/>
        <v>NA</v>
      </c>
      <c r="AR149" s="422" t="str">
        <f t="shared" si="224"/>
        <v>NA</v>
      </c>
      <c r="AS149" s="422" t="str">
        <f t="shared" si="225"/>
        <v>NA</v>
      </c>
      <c r="AT149" s="422" t="str">
        <f t="shared" si="226"/>
        <v>NA</v>
      </c>
      <c r="AU149" s="422" t="str">
        <f t="shared" si="227"/>
        <v>NA</v>
      </c>
      <c r="AV149" s="423" t="str">
        <f t="shared" si="228"/>
        <v>NA</v>
      </c>
    </row>
    <row r="150" spans="2:48" ht="15" customHeight="1" x14ac:dyDescent="0.25">
      <c r="B150" s="148">
        <v>120</v>
      </c>
      <c r="C150" s="151" t="str">
        <f>_xlfn.XLOOKUP(B150, LgProvEntOrgIDs[Advanced Network/Insurer Carrier Org ID], LgProvEntOrgIDs[Advanced Network/Insurance Carrier Overall])</f>
        <v>First Choice Community Health Centers</v>
      </c>
      <c r="D150" s="448">
        <f t="shared" si="169"/>
        <v>0</v>
      </c>
      <c r="E150" s="137" t="str">
        <f t="shared" si="170"/>
        <v>NA</v>
      </c>
      <c r="F150" s="137" t="str">
        <f t="shared" si="171"/>
        <v>NA</v>
      </c>
      <c r="G150" s="137" t="str">
        <f t="shared" si="172"/>
        <v>NA</v>
      </c>
      <c r="H150" s="137" t="str">
        <f t="shared" si="173"/>
        <v>NA</v>
      </c>
      <c r="I150" s="137" t="str">
        <f t="shared" si="174"/>
        <v>NA</v>
      </c>
      <c r="J150" s="137" t="str">
        <f t="shared" si="175"/>
        <v>NA</v>
      </c>
      <c r="K150" s="137" t="str">
        <f t="shared" si="176"/>
        <v>NA</v>
      </c>
      <c r="L150" s="137" t="str">
        <f t="shared" si="177"/>
        <v>NA</v>
      </c>
      <c r="M150" s="137" t="str">
        <f t="shared" si="178"/>
        <v>NA</v>
      </c>
      <c r="N150" s="137" t="str">
        <f t="shared" si="179"/>
        <v>NA</v>
      </c>
      <c r="O150" s="137" t="str">
        <f t="shared" si="180"/>
        <v>NA</v>
      </c>
      <c r="P150" s="137" t="str">
        <f t="shared" si="181"/>
        <v>NA</v>
      </c>
      <c r="Q150" s="137" t="str">
        <f t="shared" si="182"/>
        <v>NA</v>
      </c>
      <c r="R150" s="147" t="str">
        <f t="shared" si="183"/>
        <v>NA</v>
      </c>
      <c r="S150" s="448">
        <f t="shared" si="184"/>
        <v>0</v>
      </c>
      <c r="T150" s="137" t="str">
        <f t="shared" si="185"/>
        <v>NA</v>
      </c>
      <c r="U150" s="137" t="str">
        <f t="shared" si="186"/>
        <v>NA</v>
      </c>
      <c r="V150" s="137" t="str">
        <f t="shared" si="187"/>
        <v>NA</v>
      </c>
      <c r="W150" s="137" t="str">
        <f t="shared" si="188"/>
        <v>NA</v>
      </c>
      <c r="X150" s="137" t="str">
        <f t="shared" si="189"/>
        <v>NA</v>
      </c>
      <c r="Y150" s="137" t="str">
        <f t="shared" si="190"/>
        <v>NA</v>
      </c>
      <c r="Z150" s="137" t="str">
        <f t="shared" si="191"/>
        <v>NA</v>
      </c>
      <c r="AA150" s="137" t="str">
        <f t="shared" si="192"/>
        <v>NA</v>
      </c>
      <c r="AB150" s="137" t="str">
        <f t="shared" si="193"/>
        <v>NA</v>
      </c>
      <c r="AC150" s="137" t="str">
        <f t="shared" si="194"/>
        <v>NA</v>
      </c>
      <c r="AD150" s="137" t="str">
        <f t="shared" si="195"/>
        <v>NA</v>
      </c>
      <c r="AE150" s="137" t="str">
        <f t="shared" si="196"/>
        <v>NA</v>
      </c>
      <c r="AF150" s="137" t="str">
        <f t="shared" si="197"/>
        <v>NA</v>
      </c>
      <c r="AG150" s="138" t="str">
        <f t="shared" si="198"/>
        <v>NA</v>
      </c>
      <c r="AH150" s="419" t="str">
        <f t="shared" si="214"/>
        <v>NA</v>
      </c>
      <c r="AI150" s="420" t="str">
        <f t="shared" si="215"/>
        <v>NA</v>
      </c>
      <c r="AJ150" s="421" t="str">
        <f t="shared" si="216"/>
        <v>NA</v>
      </c>
      <c r="AK150" s="421" t="str">
        <f t="shared" si="217"/>
        <v>NA</v>
      </c>
      <c r="AL150" s="421" t="str">
        <f t="shared" si="218"/>
        <v>NA</v>
      </c>
      <c r="AM150" s="421" t="str">
        <f t="shared" si="219"/>
        <v>NA</v>
      </c>
      <c r="AN150" s="421" t="str">
        <f t="shared" si="220"/>
        <v>NA</v>
      </c>
      <c r="AO150" s="421" t="str">
        <f t="shared" si="221"/>
        <v>NA</v>
      </c>
      <c r="AP150" s="421" t="str">
        <f t="shared" si="222"/>
        <v>NA</v>
      </c>
      <c r="AQ150" s="421" t="str">
        <f t="shared" si="223"/>
        <v>NA</v>
      </c>
      <c r="AR150" s="422" t="str">
        <f t="shared" si="224"/>
        <v>NA</v>
      </c>
      <c r="AS150" s="422" t="str">
        <f t="shared" si="225"/>
        <v>NA</v>
      </c>
      <c r="AT150" s="422" t="str">
        <f t="shared" si="226"/>
        <v>NA</v>
      </c>
      <c r="AU150" s="422" t="str">
        <f t="shared" si="227"/>
        <v>NA</v>
      </c>
      <c r="AV150" s="423" t="str">
        <f t="shared" si="228"/>
        <v>NA</v>
      </c>
    </row>
    <row r="151" spans="2:48" ht="15" customHeight="1" x14ac:dyDescent="0.25">
      <c r="B151" s="148">
        <v>121</v>
      </c>
      <c r="C151" s="151" t="str">
        <f>_xlfn.XLOOKUP(B151, LgProvEntOrgIDs[Advanced Network/Insurer Carrier Org ID], LgProvEntOrgIDs[Advanced Network/Insurance Carrier Overall])</f>
        <v>Generations Family Health Center</v>
      </c>
      <c r="D151" s="448">
        <f t="shared" si="169"/>
        <v>0</v>
      </c>
      <c r="E151" s="137" t="str">
        <f t="shared" si="170"/>
        <v>NA</v>
      </c>
      <c r="F151" s="137" t="str">
        <f t="shared" si="171"/>
        <v>NA</v>
      </c>
      <c r="G151" s="137" t="str">
        <f t="shared" si="172"/>
        <v>NA</v>
      </c>
      <c r="H151" s="137" t="str">
        <f t="shared" si="173"/>
        <v>NA</v>
      </c>
      <c r="I151" s="137" t="str">
        <f t="shared" si="174"/>
        <v>NA</v>
      </c>
      <c r="J151" s="137" t="str">
        <f t="shared" si="175"/>
        <v>NA</v>
      </c>
      <c r="K151" s="137" t="str">
        <f t="shared" si="176"/>
        <v>NA</v>
      </c>
      <c r="L151" s="137" t="str">
        <f t="shared" si="177"/>
        <v>NA</v>
      </c>
      <c r="M151" s="137" t="str">
        <f t="shared" si="178"/>
        <v>NA</v>
      </c>
      <c r="N151" s="137" t="str">
        <f t="shared" si="179"/>
        <v>NA</v>
      </c>
      <c r="O151" s="137" t="str">
        <f t="shared" si="180"/>
        <v>NA</v>
      </c>
      <c r="P151" s="137" t="str">
        <f t="shared" si="181"/>
        <v>NA</v>
      </c>
      <c r="Q151" s="137" t="str">
        <f t="shared" si="182"/>
        <v>NA</v>
      </c>
      <c r="R151" s="147" t="str">
        <f t="shared" si="183"/>
        <v>NA</v>
      </c>
      <c r="S151" s="448">
        <f t="shared" si="184"/>
        <v>0</v>
      </c>
      <c r="T151" s="137" t="str">
        <f t="shared" si="185"/>
        <v>NA</v>
      </c>
      <c r="U151" s="137" t="str">
        <f t="shared" si="186"/>
        <v>NA</v>
      </c>
      <c r="V151" s="137" t="str">
        <f t="shared" si="187"/>
        <v>NA</v>
      </c>
      <c r="W151" s="137" t="str">
        <f t="shared" si="188"/>
        <v>NA</v>
      </c>
      <c r="X151" s="137" t="str">
        <f t="shared" si="189"/>
        <v>NA</v>
      </c>
      <c r="Y151" s="137" t="str">
        <f t="shared" si="190"/>
        <v>NA</v>
      </c>
      <c r="Z151" s="137" t="str">
        <f t="shared" si="191"/>
        <v>NA</v>
      </c>
      <c r="AA151" s="137" t="str">
        <f t="shared" si="192"/>
        <v>NA</v>
      </c>
      <c r="AB151" s="137" t="str">
        <f t="shared" si="193"/>
        <v>NA</v>
      </c>
      <c r="AC151" s="137" t="str">
        <f t="shared" si="194"/>
        <v>NA</v>
      </c>
      <c r="AD151" s="137" t="str">
        <f t="shared" si="195"/>
        <v>NA</v>
      </c>
      <c r="AE151" s="137" t="str">
        <f t="shared" si="196"/>
        <v>NA</v>
      </c>
      <c r="AF151" s="137" t="str">
        <f t="shared" si="197"/>
        <v>NA</v>
      </c>
      <c r="AG151" s="138" t="str">
        <f t="shared" si="198"/>
        <v>NA</v>
      </c>
      <c r="AH151" s="419" t="str">
        <f t="shared" si="214"/>
        <v>NA</v>
      </c>
      <c r="AI151" s="420" t="str">
        <f t="shared" si="215"/>
        <v>NA</v>
      </c>
      <c r="AJ151" s="421" t="str">
        <f t="shared" si="216"/>
        <v>NA</v>
      </c>
      <c r="AK151" s="421" t="str">
        <f t="shared" si="217"/>
        <v>NA</v>
      </c>
      <c r="AL151" s="421" t="str">
        <f t="shared" si="218"/>
        <v>NA</v>
      </c>
      <c r="AM151" s="421" t="str">
        <f t="shared" si="219"/>
        <v>NA</v>
      </c>
      <c r="AN151" s="421" t="str">
        <f t="shared" si="220"/>
        <v>NA</v>
      </c>
      <c r="AO151" s="421" t="str">
        <f t="shared" si="221"/>
        <v>NA</v>
      </c>
      <c r="AP151" s="421" t="str">
        <f t="shared" si="222"/>
        <v>NA</v>
      </c>
      <c r="AQ151" s="421" t="str">
        <f t="shared" si="223"/>
        <v>NA</v>
      </c>
      <c r="AR151" s="422" t="str">
        <f t="shared" si="224"/>
        <v>NA</v>
      </c>
      <c r="AS151" s="422" t="str">
        <f t="shared" si="225"/>
        <v>NA</v>
      </c>
      <c r="AT151" s="422" t="str">
        <f t="shared" si="226"/>
        <v>NA</v>
      </c>
      <c r="AU151" s="422" t="str">
        <f t="shared" si="227"/>
        <v>NA</v>
      </c>
      <c r="AV151" s="423" t="str">
        <f t="shared" si="228"/>
        <v>NA</v>
      </c>
    </row>
    <row r="152" spans="2:48" ht="15" customHeight="1" x14ac:dyDescent="0.25">
      <c r="B152" s="148">
        <v>122</v>
      </c>
      <c r="C152" s="151" t="str">
        <f>_xlfn.XLOOKUP(B152, LgProvEntOrgIDs[Advanced Network/Insurer Carrier Org ID], LgProvEntOrgIDs[Advanced Network/Insurance Carrier Overall])</f>
        <v>Norwalk Community Health Center</v>
      </c>
      <c r="D152" s="448">
        <f t="shared" si="169"/>
        <v>0</v>
      </c>
      <c r="E152" s="137" t="str">
        <f t="shared" si="170"/>
        <v>NA</v>
      </c>
      <c r="F152" s="137" t="str">
        <f t="shared" si="171"/>
        <v>NA</v>
      </c>
      <c r="G152" s="137" t="str">
        <f t="shared" si="172"/>
        <v>NA</v>
      </c>
      <c r="H152" s="137" t="str">
        <f t="shared" si="173"/>
        <v>NA</v>
      </c>
      <c r="I152" s="137" t="str">
        <f t="shared" si="174"/>
        <v>NA</v>
      </c>
      <c r="J152" s="137" t="str">
        <f t="shared" si="175"/>
        <v>NA</v>
      </c>
      <c r="K152" s="137" t="str">
        <f t="shared" si="176"/>
        <v>NA</v>
      </c>
      <c r="L152" s="137" t="str">
        <f t="shared" si="177"/>
        <v>NA</v>
      </c>
      <c r="M152" s="137" t="str">
        <f t="shared" si="178"/>
        <v>NA</v>
      </c>
      <c r="N152" s="137" t="str">
        <f t="shared" si="179"/>
        <v>NA</v>
      </c>
      <c r="O152" s="137" t="str">
        <f t="shared" si="180"/>
        <v>NA</v>
      </c>
      <c r="P152" s="137" t="str">
        <f t="shared" si="181"/>
        <v>NA</v>
      </c>
      <c r="Q152" s="137" t="str">
        <f t="shared" si="182"/>
        <v>NA</v>
      </c>
      <c r="R152" s="147" t="str">
        <f t="shared" si="183"/>
        <v>NA</v>
      </c>
      <c r="S152" s="448">
        <f t="shared" si="184"/>
        <v>0</v>
      </c>
      <c r="T152" s="137" t="str">
        <f t="shared" si="185"/>
        <v>NA</v>
      </c>
      <c r="U152" s="137" t="str">
        <f t="shared" si="186"/>
        <v>NA</v>
      </c>
      <c r="V152" s="137" t="str">
        <f t="shared" si="187"/>
        <v>NA</v>
      </c>
      <c r="W152" s="137" t="str">
        <f t="shared" si="188"/>
        <v>NA</v>
      </c>
      <c r="X152" s="137" t="str">
        <f t="shared" si="189"/>
        <v>NA</v>
      </c>
      <c r="Y152" s="137" t="str">
        <f t="shared" si="190"/>
        <v>NA</v>
      </c>
      <c r="Z152" s="137" t="str">
        <f t="shared" si="191"/>
        <v>NA</v>
      </c>
      <c r="AA152" s="137" t="str">
        <f t="shared" si="192"/>
        <v>NA</v>
      </c>
      <c r="AB152" s="137" t="str">
        <f t="shared" si="193"/>
        <v>NA</v>
      </c>
      <c r="AC152" s="137" t="str">
        <f t="shared" si="194"/>
        <v>NA</v>
      </c>
      <c r="AD152" s="137" t="str">
        <f t="shared" si="195"/>
        <v>NA</v>
      </c>
      <c r="AE152" s="137" t="str">
        <f t="shared" si="196"/>
        <v>NA</v>
      </c>
      <c r="AF152" s="137" t="str">
        <f t="shared" si="197"/>
        <v>NA</v>
      </c>
      <c r="AG152" s="138" t="str">
        <f t="shared" si="198"/>
        <v>NA</v>
      </c>
      <c r="AH152" s="419" t="str">
        <f t="shared" si="214"/>
        <v>NA</v>
      </c>
      <c r="AI152" s="420" t="str">
        <f t="shared" si="215"/>
        <v>NA</v>
      </c>
      <c r="AJ152" s="421" t="str">
        <f t="shared" si="216"/>
        <v>NA</v>
      </c>
      <c r="AK152" s="421" t="str">
        <f t="shared" si="217"/>
        <v>NA</v>
      </c>
      <c r="AL152" s="421" t="str">
        <f t="shared" si="218"/>
        <v>NA</v>
      </c>
      <c r="AM152" s="421" t="str">
        <f t="shared" si="219"/>
        <v>NA</v>
      </c>
      <c r="AN152" s="421" t="str">
        <f t="shared" si="220"/>
        <v>NA</v>
      </c>
      <c r="AO152" s="421" t="str">
        <f t="shared" si="221"/>
        <v>NA</v>
      </c>
      <c r="AP152" s="421" t="str">
        <f t="shared" si="222"/>
        <v>NA</v>
      </c>
      <c r="AQ152" s="421" t="str">
        <f t="shared" si="223"/>
        <v>NA</v>
      </c>
      <c r="AR152" s="422" t="str">
        <f t="shared" si="224"/>
        <v>NA</v>
      </c>
      <c r="AS152" s="422" t="str">
        <f t="shared" si="225"/>
        <v>NA</v>
      </c>
      <c r="AT152" s="422" t="str">
        <f t="shared" si="226"/>
        <v>NA</v>
      </c>
      <c r="AU152" s="422" t="str">
        <f t="shared" si="227"/>
        <v>NA</v>
      </c>
      <c r="AV152" s="423" t="str">
        <f t="shared" si="228"/>
        <v>NA</v>
      </c>
    </row>
    <row r="153" spans="2:48" ht="15" customHeight="1" x14ac:dyDescent="0.25">
      <c r="B153" s="148">
        <v>123</v>
      </c>
      <c r="C153" s="151" t="str">
        <f>_xlfn.XLOOKUP(B153, LgProvEntOrgIDs[Advanced Network/Insurer Carrier Org ID], LgProvEntOrgIDs[Advanced Network/Insurance Carrier Overall])</f>
        <v>Optimus Health Care, Inc.</v>
      </c>
      <c r="D153" s="448">
        <f t="shared" si="169"/>
        <v>0</v>
      </c>
      <c r="E153" s="137" t="str">
        <f t="shared" si="170"/>
        <v>NA</v>
      </c>
      <c r="F153" s="137" t="str">
        <f t="shared" si="171"/>
        <v>NA</v>
      </c>
      <c r="G153" s="137" t="str">
        <f t="shared" si="172"/>
        <v>NA</v>
      </c>
      <c r="H153" s="137" t="str">
        <f t="shared" si="173"/>
        <v>NA</v>
      </c>
      <c r="I153" s="137" t="str">
        <f t="shared" si="174"/>
        <v>NA</v>
      </c>
      <c r="J153" s="137" t="str">
        <f t="shared" si="175"/>
        <v>NA</v>
      </c>
      <c r="K153" s="137" t="str">
        <f t="shared" si="176"/>
        <v>NA</v>
      </c>
      <c r="L153" s="137" t="str">
        <f t="shared" si="177"/>
        <v>NA</v>
      </c>
      <c r="M153" s="137" t="str">
        <f t="shared" si="178"/>
        <v>NA</v>
      </c>
      <c r="N153" s="137" t="str">
        <f t="shared" si="179"/>
        <v>NA</v>
      </c>
      <c r="O153" s="137" t="str">
        <f t="shared" si="180"/>
        <v>NA</v>
      </c>
      <c r="P153" s="137" t="str">
        <f t="shared" si="181"/>
        <v>NA</v>
      </c>
      <c r="Q153" s="137" t="str">
        <f t="shared" si="182"/>
        <v>NA</v>
      </c>
      <c r="R153" s="147" t="str">
        <f t="shared" si="183"/>
        <v>NA</v>
      </c>
      <c r="S153" s="448">
        <f t="shared" si="184"/>
        <v>0</v>
      </c>
      <c r="T153" s="137" t="str">
        <f t="shared" si="185"/>
        <v>NA</v>
      </c>
      <c r="U153" s="137" t="str">
        <f t="shared" si="186"/>
        <v>NA</v>
      </c>
      <c r="V153" s="137" t="str">
        <f t="shared" si="187"/>
        <v>NA</v>
      </c>
      <c r="W153" s="137" t="str">
        <f t="shared" si="188"/>
        <v>NA</v>
      </c>
      <c r="X153" s="137" t="str">
        <f t="shared" si="189"/>
        <v>NA</v>
      </c>
      <c r="Y153" s="137" t="str">
        <f t="shared" si="190"/>
        <v>NA</v>
      </c>
      <c r="Z153" s="137" t="str">
        <f t="shared" si="191"/>
        <v>NA</v>
      </c>
      <c r="AA153" s="137" t="str">
        <f t="shared" si="192"/>
        <v>NA</v>
      </c>
      <c r="AB153" s="137" t="str">
        <f t="shared" si="193"/>
        <v>NA</v>
      </c>
      <c r="AC153" s="137" t="str">
        <f t="shared" si="194"/>
        <v>NA</v>
      </c>
      <c r="AD153" s="137" t="str">
        <f t="shared" si="195"/>
        <v>NA</v>
      </c>
      <c r="AE153" s="137" t="str">
        <f t="shared" si="196"/>
        <v>NA</v>
      </c>
      <c r="AF153" s="137" t="str">
        <f t="shared" si="197"/>
        <v>NA</v>
      </c>
      <c r="AG153" s="138" t="str">
        <f t="shared" si="198"/>
        <v>NA</v>
      </c>
      <c r="AH153" s="419" t="str">
        <f t="shared" si="214"/>
        <v>NA</v>
      </c>
      <c r="AI153" s="420" t="str">
        <f t="shared" si="215"/>
        <v>NA</v>
      </c>
      <c r="AJ153" s="421" t="str">
        <f t="shared" si="216"/>
        <v>NA</v>
      </c>
      <c r="AK153" s="421" t="str">
        <f t="shared" si="217"/>
        <v>NA</v>
      </c>
      <c r="AL153" s="421" t="str">
        <f t="shared" si="218"/>
        <v>NA</v>
      </c>
      <c r="AM153" s="421" t="str">
        <f t="shared" si="219"/>
        <v>NA</v>
      </c>
      <c r="AN153" s="421" t="str">
        <f t="shared" si="220"/>
        <v>NA</v>
      </c>
      <c r="AO153" s="421" t="str">
        <f t="shared" si="221"/>
        <v>NA</v>
      </c>
      <c r="AP153" s="421" t="str">
        <f t="shared" si="222"/>
        <v>NA</v>
      </c>
      <c r="AQ153" s="421" t="str">
        <f t="shared" si="223"/>
        <v>NA</v>
      </c>
      <c r="AR153" s="422" t="str">
        <f t="shared" si="224"/>
        <v>NA</v>
      </c>
      <c r="AS153" s="422" t="str">
        <f t="shared" si="225"/>
        <v>NA</v>
      </c>
      <c r="AT153" s="422" t="str">
        <f t="shared" si="226"/>
        <v>NA</v>
      </c>
      <c r="AU153" s="422" t="str">
        <f t="shared" si="227"/>
        <v>NA</v>
      </c>
      <c r="AV153" s="423" t="str">
        <f t="shared" si="228"/>
        <v>NA</v>
      </c>
    </row>
    <row r="154" spans="2:48" ht="15" customHeight="1" x14ac:dyDescent="0.25">
      <c r="B154" s="148">
        <v>124</v>
      </c>
      <c r="C154" s="151" t="str">
        <f>_xlfn.XLOOKUP(B154, LgProvEntOrgIDs[Advanced Network/Insurer Carrier Org ID], LgProvEntOrgIDs[Advanced Network/Insurance Carrier Overall])</f>
        <v>Southwest Community Health Center, Inc.</v>
      </c>
      <c r="D154" s="448">
        <f t="shared" si="169"/>
        <v>0</v>
      </c>
      <c r="E154" s="137" t="str">
        <f t="shared" si="170"/>
        <v>NA</v>
      </c>
      <c r="F154" s="137" t="str">
        <f t="shared" si="171"/>
        <v>NA</v>
      </c>
      <c r="G154" s="137" t="str">
        <f t="shared" si="172"/>
        <v>NA</v>
      </c>
      <c r="H154" s="137" t="str">
        <f t="shared" si="173"/>
        <v>NA</v>
      </c>
      <c r="I154" s="137" t="str">
        <f t="shared" si="174"/>
        <v>NA</v>
      </c>
      <c r="J154" s="137" t="str">
        <f t="shared" si="175"/>
        <v>NA</v>
      </c>
      <c r="K154" s="137" t="str">
        <f t="shared" si="176"/>
        <v>NA</v>
      </c>
      <c r="L154" s="137" t="str">
        <f t="shared" si="177"/>
        <v>NA</v>
      </c>
      <c r="M154" s="137" t="str">
        <f t="shared" si="178"/>
        <v>NA</v>
      </c>
      <c r="N154" s="137" t="str">
        <f t="shared" si="179"/>
        <v>NA</v>
      </c>
      <c r="O154" s="137" t="str">
        <f t="shared" si="180"/>
        <v>NA</v>
      </c>
      <c r="P154" s="137" t="str">
        <f t="shared" si="181"/>
        <v>NA</v>
      </c>
      <c r="Q154" s="137" t="str">
        <f t="shared" si="182"/>
        <v>NA</v>
      </c>
      <c r="R154" s="147" t="str">
        <f t="shared" si="183"/>
        <v>NA</v>
      </c>
      <c r="S154" s="448">
        <f t="shared" si="184"/>
        <v>0</v>
      </c>
      <c r="T154" s="137" t="str">
        <f t="shared" si="185"/>
        <v>NA</v>
      </c>
      <c r="U154" s="137" t="str">
        <f t="shared" si="186"/>
        <v>NA</v>
      </c>
      <c r="V154" s="137" t="str">
        <f t="shared" si="187"/>
        <v>NA</v>
      </c>
      <c r="W154" s="137" t="str">
        <f t="shared" si="188"/>
        <v>NA</v>
      </c>
      <c r="X154" s="137" t="str">
        <f t="shared" si="189"/>
        <v>NA</v>
      </c>
      <c r="Y154" s="137" t="str">
        <f t="shared" si="190"/>
        <v>NA</v>
      </c>
      <c r="Z154" s="137" t="str">
        <f t="shared" si="191"/>
        <v>NA</v>
      </c>
      <c r="AA154" s="137" t="str">
        <f t="shared" si="192"/>
        <v>NA</v>
      </c>
      <c r="AB154" s="137" t="str">
        <f t="shared" si="193"/>
        <v>NA</v>
      </c>
      <c r="AC154" s="137" t="str">
        <f t="shared" si="194"/>
        <v>NA</v>
      </c>
      <c r="AD154" s="137" t="str">
        <f t="shared" si="195"/>
        <v>NA</v>
      </c>
      <c r="AE154" s="137" t="str">
        <f t="shared" si="196"/>
        <v>NA</v>
      </c>
      <c r="AF154" s="137" t="str">
        <f t="shared" si="197"/>
        <v>NA</v>
      </c>
      <c r="AG154" s="138" t="str">
        <f t="shared" si="198"/>
        <v>NA</v>
      </c>
      <c r="AH154" s="419" t="str">
        <f t="shared" si="214"/>
        <v>NA</v>
      </c>
      <c r="AI154" s="420" t="str">
        <f t="shared" si="215"/>
        <v>NA</v>
      </c>
      <c r="AJ154" s="421" t="str">
        <f t="shared" si="216"/>
        <v>NA</v>
      </c>
      <c r="AK154" s="421" t="str">
        <f t="shared" si="217"/>
        <v>NA</v>
      </c>
      <c r="AL154" s="421" t="str">
        <f t="shared" si="218"/>
        <v>NA</v>
      </c>
      <c r="AM154" s="421" t="str">
        <f t="shared" si="219"/>
        <v>NA</v>
      </c>
      <c r="AN154" s="421" t="str">
        <f t="shared" si="220"/>
        <v>NA</v>
      </c>
      <c r="AO154" s="421" t="str">
        <f t="shared" si="221"/>
        <v>NA</v>
      </c>
      <c r="AP154" s="421" t="str">
        <f t="shared" si="222"/>
        <v>NA</v>
      </c>
      <c r="AQ154" s="421" t="str">
        <f t="shared" si="223"/>
        <v>NA</v>
      </c>
      <c r="AR154" s="422" t="str">
        <f t="shared" si="224"/>
        <v>NA</v>
      </c>
      <c r="AS154" s="422" t="str">
        <f t="shared" si="225"/>
        <v>NA</v>
      </c>
      <c r="AT154" s="422" t="str">
        <f t="shared" si="226"/>
        <v>NA</v>
      </c>
      <c r="AU154" s="422" t="str">
        <f t="shared" si="227"/>
        <v>NA</v>
      </c>
      <c r="AV154" s="423" t="str">
        <f t="shared" si="228"/>
        <v>NA</v>
      </c>
    </row>
    <row r="155" spans="2:48" ht="15" customHeight="1" x14ac:dyDescent="0.25">
      <c r="B155" s="148">
        <v>125</v>
      </c>
      <c r="C155" s="151" t="str">
        <f>_xlfn.XLOOKUP(B155, LgProvEntOrgIDs[Advanced Network/Insurer Carrier Org ID], LgProvEntOrgIDs[Advanced Network/Insurance Carrier Overall])</f>
        <v>Stamford Health Medical Group</v>
      </c>
      <c r="D155" s="448">
        <f t="shared" si="169"/>
        <v>0</v>
      </c>
      <c r="E155" s="137" t="str">
        <f t="shared" si="170"/>
        <v>NA</v>
      </c>
      <c r="F155" s="137" t="str">
        <f t="shared" si="171"/>
        <v>NA</v>
      </c>
      <c r="G155" s="137" t="str">
        <f t="shared" si="172"/>
        <v>NA</v>
      </c>
      <c r="H155" s="137" t="str">
        <f t="shared" si="173"/>
        <v>NA</v>
      </c>
      <c r="I155" s="137" t="str">
        <f t="shared" si="174"/>
        <v>NA</v>
      </c>
      <c r="J155" s="137" t="str">
        <f t="shared" si="175"/>
        <v>NA</v>
      </c>
      <c r="K155" s="137" t="str">
        <f t="shared" si="176"/>
        <v>NA</v>
      </c>
      <c r="L155" s="137" t="str">
        <f t="shared" si="177"/>
        <v>NA</v>
      </c>
      <c r="M155" s="137" t="str">
        <f t="shared" si="178"/>
        <v>NA</v>
      </c>
      <c r="N155" s="137" t="str">
        <f t="shared" si="179"/>
        <v>NA</v>
      </c>
      <c r="O155" s="137" t="str">
        <f t="shared" si="180"/>
        <v>NA</v>
      </c>
      <c r="P155" s="137" t="str">
        <f t="shared" si="181"/>
        <v>NA</v>
      </c>
      <c r="Q155" s="137" t="str">
        <f t="shared" si="182"/>
        <v>NA</v>
      </c>
      <c r="R155" s="147" t="str">
        <f t="shared" si="183"/>
        <v>NA</v>
      </c>
      <c r="S155" s="448">
        <f t="shared" si="184"/>
        <v>0</v>
      </c>
      <c r="T155" s="137" t="str">
        <f t="shared" si="185"/>
        <v>NA</v>
      </c>
      <c r="U155" s="137" t="str">
        <f t="shared" si="186"/>
        <v>NA</v>
      </c>
      <c r="V155" s="137" t="str">
        <f t="shared" si="187"/>
        <v>NA</v>
      </c>
      <c r="W155" s="137" t="str">
        <f t="shared" si="188"/>
        <v>NA</v>
      </c>
      <c r="X155" s="137" t="str">
        <f t="shared" si="189"/>
        <v>NA</v>
      </c>
      <c r="Y155" s="137" t="str">
        <f t="shared" si="190"/>
        <v>NA</v>
      </c>
      <c r="Z155" s="137" t="str">
        <f t="shared" si="191"/>
        <v>NA</v>
      </c>
      <c r="AA155" s="137" t="str">
        <f t="shared" si="192"/>
        <v>NA</v>
      </c>
      <c r="AB155" s="137" t="str">
        <f t="shared" si="193"/>
        <v>NA</v>
      </c>
      <c r="AC155" s="137" t="str">
        <f t="shared" si="194"/>
        <v>NA</v>
      </c>
      <c r="AD155" s="137" t="str">
        <f t="shared" si="195"/>
        <v>NA</v>
      </c>
      <c r="AE155" s="137" t="str">
        <f t="shared" si="196"/>
        <v>NA</v>
      </c>
      <c r="AF155" s="137" t="str">
        <f t="shared" si="197"/>
        <v>NA</v>
      </c>
      <c r="AG155" s="138" t="str">
        <f t="shared" si="198"/>
        <v>NA</v>
      </c>
      <c r="AH155" s="419" t="str">
        <f t="shared" si="214"/>
        <v>NA</v>
      </c>
      <c r="AI155" s="420" t="str">
        <f t="shared" si="215"/>
        <v>NA</v>
      </c>
      <c r="AJ155" s="421" t="str">
        <f t="shared" si="216"/>
        <v>NA</v>
      </c>
      <c r="AK155" s="421" t="str">
        <f t="shared" si="217"/>
        <v>NA</v>
      </c>
      <c r="AL155" s="421" t="str">
        <f t="shared" si="218"/>
        <v>NA</v>
      </c>
      <c r="AM155" s="421" t="str">
        <f t="shared" si="219"/>
        <v>NA</v>
      </c>
      <c r="AN155" s="421" t="str">
        <f t="shared" si="220"/>
        <v>NA</v>
      </c>
      <c r="AO155" s="421" t="str">
        <f t="shared" si="221"/>
        <v>NA</v>
      </c>
      <c r="AP155" s="421" t="str">
        <f t="shared" si="222"/>
        <v>NA</v>
      </c>
      <c r="AQ155" s="421" t="str">
        <f t="shared" si="223"/>
        <v>NA</v>
      </c>
      <c r="AR155" s="422" t="str">
        <f t="shared" si="224"/>
        <v>NA</v>
      </c>
      <c r="AS155" s="422" t="str">
        <f t="shared" si="225"/>
        <v>NA</v>
      </c>
      <c r="AT155" s="422" t="str">
        <f t="shared" si="226"/>
        <v>NA</v>
      </c>
      <c r="AU155" s="422" t="str">
        <f t="shared" si="227"/>
        <v>NA</v>
      </c>
      <c r="AV155" s="423" t="str">
        <f t="shared" si="228"/>
        <v>NA</v>
      </c>
    </row>
    <row r="156" spans="2:48" ht="15" customHeight="1" x14ac:dyDescent="0.25">
      <c r="B156" s="148">
        <v>126</v>
      </c>
      <c r="C156" s="151" t="str">
        <f>_xlfn.XLOOKUP(B156, LgProvEntOrgIDs[Advanced Network/Insurer Carrier Org ID], LgProvEntOrgIDs[Advanced Network/Insurance Carrier Overall])</f>
        <v>Starling Physicians</v>
      </c>
      <c r="D156" s="448">
        <f t="shared" si="169"/>
        <v>0</v>
      </c>
      <c r="E156" s="137" t="str">
        <f t="shared" si="170"/>
        <v>NA</v>
      </c>
      <c r="F156" s="137" t="str">
        <f t="shared" si="171"/>
        <v>NA</v>
      </c>
      <c r="G156" s="137" t="str">
        <f t="shared" si="172"/>
        <v>NA</v>
      </c>
      <c r="H156" s="137" t="str">
        <f t="shared" si="173"/>
        <v>NA</v>
      </c>
      <c r="I156" s="137" t="str">
        <f t="shared" si="174"/>
        <v>NA</v>
      </c>
      <c r="J156" s="137" t="str">
        <f t="shared" si="175"/>
        <v>NA</v>
      </c>
      <c r="K156" s="137" t="str">
        <f t="shared" si="176"/>
        <v>NA</v>
      </c>
      <c r="L156" s="137" t="str">
        <f t="shared" si="177"/>
        <v>NA</v>
      </c>
      <c r="M156" s="137" t="str">
        <f t="shared" si="178"/>
        <v>NA</v>
      </c>
      <c r="N156" s="137" t="str">
        <f t="shared" si="179"/>
        <v>NA</v>
      </c>
      <c r="O156" s="137" t="str">
        <f t="shared" si="180"/>
        <v>NA</v>
      </c>
      <c r="P156" s="137" t="str">
        <f t="shared" si="181"/>
        <v>NA</v>
      </c>
      <c r="Q156" s="137" t="str">
        <f t="shared" si="182"/>
        <v>NA</v>
      </c>
      <c r="R156" s="147" t="str">
        <f t="shared" si="183"/>
        <v>NA</v>
      </c>
      <c r="S156" s="448">
        <f t="shared" si="184"/>
        <v>0</v>
      </c>
      <c r="T156" s="137" t="str">
        <f t="shared" si="185"/>
        <v>NA</v>
      </c>
      <c r="U156" s="137" t="str">
        <f t="shared" si="186"/>
        <v>NA</v>
      </c>
      <c r="V156" s="137" t="str">
        <f t="shared" si="187"/>
        <v>NA</v>
      </c>
      <c r="W156" s="137" t="str">
        <f t="shared" si="188"/>
        <v>NA</v>
      </c>
      <c r="X156" s="137" t="str">
        <f t="shared" si="189"/>
        <v>NA</v>
      </c>
      <c r="Y156" s="137" t="str">
        <f t="shared" si="190"/>
        <v>NA</v>
      </c>
      <c r="Z156" s="137" t="str">
        <f t="shared" si="191"/>
        <v>NA</v>
      </c>
      <c r="AA156" s="137" t="str">
        <f t="shared" si="192"/>
        <v>NA</v>
      </c>
      <c r="AB156" s="137" t="str">
        <f t="shared" si="193"/>
        <v>NA</v>
      </c>
      <c r="AC156" s="137" t="str">
        <f t="shared" si="194"/>
        <v>NA</v>
      </c>
      <c r="AD156" s="137" t="str">
        <f t="shared" si="195"/>
        <v>NA</v>
      </c>
      <c r="AE156" s="137" t="str">
        <f t="shared" si="196"/>
        <v>NA</v>
      </c>
      <c r="AF156" s="137" t="str">
        <f t="shared" si="197"/>
        <v>NA</v>
      </c>
      <c r="AG156" s="138" t="str">
        <f t="shared" si="198"/>
        <v>NA</v>
      </c>
      <c r="AH156" s="419" t="str">
        <f t="shared" si="214"/>
        <v>NA</v>
      </c>
      <c r="AI156" s="420" t="str">
        <f t="shared" si="215"/>
        <v>NA</v>
      </c>
      <c r="AJ156" s="421" t="str">
        <f t="shared" si="216"/>
        <v>NA</v>
      </c>
      <c r="AK156" s="421" t="str">
        <f t="shared" si="217"/>
        <v>NA</v>
      </c>
      <c r="AL156" s="421" t="str">
        <f t="shared" si="218"/>
        <v>NA</v>
      </c>
      <c r="AM156" s="421" t="str">
        <f t="shared" si="219"/>
        <v>NA</v>
      </c>
      <c r="AN156" s="421" t="str">
        <f t="shared" si="220"/>
        <v>NA</v>
      </c>
      <c r="AO156" s="421" t="str">
        <f t="shared" si="221"/>
        <v>NA</v>
      </c>
      <c r="AP156" s="421" t="str">
        <f t="shared" si="222"/>
        <v>NA</v>
      </c>
      <c r="AQ156" s="421" t="str">
        <f t="shared" si="223"/>
        <v>NA</v>
      </c>
      <c r="AR156" s="422" t="str">
        <f t="shared" si="224"/>
        <v>NA</v>
      </c>
      <c r="AS156" s="422" t="str">
        <f t="shared" si="225"/>
        <v>NA</v>
      </c>
      <c r="AT156" s="422" t="str">
        <f t="shared" si="226"/>
        <v>NA</v>
      </c>
      <c r="AU156" s="422" t="str">
        <f t="shared" si="227"/>
        <v>NA</v>
      </c>
      <c r="AV156" s="423" t="str">
        <f t="shared" si="228"/>
        <v>NA</v>
      </c>
    </row>
    <row r="157" spans="2:48" ht="15" customHeight="1" x14ac:dyDescent="0.25">
      <c r="B157" s="148">
        <v>127</v>
      </c>
      <c r="C157" s="151" t="str">
        <f>_xlfn.XLOOKUP(B157, LgProvEntOrgIDs[Advanced Network/Insurer Carrier Org ID], LgProvEntOrgIDs[Advanced Network/Insurance Carrier Overall])</f>
        <v>UConn Medical Group</v>
      </c>
      <c r="D157" s="448">
        <f t="shared" si="169"/>
        <v>0</v>
      </c>
      <c r="E157" s="137" t="str">
        <f t="shared" si="170"/>
        <v>NA</v>
      </c>
      <c r="F157" s="137" t="str">
        <f t="shared" si="171"/>
        <v>NA</v>
      </c>
      <c r="G157" s="137" t="str">
        <f t="shared" si="172"/>
        <v>NA</v>
      </c>
      <c r="H157" s="137" t="str">
        <f t="shared" si="173"/>
        <v>NA</v>
      </c>
      <c r="I157" s="137" t="str">
        <f t="shared" si="174"/>
        <v>NA</v>
      </c>
      <c r="J157" s="137" t="str">
        <f t="shared" si="175"/>
        <v>NA</v>
      </c>
      <c r="K157" s="137" t="str">
        <f t="shared" si="176"/>
        <v>NA</v>
      </c>
      <c r="L157" s="137" t="str">
        <f t="shared" si="177"/>
        <v>NA</v>
      </c>
      <c r="M157" s="137" t="str">
        <f t="shared" si="178"/>
        <v>NA</v>
      </c>
      <c r="N157" s="137" t="str">
        <f t="shared" si="179"/>
        <v>NA</v>
      </c>
      <c r="O157" s="137" t="str">
        <f t="shared" si="180"/>
        <v>NA</v>
      </c>
      <c r="P157" s="137" t="str">
        <f t="shared" si="181"/>
        <v>NA</v>
      </c>
      <c r="Q157" s="137" t="str">
        <f t="shared" si="182"/>
        <v>NA</v>
      </c>
      <c r="R157" s="147" t="str">
        <f t="shared" si="183"/>
        <v>NA</v>
      </c>
      <c r="S157" s="448">
        <f t="shared" si="184"/>
        <v>0</v>
      </c>
      <c r="T157" s="137" t="str">
        <f t="shared" si="185"/>
        <v>NA</v>
      </c>
      <c r="U157" s="137" t="str">
        <f t="shared" si="186"/>
        <v>NA</v>
      </c>
      <c r="V157" s="137" t="str">
        <f t="shared" si="187"/>
        <v>NA</v>
      </c>
      <c r="W157" s="137" t="str">
        <f t="shared" si="188"/>
        <v>NA</v>
      </c>
      <c r="X157" s="137" t="str">
        <f t="shared" si="189"/>
        <v>NA</v>
      </c>
      <c r="Y157" s="137" t="str">
        <f t="shared" si="190"/>
        <v>NA</v>
      </c>
      <c r="Z157" s="137" t="str">
        <f t="shared" si="191"/>
        <v>NA</v>
      </c>
      <c r="AA157" s="137" t="str">
        <f t="shared" si="192"/>
        <v>NA</v>
      </c>
      <c r="AB157" s="137" t="str">
        <f t="shared" si="193"/>
        <v>NA</v>
      </c>
      <c r="AC157" s="137" t="str">
        <f t="shared" si="194"/>
        <v>NA</v>
      </c>
      <c r="AD157" s="137" t="str">
        <f t="shared" si="195"/>
        <v>NA</v>
      </c>
      <c r="AE157" s="137" t="str">
        <f t="shared" si="196"/>
        <v>NA</v>
      </c>
      <c r="AF157" s="137" t="str">
        <f t="shared" si="197"/>
        <v>NA</v>
      </c>
      <c r="AG157" s="138" t="str">
        <f t="shared" si="198"/>
        <v>NA</v>
      </c>
      <c r="AH157" s="419" t="str">
        <f t="shared" si="214"/>
        <v>NA</v>
      </c>
      <c r="AI157" s="420" t="str">
        <f t="shared" si="215"/>
        <v>NA</v>
      </c>
      <c r="AJ157" s="421" t="str">
        <f t="shared" si="216"/>
        <v>NA</v>
      </c>
      <c r="AK157" s="421" t="str">
        <f t="shared" si="217"/>
        <v>NA</v>
      </c>
      <c r="AL157" s="421" t="str">
        <f t="shared" si="218"/>
        <v>NA</v>
      </c>
      <c r="AM157" s="421" t="str">
        <f t="shared" si="219"/>
        <v>NA</v>
      </c>
      <c r="AN157" s="421" t="str">
        <f t="shared" si="220"/>
        <v>NA</v>
      </c>
      <c r="AO157" s="421" t="str">
        <f t="shared" si="221"/>
        <v>NA</v>
      </c>
      <c r="AP157" s="421" t="str">
        <f t="shared" si="222"/>
        <v>NA</v>
      </c>
      <c r="AQ157" s="421" t="str">
        <f t="shared" si="223"/>
        <v>NA</v>
      </c>
      <c r="AR157" s="422" t="str">
        <f t="shared" si="224"/>
        <v>NA</v>
      </c>
      <c r="AS157" s="422" t="str">
        <f t="shared" si="225"/>
        <v>NA</v>
      </c>
      <c r="AT157" s="422" t="str">
        <f t="shared" si="226"/>
        <v>NA</v>
      </c>
      <c r="AU157" s="422" t="str">
        <f t="shared" si="227"/>
        <v>NA</v>
      </c>
      <c r="AV157" s="423" t="str">
        <f t="shared" si="228"/>
        <v>NA</v>
      </c>
    </row>
    <row r="158" spans="2:48" ht="15" customHeight="1" x14ac:dyDescent="0.25">
      <c r="B158" s="148">
        <v>128</v>
      </c>
      <c r="C158" s="151" t="str">
        <f>_xlfn.XLOOKUP(B158, LgProvEntOrgIDs[Advanced Network/Insurer Carrier Org ID], LgProvEntOrgIDs[Advanced Network/Insurance Carrier Overall])</f>
        <v>United Community and Family Services</v>
      </c>
      <c r="D158" s="448">
        <f t="shared" si="169"/>
        <v>0</v>
      </c>
      <c r="E158" s="137" t="str">
        <f t="shared" si="170"/>
        <v>NA</v>
      </c>
      <c r="F158" s="137" t="str">
        <f t="shared" si="171"/>
        <v>NA</v>
      </c>
      <c r="G158" s="137" t="str">
        <f t="shared" si="172"/>
        <v>NA</v>
      </c>
      <c r="H158" s="137" t="str">
        <f t="shared" si="173"/>
        <v>NA</v>
      </c>
      <c r="I158" s="137" t="str">
        <f t="shared" si="174"/>
        <v>NA</v>
      </c>
      <c r="J158" s="137" t="str">
        <f t="shared" si="175"/>
        <v>NA</v>
      </c>
      <c r="K158" s="137" t="str">
        <f t="shared" si="176"/>
        <v>NA</v>
      </c>
      <c r="L158" s="137" t="str">
        <f t="shared" si="177"/>
        <v>NA</v>
      </c>
      <c r="M158" s="137" t="str">
        <f t="shared" si="178"/>
        <v>NA</v>
      </c>
      <c r="N158" s="137" t="str">
        <f t="shared" si="179"/>
        <v>NA</v>
      </c>
      <c r="O158" s="137" t="str">
        <f t="shared" si="180"/>
        <v>NA</v>
      </c>
      <c r="P158" s="137" t="str">
        <f t="shared" si="181"/>
        <v>NA</v>
      </c>
      <c r="Q158" s="137" t="str">
        <f t="shared" si="182"/>
        <v>NA</v>
      </c>
      <c r="R158" s="147" t="str">
        <f t="shared" si="183"/>
        <v>NA</v>
      </c>
      <c r="S158" s="448">
        <f t="shared" si="184"/>
        <v>0</v>
      </c>
      <c r="T158" s="137" t="str">
        <f t="shared" si="185"/>
        <v>NA</v>
      </c>
      <c r="U158" s="137" t="str">
        <f t="shared" si="186"/>
        <v>NA</v>
      </c>
      <c r="V158" s="137" t="str">
        <f t="shared" si="187"/>
        <v>NA</v>
      </c>
      <c r="W158" s="137" t="str">
        <f t="shared" si="188"/>
        <v>NA</v>
      </c>
      <c r="X158" s="137" t="str">
        <f t="shared" si="189"/>
        <v>NA</v>
      </c>
      <c r="Y158" s="137" t="str">
        <f t="shared" si="190"/>
        <v>NA</v>
      </c>
      <c r="Z158" s="137" t="str">
        <f t="shared" si="191"/>
        <v>NA</v>
      </c>
      <c r="AA158" s="137" t="str">
        <f t="shared" si="192"/>
        <v>NA</v>
      </c>
      <c r="AB158" s="137" t="str">
        <f t="shared" si="193"/>
        <v>NA</v>
      </c>
      <c r="AC158" s="137" t="str">
        <f t="shared" si="194"/>
        <v>NA</v>
      </c>
      <c r="AD158" s="137" t="str">
        <f t="shared" si="195"/>
        <v>NA</v>
      </c>
      <c r="AE158" s="137" t="str">
        <f t="shared" si="196"/>
        <v>NA</v>
      </c>
      <c r="AF158" s="137" t="str">
        <f t="shared" si="197"/>
        <v>NA</v>
      </c>
      <c r="AG158" s="138" t="str">
        <f t="shared" si="198"/>
        <v>NA</v>
      </c>
      <c r="AH158" s="419" t="str">
        <f t="shared" si="214"/>
        <v>NA</v>
      </c>
      <c r="AI158" s="420" t="str">
        <f t="shared" si="215"/>
        <v>NA</v>
      </c>
      <c r="AJ158" s="421" t="str">
        <f t="shared" si="216"/>
        <v>NA</v>
      </c>
      <c r="AK158" s="421" t="str">
        <f t="shared" si="217"/>
        <v>NA</v>
      </c>
      <c r="AL158" s="421" t="str">
        <f t="shared" si="218"/>
        <v>NA</v>
      </c>
      <c r="AM158" s="421" t="str">
        <f t="shared" si="219"/>
        <v>NA</v>
      </c>
      <c r="AN158" s="421" t="str">
        <f t="shared" si="220"/>
        <v>NA</v>
      </c>
      <c r="AO158" s="421" t="str">
        <f t="shared" si="221"/>
        <v>NA</v>
      </c>
      <c r="AP158" s="421" t="str">
        <f t="shared" si="222"/>
        <v>NA</v>
      </c>
      <c r="AQ158" s="421" t="str">
        <f t="shared" si="223"/>
        <v>NA</v>
      </c>
      <c r="AR158" s="422" t="str">
        <f t="shared" si="224"/>
        <v>NA</v>
      </c>
      <c r="AS158" s="422" t="str">
        <f t="shared" si="225"/>
        <v>NA</v>
      </c>
      <c r="AT158" s="422" t="str">
        <f t="shared" si="226"/>
        <v>NA</v>
      </c>
      <c r="AU158" s="422" t="str">
        <f t="shared" si="227"/>
        <v>NA</v>
      </c>
      <c r="AV158" s="423" t="str">
        <f t="shared" si="228"/>
        <v>NA</v>
      </c>
    </row>
    <row r="159" spans="2:48" ht="15" customHeight="1" x14ac:dyDescent="0.25">
      <c r="B159" s="148">
        <v>129</v>
      </c>
      <c r="C159" s="151" t="str">
        <f>_xlfn.XLOOKUP(B159, LgProvEntOrgIDs[Advanced Network/Insurer Carrier Org ID], LgProvEntOrgIDs[Advanced Network/Insurance Carrier Overall])</f>
        <v>Westchester Medical Group PLLC (dba WestMed)</v>
      </c>
      <c r="D159" s="448">
        <f t="shared" si="169"/>
        <v>0</v>
      </c>
      <c r="E159" s="137" t="str">
        <f t="shared" si="170"/>
        <v>NA</v>
      </c>
      <c r="F159" s="137" t="str">
        <f t="shared" si="171"/>
        <v>NA</v>
      </c>
      <c r="G159" s="137" t="str">
        <f t="shared" si="172"/>
        <v>NA</v>
      </c>
      <c r="H159" s="137" t="str">
        <f t="shared" si="173"/>
        <v>NA</v>
      </c>
      <c r="I159" s="137" t="str">
        <f t="shared" si="174"/>
        <v>NA</v>
      </c>
      <c r="J159" s="137" t="str">
        <f t="shared" si="175"/>
        <v>NA</v>
      </c>
      <c r="K159" s="137" t="str">
        <f t="shared" si="176"/>
        <v>NA</v>
      </c>
      <c r="L159" s="137" t="str">
        <f t="shared" si="177"/>
        <v>NA</v>
      </c>
      <c r="M159" s="137" t="str">
        <f t="shared" si="178"/>
        <v>NA</v>
      </c>
      <c r="N159" s="137" t="str">
        <f t="shared" si="179"/>
        <v>NA</v>
      </c>
      <c r="O159" s="137" t="str">
        <f t="shared" si="180"/>
        <v>NA</v>
      </c>
      <c r="P159" s="137" t="str">
        <f t="shared" si="181"/>
        <v>NA</v>
      </c>
      <c r="Q159" s="137" t="str">
        <f t="shared" si="182"/>
        <v>NA</v>
      </c>
      <c r="R159" s="147" t="str">
        <f t="shared" si="183"/>
        <v>NA</v>
      </c>
      <c r="S159" s="448">
        <f t="shared" si="184"/>
        <v>0</v>
      </c>
      <c r="T159" s="137" t="str">
        <f t="shared" si="185"/>
        <v>NA</v>
      </c>
      <c r="U159" s="137" t="str">
        <f t="shared" si="186"/>
        <v>NA</v>
      </c>
      <c r="V159" s="137" t="str">
        <f t="shared" si="187"/>
        <v>NA</v>
      </c>
      <c r="W159" s="137" t="str">
        <f t="shared" si="188"/>
        <v>NA</v>
      </c>
      <c r="X159" s="137" t="str">
        <f t="shared" si="189"/>
        <v>NA</v>
      </c>
      <c r="Y159" s="137" t="str">
        <f t="shared" si="190"/>
        <v>NA</v>
      </c>
      <c r="Z159" s="137" t="str">
        <f t="shared" si="191"/>
        <v>NA</v>
      </c>
      <c r="AA159" s="137" t="str">
        <f t="shared" si="192"/>
        <v>NA</v>
      </c>
      <c r="AB159" s="137" t="str">
        <f t="shared" si="193"/>
        <v>NA</v>
      </c>
      <c r="AC159" s="137" t="str">
        <f t="shared" si="194"/>
        <v>NA</v>
      </c>
      <c r="AD159" s="137" t="str">
        <f t="shared" si="195"/>
        <v>NA</v>
      </c>
      <c r="AE159" s="137" t="str">
        <f t="shared" si="196"/>
        <v>NA</v>
      </c>
      <c r="AF159" s="137" t="str">
        <f t="shared" si="197"/>
        <v>NA</v>
      </c>
      <c r="AG159" s="138" t="str">
        <f t="shared" si="198"/>
        <v>NA</v>
      </c>
      <c r="AH159" s="419" t="str">
        <f t="shared" si="214"/>
        <v>NA</v>
      </c>
      <c r="AI159" s="420" t="str">
        <f t="shared" si="215"/>
        <v>NA</v>
      </c>
      <c r="AJ159" s="421" t="str">
        <f t="shared" si="216"/>
        <v>NA</v>
      </c>
      <c r="AK159" s="421" t="str">
        <f t="shared" si="217"/>
        <v>NA</v>
      </c>
      <c r="AL159" s="421" t="str">
        <f t="shared" si="218"/>
        <v>NA</v>
      </c>
      <c r="AM159" s="421" t="str">
        <f t="shared" si="219"/>
        <v>NA</v>
      </c>
      <c r="AN159" s="421" t="str">
        <f t="shared" si="220"/>
        <v>NA</v>
      </c>
      <c r="AO159" s="421" t="str">
        <f t="shared" si="221"/>
        <v>NA</v>
      </c>
      <c r="AP159" s="421" t="str">
        <f t="shared" si="222"/>
        <v>NA</v>
      </c>
      <c r="AQ159" s="421" t="str">
        <f t="shared" si="223"/>
        <v>NA</v>
      </c>
      <c r="AR159" s="422" t="str">
        <f t="shared" si="224"/>
        <v>NA</v>
      </c>
      <c r="AS159" s="422" t="str">
        <f t="shared" si="225"/>
        <v>NA</v>
      </c>
      <c r="AT159" s="422" t="str">
        <f t="shared" si="226"/>
        <v>NA</v>
      </c>
      <c r="AU159" s="422" t="str">
        <f t="shared" si="227"/>
        <v>NA</v>
      </c>
      <c r="AV159" s="423" t="str">
        <f t="shared" si="228"/>
        <v>NA</v>
      </c>
    </row>
    <row r="160" spans="2:48" ht="15" customHeight="1" x14ac:dyDescent="0.25">
      <c r="B160" s="148">
        <v>130</v>
      </c>
      <c r="C160" s="151" t="str">
        <f>_xlfn.XLOOKUP(B160, LgProvEntOrgIDs[Advanced Network/Insurer Carrier Org ID], LgProvEntOrgIDs[Advanced Network/Insurance Carrier Overall])</f>
        <v>Wheeler Clinic</v>
      </c>
      <c r="D160" s="448">
        <f t="shared" si="169"/>
        <v>0</v>
      </c>
      <c r="E160" s="137" t="str">
        <f t="shared" si="170"/>
        <v>NA</v>
      </c>
      <c r="F160" s="137" t="str">
        <f t="shared" si="171"/>
        <v>NA</v>
      </c>
      <c r="G160" s="137" t="str">
        <f t="shared" si="172"/>
        <v>NA</v>
      </c>
      <c r="H160" s="137" t="str">
        <f t="shared" si="173"/>
        <v>NA</v>
      </c>
      <c r="I160" s="137" t="str">
        <f t="shared" si="174"/>
        <v>NA</v>
      </c>
      <c r="J160" s="137" t="str">
        <f t="shared" si="175"/>
        <v>NA</v>
      </c>
      <c r="K160" s="137" t="str">
        <f t="shared" si="176"/>
        <v>NA</v>
      </c>
      <c r="L160" s="137" t="str">
        <f t="shared" si="177"/>
        <v>NA</v>
      </c>
      <c r="M160" s="137" t="str">
        <f t="shared" si="178"/>
        <v>NA</v>
      </c>
      <c r="N160" s="137" t="str">
        <f t="shared" si="179"/>
        <v>NA</v>
      </c>
      <c r="O160" s="137" t="str">
        <f t="shared" si="180"/>
        <v>NA</v>
      </c>
      <c r="P160" s="137" t="str">
        <f t="shared" si="181"/>
        <v>NA</v>
      </c>
      <c r="Q160" s="137" t="str">
        <f t="shared" si="182"/>
        <v>NA</v>
      </c>
      <c r="R160" s="147" t="str">
        <f t="shared" si="183"/>
        <v>NA</v>
      </c>
      <c r="S160" s="448">
        <f t="shared" si="184"/>
        <v>0</v>
      </c>
      <c r="T160" s="137" t="str">
        <f t="shared" si="185"/>
        <v>NA</v>
      </c>
      <c r="U160" s="137" t="str">
        <f t="shared" si="186"/>
        <v>NA</v>
      </c>
      <c r="V160" s="137" t="str">
        <f t="shared" si="187"/>
        <v>NA</v>
      </c>
      <c r="W160" s="137" t="str">
        <f t="shared" si="188"/>
        <v>NA</v>
      </c>
      <c r="X160" s="137" t="str">
        <f t="shared" si="189"/>
        <v>NA</v>
      </c>
      <c r="Y160" s="137" t="str">
        <f t="shared" si="190"/>
        <v>NA</v>
      </c>
      <c r="Z160" s="137" t="str">
        <f t="shared" si="191"/>
        <v>NA</v>
      </c>
      <c r="AA160" s="137" t="str">
        <f t="shared" si="192"/>
        <v>NA</v>
      </c>
      <c r="AB160" s="137" t="str">
        <f t="shared" si="193"/>
        <v>NA</v>
      </c>
      <c r="AC160" s="137" t="str">
        <f t="shared" si="194"/>
        <v>NA</v>
      </c>
      <c r="AD160" s="137" t="str">
        <f t="shared" si="195"/>
        <v>NA</v>
      </c>
      <c r="AE160" s="137" t="str">
        <f t="shared" si="196"/>
        <v>NA</v>
      </c>
      <c r="AF160" s="137" t="str">
        <f t="shared" si="197"/>
        <v>NA</v>
      </c>
      <c r="AG160" s="138" t="str">
        <f t="shared" si="198"/>
        <v>NA</v>
      </c>
      <c r="AH160" s="419" t="str">
        <f t="shared" si="214"/>
        <v>NA</v>
      </c>
      <c r="AI160" s="420" t="str">
        <f t="shared" si="215"/>
        <v>NA</v>
      </c>
      <c r="AJ160" s="421" t="str">
        <f t="shared" si="216"/>
        <v>NA</v>
      </c>
      <c r="AK160" s="421" t="str">
        <f t="shared" si="217"/>
        <v>NA</v>
      </c>
      <c r="AL160" s="421" t="str">
        <f t="shared" si="218"/>
        <v>NA</v>
      </c>
      <c r="AM160" s="421" t="str">
        <f t="shared" si="219"/>
        <v>NA</v>
      </c>
      <c r="AN160" s="421" t="str">
        <f t="shared" si="220"/>
        <v>NA</v>
      </c>
      <c r="AO160" s="421" t="str">
        <f t="shared" si="221"/>
        <v>NA</v>
      </c>
      <c r="AP160" s="421" t="str">
        <f t="shared" si="222"/>
        <v>NA</v>
      </c>
      <c r="AQ160" s="421" t="str">
        <f t="shared" si="223"/>
        <v>NA</v>
      </c>
      <c r="AR160" s="422" t="str">
        <f t="shared" si="224"/>
        <v>NA</v>
      </c>
      <c r="AS160" s="422" t="str">
        <f t="shared" si="225"/>
        <v>NA</v>
      </c>
      <c r="AT160" s="422" t="str">
        <f t="shared" si="226"/>
        <v>NA</v>
      </c>
      <c r="AU160" s="422" t="str">
        <f t="shared" si="227"/>
        <v>NA</v>
      </c>
      <c r="AV160" s="423" t="str">
        <f t="shared" si="228"/>
        <v>NA</v>
      </c>
    </row>
    <row r="161" spans="1:48" ht="15" customHeight="1" x14ac:dyDescent="0.25">
      <c r="B161" s="148">
        <v>131</v>
      </c>
      <c r="C161" s="151" t="str">
        <f>_xlfn.XLOOKUP(B161, LgProvEntOrgIDs[Advanced Network/Insurer Carrier Org ID], LgProvEntOrgIDs[Advanced Network/Insurance Carrier Overall])</f>
        <v>Yale Medicine</v>
      </c>
      <c r="D161" s="448">
        <f t="shared" si="169"/>
        <v>0</v>
      </c>
      <c r="E161" s="137" t="str">
        <f t="shared" si="170"/>
        <v>NA</v>
      </c>
      <c r="F161" s="137" t="str">
        <f t="shared" si="171"/>
        <v>NA</v>
      </c>
      <c r="G161" s="137" t="s">
        <v>337</v>
      </c>
      <c r="H161" s="137" t="str">
        <f t="shared" si="173"/>
        <v>NA</v>
      </c>
      <c r="I161" s="137" t="str">
        <f t="shared" si="174"/>
        <v>NA</v>
      </c>
      <c r="J161" s="137" t="str">
        <f t="shared" si="175"/>
        <v>NA</v>
      </c>
      <c r="K161" s="137" t="str">
        <f t="shared" si="176"/>
        <v>NA</v>
      </c>
      <c r="L161" s="137" t="str">
        <f t="shared" si="177"/>
        <v>NA</v>
      </c>
      <c r="M161" s="137" t="str">
        <f t="shared" si="178"/>
        <v>NA</v>
      </c>
      <c r="N161" s="137" t="str">
        <f t="shared" si="179"/>
        <v>NA</v>
      </c>
      <c r="O161" s="137" t="str">
        <f t="shared" si="180"/>
        <v>NA</v>
      </c>
      <c r="P161" s="137" t="str">
        <f t="shared" si="181"/>
        <v>NA</v>
      </c>
      <c r="Q161" s="137" t="str">
        <f t="shared" si="182"/>
        <v>NA</v>
      </c>
      <c r="R161" s="147" t="str">
        <f t="shared" si="183"/>
        <v>NA</v>
      </c>
      <c r="S161" s="448">
        <f t="shared" si="184"/>
        <v>0</v>
      </c>
      <c r="T161" s="137" t="str">
        <f t="shared" si="185"/>
        <v>NA</v>
      </c>
      <c r="U161" s="137" t="str">
        <f t="shared" si="186"/>
        <v>NA</v>
      </c>
      <c r="V161" s="137" t="str">
        <f t="shared" si="187"/>
        <v>NA</v>
      </c>
      <c r="W161" s="137" t="str">
        <f t="shared" si="188"/>
        <v>NA</v>
      </c>
      <c r="X161" s="137" t="str">
        <f t="shared" si="189"/>
        <v>NA</v>
      </c>
      <c r="Y161" s="137" t="str">
        <f t="shared" si="190"/>
        <v>NA</v>
      </c>
      <c r="Z161" s="137" t="str">
        <f t="shared" si="191"/>
        <v>NA</v>
      </c>
      <c r="AA161" s="137" t="str">
        <f t="shared" si="192"/>
        <v>NA</v>
      </c>
      <c r="AB161" s="137" t="str">
        <f t="shared" si="193"/>
        <v>NA</v>
      </c>
      <c r="AC161" s="137" t="str">
        <f t="shared" si="194"/>
        <v>NA</v>
      </c>
      <c r="AD161" s="137" t="str">
        <f t="shared" si="195"/>
        <v>NA</v>
      </c>
      <c r="AE161" s="137" t="str">
        <f t="shared" si="196"/>
        <v>NA</v>
      </c>
      <c r="AF161" s="137" t="str">
        <f t="shared" si="197"/>
        <v>NA</v>
      </c>
      <c r="AG161" s="138" t="str">
        <f t="shared" si="198"/>
        <v>NA</v>
      </c>
      <c r="AH161" s="419" t="str">
        <f t="shared" si="214"/>
        <v>NA</v>
      </c>
      <c r="AI161" s="420" t="str">
        <f t="shared" si="215"/>
        <v>NA</v>
      </c>
      <c r="AJ161" s="421" t="str">
        <f t="shared" si="216"/>
        <v>NA</v>
      </c>
      <c r="AK161" s="421" t="str">
        <f t="shared" si="217"/>
        <v>NA</v>
      </c>
      <c r="AL161" s="421" t="str">
        <f t="shared" si="218"/>
        <v>NA</v>
      </c>
      <c r="AM161" s="421" t="str">
        <f t="shared" si="219"/>
        <v>NA</v>
      </c>
      <c r="AN161" s="421" t="str">
        <f t="shared" si="220"/>
        <v>NA</v>
      </c>
      <c r="AO161" s="421" t="str">
        <f t="shared" si="221"/>
        <v>NA</v>
      </c>
      <c r="AP161" s="421" t="str">
        <f t="shared" si="222"/>
        <v>NA</v>
      </c>
      <c r="AQ161" s="421" t="str">
        <f t="shared" si="223"/>
        <v>NA</v>
      </c>
      <c r="AR161" s="422" t="str">
        <f t="shared" si="224"/>
        <v>NA</v>
      </c>
      <c r="AS161" s="422" t="str">
        <f t="shared" si="225"/>
        <v>NA</v>
      </c>
      <c r="AT161" s="422" t="str">
        <f t="shared" si="226"/>
        <v>NA</v>
      </c>
      <c r="AU161" s="422" t="str">
        <f t="shared" si="227"/>
        <v>NA</v>
      </c>
      <c r="AV161" s="423" t="str">
        <f t="shared" si="228"/>
        <v>NA</v>
      </c>
    </row>
    <row r="162" spans="1:48" ht="15" customHeight="1" x14ac:dyDescent="0.25">
      <c r="B162" s="148">
        <v>132</v>
      </c>
      <c r="C162" s="151" t="str">
        <f>_xlfn.XLOOKUP(B162, LgProvEntOrgIDs[Advanced Network/Insurer Carrier Org ID], LgProvEntOrgIDs[Advanced Network/Insurance Carrier Overall])</f>
        <v>InterCommunity Health Care</v>
      </c>
      <c r="D162" s="448">
        <f>D206+D247</f>
        <v>0</v>
      </c>
      <c r="E162" s="137" t="str">
        <f>IF(D162=0,"NA",(SUMPRODUCT(E206,D206)+SUMPRODUCT(E247,D247))/D162)</f>
        <v>NA</v>
      </c>
      <c r="F162" s="137" t="str">
        <f>IF(D162=0,"NA",(SUMPRODUCT(F206,D206)+SUMPRODUCT(F247,D247))/D162)</f>
        <v>NA</v>
      </c>
      <c r="G162" s="137" t="s">
        <v>337</v>
      </c>
      <c r="H162" s="137" t="str">
        <f>IF(D162=0,"NA",(SUMPRODUCT(H206,D206)+SUMPRODUCT(H247,D247))/D162)</f>
        <v>NA</v>
      </c>
      <c r="I162" s="137" t="str">
        <f>IF(D162=0,"NA",(SUMPRODUCT(I206,D206)+SUMPRODUCT(I247,D247))/D162)</f>
        <v>NA</v>
      </c>
      <c r="J162" s="137" t="str">
        <f>IF(D162=0,"NA",(SUMPRODUCT(J206,D206)+SUMPRODUCT(J247,D247))/D162)</f>
        <v>NA</v>
      </c>
      <c r="K162" s="137" t="str">
        <f>IF(D162=0,"NA",(SUMPRODUCT(K206,D206)+SUMPRODUCT(K247,D247))/D162)</f>
        <v>NA</v>
      </c>
      <c r="L162" s="137" t="str">
        <f>IF(D162=0,"NA",(SUMPRODUCT(L206,D206)+SUMPRODUCT(L247,D247))/D162)</f>
        <v>NA</v>
      </c>
      <c r="M162" s="137" t="str">
        <f>IF(D162=0,"NA",(SUMPRODUCT(M206,D206)+SUMPRODUCT(M247,D247))/D162)</f>
        <v>NA</v>
      </c>
      <c r="N162" s="137" t="str">
        <f>IF(D162=0,"NA",(SUMPRODUCT(N206,D206)+SUMPRODUCT(N247,D247))/D162)</f>
        <v>NA</v>
      </c>
      <c r="O162" s="137" t="str">
        <f>IF(D162=0,"NA",(SUMPRODUCT(O206,D206)+SUMPRODUCT(O247,D247))/D162)</f>
        <v>NA</v>
      </c>
      <c r="P162" s="137" t="str">
        <f>IF(D162=0,"NA",(SUMPRODUCT(P206,D206)+SUMPRODUCT(P247,D247))/D162)</f>
        <v>NA</v>
      </c>
      <c r="Q162" s="137" t="str">
        <f>IF(D162=0,"NA",(SUMPRODUCT(Q206,D206)+SUMPRODUCT(Q247,D247))/D162)</f>
        <v>NA</v>
      </c>
      <c r="R162" s="147" t="str">
        <f>IF(D162=0,"NA",(SUMPRODUCT(R206,D206)+SUMPRODUCT(R247,D247))/D162)</f>
        <v>NA</v>
      </c>
      <c r="S162" s="448">
        <f>S206+S247</f>
        <v>0</v>
      </c>
      <c r="T162" s="137" t="str">
        <f>IF(S162=0,"NA",(SUMPRODUCT(T206,S206)+SUMPRODUCT(T247,S247))/S162)</f>
        <v>NA</v>
      </c>
      <c r="U162" s="137" t="str">
        <f>IF(S162=0,"NA",(SUMPRODUCT(U206,S206)+SUMPRODUCT(U247,S247))/S162)</f>
        <v>NA</v>
      </c>
      <c r="V162" s="137" t="str">
        <f>IF(S162=0,"NA",(SUMPRODUCT(V206,S206)+SUMPRODUCT(V247,S247))/S162)</f>
        <v>NA</v>
      </c>
      <c r="W162" s="137" t="str">
        <f>IF(S162=0,"NA",(SUMPRODUCT(W206,S206)+SUMPRODUCT(W247,S247))/S162)</f>
        <v>NA</v>
      </c>
      <c r="X162" s="137" t="str">
        <f>IF(S162=0,"NA",(SUMPRODUCT(X206,S206)+SUMPRODUCT(X247,S247))/S162)</f>
        <v>NA</v>
      </c>
      <c r="Y162" s="137" t="str">
        <f>IF(S162=0,"NA",(SUMPRODUCT(Y206,S206)+SUMPRODUCT(Y247,S247))/S162)</f>
        <v>NA</v>
      </c>
      <c r="Z162" s="137" t="str">
        <f>IF(S162=0,"NA",(SUMPRODUCT(Z206,S206)+SUMPRODUCT(Z247,S247))/S162)</f>
        <v>NA</v>
      </c>
      <c r="AA162" s="137" t="str">
        <f>IF(S162=0,"NA",(SUMPRODUCT(AA206,S206)+SUMPRODUCT(AA247,S247))/S162)</f>
        <v>NA</v>
      </c>
      <c r="AB162" s="137" t="str">
        <f>IF(S162=0,"NA",(SUMPRODUCT(AB206,S206)+SUMPRODUCT(AB247,S247))/S162)</f>
        <v>NA</v>
      </c>
      <c r="AC162" s="137" t="str">
        <f>IF(S162=0,"NA",(SUMPRODUCT(AC206,S206)+SUMPRODUCT(AC247,S247))/S162)</f>
        <v>NA</v>
      </c>
      <c r="AD162" s="137" t="str">
        <f>IF(S162=0,"NA",(SUMPRODUCT(AD206,S206)+SUMPRODUCT(AD247,S247))/S162)</f>
        <v>NA</v>
      </c>
      <c r="AE162" s="137" t="str">
        <f>IF(S162=0,"NA",(SUMPRODUCT(AE206,S206)+SUMPRODUCT(AE247,S247))/S162)</f>
        <v>NA</v>
      </c>
      <c r="AF162" s="137" t="str">
        <f>IF(S162=0,"NA",(SUMPRODUCT(AF206,S206)+SUMPRODUCT(AF247,S247))/S162)</f>
        <v>NA</v>
      </c>
      <c r="AG162" s="138" t="str">
        <f>IF(S162=0,"NA",(SUMPRODUCT(AG206,S206)+SUMPRODUCT(AG247,S247))/S162)</f>
        <v>NA</v>
      </c>
      <c r="AH162" s="419" t="str">
        <f t="shared" ref="AH162:AH164" si="229">IF(D162=0,"NA",S162/D162-1)</f>
        <v>NA</v>
      </c>
      <c r="AI162" s="420" t="str">
        <f t="shared" ref="AI162:AI164" si="230">IF(D162=0,"NA",T162/E162-1)</f>
        <v>NA</v>
      </c>
      <c r="AJ162" s="421" t="str">
        <f t="shared" ref="AJ162:AJ164" si="231">IF(D162=0,"NA",U162/F162-1)</f>
        <v>NA</v>
      </c>
      <c r="AK162" s="421" t="str">
        <f t="shared" ref="AK162:AK164" si="232">IF(D162=0,"NA",V162/G162-1)</f>
        <v>NA</v>
      </c>
      <c r="AL162" s="421" t="str">
        <f t="shared" ref="AL162:AL164" si="233">IF(D162=0,"NA",W162/H162-1)</f>
        <v>NA</v>
      </c>
      <c r="AM162" s="421" t="str">
        <f t="shared" ref="AM162:AM164" si="234">IF(D162=0,"NA",X162/I162-1)</f>
        <v>NA</v>
      </c>
      <c r="AN162" s="421" t="str">
        <f t="shared" ref="AN162:AN164" si="235">IF(D162=0,"NA",Y162/J162-1)</f>
        <v>NA</v>
      </c>
      <c r="AO162" s="421" t="str">
        <f t="shared" ref="AO162:AO164" si="236">IF(D162=0,"NA",Z162/K162-1)</f>
        <v>NA</v>
      </c>
      <c r="AP162" s="421" t="str">
        <f t="shared" ref="AP162:AP164" si="237">IF(D162=0,"NA",AA162/L162-1)</f>
        <v>NA</v>
      </c>
      <c r="AQ162" s="421" t="str">
        <f t="shared" ref="AQ162:AQ164" si="238">IF(D162=0,"NA",AB162/M162-1)</f>
        <v>NA</v>
      </c>
      <c r="AR162" s="422" t="str">
        <f t="shared" ref="AR162:AR164" si="239">IF(D162=0,"NA",AC162/N162-1)</f>
        <v>NA</v>
      </c>
      <c r="AS162" s="422" t="str">
        <f t="shared" ref="AS162:AS164" si="240">IF(D162=0,"NA",AD162/O162-1)</f>
        <v>NA</v>
      </c>
      <c r="AT162" s="422" t="str">
        <f t="shared" ref="AT162:AT164" si="241">IF(D162=0,"NA",AE162/P162-1)</f>
        <v>NA</v>
      </c>
      <c r="AU162" s="422" t="str">
        <f t="shared" ref="AU162:AU164" si="242">IF(D162=0,"NA",AF162/Q162-1)</f>
        <v>NA</v>
      </c>
      <c r="AV162" s="423" t="str">
        <f t="shared" ref="AV162:AV164" si="243">IF(D162=0,"NA",AG162/R162-1)</f>
        <v>NA</v>
      </c>
    </row>
    <row r="163" spans="1:48" ht="15" customHeight="1" x14ac:dyDescent="0.25">
      <c r="B163" s="148">
        <v>133</v>
      </c>
      <c r="C163" s="151" t="str">
        <f>_xlfn.XLOOKUP(B163, LgProvEntOrgIDs[Advanced Network/Insurer Carrier Org ID], LgProvEntOrgIDs[Advanced Network/Insurance Carrier Overall])</f>
        <v>Trinity Health, Inc.</v>
      </c>
      <c r="D163" s="448">
        <f>D207+D248</f>
        <v>0</v>
      </c>
      <c r="E163" s="137" t="str">
        <f>IF(D163=0,"NA",(SUMPRODUCT(E207,D207)+SUMPRODUCT(E248,D248))/D163)</f>
        <v>NA</v>
      </c>
      <c r="F163" s="137" t="str">
        <f>IF(D163=0,"NA",(SUMPRODUCT(F207,D207)+SUMPRODUCT(F248,D248))/D163)</f>
        <v>NA</v>
      </c>
      <c r="G163" s="137" t="s">
        <v>337</v>
      </c>
      <c r="H163" s="137" t="str">
        <f>IF(D163=0,"NA",(SUMPRODUCT(H207,D207)+SUMPRODUCT(H248,D248))/D163)</f>
        <v>NA</v>
      </c>
      <c r="I163" s="137" t="str">
        <f>IF(D163=0,"NA",(SUMPRODUCT(I207,D207)+SUMPRODUCT(I248,D248))/D163)</f>
        <v>NA</v>
      </c>
      <c r="J163" s="137" t="str">
        <f>IF(D163=0,"NA",(SUMPRODUCT(J207,D207)+SUMPRODUCT(J248,D248))/D163)</f>
        <v>NA</v>
      </c>
      <c r="K163" s="137" t="str">
        <f>IF(D163=0,"NA",(SUMPRODUCT(K207,D207)+SUMPRODUCT(K248,D248))/D163)</f>
        <v>NA</v>
      </c>
      <c r="L163" s="137" t="str">
        <f>IF(D163=0,"NA",(SUMPRODUCT(L207,D207)+SUMPRODUCT(L248,D248))/D163)</f>
        <v>NA</v>
      </c>
      <c r="M163" s="137" t="str">
        <f>IF(D163=0,"NA",(SUMPRODUCT(M207,D207)+SUMPRODUCT(M248,D248))/D163)</f>
        <v>NA</v>
      </c>
      <c r="N163" s="137" t="str">
        <f>IF(D163=0,"NA",(SUMPRODUCT(N207,D207)+SUMPRODUCT(N248,D248))/D163)</f>
        <v>NA</v>
      </c>
      <c r="O163" s="137" t="str">
        <f>IF(D163=0,"NA",(SUMPRODUCT(O207,D207)+SUMPRODUCT(O248,D248))/D163)</f>
        <v>NA</v>
      </c>
      <c r="P163" s="137" t="str">
        <f>IF(D163=0,"NA",(SUMPRODUCT(P207,D207)+SUMPRODUCT(P248,D248))/D163)</f>
        <v>NA</v>
      </c>
      <c r="Q163" s="137" t="str">
        <f>IF(D163=0,"NA",(SUMPRODUCT(Q207,D207)+SUMPRODUCT(Q248,D248))/D163)</f>
        <v>NA</v>
      </c>
      <c r="R163" s="147" t="str">
        <f>IF(D163=0,"NA",(SUMPRODUCT(R207,D207)+SUMPRODUCT(R248,D248))/D163)</f>
        <v>NA</v>
      </c>
      <c r="S163" s="448">
        <f>S207+S248</f>
        <v>0</v>
      </c>
      <c r="T163" s="137" t="str">
        <f>IF(S163=0,"NA",(SUMPRODUCT(T207,S207)+SUMPRODUCT(T248,S248))/S163)</f>
        <v>NA</v>
      </c>
      <c r="U163" s="137" t="str">
        <f>IF(S163=0,"NA",(SUMPRODUCT(U207,S207)+SUMPRODUCT(U248,S248))/S163)</f>
        <v>NA</v>
      </c>
      <c r="V163" s="137" t="str">
        <f>IF(S163=0,"NA",(SUMPRODUCT(V207,S207)+SUMPRODUCT(V248,S248))/S163)</f>
        <v>NA</v>
      </c>
      <c r="W163" s="137" t="str">
        <f>IF(S163=0,"NA",(SUMPRODUCT(W207,S207)+SUMPRODUCT(W248,S248))/S163)</f>
        <v>NA</v>
      </c>
      <c r="X163" s="137" t="str">
        <f>IF(S163=0,"NA",(SUMPRODUCT(X207,S207)+SUMPRODUCT(X248,S248))/S163)</f>
        <v>NA</v>
      </c>
      <c r="Y163" s="137" t="str">
        <f>IF(S163=0,"NA",(SUMPRODUCT(Y207,S207)+SUMPRODUCT(Y248,S248))/S163)</f>
        <v>NA</v>
      </c>
      <c r="Z163" s="137" t="str">
        <f>IF(S163=0,"NA",(SUMPRODUCT(Z207,S207)+SUMPRODUCT(Z248,S248))/S163)</f>
        <v>NA</v>
      </c>
      <c r="AA163" s="137" t="str">
        <f>IF(S163=0,"NA",(SUMPRODUCT(AA207,S207)+SUMPRODUCT(AA248,S248))/S163)</f>
        <v>NA</v>
      </c>
      <c r="AB163" s="137" t="str">
        <f>IF(S163=0,"NA",(SUMPRODUCT(AB207,S207)+SUMPRODUCT(AB248,S248))/S163)</f>
        <v>NA</v>
      </c>
      <c r="AC163" s="137" t="str">
        <f>IF(S163=0,"NA",(SUMPRODUCT(AC207,S207)+SUMPRODUCT(AC248,S248))/S163)</f>
        <v>NA</v>
      </c>
      <c r="AD163" s="137" t="str">
        <f>IF(S163=0,"NA",(SUMPRODUCT(AD207,S207)+SUMPRODUCT(AD248,S248))/S163)</f>
        <v>NA</v>
      </c>
      <c r="AE163" s="137" t="str">
        <f>IF(S163=0,"NA",(SUMPRODUCT(AE207,S207)+SUMPRODUCT(AE248,S248))/S163)</f>
        <v>NA</v>
      </c>
      <c r="AF163" s="137" t="str">
        <f>IF(S163=0,"NA",(SUMPRODUCT(AF207,S207)+SUMPRODUCT(AF248,S248))/S163)</f>
        <v>NA</v>
      </c>
      <c r="AG163" s="138" t="str">
        <f>IF(S163=0,"NA",(SUMPRODUCT(AG207,S207)+SUMPRODUCT(AG248,S248))/S163)</f>
        <v>NA</v>
      </c>
      <c r="AH163" s="419" t="str">
        <f t="shared" si="229"/>
        <v>NA</v>
      </c>
      <c r="AI163" s="420" t="str">
        <f t="shared" si="230"/>
        <v>NA</v>
      </c>
      <c r="AJ163" s="421" t="str">
        <f t="shared" si="231"/>
        <v>NA</v>
      </c>
      <c r="AK163" s="421" t="str">
        <f t="shared" si="232"/>
        <v>NA</v>
      </c>
      <c r="AL163" s="421" t="str">
        <f t="shared" si="233"/>
        <v>NA</v>
      </c>
      <c r="AM163" s="421" t="str">
        <f t="shared" si="234"/>
        <v>NA</v>
      </c>
      <c r="AN163" s="421" t="str">
        <f t="shared" si="235"/>
        <v>NA</v>
      </c>
      <c r="AO163" s="421" t="str">
        <f t="shared" si="236"/>
        <v>NA</v>
      </c>
      <c r="AP163" s="421" t="str">
        <f t="shared" si="237"/>
        <v>NA</v>
      </c>
      <c r="AQ163" s="421" t="str">
        <f t="shared" si="238"/>
        <v>NA</v>
      </c>
      <c r="AR163" s="422" t="str">
        <f t="shared" si="239"/>
        <v>NA</v>
      </c>
      <c r="AS163" s="422" t="str">
        <f t="shared" si="240"/>
        <v>NA</v>
      </c>
      <c r="AT163" s="422" t="str">
        <f t="shared" si="241"/>
        <v>NA</v>
      </c>
      <c r="AU163" s="422" t="str">
        <f t="shared" si="242"/>
        <v>NA</v>
      </c>
      <c r="AV163" s="423" t="str">
        <f t="shared" si="243"/>
        <v>NA</v>
      </c>
    </row>
    <row r="164" spans="1:48" ht="15" customHeight="1" x14ac:dyDescent="0.25">
      <c r="B164" s="148">
        <v>134</v>
      </c>
      <c r="C164" s="151" t="str">
        <f>_xlfn.XLOOKUP(B164, LgProvEntOrgIDs[Advanced Network/Insurer Carrier Org ID], LgProvEntOrgIDs[Advanced Network/Insurance Carrier Overall])</f>
        <v>Western Connecticut Health Network (WCHN) Physician Hospital Organization</v>
      </c>
      <c r="D164" s="448">
        <f>D208+D249</f>
        <v>0</v>
      </c>
      <c r="E164" s="137" t="str">
        <f>IF(D164=0,"NA",(SUMPRODUCT(E208,D208)+SUMPRODUCT(E249,D249))/D164)</f>
        <v>NA</v>
      </c>
      <c r="F164" s="137" t="str">
        <f>IF(D164=0,"NA",(SUMPRODUCT(F208,D208)+SUMPRODUCT(F249,D249))/D164)</f>
        <v>NA</v>
      </c>
      <c r="G164" s="137" t="s">
        <v>337</v>
      </c>
      <c r="H164" s="137" t="str">
        <f>IF(D164=0,"NA",(SUMPRODUCT(H208,D208)+SUMPRODUCT(H249,D249))/D164)</f>
        <v>NA</v>
      </c>
      <c r="I164" s="137" t="str">
        <f>IF(D164=0,"NA",(SUMPRODUCT(I208,D208)+SUMPRODUCT(I249,D249))/D164)</f>
        <v>NA</v>
      </c>
      <c r="J164" s="137" t="str">
        <f>IF(D164=0,"NA",(SUMPRODUCT(J208,D208)+SUMPRODUCT(J249,D249))/D164)</f>
        <v>NA</v>
      </c>
      <c r="K164" s="137" t="str">
        <f>IF(D164=0,"NA",(SUMPRODUCT(K208,D208)+SUMPRODUCT(K249,D249))/D164)</f>
        <v>NA</v>
      </c>
      <c r="L164" s="137" t="str">
        <f>IF(D164=0,"NA",(SUMPRODUCT(L208,D208)+SUMPRODUCT(L249,D249))/D164)</f>
        <v>NA</v>
      </c>
      <c r="M164" s="137" t="str">
        <f>IF(D164=0,"NA",(SUMPRODUCT(M208,D208)+SUMPRODUCT(M249,D249))/D164)</f>
        <v>NA</v>
      </c>
      <c r="N164" s="137" t="str">
        <f>IF(D164=0,"NA",(SUMPRODUCT(N208,D208)+SUMPRODUCT(N249,D249))/D164)</f>
        <v>NA</v>
      </c>
      <c r="O164" s="137" t="str">
        <f>IF(D164=0,"NA",(SUMPRODUCT(O208,D208)+SUMPRODUCT(O249,D249))/D164)</f>
        <v>NA</v>
      </c>
      <c r="P164" s="137" t="str">
        <f>IF(D164=0,"NA",(SUMPRODUCT(P208,D208)+SUMPRODUCT(P249,D249))/D164)</f>
        <v>NA</v>
      </c>
      <c r="Q164" s="137" t="str">
        <f>IF(D164=0,"NA",(SUMPRODUCT(Q208,D208)+SUMPRODUCT(Q249,D249))/D164)</f>
        <v>NA</v>
      </c>
      <c r="R164" s="147" t="str">
        <f>IF(D164=0,"NA",(SUMPRODUCT(R208,D208)+SUMPRODUCT(R249,D249))/D164)</f>
        <v>NA</v>
      </c>
      <c r="S164" s="448">
        <f>S208+S249</f>
        <v>0</v>
      </c>
      <c r="T164" s="137" t="str">
        <f>IF(S164=0,"NA",(SUMPRODUCT(T208,S208)+SUMPRODUCT(T249,S249))/S164)</f>
        <v>NA</v>
      </c>
      <c r="U164" s="137" t="str">
        <f>IF(S164=0,"NA",(SUMPRODUCT(U208,S208)+SUMPRODUCT(U249,S249))/S164)</f>
        <v>NA</v>
      </c>
      <c r="V164" s="137" t="str">
        <f>IF(S164=0,"NA",(SUMPRODUCT(V208,S208)+SUMPRODUCT(V249,S249))/S164)</f>
        <v>NA</v>
      </c>
      <c r="W164" s="137" t="str">
        <f>IF(S164=0,"NA",(SUMPRODUCT(W208,S208)+SUMPRODUCT(W249,S249))/S164)</f>
        <v>NA</v>
      </c>
      <c r="X164" s="137" t="str">
        <f>IF(S164=0,"NA",(SUMPRODUCT(X208,S208)+SUMPRODUCT(X249,S249))/S164)</f>
        <v>NA</v>
      </c>
      <c r="Y164" s="137" t="str">
        <f>IF(S164=0,"NA",(SUMPRODUCT(Y208,S208)+SUMPRODUCT(Y249,S249))/S164)</f>
        <v>NA</v>
      </c>
      <c r="Z164" s="137" t="str">
        <f>IF(S164=0,"NA",(SUMPRODUCT(Z208,S208)+SUMPRODUCT(Z249,S249))/S164)</f>
        <v>NA</v>
      </c>
      <c r="AA164" s="137" t="str">
        <f>IF(S164=0,"NA",(SUMPRODUCT(AA208,S208)+SUMPRODUCT(AA249,S249))/S164)</f>
        <v>NA</v>
      </c>
      <c r="AB164" s="137" t="str">
        <f>IF(S164=0,"NA",(SUMPRODUCT(AB208,S208)+SUMPRODUCT(AB249,S249))/S164)</f>
        <v>NA</v>
      </c>
      <c r="AC164" s="137" t="str">
        <f>IF(S164=0,"NA",(SUMPRODUCT(AC208,S208)+SUMPRODUCT(AC249,S249))/S164)</f>
        <v>NA</v>
      </c>
      <c r="AD164" s="137" t="str">
        <f>IF(S164=0,"NA",(SUMPRODUCT(AD208,S208)+SUMPRODUCT(AD249,S249))/S164)</f>
        <v>NA</v>
      </c>
      <c r="AE164" s="137" t="str">
        <f>IF(S164=0,"NA",(SUMPRODUCT(AE208,S208)+SUMPRODUCT(AE249,S249))/S164)</f>
        <v>NA</v>
      </c>
      <c r="AF164" s="137" t="str">
        <f>IF(S164=0,"NA",(SUMPRODUCT(AF208,S208)+SUMPRODUCT(AF249,S249))/S164)</f>
        <v>NA</v>
      </c>
      <c r="AG164" s="138" t="str">
        <f>IF(S164=0,"NA",(SUMPRODUCT(AG208,S208)+SUMPRODUCT(AG249,S249))/S164)</f>
        <v>NA</v>
      </c>
      <c r="AH164" s="419" t="str">
        <f t="shared" si="229"/>
        <v>NA</v>
      </c>
      <c r="AI164" s="420" t="str">
        <f t="shared" si="230"/>
        <v>NA</v>
      </c>
      <c r="AJ164" s="421" t="str">
        <f t="shared" si="231"/>
        <v>NA</v>
      </c>
      <c r="AK164" s="421" t="str">
        <f t="shared" si="232"/>
        <v>NA</v>
      </c>
      <c r="AL164" s="421" t="str">
        <f t="shared" si="233"/>
        <v>NA</v>
      </c>
      <c r="AM164" s="421" t="str">
        <f t="shared" si="234"/>
        <v>NA</v>
      </c>
      <c r="AN164" s="421" t="str">
        <f t="shared" si="235"/>
        <v>NA</v>
      </c>
      <c r="AO164" s="421" t="str">
        <f t="shared" si="236"/>
        <v>NA</v>
      </c>
      <c r="AP164" s="421" t="str">
        <f t="shared" si="237"/>
        <v>NA</v>
      </c>
      <c r="AQ164" s="421" t="str">
        <f t="shared" si="238"/>
        <v>NA</v>
      </c>
      <c r="AR164" s="422" t="str">
        <f t="shared" si="239"/>
        <v>NA</v>
      </c>
      <c r="AS164" s="422" t="str">
        <f t="shared" si="240"/>
        <v>NA</v>
      </c>
      <c r="AT164" s="422" t="str">
        <f t="shared" si="241"/>
        <v>NA</v>
      </c>
      <c r="AU164" s="422" t="str">
        <f t="shared" si="242"/>
        <v>NA</v>
      </c>
      <c r="AV164" s="423" t="str">
        <f t="shared" si="243"/>
        <v>NA</v>
      </c>
    </row>
    <row r="165" spans="1:48" ht="15" customHeight="1" x14ac:dyDescent="0.25">
      <c r="B165" s="148">
        <v>999</v>
      </c>
      <c r="C165" s="151" t="str">
        <f>_xlfn.XLOOKUP(B165, LgProvEntOrgIDs[Advanced Network/Insurer Carrier Org ID], LgProvEntOrgIDs[Advanced Network/Insurance Carrier Overall])</f>
        <v>Members Not Attributed to an Advanced Network</v>
      </c>
      <c r="D165" s="448">
        <f>D206+D247</f>
        <v>0</v>
      </c>
      <c r="E165" s="137" t="str">
        <f>IF(D165=0,"NA",(SUMPRODUCT(E206,D206)+SUMPRODUCT(E247,D247))/D165)</f>
        <v>NA</v>
      </c>
      <c r="F165" s="137" t="str">
        <f>IF(D165=0,"NA",(SUMPRODUCT(F206,D206)+SUMPRODUCT(F247,D247))/D165)</f>
        <v>NA</v>
      </c>
      <c r="G165" s="137" t="str">
        <f>IF(D165=0,"NA",(SUMPRODUCT(G206,D206)+SUMPRODUCT(G247,D247))/D165)</f>
        <v>NA</v>
      </c>
      <c r="H165" s="137" t="str">
        <f>IF(D165=0,"NA",(SUMPRODUCT(H206,D206)+SUMPRODUCT(H247,D247))/D165)</f>
        <v>NA</v>
      </c>
      <c r="I165" s="137" t="str">
        <f>IF(D165=0,"NA",(SUMPRODUCT(I206,D206)+SUMPRODUCT(I247,D247))/D165)</f>
        <v>NA</v>
      </c>
      <c r="J165" s="137" t="str">
        <f>IF(D165=0,"NA",(SUMPRODUCT(J206,D206)+SUMPRODUCT(J247,D247))/D165)</f>
        <v>NA</v>
      </c>
      <c r="K165" s="137" t="str">
        <f>IF(D165=0,"NA",(SUMPRODUCT(K206,D206)+SUMPRODUCT(K247,D247))/D165)</f>
        <v>NA</v>
      </c>
      <c r="L165" s="137" t="str">
        <f>IF(D165=0,"NA",(SUMPRODUCT(L206,D206)+SUMPRODUCT(L247,D247))/D165)</f>
        <v>NA</v>
      </c>
      <c r="M165" s="137" t="str">
        <f>IF(D165=0,"NA",(SUMPRODUCT(M206,D206)+SUMPRODUCT(M247,D247))/D165)</f>
        <v>NA</v>
      </c>
      <c r="N165" s="137" t="str">
        <f>IF(D165=0,"NA",(SUMPRODUCT(N206,D206)+SUMPRODUCT(N247,D247))/D165)</f>
        <v>NA</v>
      </c>
      <c r="O165" s="137" t="str">
        <f>IF(D165=0,"NA",(SUMPRODUCT(O206,D206)+SUMPRODUCT(O247,D247))/D165)</f>
        <v>NA</v>
      </c>
      <c r="P165" s="137" t="str">
        <f>IF(D165=0,"NA",(SUMPRODUCT(P206,D206)+SUMPRODUCT(P247,D247))/D165)</f>
        <v>NA</v>
      </c>
      <c r="Q165" s="137" t="str">
        <f>IF(D165=0,"NA",(SUMPRODUCT(Q206,D206)+SUMPRODUCT(Q247,D247))/D165)</f>
        <v>NA</v>
      </c>
      <c r="R165" s="147" t="str">
        <f>IF(D165=0,"NA",(SUMPRODUCT(R206,D206)+SUMPRODUCT(R247,D247))/D165)</f>
        <v>NA</v>
      </c>
      <c r="S165" s="448">
        <f>S206+S247</f>
        <v>0</v>
      </c>
      <c r="T165" s="137" t="str">
        <f>IF(S165=0,"NA",(SUMPRODUCT(T206,S206)+SUMPRODUCT(T247,S247))/S165)</f>
        <v>NA</v>
      </c>
      <c r="U165" s="137" t="str">
        <f>IF(S165=0,"NA",(SUMPRODUCT(U206,S206)+SUMPRODUCT(U247,S247))/S165)</f>
        <v>NA</v>
      </c>
      <c r="V165" s="137" t="str">
        <f>IF(S165=0,"NA",(SUMPRODUCT(V206,S206)+SUMPRODUCT(V247,S247))/S165)</f>
        <v>NA</v>
      </c>
      <c r="W165" s="137" t="str">
        <f>IF(S165=0,"NA",(SUMPRODUCT(W206,S206)+SUMPRODUCT(W247,S247))/S165)</f>
        <v>NA</v>
      </c>
      <c r="X165" s="137" t="str">
        <f>IF(S165=0,"NA",(SUMPRODUCT(X206,S206)+SUMPRODUCT(X247,S247))/S165)</f>
        <v>NA</v>
      </c>
      <c r="Y165" s="137" t="str">
        <f>IF(S165=0,"NA",(SUMPRODUCT(Y206,S206)+SUMPRODUCT(Y247,S247))/S165)</f>
        <v>NA</v>
      </c>
      <c r="Z165" s="137" t="str">
        <f>IF(S165=0,"NA",(SUMPRODUCT(Z206,S206)+SUMPRODUCT(Z247,S247))/S165)</f>
        <v>NA</v>
      </c>
      <c r="AA165" s="137" t="str">
        <f>IF(S165=0,"NA",(SUMPRODUCT(AA206,S206)+SUMPRODUCT(AA247,S247))/S165)</f>
        <v>NA</v>
      </c>
      <c r="AB165" s="137" t="str">
        <f>IF(S165=0,"NA",(SUMPRODUCT(AB206,S206)+SUMPRODUCT(AB247,S247))/S165)</f>
        <v>NA</v>
      </c>
      <c r="AC165" s="137" t="str">
        <f>IF(S165=0,"NA",(SUMPRODUCT(AC206,S206)+SUMPRODUCT(AC247,S247))/S165)</f>
        <v>NA</v>
      </c>
      <c r="AD165" s="137" t="str">
        <f>IF(S165=0,"NA",(SUMPRODUCT(AD206,S206)+SUMPRODUCT(AD247,S247))/S165)</f>
        <v>NA</v>
      </c>
      <c r="AE165" s="137" t="str">
        <f>IF(S165=0,"NA",(SUMPRODUCT(AE206,S206)+SUMPRODUCT(AE247,S247))/S165)</f>
        <v>NA</v>
      </c>
      <c r="AF165" s="137" t="str">
        <f>IF(S165=0,"NA",(SUMPRODUCT(AF206,S206)+SUMPRODUCT(AF247,S247))/S165)</f>
        <v>NA</v>
      </c>
      <c r="AG165" s="138" t="str">
        <f>IF(S165=0,"NA",(SUMPRODUCT(AG206,S206)+SUMPRODUCT(AG247,S247))/S165)</f>
        <v>NA</v>
      </c>
      <c r="AH165" s="419" t="str">
        <f>IF(D165=0,"NA",S165/D165-1)</f>
        <v>NA</v>
      </c>
      <c r="AI165" s="420" t="str">
        <f>IF(D165=0,"NA",T165/E165-1)</f>
        <v>NA</v>
      </c>
      <c r="AJ165" s="421" t="str">
        <f>IF(D165=0,"NA",U165/F165-1)</f>
        <v>NA</v>
      </c>
      <c r="AK165" s="421" t="str">
        <f>IF(D165=0,"NA",V165/G165-1)</f>
        <v>NA</v>
      </c>
      <c r="AL165" s="421" t="str">
        <f>IF(D165=0,"NA",W165/H165-1)</f>
        <v>NA</v>
      </c>
      <c r="AM165" s="421" t="str">
        <f>IF(D165=0,"NA",X165/I165-1)</f>
        <v>NA</v>
      </c>
      <c r="AN165" s="421" t="str">
        <f>IF(D165=0,"NA",Y165/J165-1)</f>
        <v>NA</v>
      </c>
      <c r="AO165" s="421" t="str">
        <f>IF(D165=0,"NA",Z165/K165-1)</f>
        <v>NA</v>
      </c>
      <c r="AP165" s="421" t="str">
        <f>IF(D165=0,"NA",AA165/L165-1)</f>
        <v>NA</v>
      </c>
      <c r="AQ165" s="421" t="str">
        <f>IF(D165=0,"NA",AB165/M165-1)</f>
        <v>NA</v>
      </c>
      <c r="AR165" s="422" t="str">
        <f>IF(D165=0,"NA",AC165/N165-1)</f>
        <v>NA</v>
      </c>
      <c r="AS165" s="422" t="str">
        <f>IF(D165=0,"NA",AD165/O165-1)</f>
        <v>NA</v>
      </c>
      <c r="AT165" s="422" t="str">
        <f>IF(D165=0,"NA",AE165/P165-1)</f>
        <v>NA</v>
      </c>
      <c r="AU165" s="422" t="str">
        <f>IF(D165=0,"NA",AF165/Q165-1)</f>
        <v>NA</v>
      </c>
      <c r="AV165" s="423" t="str">
        <f>IF(D165=0,"NA",AG165/R165-1)</f>
        <v>NA</v>
      </c>
    </row>
    <row r="166" spans="1:48" ht="15" customHeight="1" x14ac:dyDescent="0.25">
      <c r="B166" s="149"/>
      <c r="C166" s="152" t="s">
        <v>332</v>
      </c>
      <c r="D166" s="449">
        <f>SUM(D131:D165)</f>
        <v>0</v>
      </c>
      <c r="E166" s="139" t="str">
        <f>IF(D166=0,"NA",(SUMPRODUCT(E207,D207)+SUMPRODUCT(E248,D248))/D166)</f>
        <v>NA</v>
      </c>
      <c r="F166" s="109" t="str">
        <f>IF(D166=0,"NA",(SUMPRODUCT(F207,D207)+SUMPRODUCT(F248,D248))/D166)</f>
        <v>NA</v>
      </c>
      <c r="G166" s="109" t="str">
        <f>IF(D166=0,"NA",(SUMPRODUCT(G207,D207)+SUMPRODUCT(G248,D248))/D166)</f>
        <v>NA</v>
      </c>
      <c r="H166" s="109" t="str">
        <f>IF(D166=0,"NA",(SUMPRODUCT(H207,D207)+SUMPRODUCT(H248,D248))/D166)</f>
        <v>NA</v>
      </c>
      <c r="I166" s="109" t="str">
        <f>IF(D166=0,"NA",(SUMPRODUCT(I207,D207)+SUMPRODUCT(I248,D248))/D166)</f>
        <v>NA</v>
      </c>
      <c r="J166" s="109" t="str">
        <f>IF(D166=0,"NA",(SUMPRODUCT(J207,D207)+SUMPRODUCT(J248,D248))/D166)</f>
        <v>NA</v>
      </c>
      <c r="K166" s="109" t="str">
        <f>IF(D166=0,"NA",(SUMPRODUCT(K207,D207)+SUMPRODUCT(K248,D248))/D166)</f>
        <v>NA</v>
      </c>
      <c r="L166" s="109" t="str">
        <f>IF(D166=0,"NA",(SUMPRODUCT(L207,D207)+SUMPRODUCT(L248,D248))/D166)</f>
        <v>NA</v>
      </c>
      <c r="M166" s="109" t="str">
        <f>IF(D166=0,"NA",(SUMPRODUCT(M207,D207)+SUMPRODUCT(M248,D248))/D166)</f>
        <v>NA</v>
      </c>
      <c r="N166" s="140" t="str">
        <f>IF(D166=0,"NA",(SUMPRODUCT(N207,D207)+SUMPRODUCT(N248,D248))/D166)</f>
        <v>NA</v>
      </c>
      <c r="O166" s="140" t="str">
        <f>IF(D166=0,"NA",(SUMPRODUCT(O207,D207)+SUMPRODUCT(O248,D248))/D166)</f>
        <v>NA</v>
      </c>
      <c r="P166" s="140" t="str">
        <f>IF(D166=0,"NA",(SUMPRODUCT(P207,D207)+SUMPRODUCT(P248,D248))/D166)</f>
        <v>NA</v>
      </c>
      <c r="Q166" s="140" t="str">
        <f>IF(D166=0,"NA",(SUMPRODUCT(Q207,D207)+SUMPRODUCT(Q248,D248))/D166)</f>
        <v>NA</v>
      </c>
      <c r="R166" s="140" t="str">
        <f>IF(D166=0,"NA",(SUMPRODUCT(R207,D207)+SUMPRODUCT(R248,D248))/D166)</f>
        <v>NA</v>
      </c>
      <c r="S166" s="449">
        <f>SUM(S131:S165)</f>
        <v>0</v>
      </c>
      <c r="T166" s="139" t="str">
        <f>IF(S166=0,"NA",(SUMPRODUCT(T207,S207)+SUMPRODUCT(T248,S248))/S166)</f>
        <v>NA</v>
      </c>
      <c r="U166" s="109" t="str">
        <f>IF(S166=0,"NA",(SUMPRODUCT(U207,S207)+SUMPRODUCT(U248,S248))/S166)</f>
        <v>NA</v>
      </c>
      <c r="V166" s="109" t="str">
        <f>IF(S166=0,"NA",(SUMPRODUCT(V207,S207)+SUMPRODUCT(V248,S248))/S166)</f>
        <v>NA</v>
      </c>
      <c r="W166" s="109" t="str">
        <f>IF(S166=0,"NA",(SUMPRODUCT(W207,S207)+SUMPRODUCT(W248,S248))/S166)</f>
        <v>NA</v>
      </c>
      <c r="X166" s="109" t="str">
        <f>IF(S166=0,"NA",(SUMPRODUCT(X207,S207)+SUMPRODUCT(X248,S248))/S166)</f>
        <v>NA</v>
      </c>
      <c r="Y166" s="109" t="str">
        <f>IF(S166=0,"NA",(SUMPRODUCT(Y207,S207)+SUMPRODUCT(Y248,S248))/S166)</f>
        <v>NA</v>
      </c>
      <c r="Z166" s="109" t="str">
        <f>IF(S166=0,"NA",(SUMPRODUCT(Z207,S207)+SUMPRODUCT(Z248,S248))/S166)</f>
        <v>NA</v>
      </c>
      <c r="AA166" s="109" t="str">
        <f>IF(S166=0,"NA",(SUMPRODUCT(AA207,S207)+SUMPRODUCT(AA248,S248))/S166)</f>
        <v>NA</v>
      </c>
      <c r="AB166" s="109" t="str">
        <f>IF(S166=0,"NA",(SUMPRODUCT(AB207,S207)+SUMPRODUCT(AB248,S248))/S166)</f>
        <v>NA</v>
      </c>
      <c r="AC166" s="140" t="str">
        <f>IF(S166=0,"NA",(SUMPRODUCT(AC207,S207)+SUMPRODUCT(AC248,S248))/S166)</f>
        <v>NA</v>
      </c>
      <c r="AD166" s="140" t="str">
        <f>IF(S166=0,"NA",(SUMPRODUCT(AD207,S207)+SUMPRODUCT(AD248,S248))/S166)</f>
        <v>NA</v>
      </c>
      <c r="AE166" s="140" t="str">
        <f>IF(S166=0,"NA",(SUMPRODUCT(AE207,S207)+SUMPRODUCT(AE248,S248))/S166)</f>
        <v>NA</v>
      </c>
      <c r="AF166" s="140" t="str">
        <f>IF(S166=0,"NA",(SUMPRODUCT(AF207,S207)+SUMPRODUCT(AF248,S248))/S166)</f>
        <v>NA</v>
      </c>
      <c r="AG166" s="141" t="str">
        <f>IF(S166=0,"NA",(SUMPRODUCT(AG207,S207)+SUMPRODUCT(AG248,S248))/S166)</f>
        <v>NA</v>
      </c>
      <c r="AH166" s="424" t="str">
        <f>IF(D166=0,"NA",S166/D166-1)</f>
        <v>NA</v>
      </c>
      <c r="AI166" s="425" t="str">
        <f>IF(D166=0,"NA",T166/E166-1)</f>
        <v>NA</v>
      </c>
      <c r="AJ166" s="426" t="str">
        <f>IF(D166=0,"NA",U166/F166-1)</f>
        <v>NA</v>
      </c>
      <c r="AK166" s="426" t="str">
        <f>IF(D166=0,"NA",V166/G166-1)</f>
        <v>NA</v>
      </c>
      <c r="AL166" s="426" t="str">
        <f>IF(D166=0,"NA",W166/H166-1)</f>
        <v>NA</v>
      </c>
      <c r="AM166" s="426" t="str">
        <f>IF(D166=0,"NA",X166/I166-1)</f>
        <v>NA</v>
      </c>
      <c r="AN166" s="426" t="str">
        <f>IF(D166=0,"NA",Y166/J166-1)</f>
        <v>NA</v>
      </c>
      <c r="AO166" s="426" t="str">
        <f>IF(D166=0,"NA",Z166/K166-1)</f>
        <v>NA</v>
      </c>
      <c r="AP166" s="426" t="str">
        <f>IF(D166=0,"NA",AA166/L166-1)</f>
        <v>NA</v>
      </c>
      <c r="AQ166" s="426" t="str">
        <f>IF(D166=0,"NA",AB166/M166-1)</f>
        <v>NA</v>
      </c>
      <c r="AR166" s="427" t="str">
        <f>IF(D166=0,"NA",AC166/N166-1)</f>
        <v>NA</v>
      </c>
      <c r="AS166" s="427" t="str">
        <f>IF(D166=0,"NA",AD166/O166-1)</f>
        <v>NA</v>
      </c>
      <c r="AT166" s="427" t="str">
        <f>IF(D166=0,"NA",AE166/P166-1)</f>
        <v>NA</v>
      </c>
      <c r="AU166" s="427" t="str">
        <f>IF(D166=0,"NA",AF166/Q166-1)</f>
        <v>NA</v>
      </c>
      <c r="AV166" s="428" t="str">
        <f>IF(D166=0,"NA",AG166/R166-1)</f>
        <v>NA</v>
      </c>
    </row>
    <row r="167" spans="1:48" ht="15.75" customHeight="1" thickBot="1" x14ac:dyDescent="0.3">
      <c r="B167" s="150"/>
      <c r="C167" s="153" t="s">
        <v>333</v>
      </c>
      <c r="D167" s="450">
        <f>D166</f>
        <v>0</v>
      </c>
      <c r="E167" s="142" t="str">
        <f>IF(D167=0,"NA",(SUMPRODUCT(E208,D208)+SUMPRODUCT(E249,D249))/D167)</f>
        <v>NA</v>
      </c>
      <c r="F167" s="143" t="str">
        <f>IF(D167=0,"NA",(SUMPRODUCT(F208,D208)+SUMPRODUCT(F249,D249))/D167)</f>
        <v>NA</v>
      </c>
      <c r="G167" s="143" t="str">
        <f>IF(D167=0,"NA",(SUMPRODUCT(G208,D208)+SUMPRODUCT(G249,D249))/D167)</f>
        <v>NA</v>
      </c>
      <c r="H167" s="143" t="str">
        <f>IF(D167=0,"NA",(SUMPRODUCT(H208,D208)+SUMPRODUCT(H249,D249))/D167)</f>
        <v>NA</v>
      </c>
      <c r="I167" s="143" t="str">
        <f>IF(D167=0,"NA",(SUMPRODUCT(I208,D208)+SUMPRODUCT(I249,D249))/D167)</f>
        <v>NA</v>
      </c>
      <c r="J167" s="143" t="str">
        <f>IF(D167=0,"NA",(SUMPRODUCT(J208,D208)+SUMPRODUCT(J249,D249))/D167)</f>
        <v>NA</v>
      </c>
      <c r="K167" s="143" t="str">
        <f>IF(D167=0,"NA",(SUMPRODUCT(K208,D208)+SUMPRODUCT(K249,D249))/D167)</f>
        <v>NA</v>
      </c>
      <c r="L167" s="143" t="str">
        <f>IF(D167=0,"NA",(SUMPRODUCT(L208,D208)+SUMPRODUCT(L249,D249))/D167)</f>
        <v>NA</v>
      </c>
      <c r="M167" s="143" t="str">
        <f>IF(D167=0,"NA",(SUMPRODUCT(M208,D208)+SUMPRODUCT(M249,D249))/D167)</f>
        <v>NA</v>
      </c>
      <c r="N167" s="144" t="str">
        <f>IF(D167=0,"NA",(SUMPRODUCT(N208,D208)+SUMPRODUCT(N249,D249))/D167)</f>
        <v>NA</v>
      </c>
      <c r="O167" s="144" t="str">
        <f>IF(D167=0,"NA",(SUMPRODUCT(O208,D208)+SUMPRODUCT(O249,D249))/D167)</f>
        <v>NA</v>
      </c>
      <c r="P167" s="144" t="str">
        <f>IF(D167=0,"NA",(SUMPRODUCT(P208,D208)+SUMPRODUCT(P249,D249))/D167)</f>
        <v>NA</v>
      </c>
      <c r="Q167" s="144" t="str">
        <f>IF(D167=0,"NA",(SUMPRODUCT(Q208,D208)+SUMPRODUCT(Q249,D249))/D167)</f>
        <v>NA</v>
      </c>
      <c r="R167" s="145" t="str">
        <f>IF(D167=0,"NA",(SUMPRODUCT(R208,D208)+SUMPRODUCT(R249,D249))/D167)</f>
        <v>NA</v>
      </c>
      <c r="S167" s="450">
        <f>S166</f>
        <v>0</v>
      </c>
      <c r="T167" s="142" t="str">
        <f>IF(S167=0,"NA",(SUMPRODUCT(T208,S208)+SUMPRODUCT(T249,S249))/S167)</f>
        <v>NA</v>
      </c>
      <c r="U167" s="143" t="str">
        <f>IF(S167=0,"NA",(SUMPRODUCT(U208,S208)+SUMPRODUCT(U249,S249))/S167)</f>
        <v>NA</v>
      </c>
      <c r="V167" s="143" t="str">
        <f>IF(S167=0,"NA",(SUMPRODUCT(V208,S208)+SUMPRODUCT(V249,S249))/S167)</f>
        <v>NA</v>
      </c>
      <c r="W167" s="143" t="str">
        <f>IF(S167=0,"NA",(SUMPRODUCT(W208,S208)+SUMPRODUCT(W249,S249))/S167)</f>
        <v>NA</v>
      </c>
      <c r="X167" s="143" t="str">
        <f>IF(S167=0,"NA",(SUMPRODUCT(X208,S208)+SUMPRODUCT(X249,S249))/S167)</f>
        <v>NA</v>
      </c>
      <c r="Y167" s="143" t="str">
        <f>IF(S167=0,"NA",(SUMPRODUCT(Y208,S208)+SUMPRODUCT(Y249,S249))/S167)</f>
        <v>NA</v>
      </c>
      <c r="Z167" s="143" t="str">
        <f>IF(S167=0,"NA",(SUMPRODUCT(Z208,S208)+SUMPRODUCT(Z249,S249))/S167)</f>
        <v>NA</v>
      </c>
      <c r="AA167" s="143" t="str">
        <f>IF(S167=0,"NA",(SUMPRODUCT(AA208,S208)+SUMPRODUCT(AA249,S249))/S167)</f>
        <v>NA</v>
      </c>
      <c r="AB167" s="143" t="str">
        <f>IF(S167=0,"NA",(SUMPRODUCT(AB208,S208)+SUMPRODUCT(AB249,S249))/S167)</f>
        <v>NA</v>
      </c>
      <c r="AC167" s="144" t="str">
        <f>IF(S167=0,"NA",(SUMPRODUCT(AC208,S208)+SUMPRODUCT(AC249,S249))/S167)</f>
        <v>NA</v>
      </c>
      <c r="AD167" s="144" t="str">
        <f>IF(S167=0,"NA",(SUMPRODUCT(AD208,S208)+SUMPRODUCT(AD249,S249))/S167)</f>
        <v>NA</v>
      </c>
      <c r="AE167" s="144" t="str">
        <f>IF(S167=0,"NA",(SUMPRODUCT(AE208,S208)+SUMPRODUCT(AE249,S249))/S167)</f>
        <v>NA</v>
      </c>
      <c r="AF167" s="144" t="str">
        <f>IF(S167=0,"NA",(SUMPRODUCT(AF208,S208)+SUMPRODUCT(AF249,S249))/S167)</f>
        <v>NA</v>
      </c>
      <c r="AG167" s="145" t="str">
        <f>IF(S167=0,"NA",(SUMPRODUCT(AG208,S208)+SUMPRODUCT(AG249,S249))/S167)</f>
        <v>NA</v>
      </c>
      <c r="AH167" s="429" t="str">
        <f>IF(D167=0,"NA",S167/D167-1)</f>
        <v>NA</v>
      </c>
      <c r="AI167" s="430" t="str">
        <f>IF(D167=0,"NA",T167/E167-1)</f>
        <v>NA</v>
      </c>
      <c r="AJ167" s="431" t="str">
        <f>IF(D167=0,"NA",U167/F167-1)</f>
        <v>NA</v>
      </c>
      <c r="AK167" s="431" t="str">
        <f>IF(D167=0,"NA",V167/G167-1)</f>
        <v>NA</v>
      </c>
      <c r="AL167" s="431" t="str">
        <f>IF(D167=0,"NA",W167/H167-1)</f>
        <v>NA</v>
      </c>
      <c r="AM167" s="431" t="str">
        <f>IF(D167=0,"NA",X167/I167-1)</f>
        <v>NA</v>
      </c>
      <c r="AN167" s="431" t="str">
        <f>IF(D167=0,"NA",Y167/J167-1)</f>
        <v>NA</v>
      </c>
      <c r="AO167" s="431" t="str">
        <f>IF(D167=0,"NA",Z167/K167-1)</f>
        <v>NA</v>
      </c>
      <c r="AP167" s="431" t="str">
        <f>IF(D167=0,"NA",AA167/L167-1)</f>
        <v>NA</v>
      </c>
      <c r="AQ167" s="431" t="str">
        <f>IF(D167=0,"NA",AB167/M167-1)</f>
        <v>NA</v>
      </c>
      <c r="AR167" s="432" t="str">
        <f>IF(D167=0,"NA",AC167/N167-1)</f>
        <v>NA</v>
      </c>
      <c r="AS167" s="432" t="str">
        <f>IF(D167=0,"NA",AD167/O167-1)</f>
        <v>NA</v>
      </c>
      <c r="AT167" s="432" t="str">
        <f>IF(D167=0,"NA",AE167/P167-1)</f>
        <v>NA</v>
      </c>
      <c r="AU167" s="432" t="str">
        <f>IF(D167=0,"NA",AF167/Q167-1)</f>
        <v>NA</v>
      </c>
      <c r="AV167" s="433" t="str">
        <f>IF(D167=0,"NA",AG167/R167-1)</f>
        <v>NA</v>
      </c>
    </row>
    <row r="169" spans="1:48" ht="16.5" thickBot="1" x14ac:dyDescent="0.3">
      <c r="B169" s="53" t="s">
        <v>338</v>
      </c>
      <c r="C169" s="464"/>
    </row>
    <row r="170" spans="1:48" x14ac:dyDescent="0.25">
      <c r="B170" s="621" t="s">
        <v>322</v>
      </c>
      <c r="C170" s="622"/>
      <c r="D170" s="628">
        <v>2023</v>
      </c>
      <c r="E170" s="629"/>
      <c r="F170" s="629"/>
      <c r="G170" s="629"/>
      <c r="H170" s="629"/>
      <c r="I170" s="629"/>
      <c r="J170" s="629"/>
      <c r="K170" s="629"/>
      <c r="L170" s="629"/>
      <c r="M170" s="629"/>
      <c r="N170" s="629"/>
      <c r="O170" s="629"/>
      <c r="P170" s="629"/>
      <c r="Q170" s="629"/>
      <c r="R170" s="629"/>
      <c r="S170" s="628">
        <v>2024</v>
      </c>
      <c r="T170" s="629"/>
      <c r="U170" s="629"/>
      <c r="V170" s="629"/>
      <c r="W170" s="629"/>
      <c r="X170" s="629"/>
      <c r="Y170" s="629"/>
      <c r="Z170" s="629"/>
      <c r="AA170" s="629"/>
      <c r="AB170" s="629"/>
      <c r="AC170" s="629"/>
      <c r="AD170" s="629"/>
      <c r="AE170" s="629"/>
      <c r="AF170" s="629"/>
      <c r="AG170" s="634"/>
      <c r="AH170" s="600" t="s">
        <v>292</v>
      </c>
      <c r="AI170" s="601"/>
      <c r="AJ170" s="602"/>
      <c r="AK170" s="602"/>
      <c r="AL170" s="602"/>
      <c r="AM170" s="602"/>
      <c r="AN170" s="602"/>
      <c r="AO170" s="602"/>
      <c r="AP170" s="602"/>
      <c r="AQ170" s="602"/>
      <c r="AR170" s="603"/>
      <c r="AS170" s="603"/>
      <c r="AT170" s="603"/>
      <c r="AU170" s="603"/>
      <c r="AV170" s="604"/>
    </row>
    <row r="171" spans="1:48" ht="30" x14ac:dyDescent="0.25">
      <c r="B171" s="70" t="s">
        <v>323</v>
      </c>
      <c r="C171" s="72" t="s">
        <v>324</v>
      </c>
      <c r="D171" s="70" t="s">
        <v>212</v>
      </c>
      <c r="E171" s="128" t="s">
        <v>124</v>
      </c>
      <c r="F171" s="71" t="s">
        <v>125</v>
      </c>
      <c r="G171" s="71" t="s">
        <v>127</v>
      </c>
      <c r="H171" s="71" t="s">
        <v>325</v>
      </c>
      <c r="I171" s="71" t="s">
        <v>129</v>
      </c>
      <c r="J171" s="71" t="s">
        <v>130</v>
      </c>
      <c r="K171" s="71" t="s">
        <v>326</v>
      </c>
      <c r="L171" s="71" t="s">
        <v>327</v>
      </c>
      <c r="M171" s="71" t="s">
        <v>134</v>
      </c>
      <c r="N171" s="134" t="s">
        <v>328</v>
      </c>
      <c r="O171" s="134" t="s">
        <v>329</v>
      </c>
      <c r="P171" s="134" t="s">
        <v>218</v>
      </c>
      <c r="Q171" s="134" t="s">
        <v>330</v>
      </c>
      <c r="R171" s="134" t="s">
        <v>331</v>
      </c>
      <c r="S171" s="70" t="s">
        <v>212</v>
      </c>
      <c r="T171" s="128" t="s">
        <v>124</v>
      </c>
      <c r="U171" s="71" t="s">
        <v>125</v>
      </c>
      <c r="V171" s="71" t="s">
        <v>127</v>
      </c>
      <c r="W171" s="71" t="s">
        <v>325</v>
      </c>
      <c r="X171" s="71" t="s">
        <v>129</v>
      </c>
      <c r="Y171" s="71" t="s">
        <v>130</v>
      </c>
      <c r="Z171" s="71" t="s">
        <v>326</v>
      </c>
      <c r="AA171" s="71" t="s">
        <v>327</v>
      </c>
      <c r="AB171" s="71" t="s">
        <v>134</v>
      </c>
      <c r="AC171" s="134" t="s">
        <v>328</v>
      </c>
      <c r="AD171" s="134" t="s">
        <v>329</v>
      </c>
      <c r="AE171" s="134" t="s">
        <v>218</v>
      </c>
      <c r="AF171" s="134" t="s">
        <v>330</v>
      </c>
      <c r="AG171" s="72" t="s">
        <v>331</v>
      </c>
      <c r="AH171" s="70" t="s">
        <v>212</v>
      </c>
      <c r="AI171" s="128" t="s">
        <v>124</v>
      </c>
      <c r="AJ171" s="71" t="s">
        <v>125</v>
      </c>
      <c r="AK171" s="71" t="s">
        <v>127</v>
      </c>
      <c r="AL171" s="71" t="s">
        <v>325</v>
      </c>
      <c r="AM171" s="71" t="s">
        <v>129</v>
      </c>
      <c r="AN171" s="71" t="s">
        <v>130</v>
      </c>
      <c r="AO171" s="71" t="s">
        <v>326</v>
      </c>
      <c r="AP171" s="71" t="s">
        <v>327</v>
      </c>
      <c r="AQ171" s="71" t="s">
        <v>134</v>
      </c>
      <c r="AR171" s="134" t="s">
        <v>328</v>
      </c>
      <c r="AS171" s="134" t="s">
        <v>329</v>
      </c>
      <c r="AT171" s="134" t="s">
        <v>218</v>
      </c>
      <c r="AU171" s="134" t="s">
        <v>330</v>
      </c>
      <c r="AV171" s="72" t="s">
        <v>331</v>
      </c>
    </row>
    <row r="172" spans="1:48" ht="15" customHeight="1" x14ac:dyDescent="0.25">
      <c r="A172" s="146"/>
      <c r="B172" s="148">
        <v>101</v>
      </c>
      <c r="C172" s="151" t="str">
        <f>_xlfn.XLOOKUP(B172, LgProvEntOrgIDs[Advanced Network/Insurer Carrier Org ID], LgProvEntOrgIDs[Advanced Network/Insurance Carrier Overall])</f>
        <v>Privia Quality Network of Connecticut (PQN CT) (formerly Community Medical Group)</v>
      </c>
      <c r="D172" s="448">
        <f>SUMIFS(AN_TME_BY[[#All],[Member Months]],AN_TME_BY[[#All],[Insurance Category Code]],1,AN_TME_BY[[#All],[Advanced Network/Insurance Carrier Org ID]],B172)</f>
        <v>0</v>
      </c>
      <c r="E172" s="137" t="str">
        <f>IF(D172=0,"NA",SUMIFS(AN_TME_BY[[#All],[Claims: Hospital Inpatient]],AN_TME_BY[[#All],[Insurance Category Code]],1,AN_TME_BY[[#All],[Advanced Network/Insurance Carrier Org ID]],B172)/D172)</f>
        <v>NA</v>
      </c>
      <c r="F172" s="108" t="str">
        <f>IF(D172=0,"NA",SUMIFS(AN_TME_BY[[#All],[Claims: Hospital Outpatient]],AN_TME_BY[[#All],[Insurance Category Code]],1,AN_TME_BY[[#All],[Advanced Network/Insurance Carrier Org ID]],B172)/D172)</f>
        <v>NA</v>
      </c>
      <c r="G172" s="108" t="str">
        <f>IF(D172=0,"NA",SUMIFS(AN_TME_BY[[#All],[Claims: Professional, Primary Care]],AN_TME_BY[[#All],[Insurance Category Code]],1,AN_TME_BY[[#All],[Advanced Network/Insurance Carrier Org ID]],B172)/D172)</f>
        <v>NA</v>
      </c>
      <c r="H172" s="108" t="str">
        <f>IF(D172=0,"NA",SUMIFS(AN_TME_BY[[#All],[Claims: Professional, Primary Care (for Monitoring Purposes)]],AN_TME_BY[[#All],[Insurance Category Code]],1,AN_TME_BY[[#All],[Advanced Network/Insurance Carrier Org ID]],B172)/D172)</f>
        <v>NA</v>
      </c>
      <c r="I172" s="108" t="str">
        <f>IF(D172=0,"NA",SUMIFS(AN_TME_BY[[#All],[Claims: Professional, Specialty]],AN_TME_BY[[#All],[Insurance Category Code]],1,AN_TME_BY[[#All],[Advanced Network/Insurance Carrier Org ID]],B172)/D172)</f>
        <v>NA</v>
      </c>
      <c r="J172" s="108" t="str">
        <f>IF(D172=0,"NA",SUMIFS(AN_TME_BY[[#All],[Claims: Professional Other]],AN_TME_BY[[#All],[Insurance Category Code]],1,AN_TME_BY[[#All],[Advanced Network/Insurance Carrier Org ID]],B172)/D172)</f>
        <v>NA</v>
      </c>
      <c r="K172" s="108" t="str">
        <f>IF(D172=0,"NA",SUMIFS(AN_TME_BY[[#All],[Claims: Pharmacy]],AN_TME_BY[[#All],[Insurance Category Code]],1,AN_TME_BY[[#All],[Advanced Network/Insurance Carrier Org ID]],B172)/D172)</f>
        <v>NA</v>
      </c>
      <c r="L172" s="108" t="str">
        <f>IF(D172=0,"NA",SUMIFS(AN_TME_BY[[#All],[Claims: Long-Term Care]],AN_TME_BY[[#All],[Insurance Category Code]],1,AN_TME_BY[[#All],[Advanced Network/Insurance Carrier Org ID]],B172)/D172)</f>
        <v>NA</v>
      </c>
      <c r="M172" s="108" t="str">
        <f>IF(D172=0,"NA",SUMIFS(AN_TME_BY[[#All],[Claims: Other]],AN_TME_BY[[#All],[Insurance Category Code]],1,AN_TME_BY[[#All],[Advanced Network/Insurance Carrier Org ID]],B172)/D172)</f>
        <v>NA</v>
      </c>
      <c r="N172" s="147" t="str">
        <f>IF(D172=0,"NA",SUMIFS(AN_TME_BY[[#All],[TOTAL Non-Truncated Unadjusted Claims Expenses]],AN_TME_BY[[#All],[Insurance Category Code]],1,AN_TME_BY[[#All],[Advanced Network/Insurance Carrier Org ID]],B172)/D172)</f>
        <v>NA</v>
      </c>
      <c r="O172" s="147" t="str">
        <f>IF(D172=0,"NA",SUMIFS(AN_TME_BY[[#All],[TOTAL Truncated Unadjusted Claims Expenses (A21 -A19)]],AN_TME_BY[[#All],[Insurance Category Code]],1,AN_TME_BY[[#All],[Advanced Network/Insurance Carrier Org ID]],B172)/D172)</f>
        <v>NA</v>
      </c>
      <c r="P172" s="147" t="str">
        <f>IF(D172=0,"NA",SUMIFS(AN_TME_BY[[#All],[TOTAL Non-Claims Expenses]],AN_TME_BY[[#All],[Insurance Category Code]],1,AN_TME_BY[[#All],[Advanced Network/Insurance Carrier Org ID]],B172)/D172)</f>
        <v>NA</v>
      </c>
      <c r="Q172" s="147" t="str">
        <f>IF(D172=0,"NA",SUMIFS(AN_TME_BY[[#All],[TOTAL Non-Truncated Unadjusted Expenses (A21 + A23)]],AN_TME_BY[[#All],[Insurance Category Code]],1,AN_TME_BY[[#All],[Advanced Network/Insurance Carrier Org ID]],B172)/D172)</f>
        <v>NA</v>
      </c>
      <c r="R172" s="147" t="str">
        <f>IF(D172=0,"NA",SUMIFS(AN_TME_BY[[#All],[TOTAL Truncated Unadjusted Expenses (A22 + A23)]],AN_TME_BY[[#All],[Insurance Category Code]],1,AN_TME_BY[[#All],[Advanced Network/Insurance Carrier Org ID]],B172)/D172)</f>
        <v>NA</v>
      </c>
      <c r="S172" s="448">
        <f>SUMIFS(AN_TME_PY[[#All],[Member Months]],AN_TME_PY[[#All],[Insurance Category Code]],1,AN_TME_PY[[#All],[Advanced Network/Insurance Carrier Org ID]],B172)</f>
        <v>0</v>
      </c>
      <c r="T172" s="137" t="str">
        <f>IF(S172=0,"NA",SUMIFS(AN_TME_PY[[#All],[Claims: Hospital Inpatient]],AN_TME_PY[[#All],[Insurance Category Code]],1,AN_TME_PY[[#All],[Advanced Network/Insurance Carrier Org ID]],B172)/S172)</f>
        <v>NA</v>
      </c>
      <c r="U172" s="108" t="str">
        <f>IF(S172=0,"NA",SUMIFS(AN_TME_PY[[#All],[Claims: Hospital Outpatient]],AN_TME_PY[[#All],[Insurance Category Code]],1,AN_TME_PY[[#All],[Advanced Network/Insurance Carrier Org ID]],B172)/S172)</f>
        <v>NA</v>
      </c>
      <c r="V172" s="108" t="str">
        <f>IF(S172=0,"NA",SUMIFS(AN_TME_PY[[#All],[Claims: Professional, Primary Care]],AN_TME_PY[[#All],[Insurance Category Code]],1,AN_TME_PY[[#All],[Advanced Network/Insurance Carrier Org ID]],B172)/S172)</f>
        <v>NA</v>
      </c>
      <c r="W172" s="108" t="str">
        <f>IF(S172=0,"NA",SUMIFS(AN_TME_PY[[#All],[Claims: Professional, Primary Care (for Monitoring Purposes)]],AN_TME_PY[[#All],[Insurance Category Code]],1,AN_TME_PY[[#All],[Advanced Network/Insurance Carrier Org ID]],B172)/S172)</f>
        <v>NA</v>
      </c>
      <c r="X172" s="108" t="str">
        <f>IF(S172=0,"NA",SUMIFS(AN_TME_PY[[#All],[Claims: Professional, Specialty]],AN_TME_PY[[#All],[Insurance Category Code]],1,AN_TME_PY[[#All],[Advanced Network/Insurance Carrier Org ID]],B172)/S172)</f>
        <v>NA</v>
      </c>
      <c r="Y172" s="108" t="str">
        <f>IF(S172=0,"NA",SUMIFS(AN_TME_PY[[#All],[Claims: Professional Other]],AN_TME_PY[[#All],[Insurance Category Code]],1,AN_TME_PY[[#All],[Advanced Network/Insurance Carrier Org ID]],B172)/S172)</f>
        <v>NA</v>
      </c>
      <c r="Z172" s="108" t="str">
        <f>IF(S172=0,"NA",SUMIFS(AN_TME_PY[[#All],[Claims: Pharmacy]],AN_TME_PY[[#All],[Insurance Category Code]],1,AN_TME_PY[[#All],[Advanced Network/Insurance Carrier Org ID]],B172)/S172)</f>
        <v>NA</v>
      </c>
      <c r="AA172" s="108" t="str">
        <f>IF(S172=0,"NA",SUMIFS(AN_TME_PY[[#All],[Claims: Long-Term Care]],AN_TME_PY[[#All],[Insurance Category Code]],1,AN_TME_PY[[#All],[Advanced Network/Insurance Carrier Org ID]],B172)/S172)</f>
        <v>NA</v>
      </c>
      <c r="AB172" s="108" t="str">
        <f>IF(S172=0,"NA",SUMIFS(AN_TME_PY[[#All],[Claims: Other]],AN_TME_PY[[#All],[Insurance Category Code]],1,AN_TME_PY[[#All],[Advanced Network/Insurance Carrier Org ID]],B172)/S172)</f>
        <v>NA</v>
      </c>
      <c r="AC172" s="147" t="str">
        <f>IF(S172=0,"NA",SUMIFS(AN_TME_PY[[#All],[TOTAL Non-Truncated Unadjusted Claims Expenses]],AN_TME_PY[[#All],[Insurance Category Code]],1,AN_TME_PY[[#All],[Advanced Network/Insurance Carrier Org ID]],B172)/S172)</f>
        <v>NA</v>
      </c>
      <c r="AD172" s="147" t="str">
        <f>IF(S172=0,"NA",SUMIFS(AN_TME_PY[[#All],[TOTAL Truncated Unadjusted Claims Expenses (A21 -A19)]],AN_TME_PY[[#All],[Insurance Category Code]],1,AN_TME_PY[[#All],[Advanced Network/Insurance Carrier Org ID]],B172)/S172)</f>
        <v>NA</v>
      </c>
      <c r="AE172" s="147" t="str">
        <f>IF(S172=0,"NA",SUMIFS(AN_TME_PY[[#All],[TOTAL Non-Claims Expenses]],AN_TME_PY[[#All],[Insurance Category Code]],1,AN_TME_PY[[#All],[Advanced Network/Insurance Carrier Org ID]],B172)/S172)</f>
        <v>NA</v>
      </c>
      <c r="AF172" s="147" t="str">
        <f>IF(S172=0,"NA",SUMIFS(AN_TME_PY[[#All],[TOTAL Non-Truncated Unadjusted Expenses (A21 + A23)]],AN_TME_PY[[#All],[Insurance Category Code]],1,AN_TME_PY[[#All],[Advanced Network/Insurance Carrier Org ID]],B172)/S172)</f>
        <v>NA</v>
      </c>
      <c r="AG172" s="138" t="str">
        <f>IF(S172=0,"NA",SUMIFS(AN_TME_PY[[#All],[TOTAL Truncated Unadjusted Expenses (A22 + A23)]],AN_TME_PY[[#All],[Insurance Category Code]],1,AN_TME_PY[[#All],[Advanced Network/Insurance Carrier Org ID]],B172)/S172)</f>
        <v>NA</v>
      </c>
      <c r="AH172" s="419" t="str">
        <f>IF(D172=0,"NA",S172/D172-1)</f>
        <v>NA</v>
      </c>
      <c r="AI172" s="420" t="str">
        <f>IF(D172=0,"NA",T172/E172-1)</f>
        <v>NA</v>
      </c>
      <c r="AJ172" s="421" t="str">
        <f>IF(D172=0,"NA",U172/F172-1)</f>
        <v>NA</v>
      </c>
      <c r="AK172" s="421" t="str">
        <f>IF(D172=0,"NA",V172/G172-1)</f>
        <v>NA</v>
      </c>
      <c r="AL172" s="421" t="str">
        <f>IF(D172=0,"NA",W172/H172-1)</f>
        <v>NA</v>
      </c>
      <c r="AM172" s="421" t="str">
        <f>IF(D172=0,"NA",X172/I172-1)</f>
        <v>NA</v>
      </c>
      <c r="AN172" s="421" t="str">
        <f>IF(D172=0,"NA",Y172/J172-1)</f>
        <v>NA</v>
      </c>
      <c r="AO172" s="421" t="str">
        <f>IF(D172=0,"NA",Z172/K172-1)</f>
        <v>NA</v>
      </c>
      <c r="AP172" s="421" t="str">
        <f>IF(D172=0,"NA",AA172/L172-1)</f>
        <v>NA</v>
      </c>
      <c r="AQ172" s="421" t="str">
        <f>IF(D172=0,"NA",AB172/M172-1)</f>
        <v>NA</v>
      </c>
      <c r="AR172" s="422" t="str">
        <f>IF(D172=0,"NA",AC172/N172-1)</f>
        <v>NA</v>
      </c>
      <c r="AS172" s="422" t="str">
        <f>IF(D172=0,"NA",AD172/O172-1)</f>
        <v>NA</v>
      </c>
      <c r="AT172" s="422" t="str">
        <f>IF(D172=0,"NA",AE172/P172-1)</f>
        <v>NA</v>
      </c>
      <c r="AU172" s="422" t="str">
        <f>IF(D172=0,"NA",AF172/Q172-1)</f>
        <v>NA</v>
      </c>
      <c r="AV172" s="423" t="str">
        <f>IF(D172=0,"NA",AG172/R172-1)</f>
        <v>NA</v>
      </c>
    </row>
    <row r="173" spans="1:48" ht="15" customHeight="1" x14ac:dyDescent="0.25">
      <c r="A173" s="146"/>
      <c r="B173" s="148">
        <v>102</v>
      </c>
      <c r="C173" s="151" t="str">
        <f>_xlfn.XLOOKUP(B173, LgProvEntOrgIDs[Advanced Network/Insurer Carrier Org ID], LgProvEntOrgIDs[Advanced Network/Insurance Carrier Overall])</f>
        <v>Connecticut Children's Care Network</v>
      </c>
      <c r="D173" s="448">
        <f>SUMIFS(AN_TME_BY[[#All],[Member Months]],AN_TME_BY[[#All],[Insurance Category Code]],1,AN_TME_BY[[#All],[Advanced Network/Insurance Carrier Org ID]],B173)</f>
        <v>0</v>
      </c>
      <c r="E173" s="137" t="str">
        <f>IF(D173=0,"NA",SUMIFS(AN_TME_BY[[#All],[Claims: Hospital Inpatient]],AN_TME_BY[[#All],[Insurance Category Code]],1,AN_TME_BY[[#All],[Advanced Network/Insurance Carrier Org ID]],B173)/D173)</f>
        <v>NA</v>
      </c>
      <c r="F173" s="108" t="str">
        <f>IF(D173=0,"NA",SUMIFS(AN_TME_BY[[#All],[Claims: Hospital Outpatient]],AN_TME_BY[[#All],[Insurance Category Code]],1,AN_TME_BY[[#All],[Advanced Network/Insurance Carrier Org ID]],B173)/D173)</f>
        <v>NA</v>
      </c>
      <c r="G173" s="108" t="str">
        <f>IF(D173=0,"NA",SUMIFS(AN_TME_BY[[#All],[Claims: Professional, Primary Care]],AN_TME_BY[[#All],[Insurance Category Code]],1,AN_TME_BY[[#All],[Advanced Network/Insurance Carrier Org ID]],B173)/D173)</f>
        <v>NA</v>
      </c>
      <c r="H173" s="108" t="str">
        <f>IF(D173=0,"NA",SUMIFS(AN_TME_BY[[#All],[Claims: Professional, Primary Care (for Monitoring Purposes)]],AN_TME_BY[[#All],[Insurance Category Code]],1,AN_TME_BY[[#All],[Advanced Network/Insurance Carrier Org ID]],B173)/D173)</f>
        <v>NA</v>
      </c>
      <c r="I173" s="108" t="str">
        <f>IF(D173=0,"NA",SUMIFS(AN_TME_BY[[#All],[Claims: Professional, Specialty]],AN_TME_BY[[#All],[Insurance Category Code]],1,AN_TME_BY[[#All],[Advanced Network/Insurance Carrier Org ID]],B173)/D173)</f>
        <v>NA</v>
      </c>
      <c r="J173" s="108" t="str">
        <f>IF(D173=0,"NA",SUMIFS(AN_TME_BY[[#All],[Claims: Professional Other]],AN_TME_BY[[#All],[Insurance Category Code]],1,AN_TME_BY[[#All],[Advanced Network/Insurance Carrier Org ID]],B173)/D173)</f>
        <v>NA</v>
      </c>
      <c r="K173" s="108" t="str">
        <f>IF(D173=0,"NA",SUMIFS(AN_TME_BY[[#All],[Claims: Pharmacy]],AN_TME_BY[[#All],[Insurance Category Code]],1,AN_TME_BY[[#All],[Advanced Network/Insurance Carrier Org ID]],B173)/D173)</f>
        <v>NA</v>
      </c>
      <c r="L173" s="108" t="str">
        <f>IF(D173=0,"NA",SUMIFS(AN_TME_BY[[#All],[Claims: Long-Term Care]],AN_TME_BY[[#All],[Insurance Category Code]],1,AN_TME_BY[[#All],[Advanced Network/Insurance Carrier Org ID]],B173)/D173)</f>
        <v>NA</v>
      </c>
      <c r="M173" s="108" t="str">
        <f>IF(D173=0,"NA",SUMIFS(AN_TME_BY[[#All],[Claims: Other]],AN_TME_BY[[#All],[Insurance Category Code]],1,AN_TME_BY[[#All],[Advanced Network/Insurance Carrier Org ID]],B173)/D173)</f>
        <v>NA</v>
      </c>
      <c r="N173" s="147" t="str">
        <f>IF(D173=0,"NA",SUMIFS(AN_TME_BY[[#All],[TOTAL Non-Truncated Unadjusted Claims Expenses]],AN_TME_BY[[#All],[Insurance Category Code]],1,AN_TME_BY[[#All],[Advanced Network/Insurance Carrier Org ID]],B173)/D173)</f>
        <v>NA</v>
      </c>
      <c r="O173" s="147" t="str">
        <f>IF(D173=0,"NA",SUMIFS(AN_TME_BY[[#All],[TOTAL Truncated Unadjusted Claims Expenses (A21 -A19)]],AN_TME_BY[[#All],[Insurance Category Code]],1,AN_TME_BY[[#All],[Advanced Network/Insurance Carrier Org ID]],B173)/D173)</f>
        <v>NA</v>
      </c>
      <c r="P173" s="147" t="str">
        <f>IF(D173=0,"NA",SUMIFS(AN_TME_BY[[#All],[TOTAL Non-Claims Expenses]],AN_TME_BY[[#All],[Insurance Category Code]],1,AN_TME_BY[[#All],[Advanced Network/Insurance Carrier Org ID]],B173)/D173)</f>
        <v>NA</v>
      </c>
      <c r="Q173" s="147" t="str">
        <f>IF(D173=0,"NA",SUMIFS(AN_TME_BY[[#All],[TOTAL Non-Truncated Unadjusted Expenses (A21 + A23)]],AN_TME_BY[[#All],[Insurance Category Code]],1,AN_TME_BY[[#All],[Advanced Network/Insurance Carrier Org ID]],B173)/D173)</f>
        <v>NA</v>
      </c>
      <c r="R173" s="147" t="str">
        <f>IF(D173=0,"NA",SUMIFS(AN_TME_BY[[#All],[TOTAL Truncated Unadjusted Expenses (A22 + A23)]],AN_TME_BY[[#All],[Insurance Category Code]],1,AN_TME_BY[[#All],[Advanced Network/Insurance Carrier Org ID]],B173)/D173)</f>
        <v>NA</v>
      </c>
      <c r="S173" s="448">
        <f>SUMIFS(AN_TME_PY[[#All],[Member Months]],AN_TME_PY[[#All],[Insurance Category Code]],1,AN_TME_PY[[#All],[Advanced Network/Insurance Carrier Org ID]],B173)</f>
        <v>0</v>
      </c>
      <c r="T173" s="137" t="str">
        <f>IF(S173=0,"NA",SUMIFS(AN_TME_PY[[#All],[Claims: Hospital Inpatient]],AN_TME_PY[[#All],[Insurance Category Code]],1,AN_TME_PY[[#All],[Advanced Network/Insurance Carrier Org ID]],B173)/S173)</f>
        <v>NA</v>
      </c>
      <c r="U173" s="108" t="str">
        <f>IF(S173=0,"NA",SUMIFS(AN_TME_PY[[#All],[Claims: Hospital Outpatient]],AN_TME_PY[[#All],[Insurance Category Code]],1,AN_TME_PY[[#All],[Advanced Network/Insurance Carrier Org ID]],B173)/S173)</f>
        <v>NA</v>
      </c>
      <c r="V173" s="108" t="str">
        <f>IF(S173=0,"NA",SUMIFS(AN_TME_PY[[#All],[Claims: Professional, Primary Care]],AN_TME_PY[[#All],[Insurance Category Code]],1,AN_TME_PY[[#All],[Advanced Network/Insurance Carrier Org ID]],B173)/S173)</f>
        <v>NA</v>
      </c>
      <c r="W173" s="108" t="str">
        <f>IF(S173=0,"NA",SUMIFS(AN_TME_PY[[#All],[Claims: Professional, Primary Care (for Monitoring Purposes)]],AN_TME_PY[[#All],[Insurance Category Code]],1,AN_TME_PY[[#All],[Advanced Network/Insurance Carrier Org ID]],B173)/S173)</f>
        <v>NA</v>
      </c>
      <c r="X173" s="108" t="str">
        <f>IF(S173=0,"NA",SUMIFS(AN_TME_PY[[#All],[Claims: Professional, Specialty]],AN_TME_PY[[#All],[Insurance Category Code]],1,AN_TME_PY[[#All],[Advanced Network/Insurance Carrier Org ID]],B173)/S173)</f>
        <v>NA</v>
      </c>
      <c r="Y173" s="108" t="str">
        <f>IF(S173=0,"NA",SUMIFS(AN_TME_PY[[#All],[Claims: Professional Other]],AN_TME_PY[[#All],[Insurance Category Code]],1,AN_TME_PY[[#All],[Advanced Network/Insurance Carrier Org ID]],B173)/S173)</f>
        <v>NA</v>
      </c>
      <c r="Z173" s="108" t="str">
        <f>IF(S173=0,"NA",SUMIFS(AN_TME_PY[[#All],[Claims: Pharmacy]],AN_TME_PY[[#All],[Insurance Category Code]],1,AN_TME_PY[[#All],[Advanced Network/Insurance Carrier Org ID]],B173)/S173)</f>
        <v>NA</v>
      </c>
      <c r="AA173" s="108" t="str">
        <f>IF(S173=0,"NA",SUMIFS(AN_TME_PY[[#All],[Claims: Long-Term Care]],AN_TME_PY[[#All],[Insurance Category Code]],1,AN_TME_PY[[#All],[Advanced Network/Insurance Carrier Org ID]],B173)/S173)</f>
        <v>NA</v>
      </c>
      <c r="AB173" s="108" t="str">
        <f>IF(S173=0,"NA",SUMIFS(AN_TME_PY[[#All],[Claims: Other]],AN_TME_PY[[#All],[Insurance Category Code]],1,AN_TME_PY[[#All],[Advanced Network/Insurance Carrier Org ID]],B173)/S173)</f>
        <v>NA</v>
      </c>
      <c r="AC173" s="147" t="str">
        <f>IF(S173=0,"NA",SUMIFS(AN_TME_PY[[#All],[TOTAL Non-Truncated Unadjusted Claims Expenses]],AN_TME_PY[[#All],[Insurance Category Code]],1,AN_TME_PY[[#All],[Advanced Network/Insurance Carrier Org ID]],B173)/S173)</f>
        <v>NA</v>
      </c>
      <c r="AD173" s="147" t="str">
        <f>IF(S173=0,"NA",SUMIFS(AN_TME_PY[[#All],[TOTAL Truncated Unadjusted Claims Expenses (A21 -A19)]],AN_TME_PY[[#All],[Insurance Category Code]],1,AN_TME_PY[[#All],[Advanced Network/Insurance Carrier Org ID]],B173)/S173)</f>
        <v>NA</v>
      </c>
      <c r="AE173" s="147" t="str">
        <f>IF(S173=0,"NA",SUMIFS(AN_TME_PY[[#All],[TOTAL Non-Claims Expenses]],AN_TME_PY[[#All],[Insurance Category Code]],1,AN_TME_PY[[#All],[Advanced Network/Insurance Carrier Org ID]],B173)/S173)</f>
        <v>NA</v>
      </c>
      <c r="AF173" s="147" t="str">
        <f>IF(S173=0,"NA",SUMIFS(AN_TME_PY[[#All],[TOTAL Non-Truncated Unadjusted Expenses (A21 + A23)]],AN_TME_PY[[#All],[Insurance Category Code]],1,AN_TME_PY[[#All],[Advanced Network/Insurance Carrier Org ID]],B173)/S173)</f>
        <v>NA</v>
      </c>
      <c r="AG173" s="138" t="str">
        <f>IF(S173=0,"NA",SUMIFS(AN_TME_PY[[#All],[TOTAL Truncated Unadjusted Expenses (A22 + A23)]],AN_TME_PY[[#All],[Insurance Category Code]],1,AN_TME_PY[[#All],[Advanced Network/Insurance Carrier Org ID]],B173)/S173)</f>
        <v>NA</v>
      </c>
      <c r="AH173" s="419" t="str">
        <f t="shared" ref="AH173:AH181" si="244">IF(D173=0,"NA",S173/D173-1)</f>
        <v>NA</v>
      </c>
      <c r="AI173" s="420" t="str">
        <f t="shared" ref="AI173:AI181" si="245">IF(D173=0,"NA",T173/E173-1)</f>
        <v>NA</v>
      </c>
      <c r="AJ173" s="421" t="str">
        <f t="shared" ref="AJ173:AJ181" si="246">IF(D173=0,"NA",U173/F173-1)</f>
        <v>NA</v>
      </c>
      <c r="AK173" s="421" t="str">
        <f t="shared" ref="AK173:AK181" si="247">IF(D173=0,"NA",V173/G173-1)</f>
        <v>NA</v>
      </c>
      <c r="AL173" s="421" t="str">
        <f t="shared" ref="AL173:AL181" si="248">IF(D173=0,"NA",W173/H173-1)</f>
        <v>NA</v>
      </c>
      <c r="AM173" s="421" t="str">
        <f t="shared" ref="AM173:AM181" si="249">IF(D173=0,"NA",X173/I173-1)</f>
        <v>NA</v>
      </c>
      <c r="AN173" s="421" t="str">
        <f t="shared" ref="AN173:AN181" si="250">IF(D173=0,"NA",Y173/J173-1)</f>
        <v>NA</v>
      </c>
      <c r="AO173" s="421" t="str">
        <f t="shared" ref="AO173:AO181" si="251">IF(D173=0,"NA",Z173/K173-1)</f>
        <v>NA</v>
      </c>
      <c r="AP173" s="421" t="str">
        <f t="shared" ref="AP173:AP181" si="252">IF(D173=0,"NA",AA173/L173-1)</f>
        <v>NA</v>
      </c>
      <c r="AQ173" s="421" t="str">
        <f t="shared" ref="AQ173:AQ181" si="253">IF(D173=0,"NA",AB173/M173-1)</f>
        <v>NA</v>
      </c>
      <c r="AR173" s="422" t="str">
        <f t="shared" ref="AR173:AR181" si="254">IF(D173=0,"NA",AC173/N173-1)</f>
        <v>NA</v>
      </c>
      <c r="AS173" s="422" t="str">
        <f t="shared" ref="AS173:AS181" si="255">IF(D173=0,"NA",AD173/O173-1)</f>
        <v>NA</v>
      </c>
      <c r="AT173" s="422" t="str">
        <f t="shared" ref="AT173:AT181" si="256">IF(D173=0,"NA",AE173/P173-1)</f>
        <v>NA</v>
      </c>
      <c r="AU173" s="422" t="str">
        <f t="shared" ref="AU173:AU181" si="257">IF(D173=0,"NA",AF173/Q173-1)</f>
        <v>NA</v>
      </c>
      <c r="AV173" s="423" t="str">
        <f t="shared" ref="AV173:AV181" si="258">IF(D173=0,"NA",AG173/R173-1)</f>
        <v>NA</v>
      </c>
    </row>
    <row r="174" spans="1:48" ht="15" customHeight="1" x14ac:dyDescent="0.25">
      <c r="A174" s="146"/>
      <c r="B174" s="148">
        <v>103</v>
      </c>
      <c r="C174" s="151" t="str">
        <f>_xlfn.XLOOKUP(B174, LgProvEntOrgIDs[Advanced Network/Insurer Carrier Org ID], LgProvEntOrgIDs[Advanced Network/Insurance Carrier Overall])</f>
        <v>Connecticut State Medical Society IPA</v>
      </c>
      <c r="D174" s="448">
        <f>SUMIFS(AN_TME_BY[[#All],[Member Months]],AN_TME_BY[[#All],[Insurance Category Code]],1,AN_TME_BY[[#All],[Advanced Network/Insurance Carrier Org ID]],B174)</f>
        <v>0</v>
      </c>
      <c r="E174" s="137" t="str">
        <f>IF(D174=0,"NA",SUMIFS(AN_TME_BY[[#All],[Claims: Hospital Inpatient]],AN_TME_BY[[#All],[Insurance Category Code]],1,AN_TME_BY[[#All],[Advanced Network/Insurance Carrier Org ID]],B174)/D174)</f>
        <v>NA</v>
      </c>
      <c r="F174" s="108" t="str">
        <f>IF(D174=0,"NA",SUMIFS(AN_TME_BY[[#All],[Claims: Hospital Outpatient]],AN_TME_BY[[#All],[Insurance Category Code]],1,AN_TME_BY[[#All],[Advanced Network/Insurance Carrier Org ID]],B174)/D174)</f>
        <v>NA</v>
      </c>
      <c r="G174" s="108" t="str">
        <f>IF(D174=0,"NA",SUMIFS(AN_TME_BY[[#All],[Claims: Professional, Primary Care]],AN_TME_BY[[#All],[Insurance Category Code]],1,AN_TME_BY[[#All],[Advanced Network/Insurance Carrier Org ID]],B174)/D174)</f>
        <v>NA</v>
      </c>
      <c r="H174" s="108" t="str">
        <f>IF(D174=0,"NA",SUMIFS(AN_TME_BY[[#All],[Claims: Professional, Primary Care (for Monitoring Purposes)]],AN_TME_BY[[#All],[Insurance Category Code]],1,AN_TME_BY[[#All],[Advanced Network/Insurance Carrier Org ID]],B174)/D174)</f>
        <v>NA</v>
      </c>
      <c r="I174" s="108" t="str">
        <f>IF(D174=0,"NA",SUMIFS(AN_TME_BY[[#All],[Claims: Professional, Specialty]],AN_TME_BY[[#All],[Insurance Category Code]],1,AN_TME_BY[[#All],[Advanced Network/Insurance Carrier Org ID]],B174)/D174)</f>
        <v>NA</v>
      </c>
      <c r="J174" s="108" t="str">
        <f>IF(D174=0,"NA",SUMIFS(AN_TME_BY[[#All],[Claims: Professional Other]],AN_TME_BY[[#All],[Insurance Category Code]],1,AN_TME_BY[[#All],[Advanced Network/Insurance Carrier Org ID]],B174)/D174)</f>
        <v>NA</v>
      </c>
      <c r="K174" s="108" t="str">
        <f>IF(D174=0,"NA",SUMIFS(AN_TME_BY[[#All],[Claims: Pharmacy]],AN_TME_BY[[#All],[Insurance Category Code]],1,AN_TME_BY[[#All],[Advanced Network/Insurance Carrier Org ID]],B174)/D174)</f>
        <v>NA</v>
      </c>
      <c r="L174" s="108" t="str">
        <f>IF(D174=0,"NA",SUMIFS(AN_TME_BY[[#All],[Claims: Long-Term Care]],AN_TME_BY[[#All],[Insurance Category Code]],1,AN_TME_BY[[#All],[Advanced Network/Insurance Carrier Org ID]],B174)/D174)</f>
        <v>NA</v>
      </c>
      <c r="M174" s="108" t="str">
        <f>IF(D174=0,"NA",SUMIFS(AN_TME_BY[[#All],[Claims: Other]],AN_TME_BY[[#All],[Insurance Category Code]],1,AN_TME_BY[[#All],[Advanced Network/Insurance Carrier Org ID]],B174)/D174)</f>
        <v>NA</v>
      </c>
      <c r="N174" s="147" t="str">
        <f>IF(D174=0,"NA",SUMIFS(AN_TME_BY[[#All],[TOTAL Non-Truncated Unadjusted Claims Expenses]],AN_TME_BY[[#All],[Insurance Category Code]],1,AN_TME_BY[[#All],[Advanced Network/Insurance Carrier Org ID]],B174)/D174)</f>
        <v>NA</v>
      </c>
      <c r="O174" s="147" t="str">
        <f>IF(D174=0,"NA",SUMIFS(AN_TME_BY[[#All],[TOTAL Truncated Unadjusted Claims Expenses (A21 -A19)]],AN_TME_BY[[#All],[Insurance Category Code]],1,AN_TME_BY[[#All],[Advanced Network/Insurance Carrier Org ID]],B174)/D174)</f>
        <v>NA</v>
      </c>
      <c r="P174" s="147" t="str">
        <f>IF(D174=0,"NA",SUMIFS(AN_TME_BY[[#All],[TOTAL Non-Claims Expenses]],AN_TME_BY[[#All],[Insurance Category Code]],1,AN_TME_BY[[#All],[Advanced Network/Insurance Carrier Org ID]],B174)/D174)</f>
        <v>NA</v>
      </c>
      <c r="Q174" s="147" t="str">
        <f>IF(D174=0,"NA",SUMIFS(AN_TME_BY[[#All],[TOTAL Non-Truncated Unadjusted Expenses (A21 + A23)]],AN_TME_BY[[#All],[Insurance Category Code]],1,AN_TME_BY[[#All],[Advanced Network/Insurance Carrier Org ID]],B174)/D174)</f>
        <v>NA</v>
      </c>
      <c r="R174" s="147" t="str">
        <f>IF(D174=0,"NA",SUMIFS(AN_TME_BY[[#All],[TOTAL Truncated Unadjusted Expenses (A22 + A23)]],AN_TME_BY[[#All],[Insurance Category Code]],1,AN_TME_BY[[#All],[Advanced Network/Insurance Carrier Org ID]],B174)/D174)</f>
        <v>NA</v>
      </c>
      <c r="S174" s="448">
        <f>SUMIFS(AN_TME_PY[[#All],[Member Months]],AN_TME_PY[[#All],[Insurance Category Code]],1,AN_TME_PY[[#All],[Advanced Network/Insurance Carrier Org ID]],B174)</f>
        <v>0</v>
      </c>
      <c r="T174" s="137" t="str">
        <f>IF(S174=0,"NA",SUMIFS(AN_TME_PY[[#All],[Claims: Hospital Inpatient]],AN_TME_PY[[#All],[Insurance Category Code]],1,AN_TME_PY[[#All],[Advanced Network/Insurance Carrier Org ID]],B174)/S174)</f>
        <v>NA</v>
      </c>
      <c r="U174" s="108" t="str">
        <f>IF(S174=0,"NA",SUMIFS(AN_TME_PY[[#All],[Claims: Hospital Outpatient]],AN_TME_PY[[#All],[Insurance Category Code]],1,AN_TME_PY[[#All],[Advanced Network/Insurance Carrier Org ID]],B174)/S174)</f>
        <v>NA</v>
      </c>
      <c r="V174" s="108" t="str">
        <f>IF(S174=0,"NA",SUMIFS(AN_TME_PY[[#All],[Claims: Professional, Primary Care]],AN_TME_PY[[#All],[Insurance Category Code]],1,AN_TME_PY[[#All],[Advanced Network/Insurance Carrier Org ID]],B174)/S174)</f>
        <v>NA</v>
      </c>
      <c r="W174" s="108" t="str">
        <f>IF(S174=0,"NA",SUMIFS(AN_TME_PY[[#All],[Claims: Professional, Primary Care (for Monitoring Purposes)]],AN_TME_PY[[#All],[Insurance Category Code]],1,AN_TME_PY[[#All],[Advanced Network/Insurance Carrier Org ID]],B174)/S174)</f>
        <v>NA</v>
      </c>
      <c r="X174" s="108" t="str">
        <f>IF(S174=0,"NA",SUMIFS(AN_TME_PY[[#All],[Claims: Professional, Specialty]],AN_TME_PY[[#All],[Insurance Category Code]],1,AN_TME_PY[[#All],[Advanced Network/Insurance Carrier Org ID]],B174)/S174)</f>
        <v>NA</v>
      </c>
      <c r="Y174" s="108" t="str">
        <f>IF(S174=0,"NA",SUMIFS(AN_TME_PY[[#All],[Claims: Professional Other]],AN_TME_PY[[#All],[Insurance Category Code]],1,AN_TME_PY[[#All],[Advanced Network/Insurance Carrier Org ID]],B174)/S174)</f>
        <v>NA</v>
      </c>
      <c r="Z174" s="108" t="str">
        <f>IF(S174=0,"NA",SUMIFS(AN_TME_PY[[#All],[Claims: Pharmacy]],AN_TME_PY[[#All],[Insurance Category Code]],1,AN_TME_PY[[#All],[Advanced Network/Insurance Carrier Org ID]],B174)/S174)</f>
        <v>NA</v>
      </c>
      <c r="AA174" s="108" t="str">
        <f>IF(S174=0,"NA",SUMIFS(AN_TME_PY[[#All],[Claims: Long-Term Care]],AN_TME_PY[[#All],[Insurance Category Code]],1,AN_TME_PY[[#All],[Advanced Network/Insurance Carrier Org ID]],B174)/S174)</f>
        <v>NA</v>
      </c>
      <c r="AB174" s="108" t="str">
        <f>IF(S174=0,"NA",SUMIFS(AN_TME_PY[[#All],[Claims: Other]],AN_TME_PY[[#All],[Insurance Category Code]],1,AN_TME_PY[[#All],[Advanced Network/Insurance Carrier Org ID]],B174)/S174)</f>
        <v>NA</v>
      </c>
      <c r="AC174" s="147" t="str">
        <f>IF(S174=0,"NA",SUMIFS(AN_TME_PY[[#All],[TOTAL Non-Truncated Unadjusted Claims Expenses]],AN_TME_PY[[#All],[Insurance Category Code]],1,AN_TME_PY[[#All],[Advanced Network/Insurance Carrier Org ID]],B174)/S174)</f>
        <v>NA</v>
      </c>
      <c r="AD174" s="147" t="str">
        <f>IF(S174=0,"NA",SUMIFS(AN_TME_PY[[#All],[TOTAL Truncated Unadjusted Claims Expenses (A21 -A19)]],AN_TME_PY[[#All],[Insurance Category Code]],1,AN_TME_PY[[#All],[Advanced Network/Insurance Carrier Org ID]],B174)/S174)</f>
        <v>NA</v>
      </c>
      <c r="AE174" s="147" t="str">
        <f>IF(S174=0,"NA",SUMIFS(AN_TME_PY[[#All],[TOTAL Non-Claims Expenses]],AN_TME_PY[[#All],[Insurance Category Code]],1,AN_TME_PY[[#All],[Advanced Network/Insurance Carrier Org ID]],B174)/S174)</f>
        <v>NA</v>
      </c>
      <c r="AF174" s="147" t="str">
        <f>IF(S174=0,"NA",SUMIFS(AN_TME_PY[[#All],[TOTAL Non-Truncated Unadjusted Expenses (A21 + A23)]],AN_TME_PY[[#All],[Insurance Category Code]],1,AN_TME_PY[[#All],[Advanced Network/Insurance Carrier Org ID]],B174)/S174)</f>
        <v>NA</v>
      </c>
      <c r="AG174" s="138" t="str">
        <f>IF(S174=0,"NA",SUMIFS(AN_TME_PY[[#All],[TOTAL Truncated Unadjusted Expenses (A22 + A23)]],AN_TME_PY[[#All],[Insurance Category Code]],1,AN_TME_PY[[#All],[Advanced Network/Insurance Carrier Org ID]],B174)/S174)</f>
        <v>NA</v>
      </c>
      <c r="AH174" s="419" t="str">
        <f t="shared" si="244"/>
        <v>NA</v>
      </c>
      <c r="AI174" s="420" t="str">
        <f t="shared" si="245"/>
        <v>NA</v>
      </c>
      <c r="AJ174" s="421" t="str">
        <f t="shared" si="246"/>
        <v>NA</v>
      </c>
      <c r="AK174" s="421" t="str">
        <f t="shared" si="247"/>
        <v>NA</v>
      </c>
      <c r="AL174" s="421" t="str">
        <f t="shared" si="248"/>
        <v>NA</v>
      </c>
      <c r="AM174" s="421" t="str">
        <f t="shared" si="249"/>
        <v>NA</v>
      </c>
      <c r="AN174" s="421" t="str">
        <f t="shared" si="250"/>
        <v>NA</v>
      </c>
      <c r="AO174" s="421" t="str">
        <f t="shared" si="251"/>
        <v>NA</v>
      </c>
      <c r="AP174" s="421" t="str">
        <f t="shared" si="252"/>
        <v>NA</v>
      </c>
      <c r="AQ174" s="421" t="str">
        <f t="shared" si="253"/>
        <v>NA</v>
      </c>
      <c r="AR174" s="422" t="str">
        <f t="shared" si="254"/>
        <v>NA</v>
      </c>
      <c r="AS174" s="422" t="str">
        <f t="shared" si="255"/>
        <v>NA</v>
      </c>
      <c r="AT174" s="422" t="str">
        <f t="shared" si="256"/>
        <v>NA</v>
      </c>
      <c r="AU174" s="422" t="str">
        <f t="shared" si="257"/>
        <v>NA</v>
      </c>
      <c r="AV174" s="423" t="str">
        <f t="shared" si="258"/>
        <v>NA</v>
      </c>
    </row>
    <row r="175" spans="1:48" ht="15" customHeight="1" x14ac:dyDescent="0.25">
      <c r="A175" s="146"/>
      <c r="B175" s="148">
        <v>104</v>
      </c>
      <c r="C175" s="151" t="str">
        <f>_xlfn.XLOOKUP(B175, LgProvEntOrgIDs[Advanced Network/Insurer Carrier Org ID], LgProvEntOrgIDs[Advanced Network/Insurance Carrier Overall])</f>
        <v>Hartford Healthcare Integrated Care Partners</v>
      </c>
      <c r="D175" s="448">
        <f>SUMIFS(AN_TME_BY[[#All],[Member Months]],AN_TME_BY[[#All],[Insurance Category Code]],1,AN_TME_BY[[#All],[Advanced Network/Insurance Carrier Org ID]],B175)</f>
        <v>0</v>
      </c>
      <c r="E175" s="137" t="str">
        <f>IF(D175=0,"NA",SUMIFS(AN_TME_BY[[#All],[Claims: Hospital Inpatient]],AN_TME_BY[[#All],[Insurance Category Code]],1,AN_TME_BY[[#All],[Advanced Network/Insurance Carrier Org ID]],B175)/D175)</f>
        <v>NA</v>
      </c>
      <c r="F175" s="108" t="str">
        <f>IF(D175=0,"NA",SUMIFS(AN_TME_BY[[#All],[Claims: Hospital Outpatient]],AN_TME_BY[[#All],[Insurance Category Code]],1,AN_TME_BY[[#All],[Advanced Network/Insurance Carrier Org ID]],B175)/D175)</f>
        <v>NA</v>
      </c>
      <c r="G175" s="108" t="str">
        <f>IF(D175=0,"NA",SUMIFS(AN_TME_BY[[#All],[Claims: Professional, Primary Care]],AN_TME_BY[[#All],[Insurance Category Code]],1,AN_TME_BY[[#All],[Advanced Network/Insurance Carrier Org ID]],B175)/D175)</f>
        <v>NA</v>
      </c>
      <c r="H175" s="108" t="str">
        <f>IF(D175=0,"NA",SUMIFS(AN_TME_BY[[#All],[Claims: Professional, Primary Care (for Monitoring Purposes)]],AN_TME_BY[[#All],[Insurance Category Code]],1,AN_TME_BY[[#All],[Advanced Network/Insurance Carrier Org ID]],B175)/D175)</f>
        <v>NA</v>
      </c>
      <c r="I175" s="108" t="str">
        <f>IF(D175=0,"NA",SUMIFS(AN_TME_BY[[#All],[Claims: Professional, Specialty]],AN_TME_BY[[#All],[Insurance Category Code]],1,AN_TME_BY[[#All],[Advanced Network/Insurance Carrier Org ID]],B175)/D175)</f>
        <v>NA</v>
      </c>
      <c r="J175" s="108" t="str">
        <f>IF(D175=0,"NA",SUMIFS(AN_TME_BY[[#All],[Claims: Professional Other]],AN_TME_BY[[#All],[Insurance Category Code]],1,AN_TME_BY[[#All],[Advanced Network/Insurance Carrier Org ID]],B175)/D175)</f>
        <v>NA</v>
      </c>
      <c r="K175" s="108" t="str">
        <f>IF(D175=0,"NA",SUMIFS(AN_TME_BY[[#All],[Claims: Pharmacy]],AN_TME_BY[[#All],[Insurance Category Code]],1,AN_TME_BY[[#All],[Advanced Network/Insurance Carrier Org ID]],B175)/D175)</f>
        <v>NA</v>
      </c>
      <c r="L175" s="108" t="str">
        <f>IF(D175=0,"NA",SUMIFS(AN_TME_BY[[#All],[Claims: Long-Term Care]],AN_TME_BY[[#All],[Insurance Category Code]],1,AN_TME_BY[[#All],[Advanced Network/Insurance Carrier Org ID]],B175)/D175)</f>
        <v>NA</v>
      </c>
      <c r="M175" s="108" t="str">
        <f>IF(D175=0,"NA",SUMIFS(AN_TME_BY[[#All],[Claims: Other]],AN_TME_BY[[#All],[Insurance Category Code]],1,AN_TME_BY[[#All],[Advanced Network/Insurance Carrier Org ID]],B175)/D175)</f>
        <v>NA</v>
      </c>
      <c r="N175" s="147" t="str">
        <f>IF(D175=0,"NA",SUMIFS(AN_TME_BY[[#All],[TOTAL Non-Truncated Unadjusted Claims Expenses]],AN_TME_BY[[#All],[Insurance Category Code]],1,AN_TME_BY[[#All],[Advanced Network/Insurance Carrier Org ID]],B175)/D175)</f>
        <v>NA</v>
      </c>
      <c r="O175" s="147" t="str">
        <f>IF(D175=0,"NA",SUMIFS(AN_TME_BY[[#All],[TOTAL Truncated Unadjusted Claims Expenses (A21 -A19)]],AN_TME_BY[[#All],[Insurance Category Code]],1,AN_TME_BY[[#All],[Advanced Network/Insurance Carrier Org ID]],B175)/D175)</f>
        <v>NA</v>
      </c>
      <c r="P175" s="147" t="str">
        <f>IF(D175=0,"NA",SUMIFS(AN_TME_BY[[#All],[TOTAL Non-Claims Expenses]],AN_TME_BY[[#All],[Insurance Category Code]],1,AN_TME_BY[[#All],[Advanced Network/Insurance Carrier Org ID]],B175)/D175)</f>
        <v>NA</v>
      </c>
      <c r="Q175" s="147" t="str">
        <f>IF(D175=0,"NA",SUMIFS(AN_TME_BY[[#All],[TOTAL Non-Truncated Unadjusted Expenses (A21 + A23)]],AN_TME_BY[[#All],[Insurance Category Code]],1,AN_TME_BY[[#All],[Advanced Network/Insurance Carrier Org ID]],B175)/D175)</f>
        <v>NA</v>
      </c>
      <c r="R175" s="147" t="str">
        <f>IF(D175=0,"NA",SUMIFS(AN_TME_BY[[#All],[TOTAL Truncated Unadjusted Expenses (A22 + A23)]],AN_TME_BY[[#All],[Insurance Category Code]],1,AN_TME_BY[[#All],[Advanced Network/Insurance Carrier Org ID]],B175)/D175)</f>
        <v>NA</v>
      </c>
      <c r="S175" s="448">
        <f>SUMIFS(AN_TME_PY[[#All],[Member Months]],AN_TME_PY[[#All],[Insurance Category Code]],1,AN_TME_PY[[#All],[Advanced Network/Insurance Carrier Org ID]],B175)</f>
        <v>0</v>
      </c>
      <c r="T175" s="137" t="str">
        <f>IF(S175=0,"NA",SUMIFS(AN_TME_PY[[#All],[Claims: Hospital Inpatient]],AN_TME_PY[[#All],[Insurance Category Code]],1,AN_TME_PY[[#All],[Advanced Network/Insurance Carrier Org ID]],B175)/S175)</f>
        <v>NA</v>
      </c>
      <c r="U175" s="108" t="str">
        <f>IF(S175=0,"NA",SUMIFS(AN_TME_PY[[#All],[Claims: Hospital Outpatient]],AN_TME_PY[[#All],[Insurance Category Code]],1,AN_TME_PY[[#All],[Advanced Network/Insurance Carrier Org ID]],B175)/S175)</f>
        <v>NA</v>
      </c>
      <c r="V175" s="108" t="str">
        <f>IF(S175=0,"NA",SUMIFS(AN_TME_PY[[#All],[Claims: Professional, Primary Care]],AN_TME_PY[[#All],[Insurance Category Code]],1,AN_TME_PY[[#All],[Advanced Network/Insurance Carrier Org ID]],B175)/S175)</f>
        <v>NA</v>
      </c>
      <c r="W175" s="108" t="str">
        <f>IF(S175=0,"NA",SUMIFS(AN_TME_PY[[#All],[Claims: Professional, Primary Care (for Monitoring Purposes)]],AN_TME_PY[[#All],[Insurance Category Code]],1,AN_TME_PY[[#All],[Advanced Network/Insurance Carrier Org ID]],B175)/S175)</f>
        <v>NA</v>
      </c>
      <c r="X175" s="108" t="str">
        <f>IF(S175=0,"NA",SUMIFS(AN_TME_PY[[#All],[Claims: Professional, Specialty]],AN_TME_PY[[#All],[Insurance Category Code]],1,AN_TME_PY[[#All],[Advanced Network/Insurance Carrier Org ID]],B175)/S175)</f>
        <v>NA</v>
      </c>
      <c r="Y175" s="108" t="str">
        <f>IF(S175=0,"NA",SUMIFS(AN_TME_PY[[#All],[Claims: Professional Other]],AN_TME_PY[[#All],[Insurance Category Code]],1,AN_TME_PY[[#All],[Advanced Network/Insurance Carrier Org ID]],B175)/S175)</f>
        <v>NA</v>
      </c>
      <c r="Z175" s="108" t="str">
        <f>IF(S175=0,"NA",SUMIFS(AN_TME_PY[[#All],[Claims: Pharmacy]],AN_TME_PY[[#All],[Insurance Category Code]],1,AN_TME_PY[[#All],[Advanced Network/Insurance Carrier Org ID]],B175)/S175)</f>
        <v>NA</v>
      </c>
      <c r="AA175" s="108" t="str">
        <f>IF(S175=0,"NA",SUMIFS(AN_TME_PY[[#All],[Claims: Long-Term Care]],AN_TME_PY[[#All],[Insurance Category Code]],1,AN_TME_PY[[#All],[Advanced Network/Insurance Carrier Org ID]],B175)/S175)</f>
        <v>NA</v>
      </c>
      <c r="AB175" s="108" t="str">
        <f>IF(S175=0,"NA",SUMIFS(AN_TME_PY[[#All],[Claims: Other]],AN_TME_PY[[#All],[Insurance Category Code]],1,AN_TME_PY[[#All],[Advanced Network/Insurance Carrier Org ID]],B175)/S175)</f>
        <v>NA</v>
      </c>
      <c r="AC175" s="147" t="str">
        <f>IF(S175=0,"NA",SUMIFS(AN_TME_PY[[#All],[TOTAL Non-Truncated Unadjusted Claims Expenses]],AN_TME_PY[[#All],[Insurance Category Code]],1,AN_TME_PY[[#All],[Advanced Network/Insurance Carrier Org ID]],B175)/S175)</f>
        <v>NA</v>
      </c>
      <c r="AD175" s="147" t="str">
        <f>IF(S175=0,"NA",SUMIFS(AN_TME_PY[[#All],[TOTAL Truncated Unadjusted Claims Expenses (A21 -A19)]],AN_TME_PY[[#All],[Insurance Category Code]],1,AN_TME_PY[[#All],[Advanced Network/Insurance Carrier Org ID]],B175)/S175)</f>
        <v>NA</v>
      </c>
      <c r="AE175" s="147" t="str">
        <f>IF(S175=0,"NA",SUMIFS(AN_TME_PY[[#All],[TOTAL Non-Claims Expenses]],AN_TME_PY[[#All],[Insurance Category Code]],1,AN_TME_PY[[#All],[Advanced Network/Insurance Carrier Org ID]],B175)/S175)</f>
        <v>NA</v>
      </c>
      <c r="AF175" s="147" t="str">
        <f>IF(S175=0,"NA",SUMIFS(AN_TME_PY[[#All],[TOTAL Non-Truncated Unadjusted Expenses (A21 + A23)]],AN_TME_PY[[#All],[Insurance Category Code]],1,AN_TME_PY[[#All],[Advanced Network/Insurance Carrier Org ID]],B175)/S175)</f>
        <v>NA</v>
      </c>
      <c r="AG175" s="138" t="str">
        <f>IF(S175=0,"NA",SUMIFS(AN_TME_PY[[#All],[TOTAL Truncated Unadjusted Expenses (A22 + A23)]],AN_TME_PY[[#All],[Insurance Category Code]],1,AN_TME_PY[[#All],[Advanced Network/Insurance Carrier Org ID]],B175)/S175)</f>
        <v>NA</v>
      </c>
      <c r="AH175" s="419" t="str">
        <f t="shared" si="244"/>
        <v>NA</v>
      </c>
      <c r="AI175" s="420" t="str">
        <f t="shared" si="245"/>
        <v>NA</v>
      </c>
      <c r="AJ175" s="421" t="str">
        <f t="shared" si="246"/>
        <v>NA</v>
      </c>
      <c r="AK175" s="421" t="str">
        <f t="shared" si="247"/>
        <v>NA</v>
      </c>
      <c r="AL175" s="421" t="str">
        <f t="shared" si="248"/>
        <v>NA</v>
      </c>
      <c r="AM175" s="421" t="str">
        <f t="shared" si="249"/>
        <v>NA</v>
      </c>
      <c r="AN175" s="421" t="str">
        <f t="shared" si="250"/>
        <v>NA</v>
      </c>
      <c r="AO175" s="421" t="str">
        <f t="shared" si="251"/>
        <v>NA</v>
      </c>
      <c r="AP175" s="421" t="str">
        <f t="shared" si="252"/>
        <v>NA</v>
      </c>
      <c r="AQ175" s="421" t="str">
        <f t="shared" si="253"/>
        <v>NA</v>
      </c>
      <c r="AR175" s="422" t="str">
        <f t="shared" si="254"/>
        <v>NA</v>
      </c>
      <c r="AS175" s="422" t="str">
        <f t="shared" si="255"/>
        <v>NA</v>
      </c>
      <c r="AT175" s="422" t="str">
        <f t="shared" si="256"/>
        <v>NA</v>
      </c>
      <c r="AU175" s="422" t="str">
        <f t="shared" si="257"/>
        <v>NA</v>
      </c>
      <c r="AV175" s="423" t="str">
        <f t="shared" si="258"/>
        <v>NA</v>
      </c>
    </row>
    <row r="176" spans="1:48" ht="15" customHeight="1" x14ac:dyDescent="0.25">
      <c r="A176" s="146"/>
      <c r="B176" s="148">
        <v>105</v>
      </c>
      <c r="C176" s="151" t="str">
        <f>_xlfn.XLOOKUP(B176, LgProvEntOrgIDs[Advanced Network/Insurer Carrier Org ID], LgProvEntOrgIDs[Advanced Network/Insurance Carrier Overall])</f>
        <v>NA</v>
      </c>
      <c r="D176" s="448">
        <f>SUMIFS(AN_TME_BY[[#All],[Member Months]],AN_TME_BY[[#All],[Insurance Category Code]],1,AN_TME_BY[[#All],[Advanced Network/Insurance Carrier Org ID]],B176)</f>
        <v>0</v>
      </c>
      <c r="E176" s="137" t="str">
        <f>IF(D176=0,"NA",SUMIFS(AN_TME_BY[[#All],[Claims: Hospital Inpatient]],AN_TME_BY[[#All],[Insurance Category Code]],1,AN_TME_BY[[#All],[Advanced Network/Insurance Carrier Org ID]],B176)/D176)</f>
        <v>NA</v>
      </c>
      <c r="F176" s="108" t="str">
        <f>IF(D176=0,"NA",SUMIFS(AN_TME_BY[[#All],[Claims: Hospital Outpatient]],AN_TME_BY[[#All],[Insurance Category Code]],1,AN_TME_BY[[#All],[Advanced Network/Insurance Carrier Org ID]],B176)/D176)</f>
        <v>NA</v>
      </c>
      <c r="G176" s="108" t="str">
        <f>IF(D176=0,"NA",SUMIFS(AN_TME_BY[[#All],[Claims: Professional, Primary Care]],AN_TME_BY[[#All],[Insurance Category Code]],1,AN_TME_BY[[#All],[Advanced Network/Insurance Carrier Org ID]],B176)/D176)</f>
        <v>NA</v>
      </c>
      <c r="H176" s="108" t="str">
        <f>IF(D176=0,"NA",SUMIFS(AN_TME_BY[[#All],[Claims: Professional, Primary Care (for Monitoring Purposes)]],AN_TME_BY[[#All],[Insurance Category Code]],1,AN_TME_BY[[#All],[Advanced Network/Insurance Carrier Org ID]],B176)/D176)</f>
        <v>NA</v>
      </c>
      <c r="I176" s="108" t="str">
        <f>IF(D176=0,"NA",SUMIFS(AN_TME_BY[[#All],[Claims: Professional, Specialty]],AN_TME_BY[[#All],[Insurance Category Code]],1,AN_TME_BY[[#All],[Advanced Network/Insurance Carrier Org ID]],B176)/D176)</f>
        <v>NA</v>
      </c>
      <c r="J176" s="108" t="str">
        <f>IF(D176=0,"NA",SUMIFS(AN_TME_BY[[#All],[Claims: Professional Other]],AN_TME_BY[[#All],[Insurance Category Code]],1,AN_TME_BY[[#All],[Advanced Network/Insurance Carrier Org ID]],B176)/D176)</f>
        <v>NA</v>
      </c>
      <c r="K176" s="108" t="str">
        <f>IF(D176=0,"NA",SUMIFS(AN_TME_BY[[#All],[Claims: Pharmacy]],AN_TME_BY[[#All],[Insurance Category Code]],1,AN_TME_BY[[#All],[Advanced Network/Insurance Carrier Org ID]],B176)/D176)</f>
        <v>NA</v>
      </c>
      <c r="L176" s="108" t="str">
        <f>IF(D176=0,"NA",SUMIFS(AN_TME_BY[[#All],[Claims: Long-Term Care]],AN_TME_BY[[#All],[Insurance Category Code]],1,AN_TME_BY[[#All],[Advanced Network/Insurance Carrier Org ID]],B176)/D176)</f>
        <v>NA</v>
      </c>
      <c r="M176" s="108" t="str">
        <f>IF(D176=0,"NA",SUMIFS(AN_TME_BY[[#All],[Claims: Other]],AN_TME_BY[[#All],[Insurance Category Code]],1,AN_TME_BY[[#All],[Advanced Network/Insurance Carrier Org ID]],B176)/D176)</f>
        <v>NA</v>
      </c>
      <c r="N176" s="147" t="str">
        <f>IF(D176=0,"NA",SUMIFS(AN_TME_BY[[#All],[TOTAL Non-Truncated Unadjusted Claims Expenses]],AN_TME_BY[[#All],[Insurance Category Code]],1,AN_TME_BY[[#All],[Advanced Network/Insurance Carrier Org ID]],B176)/D176)</f>
        <v>NA</v>
      </c>
      <c r="O176" s="147" t="str">
        <f>IF(D176=0,"NA",SUMIFS(AN_TME_BY[[#All],[TOTAL Truncated Unadjusted Claims Expenses (A21 -A19)]],AN_TME_BY[[#All],[Insurance Category Code]],1,AN_TME_BY[[#All],[Advanced Network/Insurance Carrier Org ID]],B176)/D176)</f>
        <v>NA</v>
      </c>
      <c r="P176" s="147" t="str">
        <f>IF(D176=0,"NA",SUMIFS(AN_TME_BY[[#All],[TOTAL Non-Claims Expenses]],AN_TME_BY[[#All],[Insurance Category Code]],1,AN_TME_BY[[#All],[Advanced Network/Insurance Carrier Org ID]],B176)/D176)</f>
        <v>NA</v>
      </c>
      <c r="Q176" s="147" t="str">
        <f>IF(D176=0,"NA",SUMIFS(AN_TME_BY[[#All],[TOTAL Non-Truncated Unadjusted Expenses (A21 + A23)]],AN_TME_BY[[#All],[Insurance Category Code]],1,AN_TME_BY[[#All],[Advanced Network/Insurance Carrier Org ID]],B176)/D176)</f>
        <v>NA</v>
      </c>
      <c r="R176" s="147" t="str">
        <f>IF(D176=0,"NA",SUMIFS(AN_TME_BY[[#All],[TOTAL Truncated Unadjusted Expenses (A22 + A23)]],AN_TME_BY[[#All],[Insurance Category Code]],1,AN_TME_BY[[#All],[Advanced Network/Insurance Carrier Org ID]],B176)/D176)</f>
        <v>NA</v>
      </c>
      <c r="S176" s="448">
        <f>SUMIFS(AN_TME_PY[[#All],[Member Months]],AN_TME_PY[[#All],[Insurance Category Code]],1,AN_TME_PY[[#All],[Advanced Network/Insurance Carrier Org ID]],B176)</f>
        <v>0</v>
      </c>
      <c r="T176" s="137" t="str">
        <f>IF(S176=0,"NA",SUMIFS(AN_TME_PY[[#All],[Claims: Hospital Inpatient]],AN_TME_PY[[#All],[Insurance Category Code]],1,AN_TME_PY[[#All],[Advanced Network/Insurance Carrier Org ID]],B176)/S176)</f>
        <v>NA</v>
      </c>
      <c r="U176" s="108" t="str">
        <f>IF(S176=0,"NA",SUMIFS(AN_TME_PY[[#All],[Claims: Hospital Outpatient]],AN_TME_PY[[#All],[Insurance Category Code]],1,AN_TME_PY[[#All],[Advanced Network/Insurance Carrier Org ID]],B176)/S176)</f>
        <v>NA</v>
      </c>
      <c r="V176" s="108" t="str">
        <f>IF(S176=0,"NA",SUMIFS(AN_TME_PY[[#All],[Claims: Professional, Primary Care]],AN_TME_PY[[#All],[Insurance Category Code]],1,AN_TME_PY[[#All],[Advanced Network/Insurance Carrier Org ID]],B176)/S176)</f>
        <v>NA</v>
      </c>
      <c r="W176" s="108" t="str">
        <f>IF(S176=0,"NA",SUMIFS(AN_TME_PY[[#All],[Claims: Professional, Primary Care (for Monitoring Purposes)]],AN_TME_PY[[#All],[Insurance Category Code]],1,AN_TME_PY[[#All],[Advanced Network/Insurance Carrier Org ID]],B176)/S176)</f>
        <v>NA</v>
      </c>
      <c r="X176" s="108" t="str">
        <f>IF(S176=0,"NA",SUMIFS(AN_TME_PY[[#All],[Claims: Professional, Specialty]],AN_TME_PY[[#All],[Insurance Category Code]],1,AN_TME_PY[[#All],[Advanced Network/Insurance Carrier Org ID]],B176)/S176)</f>
        <v>NA</v>
      </c>
      <c r="Y176" s="108" t="str">
        <f>IF(S176=0,"NA",SUMIFS(AN_TME_PY[[#All],[Claims: Professional Other]],AN_TME_PY[[#All],[Insurance Category Code]],1,AN_TME_PY[[#All],[Advanced Network/Insurance Carrier Org ID]],B176)/S176)</f>
        <v>NA</v>
      </c>
      <c r="Z176" s="108" t="str">
        <f>IF(S176=0,"NA",SUMIFS(AN_TME_PY[[#All],[Claims: Pharmacy]],AN_TME_PY[[#All],[Insurance Category Code]],1,AN_TME_PY[[#All],[Advanced Network/Insurance Carrier Org ID]],B176)/S176)</f>
        <v>NA</v>
      </c>
      <c r="AA176" s="108" t="str">
        <f>IF(S176=0,"NA",SUMIFS(AN_TME_PY[[#All],[Claims: Long-Term Care]],AN_TME_PY[[#All],[Insurance Category Code]],1,AN_TME_PY[[#All],[Advanced Network/Insurance Carrier Org ID]],B176)/S176)</f>
        <v>NA</v>
      </c>
      <c r="AB176" s="108" t="str">
        <f>IF(S176=0,"NA",SUMIFS(AN_TME_PY[[#All],[Claims: Other]],AN_TME_PY[[#All],[Insurance Category Code]],1,AN_TME_PY[[#All],[Advanced Network/Insurance Carrier Org ID]],B176)/S176)</f>
        <v>NA</v>
      </c>
      <c r="AC176" s="147" t="str">
        <f>IF(S176=0,"NA",SUMIFS(AN_TME_PY[[#All],[TOTAL Non-Truncated Unadjusted Claims Expenses]],AN_TME_PY[[#All],[Insurance Category Code]],1,AN_TME_PY[[#All],[Advanced Network/Insurance Carrier Org ID]],B176)/S176)</f>
        <v>NA</v>
      </c>
      <c r="AD176" s="147" t="str">
        <f>IF(S176=0,"NA",SUMIFS(AN_TME_PY[[#All],[TOTAL Truncated Unadjusted Claims Expenses (A21 -A19)]],AN_TME_PY[[#All],[Insurance Category Code]],1,AN_TME_PY[[#All],[Advanced Network/Insurance Carrier Org ID]],B176)/S176)</f>
        <v>NA</v>
      </c>
      <c r="AE176" s="147" t="str">
        <f>IF(S176=0,"NA",SUMIFS(AN_TME_PY[[#All],[TOTAL Non-Claims Expenses]],AN_TME_PY[[#All],[Insurance Category Code]],1,AN_TME_PY[[#All],[Advanced Network/Insurance Carrier Org ID]],B176)/S176)</f>
        <v>NA</v>
      </c>
      <c r="AF176" s="147" t="str">
        <f>IF(S176=0,"NA",SUMIFS(AN_TME_PY[[#All],[TOTAL Non-Truncated Unadjusted Expenses (A21 + A23)]],AN_TME_PY[[#All],[Insurance Category Code]],1,AN_TME_PY[[#All],[Advanced Network/Insurance Carrier Org ID]],B176)/S176)</f>
        <v>NA</v>
      </c>
      <c r="AG176" s="138" t="str">
        <f>IF(S176=0,"NA",SUMIFS(AN_TME_PY[[#All],[TOTAL Truncated Unadjusted Expenses (A22 + A23)]],AN_TME_PY[[#All],[Insurance Category Code]],1,AN_TME_PY[[#All],[Advanced Network/Insurance Carrier Org ID]],B176)/S176)</f>
        <v>NA</v>
      </c>
      <c r="AH176" s="419" t="str">
        <f t="shared" si="244"/>
        <v>NA</v>
      </c>
      <c r="AI176" s="420" t="str">
        <f t="shared" si="245"/>
        <v>NA</v>
      </c>
      <c r="AJ176" s="421" t="str">
        <f t="shared" si="246"/>
        <v>NA</v>
      </c>
      <c r="AK176" s="421" t="str">
        <f t="shared" si="247"/>
        <v>NA</v>
      </c>
      <c r="AL176" s="421" t="str">
        <f t="shared" si="248"/>
        <v>NA</v>
      </c>
      <c r="AM176" s="421" t="str">
        <f t="shared" si="249"/>
        <v>NA</v>
      </c>
      <c r="AN176" s="421" t="str">
        <f t="shared" si="250"/>
        <v>NA</v>
      </c>
      <c r="AO176" s="421" t="str">
        <f t="shared" si="251"/>
        <v>NA</v>
      </c>
      <c r="AP176" s="421" t="str">
        <f t="shared" si="252"/>
        <v>NA</v>
      </c>
      <c r="AQ176" s="421" t="str">
        <f t="shared" si="253"/>
        <v>NA</v>
      </c>
      <c r="AR176" s="422" t="str">
        <f t="shared" si="254"/>
        <v>NA</v>
      </c>
      <c r="AS176" s="422" t="str">
        <f t="shared" si="255"/>
        <v>NA</v>
      </c>
      <c r="AT176" s="422" t="str">
        <f t="shared" si="256"/>
        <v>NA</v>
      </c>
      <c r="AU176" s="422" t="str">
        <f t="shared" si="257"/>
        <v>NA</v>
      </c>
      <c r="AV176" s="423" t="str">
        <f t="shared" si="258"/>
        <v>NA</v>
      </c>
    </row>
    <row r="177" spans="1:48" ht="15" customHeight="1" x14ac:dyDescent="0.25">
      <c r="A177" s="146"/>
      <c r="B177" s="148">
        <v>106</v>
      </c>
      <c r="C177" s="151" t="str">
        <f>_xlfn.XLOOKUP(B177, LgProvEntOrgIDs[Advanced Network/Insurer Carrier Org ID], LgProvEntOrgIDs[Advanced Network/Insurance Carrier Overall])</f>
        <v>Northeast Medical Group</v>
      </c>
      <c r="D177" s="448">
        <f>SUMIFS(AN_TME_BY[[#All],[Member Months]],AN_TME_BY[[#All],[Insurance Category Code]],1,AN_TME_BY[[#All],[Advanced Network/Insurance Carrier Org ID]],B177)</f>
        <v>0</v>
      </c>
      <c r="E177" s="137" t="str">
        <f>IF(D177=0,"NA",SUMIFS(AN_TME_BY[[#All],[Claims: Hospital Inpatient]],AN_TME_BY[[#All],[Insurance Category Code]],1,AN_TME_BY[[#All],[Advanced Network/Insurance Carrier Org ID]],B177)/D177)</f>
        <v>NA</v>
      </c>
      <c r="F177" s="108" t="str">
        <f>IF(D177=0,"NA",SUMIFS(AN_TME_BY[[#All],[Claims: Hospital Outpatient]],AN_TME_BY[[#All],[Insurance Category Code]],1,AN_TME_BY[[#All],[Advanced Network/Insurance Carrier Org ID]],B177)/D177)</f>
        <v>NA</v>
      </c>
      <c r="G177" s="108" t="str">
        <f>IF(D177=0,"NA",SUMIFS(AN_TME_BY[[#All],[Claims: Professional, Primary Care]],AN_TME_BY[[#All],[Insurance Category Code]],1,AN_TME_BY[[#All],[Advanced Network/Insurance Carrier Org ID]],B177)/D177)</f>
        <v>NA</v>
      </c>
      <c r="H177" s="108" t="str">
        <f>IF(D177=0,"NA",SUMIFS(AN_TME_BY[[#All],[Claims: Professional, Primary Care (for Monitoring Purposes)]],AN_TME_BY[[#All],[Insurance Category Code]],1,AN_TME_BY[[#All],[Advanced Network/Insurance Carrier Org ID]],B177)/D177)</f>
        <v>NA</v>
      </c>
      <c r="I177" s="108" t="str">
        <f>IF(D177=0,"NA",SUMIFS(AN_TME_BY[[#All],[Claims: Professional, Specialty]],AN_TME_BY[[#All],[Insurance Category Code]],1,AN_TME_BY[[#All],[Advanced Network/Insurance Carrier Org ID]],B177)/D177)</f>
        <v>NA</v>
      </c>
      <c r="J177" s="108" t="str">
        <f>IF(D177=0,"NA",SUMIFS(AN_TME_BY[[#All],[Claims: Professional Other]],AN_TME_BY[[#All],[Insurance Category Code]],1,AN_TME_BY[[#All],[Advanced Network/Insurance Carrier Org ID]],B177)/D177)</f>
        <v>NA</v>
      </c>
      <c r="K177" s="108" t="str">
        <f>IF(D177=0,"NA",SUMIFS(AN_TME_BY[[#All],[Claims: Pharmacy]],AN_TME_BY[[#All],[Insurance Category Code]],1,AN_TME_BY[[#All],[Advanced Network/Insurance Carrier Org ID]],B177)/D177)</f>
        <v>NA</v>
      </c>
      <c r="L177" s="108" t="str">
        <f>IF(D177=0,"NA",SUMIFS(AN_TME_BY[[#All],[Claims: Long-Term Care]],AN_TME_BY[[#All],[Insurance Category Code]],1,AN_TME_BY[[#All],[Advanced Network/Insurance Carrier Org ID]],B177)/D177)</f>
        <v>NA</v>
      </c>
      <c r="M177" s="108" t="str">
        <f>IF(D177=0,"NA",SUMIFS(AN_TME_BY[[#All],[Claims: Other]],AN_TME_BY[[#All],[Insurance Category Code]],1,AN_TME_BY[[#All],[Advanced Network/Insurance Carrier Org ID]],B177)/D177)</f>
        <v>NA</v>
      </c>
      <c r="N177" s="147" t="str">
        <f>IF(D177=0,"NA",SUMIFS(AN_TME_BY[[#All],[TOTAL Non-Truncated Unadjusted Claims Expenses]],AN_TME_BY[[#All],[Insurance Category Code]],1,AN_TME_BY[[#All],[Advanced Network/Insurance Carrier Org ID]],B177)/D177)</f>
        <v>NA</v>
      </c>
      <c r="O177" s="147" t="str">
        <f>IF(D177=0,"NA",SUMIFS(AN_TME_BY[[#All],[TOTAL Truncated Unadjusted Claims Expenses (A21 -A19)]],AN_TME_BY[[#All],[Insurance Category Code]],1,AN_TME_BY[[#All],[Advanced Network/Insurance Carrier Org ID]],B177)/D177)</f>
        <v>NA</v>
      </c>
      <c r="P177" s="147" t="str">
        <f>IF(D177=0,"NA",SUMIFS(AN_TME_BY[[#All],[TOTAL Non-Claims Expenses]],AN_TME_BY[[#All],[Insurance Category Code]],1,AN_TME_BY[[#All],[Advanced Network/Insurance Carrier Org ID]],B177)/D177)</f>
        <v>NA</v>
      </c>
      <c r="Q177" s="147" t="str">
        <f>IF(D177=0,"NA",SUMIFS(AN_TME_BY[[#All],[TOTAL Non-Truncated Unadjusted Expenses (A21 + A23)]],AN_TME_BY[[#All],[Insurance Category Code]],1,AN_TME_BY[[#All],[Advanced Network/Insurance Carrier Org ID]],B177)/D177)</f>
        <v>NA</v>
      </c>
      <c r="R177" s="147" t="str">
        <f>IF(D177=0,"NA",SUMIFS(AN_TME_BY[[#All],[TOTAL Truncated Unadjusted Expenses (A22 + A23)]],AN_TME_BY[[#All],[Insurance Category Code]],1,AN_TME_BY[[#All],[Advanced Network/Insurance Carrier Org ID]],B177)/D177)</f>
        <v>NA</v>
      </c>
      <c r="S177" s="448">
        <f>SUMIFS(AN_TME_PY[[#All],[Member Months]],AN_TME_PY[[#All],[Insurance Category Code]],1,AN_TME_PY[[#All],[Advanced Network/Insurance Carrier Org ID]],B177)</f>
        <v>0</v>
      </c>
      <c r="T177" s="137" t="str">
        <f>IF(S177=0,"NA",SUMIFS(AN_TME_PY[[#All],[Claims: Hospital Inpatient]],AN_TME_PY[[#All],[Insurance Category Code]],1,AN_TME_PY[[#All],[Advanced Network/Insurance Carrier Org ID]],B177)/S177)</f>
        <v>NA</v>
      </c>
      <c r="U177" s="108" t="str">
        <f>IF(S177=0,"NA",SUMIFS(AN_TME_PY[[#All],[Claims: Hospital Outpatient]],AN_TME_PY[[#All],[Insurance Category Code]],1,AN_TME_PY[[#All],[Advanced Network/Insurance Carrier Org ID]],B177)/S177)</f>
        <v>NA</v>
      </c>
      <c r="V177" s="108" t="str">
        <f>IF(S177=0,"NA",SUMIFS(AN_TME_PY[[#All],[Claims: Professional, Primary Care]],AN_TME_PY[[#All],[Insurance Category Code]],1,AN_TME_PY[[#All],[Advanced Network/Insurance Carrier Org ID]],B177)/S177)</f>
        <v>NA</v>
      </c>
      <c r="W177" s="108" t="str">
        <f>IF(S177=0,"NA",SUMIFS(AN_TME_PY[[#All],[Claims: Professional, Primary Care (for Monitoring Purposes)]],AN_TME_PY[[#All],[Insurance Category Code]],1,AN_TME_PY[[#All],[Advanced Network/Insurance Carrier Org ID]],B177)/S177)</f>
        <v>NA</v>
      </c>
      <c r="X177" s="108" t="str">
        <f>IF(S177=0,"NA",SUMIFS(AN_TME_PY[[#All],[Claims: Professional, Specialty]],AN_TME_PY[[#All],[Insurance Category Code]],1,AN_TME_PY[[#All],[Advanced Network/Insurance Carrier Org ID]],B177)/S177)</f>
        <v>NA</v>
      </c>
      <c r="Y177" s="108" t="str">
        <f>IF(S177=0,"NA",SUMIFS(AN_TME_PY[[#All],[Claims: Professional Other]],AN_TME_PY[[#All],[Insurance Category Code]],1,AN_TME_PY[[#All],[Advanced Network/Insurance Carrier Org ID]],B177)/S177)</f>
        <v>NA</v>
      </c>
      <c r="Z177" s="108" t="str">
        <f>IF(S177=0,"NA",SUMIFS(AN_TME_PY[[#All],[Claims: Pharmacy]],AN_TME_PY[[#All],[Insurance Category Code]],1,AN_TME_PY[[#All],[Advanced Network/Insurance Carrier Org ID]],B177)/S177)</f>
        <v>NA</v>
      </c>
      <c r="AA177" s="108" t="str">
        <f>IF(S177=0,"NA",SUMIFS(AN_TME_PY[[#All],[Claims: Long-Term Care]],AN_TME_PY[[#All],[Insurance Category Code]],1,AN_TME_PY[[#All],[Advanced Network/Insurance Carrier Org ID]],B177)/S177)</f>
        <v>NA</v>
      </c>
      <c r="AB177" s="108" t="str">
        <f>IF(S177=0,"NA",SUMIFS(AN_TME_PY[[#All],[Claims: Other]],AN_TME_PY[[#All],[Insurance Category Code]],1,AN_TME_PY[[#All],[Advanced Network/Insurance Carrier Org ID]],B177)/S177)</f>
        <v>NA</v>
      </c>
      <c r="AC177" s="147" t="str">
        <f>IF(S177=0,"NA",SUMIFS(AN_TME_PY[[#All],[TOTAL Non-Truncated Unadjusted Claims Expenses]],AN_TME_PY[[#All],[Insurance Category Code]],1,AN_TME_PY[[#All],[Advanced Network/Insurance Carrier Org ID]],B177)/S177)</f>
        <v>NA</v>
      </c>
      <c r="AD177" s="147" t="str">
        <f>IF(S177=0,"NA",SUMIFS(AN_TME_PY[[#All],[TOTAL Truncated Unadjusted Claims Expenses (A21 -A19)]],AN_TME_PY[[#All],[Insurance Category Code]],1,AN_TME_PY[[#All],[Advanced Network/Insurance Carrier Org ID]],B177)/S177)</f>
        <v>NA</v>
      </c>
      <c r="AE177" s="147" t="str">
        <f>IF(S177=0,"NA",SUMIFS(AN_TME_PY[[#All],[TOTAL Non-Claims Expenses]],AN_TME_PY[[#All],[Insurance Category Code]],1,AN_TME_PY[[#All],[Advanced Network/Insurance Carrier Org ID]],B177)/S177)</f>
        <v>NA</v>
      </c>
      <c r="AF177" s="147" t="str">
        <f>IF(S177=0,"NA",SUMIFS(AN_TME_PY[[#All],[TOTAL Non-Truncated Unadjusted Expenses (A21 + A23)]],AN_TME_PY[[#All],[Insurance Category Code]],1,AN_TME_PY[[#All],[Advanced Network/Insurance Carrier Org ID]],B177)/S177)</f>
        <v>NA</v>
      </c>
      <c r="AG177" s="138" t="str">
        <f>IF(S177=0,"NA",SUMIFS(AN_TME_PY[[#All],[TOTAL Truncated Unadjusted Expenses (A22 + A23)]],AN_TME_PY[[#All],[Insurance Category Code]],1,AN_TME_PY[[#All],[Advanced Network/Insurance Carrier Org ID]],B177)/S177)</f>
        <v>NA</v>
      </c>
      <c r="AH177" s="419" t="str">
        <f t="shared" si="244"/>
        <v>NA</v>
      </c>
      <c r="AI177" s="420" t="str">
        <f t="shared" si="245"/>
        <v>NA</v>
      </c>
      <c r="AJ177" s="421" t="str">
        <f t="shared" si="246"/>
        <v>NA</v>
      </c>
      <c r="AK177" s="421" t="str">
        <f t="shared" si="247"/>
        <v>NA</v>
      </c>
      <c r="AL177" s="421" t="str">
        <f t="shared" si="248"/>
        <v>NA</v>
      </c>
      <c r="AM177" s="421" t="str">
        <f t="shared" si="249"/>
        <v>NA</v>
      </c>
      <c r="AN177" s="421" t="str">
        <f t="shared" si="250"/>
        <v>NA</v>
      </c>
      <c r="AO177" s="421" t="str">
        <f t="shared" si="251"/>
        <v>NA</v>
      </c>
      <c r="AP177" s="421" t="str">
        <f t="shared" si="252"/>
        <v>NA</v>
      </c>
      <c r="AQ177" s="421" t="str">
        <f t="shared" si="253"/>
        <v>NA</v>
      </c>
      <c r="AR177" s="422" t="str">
        <f t="shared" si="254"/>
        <v>NA</v>
      </c>
      <c r="AS177" s="422" t="str">
        <f t="shared" si="255"/>
        <v>NA</v>
      </c>
      <c r="AT177" s="422" t="str">
        <f t="shared" si="256"/>
        <v>NA</v>
      </c>
      <c r="AU177" s="422" t="str">
        <f t="shared" si="257"/>
        <v>NA</v>
      </c>
      <c r="AV177" s="423" t="str">
        <f t="shared" si="258"/>
        <v>NA</v>
      </c>
    </row>
    <row r="178" spans="1:48" ht="15" customHeight="1" x14ac:dyDescent="0.25">
      <c r="A178" s="146"/>
      <c r="B178" s="148">
        <v>107</v>
      </c>
      <c r="C178" s="151" t="str">
        <f>_xlfn.XLOOKUP(B178, LgProvEntOrgIDs[Advanced Network/Insurer Carrier Org ID], LgProvEntOrgIDs[Advanced Network/Insurance Carrier Overall])</f>
        <v>Senior Care Network of CT (dba Advantage Plus Network)</v>
      </c>
      <c r="D178" s="448">
        <f>SUMIFS(AN_TME_BY[[#All],[Member Months]],AN_TME_BY[[#All],[Insurance Category Code]],1,AN_TME_BY[[#All],[Advanced Network/Insurance Carrier Org ID]],B178)</f>
        <v>0</v>
      </c>
      <c r="E178" s="137" t="str">
        <f>IF(D178=0,"NA",SUMIFS(AN_TME_BY[[#All],[Claims: Hospital Inpatient]],AN_TME_BY[[#All],[Insurance Category Code]],1,AN_TME_BY[[#All],[Advanced Network/Insurance Carrier Org ID]],B178)/D178)</f>
        <v>NA</v>
      </c>
      <c r="F178" s="108" t="str">
        <f>IF(D178=0,"NA",SUMIFS(AN_TME_BY[[#All],[Claims: Hospital Outpatient]],AN_TME_BY[[#All],[Insurance Category Code]],1,AN_TME_BY[[#All],[Advanced Network/Insurance Carrier Org ID]],B178)/D178)</f>
        <v>NA</v>
      </c>
      <c r="G178" s="108" t="str">
        <f>IF(D178=0,"NA",SUMIFS(AN_TME_BY[[#All],[Claims: Professional, Primary Care]],AN_TME_BY[[#All],[Insurance Category Code]],1,AN_TME_BY[[#All],[Advanced Network/Insurance Carrier Org ID]],B178)/D178)</f>
        <v>NA</v>
      </c>
      <c r="H178" s="108" t="str">
        <f>IF(D178=0,"NA",SUMIFS(AN_TME_BY[[#All],[Claims: Professional, Primary Care (for Monitoring Purposes)]],AN_TME_BY[[#All],[Insurance Category Code]],1,AN_TME_BY[[#All],[Advanced Network/Insurance Carrier Org ID]],B178)/D178)</f>
        <v>NA</v>
      </c>
      <c r="I178" s="108" t="str">
        <f>IF(D178=0,"NA",SUMIFS(AN_TME_BY[[#All],[Claims: Professional, Specialty]],AN_TME_BY[[#All],[Insurance Category Code]],1,AN_TME_BY[[#All],[Advanced Network/Insurance Carrier Org ID]],B178)/D178)</f>
        <v>NA</v>
      </c>
      <c r="J178" s="108" t="str">
        <f>IF(D178=0,"NA",SUMIFS(AN_TME_BY[[#All],[Claims: Professional Other]],AN_TME_BY[[#All],[Insurance Category Code]],1,AN_TME_BY[[#All],[Advanced Network/Insurance Carrier Org ID]],B178)/D178)</f>
        <v>NA</v>
      </c>
      <c r="K178" s="108" t="str">
        <f>IF(D178=0,"NA",SUMIFS(AN_TME_BY[[#All],[Claims: Pharmacy]],AN_TME_BY[[#All],[Insurance Category Code]],1,AN_TME_BY[[#All],[Advanced Network/Insurance Carrier Org ID]],B178)/D178)</f>
        <v>NA</v>
      </c>
      <c r="L178" s="108" t="str">
        <f>IF(D178=0,"NA",SUMIFS(AN_TME_BY[[#All],[Claims: Long-Term Care]],AN_TME_BY[[#All],[Insurance Category Code]],1,AN_TME_BY[[#All],[Advanced Network/Insurance Carrier Org ID]],B178)/D178)</f>
        <v>NA</v>
      </c>
      <c r="M178" s="108" t="str">
        <f>IF(D178=0,"NA",SUMIFS(AN_TME_BY[[#All],[Claims: Other]],AN_TME_BY[[#All],[Insurance Category Code]],1,AN_TME_BY[[#All],[Advanced Network/Insurance Carrier Org ID]],B178)/D178)</f>
        <v>NA</v>
      </c>
      <c r="N178" s="147" t="str">
        <f>IF(D178=0,"NA",SUMIFS(AN_TME_BY[[#All],[TOTAL Non-Truncated Unadjusted Claims Expenses]],AN_TME_BY[[#All],[Insurance Category Code]],1,AN_TME_BY[[#All],[Advanced Network/Insurance Carrier Org ID]],B178)/D178)</f>
        <v>NA</v>
      </c>
      <c r="O178" s="147" t="str">
        <f>IF(D178=0,"NA",SUMIFS(AN_TME_BY[[#All],[TOTAL Truncated Unadjusted Claims Expenses (A21 -A19)]],AN_TME_BY[[#All],[Insurance Category Code]],1,AN_TME_BY[[#All],[Advanced Network/Insurance Carrier Org ID]],B178)/D178)</f>
        <v>NA</v>
      </c>
      <c r="P178" s="147" t="str">
        <f>IF(D178=0,"NA",SUMIFS(AN_TME_BY[[#All],[TOTAL Non-Claims Expenses]],AN_TME_BY[[#All],[Insurance Category Code]],1,AN_TME_BY[[#All],[Advanced Network/Insurance Carrier Org ID]],B178)/D178)</f>
        <v>NA</v>
      </c>
      <c r="Q178" s="147" t="str">
        <f>IF(D178=0,"NA",SUMIFS(AN_TME_BY[[#All],[TOTAL Non-Truncated Unadjusted Expenses (A21 + A23)]],AN_TME_BY[[#All],[Insurance Category Code]],1,AN_TME_BY[[#All],[Advanced Network/Insurance Carrier Org ID]],B178)/D178)</f>
        <v>NA</v>
      </c>
      <c r="R178" s="147" t="str">
        <f>IF(D178=0,"NA",SUMIFS(AN_TME_BY[[#All],[TOTAL Truncated Unadjusted Expenses (A22 + A23)]],AN_TME_BY[[#All],[Insurance Category Code]],1,AN_TME_BY[[#All],[Advanced Network/Insurance Carrier Org ID]],B178)/D178)</f>
        <v>NA</v>
      </c>
      <c r="S178" s="448">
        <f>SUMIFS(AN_TME_PY[[#All],[Member Months]],AN_TME_PY[[#All],[Insurance Category Code]],1,AN_TME_PY[[#All],[Advanced Network/Insurance Carrier Org ID]],B178)</f>
        <v>0</v>
      </c>
      <c r="T178" s="137" t="str">
        <f>IF(S178=0,"NA",SUMIFS(AN_TME_PY[[#All],[Claims: Hospital Inpatient]],AN_TME_PY[[#All],[Insurance Category Code]],1,AN_TME_PY[[#All],[Advanced Network/Insurance Carrier Org ID]],B178)/S178)</f>
        <v>NA</v>
      </c>
      <c r="U178" s="108" t="str">
        <f>IF(S178=0,"NA",SUMIFS(AN_TME_PY[[#All],[Claims: Hospital Outpatient]],AN_TME_PY[[#All],[Insurance Category Code]],1,AN_TME_PY[[#All],[Advanced Network/Insurance Carrier Org ID]],B178)/S178)</f>
        <v>NA</v>
      </c>
      <c r="V178" s="108" t="str">
        <f>IF(S178=0,"NA",SUMIFS(AN_TME_PY[[#All],[Claims: Professional, Primary Care]],AN_TME_PY[[#All],[Insurance Category Code]],1,AN_TME_PY[[#All],[Advanced Network/Insurance Carrier Org ID]],B178)/S178)</f>
        <v>NA</v>
      </c>
      <c r="W178" s="108" t="str">
        <f>IF(S178=0,"NA",SUMIFS(AN_TME_PY[[#All],[Claims: Professional, Primary Care (for Monitoring Purposes)]],AN_TME_PY[[#All],[Insurance Category Code]],1,AN_TME_PY[[#All],[Advanced Network/Insurance Carrier Org ID]],B178)/S178)</f>
        <v>NA</v>
      </c>
      <c r="X178" s="108" t="str">
        <f>IF(S178=0,"NA",SUMIFS(AN_TME_PY[[#All],[Claims: Professional, Specialty]],AN_TME_PY[[#All],[Insurance Category Code]],1,AN_TME_PY[[#All],[Advanced Network/Insurance Carrier Org ID]],B178)/S178)</f>
        <v>NA</v>
      </c>
      <c r="Y178" s="108" t="str">
        <f>IF(S178=0,"NA",SUMIFS(AN_TME_PY[[#All],[Claims: Professional Other]],AN_TME_PY[[#All],[Insurance Category Code]],1,AN_TME_PY[[#All],[Advanced Network/Insurance Carrier Org ID]],B178)/S178)</f>
        <v>NA</v>
      </c>
      <c r="Z178" s="108" t="str">
        <f>IF(S178=0,"NA",SUMIFS(AN_TME_PY[[#All],[Claims: Pharmacy]],AN_TME_PY[[#All],[Insurance Category Code]],1,AN_TME_PY[[#All],[Advanced Network/Insurance Carrier Org ID]],B178)/S178)</f>
        <v>NA</v>
      </c>
      <c r="AA178" s="108" t="str">
        <f>IF(S178=0,"NA",SUMIFS(AN_TME_PY[[#All],[Claims: Long-Term Care]],AN_TME_PY[[#All],[Insurance Category Code]],1,AN_TME_PY[[#All],[Advanced Network/Insurance Carrier Org ID]],B178)/S178)</f>
        <v>NA</v>
      </c>
      <c r="AB178" s="108" t="str">
        <f>IF(S178=0,"NA",SUMIFS(AN_TME_PY[[#All],[Claims: Other]],AN_TME_PY[[#All],[Insurance Category Code]],1,AN_TME_PY[[#All],[Advanced Network/Insurance Carrier Org ID]],B178)/S178)</f>
        <v>NA</v>
      </c>
      <c r="AC178" s="147" t="str">
        <f>IF(S178=0,"NA",SUMIFS(AN_TME_PY[[#All],[TOTAL Non-Truncated Unadjusted Claims Expenses]],AN_TME_PY[[#All],[Insurance Category Code]],1,AN_TME_PY[[#All],[Advanced Network/Insurance Carrier Org ID]],B178)/S178)</f>
        <v>NA</v>
      </c>
      <c r="AD178" s="147" t="str">
        <f>IF(S178=0,"NA",SUMIFS(AN_TME_PY[[#All],[TOTAL Truncated Unadjusted Claims Expenses (A21 -A19)]],AN_TME_PY[[#All],[Insurance Category Code]],1,AN_TME_PY[[#All],[Advanced Network/Insurance Carrier Org ID]],B178)/S178)</f>
        <v>NA</v>
      </c>
      <c r="AE178" s="147" t="str">
        <f>IF(S178=0,"NA",SUMIFS(AN_TME_PY[[#All],[TOTAL Non-Claims Expenses]],AN_TME_PY[[#All],[Insurance Category Code]],1,AN_TME_PY[[#All],[Advanced Network/Insurance Carrier Org ID]],B178)/S178)</f>
        <v>NA</v>
      </c>
      <c r="AF178" s="147" t="str">
        <f>IF(S178=0,"NA",SUMIFS(AN_TME_PY[[#All],[TOTAL Non-Truncated Unadjusted Expenses (A21 + A23)]],AN_TME_PY[[#All],[Insurance Category Code]],1,AN_TME_PY[[#All],[Advanced Network/Insurance Carrier Org ID]],B178)/S178)</f>
        <v>NA</v>
      </c>
      <c r="AG178" s="138" t="str">
        <f>IF(S178=0,"NA",SUMIFS(AN_TME_PY[[#All],[TOTAL Truncated Unadjusted Expenses (A22 + A23)]],AN_TME_PY[[#All],[Insurance Category Code]],1,AN_TME_PY[[#All],[Advanced Network/Insurance Carrier Org ID]],B178)/S178)</f>
        <v>NA</v>
      </c>
      <c r="AH178" s="419" t="str">
        <f t="shared" si="244"/>
        <v>NA</v>
      </c>
      <c r="AI178" s="420" t="str">
        <f t="shared" si="245"/>
        <v>NA</v>
      </c>
      <c r="AJ178" s="421" t="str">
        <f t="shared" si="246"/>
        <v>NA</v>
      </c>
      <c r="AK178" s="421" t="str">
        <f t="shared" si="247"/>
        <v>NA</v>
      </c>
      <c r="AL178" s="421" t="str">
        <f t="shared" si="248"/>
        <v>NA</v>
      </c>
      <c r="AM178" s="421" t="str">
        <f t="shared" si="249"/>
        <v>NA</v>
      </c>
      <c r="AN178" s="421" t="str">
        <f t="shared" si="250"/>
        <v>NA</v>
      </c>
      <c r="AO178" s="421" t="str">
        <f t="shared" si="251"/>
        <v>NA</v>
      </c>
      <c r="AP178" s="421" t="str">
        <f t="shared" si="252"/>
        <v>NA</v>
      </c>
      <c r="AQ178" s="421" t="str">
        <f t="shared" si="253"/>
        <v>NA</v>
      </c>
      <c r="AR178" s="422" t="str">
        <f t="shared" si="254"/>
        <v>NA</v>
      </c>
      <c r="AS178" s="422" t="str">
        <f t="shared" si="255"/>
        <v>NA</v>
      </c>
      <c r="AT178" s="422" t="str">
        <f t="shared" si="256"/>
        <v>NA</v>
      </c>
      <c r="AU178" s="422" t="str">
        <f t="shared" si="257"/>
        <v>NA</v>
      </c>
      <c r="AV178" s="423" t="str">
        <f t="shared" si="258"/>
        <v>NA</v>
      </c>
    </row>
    <row r="179" spans="1:48" ht="45" customHeight="1" x14ac:dyDescent="0.25">
      <c r="A179" s="146"/>
      <c r="B179" s="148">
        <v>108</v>
      </c>
      <c r="C179" s="151" t="str">
        <f>_xlfn.XLOOKUP(B179, LgProvEntOrgIDs[Advanced Network/Insurer Carrier Org ID], LgProvEntOrgIDs[Advanced Network/Insurance Carrier Overall])</f>
        <v>Prospect Connecticut Medical Foundation Inc. (dba Prospect Medical, Prospect Health Services, Prospect Holdings)</v>
      </c>
      <c r="D179" s="448">
        <f>SUMIFS(AN_TME_BY[[#All],[Member Months]],AN_TME_BY[[#All],[Insurance Category Code]],1,AN_TME_BY[[#All],[Advanced Network/Insurance Carrier Org ID]],B179)</f>
        <v>0</v>
      </c>
      <c r="E179" s="137" t="str">
        <f>IF(D179=0,"NA",SUMIFS(AN_TME_BY[[#All],[Claims: Hospital Inpatient]],AN_TME_BY[[#All],[Insurance Category Code]],1,AN_TME_BY[[#All],[Advanced Network/Insurance Carrier Org ID]],B179)/D179)</f>
        <v>NA</v>
      </c>
      <c r="F179" s="108" t="str">
        <f>IF(D179=0,"NA",SUMIFS(AN_TME_BY[[#All],[Claims: Hospital Outpatient]],AN_TME_BY[[#All],[Insurance Category Code]],1,AN_TME_BY[[#All],[Advanced Network/Insurance Carrier Org ID]],B179)/D179)</f>
        <v>NA</v>
      </c>
      <c r="G179" s="108" t="str">
        <f>IF(D179=0,"NA",SUMIFS(AN_TME_BY[[#All],[Claims: Professional, Primary Care]],AN_TME_BY[[#All],[Insurance Category Code]],1,AN_TME_BY[[#All],[Advanced Network/Insurance Carrier Org ID]],B179)/D179)</f>
        <v>NA</v>
      </c>
      <c r="H179" s="108" t="str">
        <f>IF(D179=0,"NA",SUMIFS(AN_TME_BY[[#All],[Claims: Professional, Primary Care (for Monitoring Purposes)]],AN_TME_BY[[#All],[Insurance Category Code]],1,AN_TME_BY[[#All],[Advanced Network/Insurance Carrier Org ID]],B179)/D179)</f>
        <v>NA</v>
      </c>
      <c r="I179" s="108" t="str">
        <f>IF(D179=0,"NA",SUMIFS(AN_TME_BY[[#All],[Claims: Professional, Specialty]],AN_TME_BY[[#All],[Insurance Category Code]],1,AN_TME_BY[[#All],[Advanced Network/Insurance Carrier Org ID]],B179)/D179)</f>
        <v>NA</v>
      </c>
      <c r="J179" s="108" t="str">
        <f>IF(D179=0,"NA",SUMIFS(AN_TME_BY[[#All],[Claims: Professional Other]],AN_TME_BY[[#All],[Insurance Category Code]],1,AN_TME_BY[[#All],[Advanced Network/Insurance Carrier Org ID]],B179)/D179)</f>
        <v>NA</v>
      </c>
      <c r="K179" s="108" t="str">
        <f>IF(D179=0,"NA",SUMIFS(AN_TME_BY[[#All],[Claims: Pharmacy]],AN_TME_BY[[#All],[Insurance Category Code]],1,AN_TME_BY[[#All],[Advanced Network/Insurance Carrier Org ID]],B179)/D179)</f>
        <v>NA</v>
      </c>
      <c r="L179" s="108" t="str">
        <f>IF(D179=0,"NA",SUMIFS(AN_TME_BY[[#All],[Claims: Long-Term Care]],AN_TME_BY[[#All],[Insurance Category Code]],1,AN_TME_BY[[#All],[Advanced Network/Insurance Carrier Org ID]],B179)/D179)</f>
        <v>NA</v>
      </c>
      <c r="M179" s="108" t="str">
        <f>IF(D179=0,"NA",SUMIFS(AN_TME_BY[[#All],[Claims: Other]],AN_TME_BY[[#All],[Insurance Category Code]],1,AN_TME_BY[[#All],[Advanced Network/Insurance Carrier Org ID]],B179)/D179)</f>
        <v>NA</v>
      </c>
      <c r="N179" s="147" t="str">
        <f>IF(D179=0,"NA",SUMIFS(AN_TME_BY[[#All],[TOTAL Non-Truncated Unadjusted Claims Expenses]],AN_TME_BY[[#All],[Insurance Category Code]],1,AN_TME_BY[[#All],[Advanced Network/Insurance Carrier Org ID]],B179)/D179)</f>
        <v>NA</v>
      </c>
      <c r="O179" s="147" t="str">
        <f>IF(D179=0,"NA",SUMIFS(AN_TME_BY[[#All],[TOTAL Truncated Unadjusted Claims Expenses (A21 -A19)]],AN_TME_BY[[#All],[Insurance Category Code]],1,AN_TME_BY[[#All],[Advanced Network/Insurance Carrier Org ID]],B179)/D179)</f>
        <v>NA</v>
      </c>
      <c r="P179" s="147" t="str">
        <f>IF(D179=0,"NA",SUMIFS(AN_TME_BY[[#All],[TOTAL Non-Claims Expenses]],AN_TME_BY[[#All],[Insurance Category Code]],1,AN_TME_BY[[#All],[Advanced Network/Insurance Carrier Org ID]],B179)/D179)</f>
        <v>NA</v>
      </c>
      <c r="Q179" s="147" t="str">
        <f>IF(D179=0,"NA",SUMIFS(AN_TME_BY[[#All],[TOTAL Non-Truncated Unadjusted Expenses (A21 + A23)]],AN_TME_BY[[#All],[Insurance Category Code]],1,AN_TME_BY[[#All],[Advanced Network/Insurance Carrier Org ID]],B179)/D179)</f>
        <v>NA</v>
      </c>
      <c r="R179" s="147" t="str">
        <f>IF(D179=0,"NA",SUMIFS(AN_TME_BY[[#All],[TOTAL Truncated Unadjusted Expenses (A22 + A23)]],AN_TME_BY[[#All],[Insurance Category Code]],1,AN_TME_BY[[#All],[Advanced Network/Insurance Carrier Org ID]],B179)/D179)</f>
        <v>NA</v>
      </c>
      <c r="S179" s="448">
        <f>SUMIFS(AN_TME_PY[[#All],[Member Months]],AN_TME_PY[[#All],[Insurance Category Code]],1,AN_TME_PY[[#All],[Advanced Network/Insurance Carrier Org ID]],B179)</f>
        <v>0</v>
      </c>
      <c r="T179" s="137" t="str">
        <f>IF(S179=0,"NA",SUMIFS(AN_TME_PY[[#All],[Claims: Hospital Inpatient]],AN_TME_PY[[#All],[Insurance Category Code]],1,AN_TME_PY[[#All],[Advanced Network/Insurance Carrier Org ID]],B179)/S179)</f>
        <v>NA</v>
      </c>
      <c r="U179" s="108" t="str">
        <f>IF(S179=0,"NA",SUMIFS(AN_TME_PY[[#All],[Claims: Hospital Outpatient]],AN_TME_PY[[#All],[Insurance Category Code]],1,AN_TME_PY[[#All],[Advanced Network/Insurance Carrier Org ID]],B179)/S179)</f>
        <v>NA</v>
      </c>
      <c r="V179" s="108" t="str">
        <f>IF(S179=0,"NA",SUMIFS(AN_TME_PY[[#All],[Claims: Professional, Primary Care]],AN_TME_PY[[#All],[Insurance Category Code]],1,AN_TME_PY[[#All],[Advanced Network/Insurance Carrier Org ID]],B179)/S179)</f>
        <v>NA</v>
      </c>
      <c r="W179" s="108" t="str">
        <f>IF(S179=0,"NA",SUMIFS(AN_TME_PY[[#All],[Claims: Professional, Primary Care (for Monitoring Purposes)]],AN_TME_PY[[#All],[Insurance Category Code]],1,AN_TME_PY[[#All],[Advanced Network/Insurance Carrier Org ID]],B179)/S179)</f>
        <v>NA</v>
      </c>
      <c r="X179" s="108" t="str">
        <f>IF(S179=0,"NA",SUMIFS(AN_TME_PY[[#All],[Claims: Professional, Specialty]],AN_TME_PY[[#All],[Insurance Category Code]],1,AN_TME_PY[[#All],[Advanced Network/Insurance Carrier Org ID]],B179)/S179)</f>
        <v>NA</v>
      </c>
      <c r="Y179" s="108" t="str">
        <f>IF(S179=0,"NA",SUMIFS(AN_TME_PY[[#All],[Claims: Professional Other]],AN_TME_PY[[#All],[Insurance Category Code]],1,AN_TME_PY[[#All],[Advanced Network/Insurance Carrier Org ID]],B179)/S179)</f>
        <v>NA</v>
      </c>
      <c r="Z179" s="108" t="str">
        <f>IF(S179=0,"NA",SUMIFS(AN_TME_PY[[#All],[Claims: Pharmacy]],AN_TME_PY[[#All],[Insurance Category Code]],1,AN_TME_PY[[#All],[Advanced Network/Insurance Carrier Org ID]],B179)/S179)</f>
        <v>NA</v>
      </c>
      <c r="AA179" s="108" t="str">
        <f>IF(S179=0,"NA",SUMIFS(AN_TME_PY[[#All],[Claims: Long-Term Care]],AN_TME_PY[[#All],[Insurance Category Code]],1,AN_TME_PY[[#All],[Advanced Network/Insurance Carrier Org ID]],B179)/S179)</f>
        <v>NA</v>
      </c>
      <c r="AB179" s="108" t="str">
        <f>IF(S179=0,"NA",SUMIFS(AN_TME_PY[[#All],[Claims: Other]],AN_TME_PY[[#All],[Insurance Category Code]],1,AN_TME_PY[[#All],[Advanced Network/Insurance Carrier Org ID]],B179)/S179)</f>
        <v>NA</v>
      </c>
      <c r="AC179" s="147" t="str">
        <f>IF(S179=0,"NA",SUMIFS(AN_TME_PY[[#All],[TOTAL Non-Truncated Unadjusted Claims Expenses]],AN_TME_PY[[#All],[Insurance Category Code]],1,AN_TME_PY[[#All],[Advanced Network/Insurance Carrier Org ID]],B179)/S179)</f>
        <v>NA</v>
      </c>
      <c r="AD179" s="147" t="str">
        <f>IF(S179=0,"NA",SUMIFS(AN_TME_PY[[#All],[TOTAL Truncated Unadjusted Claims Expenses (A21 -A19)]],AN_TME_PY[[#All],[Insurance Category Code]],1,AN_TME_PY[[#All],[Advanced Network/Insurance Carrier Org ID]],B179)/S179)</f>
        <v>NA</v>
      </c>
      <c r="AE179" s="147" t="str">
        <f>IF(S179=0,"NA",SUMIFS(AN_TME_PY[[#All],[TOTAL Non-Claims Expenses]],AN_TME_PY[[#All],[Insurance Category Code]],1,AN_TME_PY[[#All],[Advanced Network/Insurance Carrier Org ID]],B179)/S179)</f>
        <v>NA</v>
      </c>
      <c r="AF179" s="147" t="str">
        <f>IF(S179=0,"NA",SUMIFS(AN_TME_PY[[#All],[TOTAL Non-Truncated Unadjusted Expenses (A21 + A23)]],AN_TME_PY[[#All],[Insurance Category Code]],1,AN_TME_PY[[#All],[Advanced Network/Insurance Carrier Org ID]],B179)/S179)</f>
        <v>NA</v>
      </c>
      <c r="AG179" s="138" t="str">
        <f>IF(S179=0,"NA",SUMIFS(AN_TME_PY[[#All],[TOTAL Truncated Unadjusted Expenses (A22 + A23)]],AN_TME_PY[[#All],[Insurance Category Code]],1,AN_TME_PY[[#All],[Advanced Network/Insurance Carrier Org ID]],B179)/S179)</f>
        <v>NA</v>
      </c>
      <c r="AH179" s="419" t="str">
        <f t="shared" si="244"/>
        <v>NA</v>
      </c>
      <c r="AI179" s="420" t="str">
        <f t="shared" si="245"/>
        <v>NA</v>
      </c>
      <c r="AJ179" s="421" t="str">
        <f t="shared" si="246"/>
        <v>NA</v>
      </c>
      <c r="AK179" s="421" t="str">
        <f t="shared" si="247"/>
        <v>NA</v>
      </c>
      <c r="AL179" s="421" t="str">
        <f t="shared" si="248"/>
        <v>NA</v>
      </c>
      <c r="AM179" s="421" t="str">
        <f t="shared" si="249"/>
        <v>NA</v>
      </c>
      <c r="AN179" s="421" t="str">
        <f t="shared" si="250"/>
        <v>NA</v>
      </c>
      <c r="AO179" s="421" t="str">
        <f t="shared" si="251"/>
        <v>NA</v>
      </c>
      <c r="AP179" s="421" t="str">
        <f t="shared" si="252"/>
        <v>NA</v>
      </c>
      <c r="AQ179" s="421" t="str">
        <f t="shared" si="253"/>
        <v>NA</v>
      </c>
      <c r="AR179" s="422" t="str">
        <f t="shared" si="254"/>
        <v>NA</v>
      </c>
      <c r="AS179" s="422" t="str">
        <f t="shared" si="255"/>
        <v>NA</v>
      </c>
      <c r="AT179" s="422" t="str">
        <f t="shared" si="256"/>
        <v>NA</v>
      </c>
      <c r="AU179" s="422" t="str">
        <f t="shared" si="257"/>
        <v>NA</v>
      </c>
      <c r="AV179" s="423" t="str">
        <f t="shared" si="258"/>
        <v>NA</v>
      </c>
    </row>
    <row r="180" spans="1:48" ht="45" customHeight="1" x14ac:dyDescent="0.25">
      <c r="A180" s="146"/>
      <c r="B180" s="148">
        <v>109</v>
      </c>
      <c r="C180" s="151" t="str">
        <f>_xlfn.XLOOKUP(B180, LgProvEntOrgIDs[Advanced Network/Insurer Carrier Org ID], LgProvEntOrgIDs[Advanced Network/Insurance Carrier Overall])</f>
        <v>Southern New England Health Care Organization (aka SoNE Health)</v>
      </c>
      <c r="D180" s="448">
        <f>SUMIFS(AN_TME_BY[[#All],[Member Months]],AN_TME_BY[[#All],[Insurance Category Code]],1,AN_TME_BY[[#All],[Advanced Network/Insurance Carrier Org ID]],B180)</f>
        <v>0</v>
      </c>
      <c r="E180" s="137" t="str">
        <f>IF(D180=0,"NA",SUMIFS(AN_TME_BY[[#All],[Claims: Hospital Inpatient]],AN_TME_BY[[#All],[Insurance Category Code]],1,AN_TME_BY[[#All],[Advanced Network/Insurance Carrier Org ID]],B180)/D180)</f>
        <v>NA</v>
      </c>
      <c r="F180" s="108" t="str">
        <f>IF(D180=0,"NA",SUMIFS(AN_TME_BY[[#All],[Claims: Hospital Outpatient]],AN_TME_BY[[#All],[Insurance Category Code]],1,AN_TME_BY[[#All],[Advanced Network/Insurance Carrier Org ID]],B180)/D180)</f>
        <v>NA</v>
      </c>
      <c r="G180" s="108" t="str">
        <f>IF(D180=0,"NA",SUMIFS(AN_TME_BY[[#All],[Claims: Professional, Primary Care]],AN_TME_BY[[#All],[Insurance Category Code]],1,AN_TME_BY[[#All],[Advanced Network/Insurance Carrier Org ID]],B180)/D180)</f>
        <v>NA</v>
      </c>
      <c r="H180" s="108" t="str">
        <f>IF(D180=0,"NA",SUMIFS(AN_TME_BY[[#All],[Claims: Professional, Primary Care (for Monitoring Purposes)]],AN_TME_BY[[#All],[Insurance Category Code]],1,AN_TME_BY[[#All],[Advanced Network/Insurance Carrier Org ID]],B180)/D180)</f>
        <v>NA</v>
      </c>
      <c r="I180" s="108" t="str">
        <f>IF(D180=0,"NA",SUMIFS(AN_TME_BY[[#All],[Claims: Professional, Specialty]],AN_TME_BY[[#All],[Insurance Category Code]],1,AN_TME_BY[[#All],[Advanced Network/Insurance Carrier Org ID]],B180)/D180)</f>
        <v>NA</v>
      </c>
      <c r="J180" s="108" t="str">
        <f>IF(D180=0,"NA",SUMIFS(AN_TME_BY[[#All],[Claims: Professional Other]],AN_TME_BY[[#All],[Insurance Category Code]],1,AN_TME_BY[[#All],[Advanced Network/Insurance Carrier Org ID]],B180)/D180)</f>
        <v>NA</v>
      </c>
      <c r="K180" s="108" t="str">
        <f>IF(D180=0,"NA",SUMIFS(AN_TME_BY[[#All],[Claims: Pharmacy]],AN_TME_BY[[#All],[Insurance Category Code]],1,AN_TME_BY[[#All],[Advanced Network/Insurance Carrier Org ID]],B180)/D180)</f>
        <v>NA</v>
      </c>
      <c r="L180" s="108" t="str">
        <f>IF(D180=0,"NA",SUMIFS(AN_TME_BY[[#All],[Claims: Long-Term Care]],AN_TME_BY[[#All],[Insurance Category Code]],1,AN_TME_BY[[#All],[Advanced Network/Insurance Carrier Org ID]],B180)/D180)</f>
        <v>NA</v>
      </c>
      <c r="M180" s="108" t="str">
        <f>IF(D180=0,"NA",SUMIFS(AN_TME_BY[[#All],[Claims: Other]],AN_TME_BY[[#All],[Insurance Category Code]],1,AN_TME_BY[[#All],[Advanced Network/Insurance Carrier Org ID]],B180)/D180)</f>
        <v>NA</v>
      </c>
      <c r="N180" s="147" t="str">
        <f>IF(D180=0,"NA",SUMIFS(AN_TME_BY[[#All],[TOTAL Non-Truncated Unadjusted Claims Expenses]],AN_TME_BY[[#All],[Insurance Category Code]],1,AN_TME_BY[[#All],[Advanced Network/Insurance Carrier Org ID]],B180)/D180)</f>
        <v>NA</v>
      </c>
      <c r="O180" s="147" t="str">
        <f>IF(D180=0,"NA",SUMIFS(AN_TME_BY[[#All],[TOTAL Truncated Unadjusted Claims Expenses (A21 -A19)]],AN_TME_BY[[#All],[Insurance Category Code]],1,AN_TME_BY[[#All],[Advanced Network/Insurance Carrier Org ID]],B180)/D180)</f>
        <v>NA</v>
      </c>
      <c r="P180" s="147" t="str">
        <f>IF(D180=0,"NA",SUMIFS(AN_TME_BY[[#All],[TOTAL Non-Claims Expenses]],AN_TME_BY[[#All],[Insurance Category Code]],1,AN_TME_BY[[#All],[Advanced Network/Insurance Carrier Org ID]],B180)/D180)</f>
        <v>NA</v>
      </c>
      <c r="Q180" s="147" t="str">
        <f>IF(D180=0,"NA",SUMIFS(AN_TME_BY[[#All],[TOTAL Non-Truncated Unadjusted Expenses (A21 + A23)]],AN_TME_BY[[#All],[Insurance Category Code]],1,AN_TME_BY[[#All],[Advanced Network/Insurance Carrier Org ID]],B180)/D180)</f>
        <v>NA</v>
      </c>
      <c r="R180" s="147" t="str">
        <f>IF(D180=0,"NA",SUMIFS(AN_TME_BY[[#All],[TOTAL Truncated Unadjusted Expenses (A22 + A23)]],AN_TME_BY[[#All],[Insurance Category Code]],1,AN_TME_BY[[#All],[Advanced Network/Insurance Carrier Org ID]],B180)/D180)</f>
        <v>NA</v>
      </c>
      <c r="S180" s="448">
        <f>SUMIFS(AN_TME_PY[[#All],[Member Months]],AN_TME_PY[[#All],[Insurance Category Code]],1,AN_TME_PY[[#All],[Advanced Network/Insurance Carrier Org ID]],B180)</f>
        <v>0</v>
      </c>
      <c r="T180" s="137" t="str">
        <f>IF(S180=0,"NA",SUMIFS(AN_TME_PY[[#All],[Claims: Hospital Inpatient]],AN_TME_PY[[#All],[Insurance Category Code]],1,AN_TME_PY[[#All],[Advanced Network/Insurance Carrier Org ID]],B180)/S180)</f>
        <v>NA</v>
      </c>
      <c r="U180" s="108" t="str">
        <f>IF(S180=0,"NA",SUMIFS(AN_TME_PY[[#All],[Claims: Hospital Outpatient]],AN_TME_PY[[#All],[Insurance Category Code]],1,AN_TME_PY[[#All],[Advanced Network/Insurance Carrier Org ID]],B180)/S180)</f>
        <v>NA</v>
      </c>
      <c r="V180" s="108" t="str">
        <f>IF(S180=0,"NA",SUMIFS(AN_TME_PY[[#All],[Claims: Professional, Primary Care]],AN_TME_PY[[#All],[Insurance Category Code]],1,AN_TME_PY[[#All],[Advanced Network/Insurance Carrier Org ID]],B180)/S180)</f>
        <v>NA</v>
      </c>
      <c r="W180" s="108" t="str">
        <f>IF(S180=0,"NA",SUMIFS(AN_TME_PY[[#All],[Claims: Professional, Primary Care (for Monitoring Purposes)]],AN_TME_PY[[#All],[Insurance Category Code]],1,AN_TME_PY[[#All],[Advanced Network/Insurance Carrier Org ID]],B180)/S180)</f>
        <v>NA</v>
      </c>
      <c r="X180" s="108" t="str">
        <f>IF(S180=0,"NA",SUMIFS(AN_TME_PY[[#All],[Claims: Professional, Specialty]],AN_TME_PY[[#All],[Insurance Category Code]],1,AN_TME_PY[[#All],[Advanced Network/Insurance Carrier Org ID]],B180)/S180)</f>
        <v>NA</v>
      </c>
      <c r="Y180" s="108" t="str">
        <f>IF(S180=0,"NA",SUMIFS(AN_TME_PY[[#All],[Claims: Professional Other]],AN_TME_PY[[#All],[Insurance Category Code]],1,AN_TME_PY[[#All],[Advanced Network/Insurance Carrier Org ID]],B180)/S180)</f>
        <v>NA</v>
      </c>
      <c r="Z180" s="108" t="str">
        <f>IF(S180=0,"NA",SUMIFS(AN_TME_PY[[#All],[Claims: Pharmacy]],AN_TME_PY[[#All],[Insurance Category Code]],1,AN_TME_PY[[#All],[Advanced Network/Insurance Carrier Org ID]],B180)/S180)</f>
        <v>NA</v>
      </c>
      <c r="AA180" s="108" t="str">
        <f>IF(S180=0,"NA",SUMIFS(AN_TME_PY[[#All],[Claims: Long-Term Care]],AN_TME_PY[[#All],[Insurance Category Code]],1,AN_TME_PY[[#All],[Advanced Network/Insurance Carrier Org ID]],B180)/S180)</f>
        <v>NA</v>
      </c>
      <c r="AB180" s="108" t="str">
        <f>IF(S180=0,"NA",SUMIFS(AN_TME_PY[[#All],[Claims: Other]],AN_TME_PY[[#All],[Insurance Category Code]],1,AN_TME_PY[[#All],[Advanced Network/Insurance Carrier Org ID]],B180)/S180)</f>
        <v>NA</v>
      </c>
      <c r="AC180" s="147" t="str">
        <f>IF(S180=0,"NA",SUMIFS(AN_TME_PY[[#All],[TOTAL Non-Truncated Unadjusted Claims Expenses]],AN_TME_PY[[#All],[Insurance Category Code]],1,AN_TME_PY[[#All],[Advanced Network/Insurance Carrier Org ID]],B180)/S180)</f>
        <v>NA</v>
      </c>
      <c r="AD180" s="147" t="str">
        <f>IF(S180=0,"NA",SUMIFS(AN_TME_PY[[#All],[TOTAL Truncated Unadjusted Claims Expenses (A21 -A19)]],AN_TME_PY[[#All],[Insurance Category Code]],1,AN_TME_PY[[#All],[Advanced Network/Insurance Carrier Org ID]],B180)/S180)</f>
        <v>NA</v>
      </c>
      <c r="AE180" s="147" t="str">
        <f>IF(S180=0,"NA",SUMIFS(AN_TME_PY[[#All],[TOTAL Non-Claims Expenses]],AN_TME_PY[[#All],[Insurance Category Code]],1,AN_TME_PY[[#All],[Advanced Network/Insurance Carrier Org ID]],B180)/S180)</f>
        <v>NA</v>
      </c>
      <c r="AF180" s="147" t="str">
        <f>IF(S180=0,"NA",SUMIFS(AN_TME_PY[[#All],[TOTAL Non-Truncated Unadjusted Expenses (A21 + A23)]],AN_TME_PY[[#All],[Insurance Category Code]],1,AN_TME_PY[[#All],[Advanced Network/Insurance Carrier Org ID]],B180)/S180)</f>
        <v>NA</v>
      </c>
      <c r="AG180" s="138" t="str">
        <f>IF(S180=0,"NA",SUMIFS(AN_TME_PY[[#All],[TOTAL Truncated Unadjusted Expenses (A22 + A23)]],AN_TME_PY[[#All],[Insurance Category Code]],1,AN_TME_PY[[#All],[Advanced Network/Insurance Carrier Org ID]],B180)/S180)</f>
        <v>NA</v>
      </c>
      <c r="AH180" s="419" t="str">
        <f t="shared" si="244"/>
        <v>NA</v>
      </c>
      <c r="AI180" s="420" t="str">
        <f t="shared" si="245"/>
        <v>NA</v>
      </c>
      <c r="AJ180" s="421" t="str">
        <f t="shared" si="246"/>
        <v>NA</v>
      </c>
      <c r="AK180" s="421" t="str">
        <f t="shared" si="247"/>
        <v>NA</v>
      </c>
      <c r="AL180" s="421" t="str">
        <f t="shared" si="248"/>
        <v>NA</v>
      </c>
      <c r="AM180" s="421" t="str">
        <f t="shared" si="249"/>
        <v>NA</v>
      </c>
      <c r="AN180" s="421" t="str">
        <f t="shared" si="250"/>
        <v>NA</v>
      </c>
      <c r="AO180" s="421" t="str">
        <f t="shared" si="251"/>
        <v>NA</v>
      </c>
      <c r="AP180" s="421" t="str">
        <f t="shared" si="252"/>
        <v>NA</v>
      </c>
      <c r="AQ180" s="421" t="str">
        <f t="shared" si="253"/>
        <v>NA</v>
      </c>
      <c r="AR180" s="422" t="str">
        <f t="shared" si="254"/>
        <v>NA</v>
      </c>
      <c r="AS180" s="422" t="str">
        <f t="shared" si="255"/>
        <v>NA</v>
      </c>
      <c r="AT180" s="422" t="str">
        <f t="shared" si="256"/>
        <v>NA</v>
      </c>
      <c r="AU180" s="422" t="str">
        <f t="shared" si="257"/>
        <v>NA</v>
      </c>
      <c r="AV180" s="423" t="str">
        <f t="shared" si="258"/>
        <v>NA</v>
      </c>
    </row>
    <row r="181" spans="1:48" ht="15" customHeight="1" x14ac:dyDescent="0.25">
      <c r="A181" s="146"/>
      <c r="B181" s="148">
        <v>110</v>
      </c>
      <c r="C181" s="151" t="str">
        <f>_xlfn.XLOOKUP(B181, LgProvEntOrgIDs[Advanced Network/Insurer Carrier Org ID], LgProvEntOrgIDs[Advanced Network/Insurance Carrier Overall])</f>
        <v>Value Care Alliance</v>
      </c>
      <c r="D181" s="448">
        <f>SUMIFS(AN_TME_BY[[#All],[Member Months]],AN_TME_BY[[#All],[Insurance Category Code]],1,AN_TME_BY[[#All],[Advanced Network/Insurance Carrier Org ID]],B181)</f>
        <v>0</v>
      </c>
      <c r="E181" s="137" t="str">
        <f>IF(D181=0,"NA",SUMIFS(AN_TME_BY[[#All],[Claims: Hospital Inpatient]],AN_TME_BY[[#All],[Insurance Category Code]],1,AN_TME_BY[[#All],[Advanced Network/Insurance Carrier Org ID]],B181)/D181)</f>
        <v>NA</v>
      </c>
      <c r="F181" s="108" t="str">
        <f>IF(D181=0,"NA",SUMIFS(AN_TME_BY[[#All],[Claims: Hospital Outpatient]],AN_TME_BY[[#All],[Insurance Category Code]],1,AN_TME_BY[[#All],[Advanced Network/Insurance Carrier Org ID]],B181)/D181)</f>
        <v>NA</v>
      </c>
      <c r="G181" s="108" t="str">
        <f>IF(D181=0,"NA",SUMIFS(AN_TME_BY[[#All],[Claims: Professional, Primary Care]],AN_TME_BY[[#All],[Insurance Category Code]],1,AN_TME_BY[[#All],[Advanced Network/Insurance Carrier Org ID]],B181)/D181)</f>
        <v>NA</v>
      </c>
      <c r="H181" s="108" t="str">
        <f>IF(D181=0,"NA",SUMIFS(AN_TME_BY[[#All],[Claims: Professional, Primary Care (for Monitoring Purposes)]],AN_TME_BY[[#All],[Insurance Category Code]],1,AN_TME_BY[[#All],[Advanced Network/Insurance Carrier Org ID]],B181)/D181)</f>
        <v>NA</v>
      </c>
      <c r="I181" s="108" t="str">
        <f>IF(D181=0,"NA",SUMIFS(AN_TME_BY[[#All],[Claims: Professional, Specialty]],AN_TME_BY[[#All],[Insurance Category Code]],1,AN_TME_BY[[#All],[Advanced Network/Insurance Carrier Org ID]],B181)/D181)</f>
        <v>NA</v>
      </c>
      <c r="J181" s="108" t="str">
        <f>IF(D181=0,"NA",SUMIFS(AN_TME_BY[[#All],[Claims: Professional Other]],AN_TME_BY[[#All],[Insurance Category Code]],1,AN_TME_BY[[#All],[Advanced Network/Insurance Carrier Org ID]],B181)/D181)</f>
        <v>NA</v>
      </c>
      <c r="K181" s="108" t="str">
        <f>IF(D181=0,"NA",SUMIFS(AN_TME_BY[[#All],[Claims: Pharmacy]],AN_TME_BY[[#All],[Insurance Category Code]],1,AN_TME_BY[[#All],[Advanced Network/Insurance Carrier Org ID]],B181)/D181)</f>
        <v>NA</v>
      </c>
      <c r="L181" s="108" t="str">
        <f>IF(D181=0,"NA",SUMIFS(AN_TME_BY[[#All],[Claims: Long-Term Care]],AN_TME_BY[[#All],[Insurance Category Code]],1,AN_TME_BY[[#All],[Advanced Network/Insurance Carrier Org ID]],B181)/D181)</f>
        <v>NA</v>
      </c>
      <c r="M181" s="108" t="str">
        <f>IF(D181=0,"NA",SUMIFS(AN_TME_BY[[#All],[Claims: Other]],AN_TME_BY[[#All],[Insurance Category Code]],1,AN_TME_BY[[#All],[Advanced Network/Insurance Carrier Org ID]],B181)/D181)</f>
        <v>NA</v>
      </c>
      <c r="N181" s="147" t="str">
        <f>IF(D181=0,"NA",SUMIFS(AN_TME_BY[[#All],[TOTAL Non-Truncated Unadjusted Claims Expenses]],AN_TME_BY[[#All],[Insurance Category Code]],1,AN_TME_BY[[#All],[Advanced Network/Insurance Carrier Org ID]],B181)/D181)</f>
        <v>NA</v>
      </c>
      <c r="O181" s="147" t="str">
        <f>IF(D181=0,"NA",SUMIFS(AN_TME_BY[[#All],[TOTAL Truncated Unadjusted Claims Expenses (A21 -A19)]],AN_TME_BY[[#All],[Insurance Category Code]],1,AN_TME_BY[[#All],[Advanced Network/Insurance Carrier Org ID]],B181)/D181)</f>
        <v>NA</v>
      </c>
      <c r="P181" s="147" t="str">
        <f>IF(D181=0,"NA",SUMIFS(AN_TME_BY[[#All],[TOTAL Non-Claims Expenses]],AN_TME_BY[[#All],[Insurance Category Code]],1,AN_TME_BY[[#All],[Advanced Network/Insurance Carrier Org ID]],B181)/D181)</f>
        <v>NA</v>
      </c>
      <c r="Q181" s="147" t="str">
        <f>IF(D181=0,"NA",SUMIFS(AN_TME_BY[[#All],[TOTAL Non-Truncated Unadjusted Expenses (A21 + A23)]],AN_TME_BY[[#All],[Insurance Category Code]],1,AN_TME_BY[[#All],[Advanced Network/Insurance Carrier Org ID]],B181)/D181)</f>
        <v>NA</v>
      </c>
      <c r="R181" s="147" t="str">
        <f>IF(D181=0,"NA",SUMIFS(AN_TME_BY[[#All],[TOTAL Truncated Unadjusted Expenses (A22 + A23)]],AN_TME_BY[[#All],[Insurance Category Code]],1,AN_TME_BY[[#All],[Advanced Network/Insurance Carrier Org ID]],B181)/D181)</f>
        <v>NA</v>
      </c>
      <c r="S181" s="448">
        <f>SUMIFS(AN_TME_PY[[#All],[Member Months]],AN_TME_PY[[#All],[Insurance Category Code]],1,AN_TME_PY[[#All],[Advanced Network/Insurance Carrier Org ID]],B181)</f>
        <v>0</v>
      </c>
      <c r="T181" s="137" t="str">
        <f>IF(S181=0,"NA",SUMIFS(AN_TME_PY[[#All],[Claims: Hospital Inpatient]],AN_TME_PY[[#All],[Insurance Category Code]],1,AN_TME_PY[[#All],[Advanced Network/Insurance Carrier Org ID]],B181)/S181)</f>
        <v>NA</v>
      </c>
      <c r="U181" s="108" t="str">
        <f>IF(S181=0,"NA",SUMIFS(AN_TME_PY[[#All],[Claims: Hospital Outpatient]],AN_TME_PY[[#All],[Insurance Category Code]],1,AN_TME_PY[[#All],[Advanced Network/Insurance Carrier Org ID]],B181)/S181)</f>
        <v>NA</v>
      </c>
      <c r="V181" s="108" t="str">
        <f>IF(S181=0,"NA",SUMIFS(AN_TME_PY[[#All],[Claims: Professional, Primary Care]],AN_TME_PY[[#All],[Insurance Category Code]],1,AN_TME_PY[[#All],[Advanced Network/Insurance Carrier Org ID]],B181)/S181)</f>
        <v>NA</v>
      </c>
      <c r="W181" s="108" t="str">
        <f>IF(S181=0,"NA",SUMIFS(AN_TME_PY[[#All],[Claims: Professional, Primary Care (for Monitoring Purposes)]],AN_TME_PY[[#All],[Insurance Category Code]],1,AN_TME_PY[[#All],[Advanced Network/Insurance Carrier Org ID]],B181)/S181)</f>
        <v>NA</v>
      </c>
      <c r="X181" s="108" t="str">
        <f>IF(S181=0,"NA",SUMIFS(AN_TME_PY[[#All],[Claims: Professional, Specialty]],AN_TME_PY[[#All],[Insurance Category Code]],1,AN_TME_PY[[#All],[Advanced Network/Insurance Carrier Org ID]],B181)/S181)</f>
        <v>NA</v>
      </c>
      <c r="Y181" s="108" t="str">
        <f>IF(S181=0,"NA",SUMIFS(AN_TME_PY[[#All],[Claims: Professional Other]],AN_TME_PY[[#All],[Insurance Category Code]],1,AN_TME_PY[[#All],[Advanced Network/Insurance Carrier Org ID]],B181)/S181)</f>
        <v>NA</v>
      </c>
      <c r="Z181" s="108" t="str">
        <f>IF(S181=0,"NA",SUMIFS(AN_TME_PY[[#All],[Claims: Pharmacy]],AN_TME_PY[[#All],[Insurance Category Code]],1,AN_TME_PY[[#All],[Advanced Network/Insurance Carrier Org ID]],B181)/S181)</f>
        <v>NA</v>
      </c>
      <c r="AA181" s="108" t="str">
        <f>IF(S181=0,"NA",SUMIFS(AN_TME_PY[[#All],[Claims: Long-Term Care]],AN_TME_PY[[#All],[Insurance Category Code]],1,AN_TME_PY[[#All],[Advanced Network/Insurance Carrier Org ID]],B181)/S181)</f>
        <v>NA</v>
      </c>
      <c r="AB181" s="108" t="str">
        <f>IF(S181=0,"NA",SUMIFS(AN_TME_PY[[#All],[Claims: Other]],AN_TME_PY[[#All],[Insurance Category Code]],1,AN_TME_PY[[#All],[Advanced Network/Insurance Carrier Org ID]],B181)/S181)</f>
        <v>NA</v>
      </c>
      <c r="AC181" s="147" t="str">
        <f>IF(S181=0,"NA",SUMIFS(AN_TME_PY[[#All],[TOTAL Non-Truncated Unadjusted Claims Expenses]],AN_TME_PY[[#All],[Insurance Category Code]],1,AN_TME_PY[[#All],[Advanced Network/Insurance Carrier Org ID]],B181)/S181)</f>
        <v>NA</v>
      </c>
      <c r="AD181" s="147" t="str">
        <f>IF(S181=0,"NA",SUMIFS(AN_TME_PY[[#All],[TOTAL Truncated Unadjusted Claims Expenses (A21 -A19)]],AN_TME_PY[[#All],[Insurance Category Code]],1,AN_TME_PY[[#All],[Advanced Network/Insurance Carrier Org ID]],B181)/S181)</f>
        <v>NA</v>
      </c>
      <c r="AE181" s="147" t="str">
        <f>IF(S181=0,"NA",SUMIFS(AN_TME_PY[[#All],[TOTAL Non-Claims Expenses]],AN_TME_PY[[#All],[Insurance Category Code]],1,AN_TME_PY[[#All],[Advanced Network/Insurance Carrier Org ID]],B181)/S181)</f>
        <v>NA</v>
      </c>
      <c r="AF181" s="147" t="str">
        <f>IF(S181=0,"NA",SUMIFS(AN_TME_PY[[#All],[TOTAL Non-Truncated Unadjusted Expenses (A21 + A23)]],AN_TME_PY[[#All],[Insurance Category Code]],1,AN_TME_PY[[#All],[Advanced Network/Insurance Carrier Org ID]],B181)/S181)</f>
        <v>NA</v>
      </c>
      <c r="AG181" s="138" t="str">
        <f>IF(S181=0,"NA",SUMIFS(AN_TME_PY[[#All],[TOTAL Truncated Unadjusted Expenses (A22 + A23)]],AN_TME_PY[[#All],[Insurance Category Code]],1,AN_TME_PY[[#All],[Advanced Network/Insurance Carrier Org ID]],B181)/S181)</f>
        <v>NA</v>
      </c>
      <c r="AH181" s="419" t="str">
        <f t="shared" si="244"/>
        <v>NA</v>
      </c>
      <c r="AI181" s="420" t="str">
        <f t="shared" si="245"/>
        <v>NA</v>
      </c>
      <c r="AJ181" s="421" t="str">
        <f t="shared" si="246"/>
        <v>NA</v>
      </c>
      <c r="AK181" s="421" t="str">
        <f t="shared" si="247"/>
        <v>NA</v>
      </c>
      <c r="AL181" s="421" t="str">
        <f t="shared" si="248"/>
        <v>NA</v>
      </c>
      <c r="AM181" s="421" t="str">
        <f t="shared" si="249"/>
        <v>NA</v>
      </c>
      <c r="AN181" s="421" t="str">
        <f t="shared" si="250"/>
        <v>NA</v>
      </c>
      <c r="AO181" s="421" t="str">
        <f t="shared" si="251"/>
        <v>NA</v>
      </c>
      <c r="AP181" s="421" t="str">
        <f t="shared" si="252"/>
        <v>NA</v>
      </c>
      <c r="AQ181" s="421" t="str">
        <f t="shared" si="253"/>
        <v>NA</v>
      </c>
      <c r="AR181" s="422" t="str">
        <f t="shared" si="254"/>
        <v>NA</v>
      </c>
      <c r="AS181" s="422" t="str">
        <f t="shared" si="255"/>
        <v>NA</v>
      </c>
      <c r="AT181" s="422" t="str">
        <f t="shared" si="256"/>
        <v>NA</v>
      </c>
      <c r="AU181" s="422" t="str">
        <f t="shared" si="257"/>
        <v>NA</v>
      </c>
      <c r="AV181" s="423" t="str">
        <f t="shared" si="258"/>
        <v>NA</v>
      </c>
    </row>
    <row r="182" spans="1:48" ht="15" customHeight="1" x14ac:dyDescent="0.25">
      <c r="A182" s="146"/>
      <c r="B182" s="148">
        <v>111</v>
      </c>
      <c r="C182" s="151" t="str">
        <f>_xlfn.XLOOKUP(B182, LgProvEntOrgIDs[Advanced Network/Insurer Carrier Org ID], LgProvEntOrgIDs[Advanced Network/Insurance Carrier Overall])</f>
        <v>NA</v>
      </c>
      <c r="D182" s="448">
        <f>SUMIFS(AN_TME_BY[[#All],[Member Months]],AN_TME_BY[[#All],[Insurance Category Code]],1,AN_TME_BY[[#All],[Advanced Network/Insurance Carrier Org ID]],B182)</f>
        <v>0</v>
      </c>
      <c r="E182" s="137" t="str">
        <f>IF(D182=0,"NA",SUMIFS(AN_TME_BY[[#All],[Claims: Hospital Inpatient]],AN_TME_BY[[#All],[Insurance Category Code]],1,AN_TME_BY[[#All],[Advanced Network/Insurance Carrier Org ID]],B182)/D182)</f>
        <v>NA</v>
      </c>
      <c r="F182" s="108" t="str">
        <f>IF(D182=0,"NA",SUMIFS(AN_TME_BY[[#All],[Claims: Hospital Outpatient]],AN_TME_BY[[#All],[Insurance Category Code]],1,AN_TME_BY[[#All],[Advanced Network/Insurance Carrier Org ID]],B182)/D182)</f>
        <v>NA</v>
      </c>
      <c r="G182" s="108" t="str">
        <f>IF(D182=0,"NA",SUMIFS(AN_TME_BY[[#All],[Claims: Professional, Primary Care]],AN_TME_BY[[#All],[Insurance Category Code]],1,AN_TME_BY[[#All],[Advanced Network/Insurance Carrier Org ID]],B182)/D182)</f>
        <v>NA</v>
      </c>
      <c r="H182" s="108" t="str">
        <f>IF(D182=0,"NA",SUMIFS(AN_TME_BY[[#All],[Claims: Professional, Primary Care (for Monitoring Purposes)]],AN_TME_BY[[#All],[Insurance Category Code]],1,AN_TME_BY[[#All],[Advanced Network/Insurance Carrier Org ID]],B182)/D182)</f>
        <v>NA</v>
      </c>
      <c r="I182" s="108" t="str">
        <f>IF(D182=0,"NA",SUMIFS(AN_TME_BY[[#All],[Claims: Professional, Specialty]],AN_TME_BY[[#All],[Insurance Category Code]],1,AN_TME_BY[[#All],[Advanced Network/Insurance Carrier Org ID]],B182)/D182)</f>
        <v>NA</v>
      </c>
      <c r="J182" s="108" t="str">
        <f>IF(D182=0,"NA",SUMIFS(AN_TME_BY[[#All],[Claims: Professional Other]],AN_TME_BY[[#All],[Insurance Category Code]],1,AN_TME_BY[[#All],[Advanced Network/Insurance Carrier Org ID]],B182)/D182)</f>
        <v>NA</v>
      </c>
      <c r="K182" s="108" t="str">
        <f>IF(D182=0,"NA",SUMIFS(AN_TME_BY[[#All],[Claims: Pharmacy]],AN_TME_BY[[#All],[Insurance Category Code]],1,AN_TME_BY[[#All],[Advanced Network/Insurance Carrier Org ID]],B182)/D182)</f>
        <v>NA</v>
      </c>
      <c r="L182" s="108" t="str">
        <f>IF(D182=0,"NA",SUMIFS(AN_TME_BY[[#All],[Claims: Long-Term Care]],AN_TME_BY[[#All],[Insurance Category Code]],1,AN_TME_BY[[#All],[Advanced Network/Insurance Carrier Org ID]],B182)/D182)</f>
        <v>NA</v>
      </c>
      <c r="M182" s="108" t="str">
        <f>IF(D182=0,"NA",SUMIFS(AN_TME_BY[[#All],[Claims: Other]],AN_TME_BY[[#All],[Insurance Category Code]],1,AN_TME_BY[[#All],[Advanced Network/Insurance Carrier Org ID]],B182)/D182)</f>
        <v>NA</v>
      </c>
      <c r="N182" s="147" t="str">
        <f>IF(D182=0,"NA",SUMIFS(AN_TME_BY[[#All],[TOTAL Non-Truncated Unadjusted Claims Expenses]],AN_TME_BY[[#All],[Insurance Category Code]],1,AN_TME_BY[[#All],[Advanced Network/Insurance Carrier Org ID]],B182)/D182)</f>
        <v>NA</v>
      </c>
      <c r="O182" s="147" t="str">
        <f>IF(D182=0,"NA",SUMIFS(AN_TME_BY[[#All],[TOTAL Truncated Unadjusted Claims Expenses (A21 -A19)]],AN_TME_BY[[#All],[Insurance Category Code]],1,AN_TME_BY[[#All],[Advanced Network/Insurance Carrier Org ID]],B182)/D182)</f>
        <v>NA</v>
      </c>
      <c r="P182" s="147" t="str">
        <f>IF(D182=0,"NA",SUMIFS(AN_TME_BY[[#All],[TOTAL Non-Claims Expenses]],AN_TME_BY[[#All],[Insurance Category Code]],1,AN_TME_BY[[#All],[Advanced Network/Insurance Carrier Org ID]],B182)/D182)</f>
        <v>NA</v>
      </c>
      <c r="Q182" s="147" t="str">
        <f>IF(D182=0,"NA",SUMIFS(AN_TME_BY[[#All],[TOTAL Non-Truncated Unadjusted Expenses (A21 + A23)]],AN_TME_BY[[#All],[Insurance Category Code]],1,AN_TME_BY[[#All],[Advanced Network/Insurance Carrier Org ID]],B182)/D182)</f>
        <v>NA</v>
      </c>
      <c r="R182" s="147" t="str">
        <f>IF(D182=0,"NA",SUMIFS(AN_TME_BY[[#All],[TOTAL Truncated Unadjusted Expenses (A22 + A23)]],AN_TME_BY[[#All],[Insurance Category Code]],1,AN_TME_BY[[#All],[Advanced Network/Insurance Carrier Org ID]],B182)/D182)</f>
        <v>NA</v>
      </c>
      <c r="S182" s="448">
        <f>SUMIFS(AN_TME_PY[[#All],[Member Months]],AN_TME_PY[[#All],[Insurance Category Code]],1,AN_TME_PY[[#All],[Advanced Network/Insurance Carrier Org ID]],B182)</f>
        <v>0</v>
      </c>
      <c r="T182" s="137" t="str">
        <f>IF(S182=0,"NA",SUMIFS(AN_TME_PY[[#All],[Claims: Hospital Inpatient]],AN_TME_PY[[#All],[Insurance Category Code]],1,AN_TME_PY[[#All],[Advanced Network/Insurance Carrier Org ID]],B182)/S182)</f>
        <v>NA</v>
      </c>
      <c r="U182" s="108" t="str">
        <f>IF(S182=0,"NA",SUMIFS(AN_TME_PY[[#All],[Claims: Hospital Outpatient]],AN_TME_PY[[#All],[Insurance Category Code]],1,AN_TME_PY[[#All],[Advanced Network/Insurance Carrier Org ID]],B182)/S182)</f>
        <v>NA</v>
      </c>
      <c r="V182" s="108" t="str">
        <f>IF(S182=0,"NA",SUMIFS(AN_TME_PY[[#All],[Claims: Professional, Primary Care]],AN_TME_PY[[#All],[Insurance Category Code]],1,AN_TME_PY[[#All],[Advanced Network/Insurance Carrier Org ID]],B182)/S182)</f>
        <v>NA</v>
      </c>
      <c r="W182" s="108" t="str">
        <f>IF(S182=0,"NA",SUMIFS(AN_TME_PY[[#All],[Claims: Professional, Primary Care (for Monitoring Purposes)]],AN_TME_PY[[#All],[Insurance Category Code]],1,AN_TME_PY[[#All],[Advanced Network/Insurance Carrier Org ID]],B182)/S182)</f>
        <v>NA</v>
      </c>
      <c r="X182" s="108" t="str">
        <f>IF(S182=0,"NA",SUMIFS(AN_TME_PY[[#All],[Claims: Professional, Specialty]],AN_TME_PY[[#All],[Insurance Category Code]],1,AN_TME_PY[[#All],[Advanced Network/Insurance Carrier Org ID]],B182)/S182)</f>
        <v>NA</v>
      </c>
      <c r="Y182" s="108" t="str">
        <f>IF(S182=0,"NA",SUMIFS(AN_TME_PY[[#All],[Claims: Professional Other]],AN_TME_PY[[#All],[Insurance Category Code]],1,AN_TME_PY[[#All],[Advanced Network/Insurance Carrier Org ID]],B182)/S182)</f>
        <v>NA</v>
      </c>
      <c r="Z182" s="108" t="str">
        <f>IF(S182=0,"NA",SUMIFS(AN_TME_PY[[#All],[Claims: Pharmacy]],AN_TME_PY[[#All],[Insurance Category Code]],1,AN_TME_PY[[#All],[Advanced Network/Insurance Carrier Org ID]],B182)/S182)</f>
        <v>NA</v>
      </c>
      <c r="AA182" s="108" t="str">
        <f>IF(S182=0,"NA",SUMIFS(AN_TME_PY[[#All],[Claims: Long-Term Care]],AN_TME_PY[[#All],[Insurance Category Code]],1,AN_TME_PY[[#All],[Advanced Network/Insurance Carrier Org ID]],B182)/S182)</f>
        <v>NA</v>
      </c>
      <c r="AB182" s="108" t="str">
        <f>IF(S182=0,"NA",SUMIFS(AN_TME_PY[[#All],[Claims: Other]],AN_TME_PY[[#All],[Insurance Category Code]],1,AN_TME_PY[[#All],[Advanced Network/Insurance Carrier Org ID]],B182)/S182)</f>
        <v>NA</v>
      </c>
      <c r="AC182" s="147" t="str">
        <f>IF(S182=0,"NA",SUMIFS(AN_TME_PY[[#All],[TOTAL Non-Truncated Unadjusted Claims Expenses]],AN_TME_PY[[#All],[Insurance Category Code]],1,AN_TME_PY[[#All],[Advanced Network/Insurance Carrier Org ID]],B182)/S182)</f>
        <v>NA</v>
      </c>
      <c r="AD182" s="147" t="str">
        <f>IF(S182=0,"NA",SUMIFS(AN_TME_PY[[#All],[TOTAL Truncated Unadjusted Claims Expenses (A21 -A19)]],AN_TME_PY[[#All],[Insurance Category Code]],1,AN_TME_PY[[#All],[Advanced Network/Insurance Carrier Org ID]],B182)/S182)</f>
        <v>NA</v>
      </c>
      <c r="AE182" s="147" t="str">
        <f>IF(S182=0,"NA",SUMIFS(AN_TME_PY[[#All],[TOTAL Non-Claims Expenses]],AN_TME_PY[[#All],[Insurance Category Code]],1,AN_TME_PY[[#All],[Advanced Network/Insurance Carrier Org ID]],B182)/S182)</f>
        <v>NA</v>
      </c>
      <c r="AF182" s="147" t="str">
        <f>IF(S182=0,"NA",SUMIFS(AN_TME_PY[[#All],[TOTAL Non-Truncated Unadjusted Expenses (A21 + A23)]],AN_TME_PY[[#All],[Insurance Category Code]],1,AN_TME_PY[[#All],[Advanced Network/Insurance Carrier Org ID]],B182)/S182)</f>
        <v>NA</v>
      </c>
      <c r="AG182" s="138" t="str">
        <f>IF(S182=0,"NA",SUMIFS(AN_TME_PY[[#All],[TOTAL Truncated Unadjusted Expenses (A22 + A23)]],AN_TME_PY[[#All],[Insurance Category Code]],1,AN_TME_PY[[#All],[Advanced Network/Insurance Carrier Org ID]],B182)/S182)</f>
        <v>NA</v>
      </c>
      <c r="AH182" s="419" t="str">
        <f>IF(D182=0,"NA",S182/D182-1)</f>
        <v>NA</v>
      </c>
      <c r="AI182" s="420" t="str">
        <f>IF(D182=0,"NA",T182/E182-1)</f>
        <v>NA</v>
      </c>
      <c r="AJ182" s="421" t="str">
        <f>IF(D182=0,"NA",U182/F182-1)</f>
        <v>NA</v>
      </c>
      <c r="AK182" s="421" t="str">
        <f>IF(D182=0,"NA",V182/G182-1)</f>
        <v>NA</v>
      </c>
      <c r="AL182" s="421" t="str">
        <f>IF(D182=0,"NA",W182/H182-1)</f>
        <v>NA</v>
      </c>
      <c r="AM182" s="421" t="str">
        <f>IF(D182=0,"NA",X182/I182-1)</f>
        <v>NA</v>
      </c>
      <c r="AN182" s="421" t="str">
        <f>IF(D182=0,"NA",Y182/J182-1)</f>
        <v>NA</v>
      </c>
      <c r="AO182" s="421" t="str">
        <f>IF(D182=0,"NA",Z182/K182-1)</f>
        <v>NA</v>
      </c>
      <c r="AP182" s="421" t="str">
        <f>IF(D182=0,"NA",AA182/L182-1)</f>
        <v>NA</v>
      </c>
      <c r="AQ182" s="421" t="str">
        <f>IF(D182=0,"NA",AB182/M182-1)</f>
        <v>NA</v>
      </c>
      <c r="AR182" s="422" t="str">
        <f>IF(D182=0,"NA",AC182/N182-1)</f>
        <v>NA</v>
      </c>
      <c r="AS182" s="422" t="str">
        <f>IF(D182=0,"NA",AD182/O182-1)</f>
        <v>NA</v>
      </c>
      <c r="AT182" s="422" t="str">
        <f>IF(D182=0,"NA",AE182/P182-1)</f>
        <v>NA</v>
      </c>
      <c r="AU182" s="422" t="str">
        <f>IF(D182=0,"NA",AF182/Q182-1)</f>
        <v>NA</v>
      </c>
      <c r="AV182" s="423" t="str">
        <f>IF(D182=0,"NA",AG182/R182-1)</f>
        <v>NA</v>
      </c>
    </row>
    <row r="183" spans="1:48" ht="15" customHeight="1" x14ac:dyDescent="0.25">
      <c r="A183" s="146"/>
      <c r="B183" s="148">
        <v>112</v>
      </c>
      <c r="C183" s="151" t="str">
        <f>_xlfn.XLOOKUP(B183, LgProvEntOrgIDs[Advanced Network/Insurer Carrier Org ID], LgProvEntOrgIDs[Advanced Network/Insurance Carrier Overall])</f>
        <v>Charter Oak Health Center</v>
      </c>
      <c r="D183" s="448">
        <f>SUMIFS(AN_TME_BY[[#All],[Member Months]],AN_TME_BY[[#All],[Insurance Category Code]],1,AN_TME_BY[[#All],[Advanced Network/Insurance Carrier Org ID]],B183)</f>
        <v>0</v>
      </c>
      <c r="E183" s="137" t="str">
        <f>IF(D183=0,"NA",SUMIFS(AN_TME_BY[[#All],[Claims: Hospital Inpatient]],AN_TME_BY[[#All],[Insurance Category Code]],1,AN_TME_BY[[#All],[Advanced Network/Insurance Carrier Org ID]],B183)/D183)</f>
        <v>NA</v>
      </c>
      <c r="F183" s="108" t="str">
        <f>IF(D183=0,"NA",SUMIFS(AN_TME_BY[[#All],[Claims: Hospital Outpatient]],AN_TME_BY[[#All],[Insurance Category Code]],1,AN_TME_BY[[#All],[Advanced Network/Insurance Carrier Org ID]],B183)/D183)</f>
        <v>NA</v>
      </c>
      <c r="G183" s="108" t="str">
        <f>IF(D183=0,"NA",SUMIFS(AN_TME_BY[[#All],[Claims: Professional, Primary Care]],AN_TME_BY[[#All],[Insurance Category Code]],1,AN_TME_BY[[#All],[Advanced Network/Insurance Carrier Org ID]],B183)/D183)</f>
        <v>NA</v>
      </c>
      <c r="H183" s="108" t="str">
        <f>IF(D183=0,"NA",SUMIFS(AN_TME_BY[[#All],[Claims: Professional, Primary Care (for Monitoring Purposes)]],AN_TME_BY[[#All],[Insurance Category Code]],1,AN_TME_BY[[#All],[Advanced Network/Insurance Carrier Org ID]],B183)/D183)</f>
        <v>NA</v>
      </c>
      <c r="I183" s="108" t="str">
        <f>IF(D183=0,"NA",SUMIFS(AN_TME_BY[[#All],[Claims: Professional, Specialty]],AN_TME_BY[[#All],[Insurance Category Code]],1,AN_TME_BY[[#All],[Advanced Network/Insurance Carrier Org ID]],B183)/D183)</f>
        <v>NA</v>
      </c>
      <c r="J183" s="108" t="str">
        <f>IF(D183=0,"NA",SUMIFS(AN_TME_BY[[#All],[Claims: Professional Other]],AN_TME_BY[[#All],[Insurance Category Code]],1,AN_TME_BY[[#All],[Advanced Network/Insurance Carrier Org ID]],B183)/D183)</f>
        <v>NA</v>
      </c>
      <c r="K183" s="108" t="str">
        <f>IF(D183=0,"NA",SUMIFS(AN_TME_BY[[#All],[Claims: Pharmacy]],AN_TME_BY[[#All],[Insurance Category Code]],1,AN_TME_BY[[#All],[Advanced Network/Insurance Carrier Org ID]],B183)/D183)</f>
        <v>NA</v>
      </c>
      <c r="L183" s="108" t="str">
        <f>IF(D183=0,"NA",SUMIFS(AN_TME_BY[[#All],[Claims: Long-Term Care]],AN_TME_BY[[#All],[Insurance Category Code]],1,AN_TME_BY[[#All],[Advanced Network/Insurance Carrier Org ID]],B183)/D183)</f>
        <v>NA</v>
      </c>
      <c r="M183" s="108" t="str">
        <f>IF(D183=0,"NA",SUMIFS(AN_TME_BY[[#All],[Claims: Other]],AN_TME_BY[[#All],[Insurance Category Code]],1,AN_TME_BY[[#All],[Advanced Network/Insurance Carrier Org ID]],B183)/D183)</f>
        <v>NA</v>
      </c>
      <c r="N183" s="147" t="str">
        <f>IF(D183=0,"NA",SUMIFS(AN_TME_BY[[#All],[TOTAL Non-Truncated Unadjusted Claims Expenses]],AN_TME_BY[[#All],[Insurance Category Code]],1,AN_TME_BY[[#All],[Advanced Network/Insurance Carrier Org ID]],B183)/D183)</f>
        <v>NA</v>
      </c>
      <c r="O183" s="147" t="str">
        <f>IF(D183=0,"NA",SUMIFS(AN_TME_BY[[#All],[TOTAL Truncated Unadjusted Claims Expenses (A21 -A19)]],AN_TME_BY[[#All],[Insurance Category Code]],1,AN_TME_BY[[#All],[Advanced Network/Insurance Carrier Org ID]],B183)/D183)</f>
        <v>NA</v>
      </c>
      <c r="P183" s="147" t="str">
        <f>IF(D183=0,"NA",SUMIFS(AN_TME_BY[[#All],[TOTAL Non-Claims Expenses]],AN_TME_BY[[#All],[Insurance Category Code]],1,AN_TME_BY[[#All],[Advanced Network/Insurance Carrier Org ID]],B183)/D183)</f>
        <v>NA</v>
      </c>
      <c r="Q183" s="147" t="str">
        <f>IF(D183=0,"NA",SUMIFS(AN_TME_BY[[#All],[TOTAL Non-Truncated Unadjusted Expenses (A21 + A23)]],AN_TME_BY[[#All],[Insurance Category Code]],1,AN_TME_BY[[#All],[Advanced Network/Insurance Carrier Org ID]],B183)/D183)</f>
        <v>NA</v>
      </c>
      <c r="R183" s="147" t="str">
        <f>IF(D183=0,"NA",SUMIFS(AN_TME_BY[[#All],[TOTAL Truncated Unadjusted Expenses (A22 + A23)]],AN_TME_BY[[#All],[Insurance Category Code]],1,AN_TME_BY[[#All],[Advanced Network/Insurance Carrier Org ID]],B183)/D183)</f>
        <v>NA</v>
      </c>
      <c r="S183" s="448">
        <f>SUMIFS(AN_TME_PY[[#All],[Member Months]],AN_TME_PY[[#All],[Insurance Category Code]],1,AN_TME_PY[[#All],[Advanced Network/Insurance Carrier Org ID]],B183)</f>
        <v>0</v>
      </c>
      <c r="T183" s="137" t="str">
        <f>IF(S183=0,"NA",SUMIFS(AN_TME_PY[[#All],[Claims: Hospital Inpatient]],AN_TME_PY[[#All],[Insurance Category Code]],1,AN_TME_PY[[#All],[Advanced Network/Insurance Carrier Org ID]],B183)/S183)</f>
        <v>NA</v>
      </c>
      <c r="U183" s="108" t="str">
        <f>IF(S183=0,"NA",SUMIFS(AN_TME_PY[[#All],[Claims: Hospital Outpatient]],AN_TME_PY[[#All],[Insurance Category Code]],1,AN_TME_PY[[#All],[Advanced Network/Insurance Carrier Org ID]],B183)/S183)</f>
        <v>NA</v>
      </c>
      <c r="V183" s="108" t="str">
        <f>IF(S183=0,"NA",SUMIFS(AN_TME_PY[[#All],[Claims: Professional, Primary Care]],AN_TME_PY[[#All],[Insurance Category Code]],1,AN_TME_PY[[#All],[Advanced Network/Insurance Carrier Org ID]],B183)/S183)</f>
        <v>NA</v>
      </c>
      <c r="W183" s="108" t="str">
        <f>IF(S183=0,"NA",SUMIFS(AN_TME_PY[[#All],[Claims: Professional, Primary Care (for Monitoring Purposes)]],AN_TME_PY[[#All],[Insurance Category Code]],1,AN_TME_PY[[#All],[Advanced Network/Insurance Carrier Org ID]],B183)/S183)</f>
        <v>NA</v>
      </c>
      <c r="X183" s="108" t="str">
        <f>IF(S183=0,"NA",SUMIFS(AN_TME_PY[[#All],[Claims: Professional, Specialty]],AN_TME_PY[[#All],[Insurance Category Code]],1,AN_TME_PY[[#All],[Advanced Network/Insurance Carrier Org ID]],B183)/S183)</f>
        <v>NA</v>
      </c>
      <c r="Y183" s="108" t="str">
        <f>IF(S183=0,"NA",SUMIFS(AN_TME_PY[[#All],[Claims: Professional Other]],AN_TME_PY[[#All],[Insurance Category Code]],1,AN_TME_PY[[#All],[Advanced Network/Insurance Carrier Org ID]],B183)/S183)</f>
        <v>NA</v>
      </c>
      <c r="Z183" s="108" t="str">
        <f>IF(S183=0,"NA",SUMIFS(AN_TME_PY[[#All],[Claims: Pharmacy]],AN_TME_PY[[#All],[Insurance Category Code]],1,AN_TME_PY[[#All],[Advanced Network/Insurance Carrier Org ID]],B183)/S183)</f>
        <v>NA</v>
      </c>
      <c r="AA183" s="108" t="str">
        <f>IF(S183=0,"NA",SUMIFS(AN_TME_PY[[#All],[Claims: Long-Term Care]],AN_TME_PY[[#All],[Insurance Category Code]],1,AN_TME_PY[[#All],[Advanced Network/Insurance Carrier Org ID]],B183)/S183)</f>
        <v>NA</v>
      </c>
      <c r="AB183" s="108" t="str">
        <f>IF(S183=0,"NA",SUMIFS(AN_TME_PY[[#All],[Claims: Other]],AN_TME_PY[[#All],[Insurance Category Code]],1,AN_TME_PY[[#All],[Advanced Network/Insurance Carrier Org ID]],B183)/S183)</f>
        <v>NA</v>
      </c>
      <c r="AC183" s="147" t="str">
        <f>IF(S183=0,"NA",SUMIFS(AN_TME_PY[[#All],[TOTAL Non-Truncated Unadjusted Claims Expenses]],AN_TME_PY[[#All],[Insurance Category Code]],1,AN_TME_PY[[#All],[Advanced Network/Insurance Carrier Org ID]],B183)/S183)</f>
        <v>NA</v>
      </c>
      <c r="AD183" s="147" t="str">
        <f>IF(S183=0,"NA",SUMIFS(AN_TME_PY[[#All],[TOTAL Truncated Unadjusted Claims Expenses (A21 -A19)]],AN_TME_PY[[#All],[Insurance Category Code]],1,AN_TME_PY[[#All],[Advanced Network/Insurance Carrier Org ID]],B183)/S183)</f>
        <v>NA</v>
      </c>
      <c r="AE183" s="147" t="str">
        <f>IF(S183=0,"NA",SUMIFS(AN_TME_PY[[#All],[TOTAL Non-Claims Expenses]],AN_TME_PY[[#All],[Insurance Category Code]],1,AN_TME_PY[[#All],[Advanced Network/Insurance Carrier Org ID]],B183)/S183)</f>
        <v>NA</v>
      </c>
      <c r="AF183" s="147" t="str">
        <f>IF(S183=0,"NA",SUMIFS(AN_TME_PY[[#All],[TOTAL Non-Truncated Unadjusted Expenses (A21 + A23)]],AN_TME_PY[[#All],[Insurance Category Code]],1,AN_TME_PY[[#All],[Advanced Network/Insurance Carrier Org ID]],B183)/S183)</f>
        <v>NA</v>
      </c>
      <c r="AG183" s="138" t="str">
        <f>IF(S183=0,"NA",SUMIFS(AN_TME_PY[[#All],[TOTAL Truncated Unadjusted Expenses (A22 + A23)]],AN_TME_PY[[#All],[Insurance Category Code]],1,AN_TME_PY[[#All],[Advanced Network/Insurance Carrier Org ID]],B183)/S183)</f>
        <v>NA</v>
      </c>
      <c r="AH183" s="419" t="str">
        <f t="shared" ref="AH183:AH202" si="259">IF(D183=0,"NA",S183/D183-1)</f>
        <v>NA</v>
      </c>
      <c r="AI183" s="420" t="str">
        <f t="shared" ref="AI183:AI202" si="260">IF(D183=0,"NA",T183/E183-1)</f>
        <v>NA</v>
      </c>
      <c r="AJ183" s="421" t="str">
        <f t="shared" ref="AJ183:AJ202" si="261">IF(D183=0,"NA",U183/F183-1)</f>
        <v>NA</v>
      </c>
      <c r="AK183" s="421" t="str">
        <f t="shared" ref="AK183:AK202" si="262">IF(D183=0,"NA",V183/G183-1)</f>
        <v>NA</v>
      </c>
      <c r="AL183" s="421" t="str">
        <f t="shared" ref="AL183:AL202" si="263">IF(D183=0,"NA",W183/H183-1)</f>
        <v>NA</v>
      </c>
      <c r="AM183" s="421" t="str">
        <f t="shared" ref="AM183:AM202" si="264">IF(D183=0,"NA",X183/I183-1)</f>
        <v>NA</v>
      </c>
      <c r="AN183" s="421" t="str">
        <f t="shared" ref="AN183:AN202" si="265">IF(D183=0,"NA",Y183/J183-1)</f>
        <v>NA</v>
      </c>
      <c r="AO183" s="421" t="str">
        <f t="shared" ref="AO183:AO202" si="266">IF(D183=0,"NA",Z183/K183-1)</f>
        <v>NA</v>
      </c>
      <c r="AP183" s="421" t="str">
        <f t="shared" ref="AP183:AP202" si="267">IF(D183=0,"NA",AA183/L183-1)</f>
        <v>NA</v>
      </c>
      <c r="AQ183" s="421" t="str">
        <f t="shared" ref="AQ183:AQ202" si="268">IF(D183=0,"NA",AB183/M183-1)</f>
        <v>NA</v>
      </c>
      <c r="AR183" s="422" t="str">
        <f t="shared" ref="AR183:AR202" si="269">IF(D183=0,"NA",AC183/N183-1)</f>
        <v>NA</v>
      </c>
      <c r="AS183" s="422" t="str">
        <f t="shared" ref="AS183:AS202" si="270">IF(D183=0,"NA",AD183/O183-1)</f>
        <v>NA</v>
      </c>
      <c r="AT183" s="422" t="str">
        <f t="shared" ref="AT183:AT202" si="271">IF(D183=0,"NA",AE183/P183-1)</f>
        <v>NA</v>
      </c>
      <c r="AU183" s="422" t="str">
        <f t="shared" ref="AU183:AU202" si="272">IF(D183=0,"NA",AF183/Q183-1)</f>
        <v>NA</v>
      </c>
      <c r="AV183" s="423" t="str">
        <f t="shared" ref="AV183:AV202" si="273">IF(D183=0,"NA",AG183/R183-1)</f>
        <v>NA</v>
      </c>
    </row>
    <row r="184" spans="1:48" ht="15" customHeight="1" x14ac:dyDescent="0.25">
      <c r="A184" s="146"/>
      <c r="B184" s="148">
        <v>113</v>
      </c>
      <c r="C184" s="151" t="str">
        <f>_xlfn.XLOOKUP(B184, LgProvEntOrgIDs[Advanced Network/Insurer Carrier Org ID], LgProvEntOrgIDs[Advanced Network/Insurance Carrier Overall])</f>
        <v>CIFC Greater Danbury Community Health Center</v>
      </c>
      <c r="D184" s="448">
        <f>SUMIFS(AN_TME_BY[[#All],[Member Months]],AN_TME_BY[[#All],[Insurance Category Code]],1,AN_TME_BY[[#All],[Advanced Network/Insurance Carrier Org ID]],B184)</f>
        <v>0</v>
      </c>
      <c r="E184" s="137" t="str">
        <f>IF(D184=0,"NA",SUMIFS(AN_TME_BY[[#All],[Claims: Hospital Inpatient]],AN_TME_BY[[#All],[Insurance Category Code]],1,AN_TME_BY[[#All],[Advanced Network/Insurance Carrier Org ID]],B184)/D184)</f>
        <v>NA</v>
      </c>
      <c r="F184" s="108" t="str">
        <f>IF(D184=0,"NA",SUMIFS(AN_TME_BY[[#All],[Claims: Hospital Outpatient]],AN_TME_BY[[#All],[Insurance Category Code]],1,AN_TME_BY[[#All],[Advanced Network/Insurance Carrier Org ID]],B184)/D184)</f>
        <v>NA</v>
      </c>
      <c r="G184" s="108" t="str">
        <f>IF(D184=0,"NA",SUMIFS(AN_TME_BY[[#All],[Claims: Professional, Primary Care]],AN_TME_BY[[#All],[Insurance Category Code]],1,AN_TME_BY[[#All],[Advanced Network/Insurance Carrier Org ID]],B184)/D184)</f>
        <v>NA</v>
      </c>
      <c r="H184" s="108" t="str">
        <f>IF(D184=0,"NA",SUMIFS(AN_TME_BY[[#All],[Claims: Professional, Primary Care (for Monitoring Purposes)]],AN_TME_BY[[#All],[Insurance Category Code]],1,AN_TME_BY[[#All],[Advanced Network/Insurance Carrier Org ID]],B184)/D184)</f>
        <v>NA</v>
      </c>
      <c r="I184" s="108" t="str">
        <f>IF(D184=0,"NA",SUMIFS(AN_TME_BY[[#All],[Claims: Professional, Specialty]],AN_TME_BY[[#All],[Insurance Category Code]],1,AN_TME_BY[[#All],[Advanced Network/Insurance Carrier Org ID]],B184)/D184)</f>
        <v>NA</v>
      </c>
      <c r="J184" s="108" t="str">
        <f>IF(D184=0,"NA",SUMIFS(AN_TME_BY[[#All],[Claims: Professional Other]],AN_TME_BY[[#All],[Insurance Category Code]],1,AN_TME_BY[[#All],[Advanced Network/Insurance Carrier Org ID]],B184)/D184)</f>
        <v>NA</v>
      </c>
      <c r="K184" s="108" t="str">
        <f>IF(D184=0,"NA",SUMIFS(AN_TME_BY[[#All],[Claims: Pharmacy]],AN_TME_BY[[#All],[Insurance Category Code]],1,AN_TME_BY[[#All],[Advanced Network/Insurance Carrier Org ID]],B184)/D184)</f>
        <v>NA</v>
      </c>
      <c r="L184" s="108" t="str">
        <f>IF(D184=0,"NA",SUMIFS(AN_TME_BY[[#All],[Claims: Long-Term Care]],AN_TME_BY[[#All],[Insurance Category Code]],1,AN_TME_BY[[#All],[Advanced Network/Insurance Carrier Org ID]],B184)/D184)</f>
        <v>NA</v>
      </c>
      <c r="M184" s="108" t="str">
        <f>IF(D184=0,"NA",SUMIFS(AN_TME_BY[[#All],[Claims: Other]],AN_TME_BY[[#All],[Insurance Category Code]],1,AN_TME_BY[[#All],[Advanced Network/Insurance Carrier Org ID]],B184)/D184)</f>
        <v>NA</v>
      </c>
      <c r="N184" s="147" t="str">
        <f>IF(D184=0,"NA",SUMIFS(AN_TME_BY[[#All],[TOTAL Non-Truncated Unadjusted Claims Expenses]],AN_TME_BY[[#All],[Insurance Category Code]],1,AN_TME_BY[[#All],[Advanced Network/Insurance Carrier Org ID]],B184)/D184)</f>
        <v>NA</v>
      </c>
      <c r="O184" s="147" t="str">
        <f>IF(D184=0,"NA",SUMIFS(AN_TME_BY[[#All],[TOTAL Truncated Unadjusted Claims Expenses (A21 -A19)]],AN_TME_BY[[#All],[Insurance Category Code]],1,AN_TME_BY[[#All],[Advanced Network/Insurance Carrier Org ID]],B184)/D184)</f>
        <v>NA</v>
      </c>
      <c r="P184" s="147" t="str">
        <f>IF(D184=0,"NA",SUMIFS(AN_TME_BY[[#All],[TOTAL Non-Claims Expenses]],AN_TME_BY[[#All],[Insurance Category Code]],1,AN_TME_BY[[#All],[Advanced Network/Insurance Carrier Org ID]],B184)/D184)</f>
        <v>NA</v>
      </c>
      <c r="Q184" s="147" t="str">
        <f>IF(D184=0,"NA",SUMIFS(AN_TME_BY[[#All],[TOTAL Non-Truncated Unadjusted Expenses (A21 + A23)]],AN_TME_BY[[#All],[Insurance Category Code]],1,AN_TME_BY[[#All],[Advanced Network/Insurance Carrier Org ID]],B184)/D184)</f>
        <v>NA</v>
      </c>
      <c r="R184" s="147" t="str">
        <f>IF(D184=0,"NA",SUMIFS(AN_TME_BY[[#All],[TOTAL Truncated Unadjusted Expenses (A22 + A23)]],AN_TME_BY[[#All],[Insurance Category Code]],1,AN_TME_BY[[#All],[Advanced Network/Insurance Carrier Org ID]],B184)/D184)</f>
        <v>NA</v>
      </c>
      <c r="S184" s="448">
        <f>SUMIFS(AN_TME_PY[[#All],[Member Months]],AN_TME_PY[[#All],[Insurance Category Code]],1,AN_TME_PY[[#All],[Advanced Network/Insurance Carrier Org ID]],B184)</f>
        <v>0</v>
      </c>
      <c r="T184" s="137" t="str">
        <f>IF(S184=0,"NA",SUMIFS(AN_TME_PY[[#All],[Claims: Hospital Inpatient]],AN_TME_PY[[#All],[Insurance Category Code]],1,AN_TME_PY[[#All],[Advanced Network/Insurance Carrier Org ID]],B184)/S184)</f>
        <v>NA</v>
      </c>
      <c r="U184" s="108" t="str">
        <f>IF(S184=0,"NA",SUMIFS(AN_TME_PY[[#All],[Claims: Hospital Outpatient]],AN_TME_PY[[#All],[Insurance Category Code]],1,AN_TME_PY[[#All],[Advanced Network/Insurance Carrier Org ID]],B184)/S184)</f>
        <v>NA</v>
      </c>
      <c r="V184" s="108" t="str">
        <f>IF(S184=0,"NA",SUMIFS(AN_TME_PY[[#All],[Claims: Professional, Primary Care]],AN_TME_PY[[#All],[Insurance Category Code]],1,AN_TME_PY[[#All],[Advanced Network/Insurance Carrier Org ID]],B184)/S184)</f>
        <v>NA</v>
      </c>
      <c r="W184" s="108" t="str">
        <f>IF(S184=0,"NA",SUMIFS(AN_TME_PY[[#All],[Claims: Professional, Primary Care (for Monitoring Purposes)]],AN_TME_PY[[#All],[Insurance Category Code]],1,AN_TME_PY[[#All],[Advanced Network/Insurance Carrier Org ID]],B184)/S184)</f>
        <v>NA</v>
      </c>
      <c r="X184" s="108" t="str">
        <f>IF(S184=0,"NA",SUMIFS(AN_TME_PY[[#All],[Claims: Professional, Specialty]],AN_TME_PY[[#All],[Insurance Category Code]],1,AN_TME_PY[[#All],[Advanced Network/Insurance Carrier Org ID]],B184)/S184)</f>
        <v>NA</v>
      </c>
      <c r="Y184" s="108" t="str">
        <f>IF(S184=0,"NA",SUMIFS(AN_TME_PY[[#All],[Claims: Professional Other]],AN_TME_PY[[#All],[Insurance Category Code]],1,AN_TME_PY[[#All],[Advanced Network/Insurance Carrier Org ID]],B184)/S184)</f>
        <v>NA</v>
      </c>
      <c r="Z184" s="108" t="str">
        <f>IF(S184=0,"NA",SUMIFS(AN_TME_PY[[#All],[Claims: Pharmacy]],AN_TME_PY[[#All],[Insurance Category Code]],1,AN_TME_PY[[#All],[Advanced Network/Insurance Carrier Org ID]],B184)/S184)</f>
        <v>NA</v>
      </c>
      <c r="AA184" s="108" t="str">
        <f>IF(S184=0,"NA",SUMIFS(AN_TME_PY[[#All],[Claims: Long-Term Care]],AN_TME_PY[[#All],[Insurance Category Code]],1,AN_TME_PY[[#All],[Advanced Network/Insurance Carrier Org ID]],B184)/S184)</f>
        <v>NA</v>
      </c>
      <c r="AB184" s="108" t="str">
        <f>IF(S184=0,"NA",SUMIFS(AN_TME_PY[[#All],[Claims: Other]],AN_TME_PY[[#All],[Insurance Category Code]],1,AN_TME_PY[[#All],[Advanced Network/Insurance Carrier Org ID]],B184)/S184)</f>
        <v>NA</v>
      </c>
      <c r="AC184" s="147" t="str">
        <f>IF(S184=0,"NA",SUMIFS(AN_TME_PY[[#All],[TOTAL Non-Truncated Unadjusted Claims Expenses]],AN_TME_PY[[#All],[Insurance Category Code]],1,AN_TME_PY[[#All],[Advanced Network/Insurance Carrier Org ID]],B184)/S184)</f>
        <v>NA</v>
      </c>
      <c r="AD184" s="147" t="str">
        <f>IF(S184=0,"NA",SUMIFS(AN_TME_PY[[#All],[TOTAL Truncated Unadjusted Claims Expenses (A21 -A19)]],AN_TME_PY[[#All],[Insurance Category Code]],1,AN_TME_PY[[#All],[Advanced Network/Insurance Carrier Org ID]],B184)/S184)</f>
        <v>NA</v>
      </c>
      <c r="AE184" s="147" t="str">
        <f>IF(S184=0,"NA",SUMIFS(AN_TME_PY[[#All],[TOTAL Non-Claims Expenses]],AN_TME_PY[[#All],[Insurance Category Code]],1,AN_TME_PY[[#All],[Advanced Network/Insurance Carrier Org ID]],B184)/S184)</f>
        <v>NA</v>
      </c>
      <c r="AF184" s="147" t="str">
        <f>IF(S184=0,"NA",SUMIFS(AN_TME_PY[[#All],[TOTAL Non-Truncated Unadjusted Expenses (A21 + A23)]],AN_TME_PY[[#All],[Insurance Category Code]],1,AN_TME_PY[[#All],[Advanced Network/Insurance Carrier Org ID]],B184)/S184)</f>
        <v>NA</v>
      </c>
      <c r="AG184" s="138" t="str">
        <f>IF(S184=0,"NA",SUMIFS(AN_TME_PY[[#All],[TOTAL Truncated Unadjusted Expenses (A22 + A23)]],AN_TME_PY[[#All],[Insurance Category Code]],1,AN_TME_PY[[#All],[Advanced Network/Insurance Carrier Org ID]],B184)/S184)</f>
        <v>NA</v>
      </c>
      <c r="AH184" s="419" t="str">
        <f t="shared" si="259"/>
        <v>NA</v>
      </c>
      <c r="AI184" s="420" t="str">
        <f t="shared" si="260"/>
        <v>NA</v>
      </c>
      <c r="AJ184" s="421" t="str">
        <f t="shared" si="261"/>
        <v>NA</v>
      </c>
      <c r="AK184" s="421" t="str">
        <f t="shared" si="262"/>
        <v>NA</v>
      </c>
      <c r="AL184" s="421" t="str">
        <f t="shared" si="263"/>
        <v>NA</v>
      </c>
      <c r="AM184" s="421" t="str">
        <f t="shared" si="264"/>
        <v>NA</v>
      </c>
      <c r="AN184" s="421" t="str">
        <f t="shared" si="265"/>
        <v>NA</v>
      </c>
      <c r="AO184" s="421" t="str">
        <f t="shared" si="266"/>
        <v>NA</v>
      </c>
      <c r="AP184" s="421" t="str">
        <f t="shared" si="267"/>
        <v>NA</v>
      </c>
      <c r="AQ184" s="421" t="str">
        <f t="shared" si="268"/>
        <v>NA</v>
      </c>
      <c r="AR184" s="422" t="str">
        <f t="shared" si="269"/>
        <v>NA</v>
      </c>
      <c r="AS184" s="422" t="str">
        <f t="shared" si="270"/>
        <v>NA</v>
      </c>
      <c r="AT184" s="422" t="str">
        <f t="shared" si="271"/>
        <v>NA</v>
      </c>
      <c r="AU184" s="422" t="str">
        <f t="shared" si="272"/>
        <v>NA</v>
      </c>
      <c r="AV184" s="423" t="str">
        <f t="shared" si="273"/>
        <v>NA</v>
      </c>
    </row>
    <row r="185" spans="1:48" ht="15" customHeight="1" x14ac:dyDescent="0.25">
      <c r="A185" s="146"/>
      <c r="B185" s="148">
        <v>114</v>
      </c>
      <c r="C185" s="151" t="str">
        <f>_xlfn.XLOOKUP(B185, LgProvEntOrgIDs[Advanced Network/Insurer Carrier Org ID], LgProvEntOrgIDs[Advanced Network/Insurance Carrier Overall])</f>
        <v>Community Health and Wellness Center of Greater Torrington</v>
      </c>
      <c r="D185" s="448">
        <f>SUMIFS(AN_TME_BY[[#All],[Member Months]],AN_TME_BY[[#All],[Insurance Category Code]],1,AN_TME_BY[[#All],[Advanced Network/Insurance Carrier Org ID]],B185)</f>
        <v>0</v>
      </c>
      <c r="E185" s="137" t="str">
        <f>IF(D185=0,"NA",SUMIFS(AN_TME_BY[[#All],[Claims: Hospital Inpatient]],AN_TME_BY[[#All],[Insurance Category Code]],1,AN_TME_BY[[#All],[Advanced Network/Insurance Carrier Org ID]],B185)/D185)</f>
        <v>NA</v>
      </c>
      <c r="F185" s="108" t="str">
        <f>IF(D185=0,"NA",SUMIFS(AN_TME_BY[[#All],[Claims: Hospital Outpatient]],AN_TME_BY[[#All],[Insurance Category Code]],1,AN_TME_BY[[#All],[Advanced Network/Insurance Carrier Org ID]],B185)/D185)</f>
        <v>NA</v>
      </c>
      <c r="G185" s="108" t="str">
        <f>IF(D185=0,"NA",SUMIFS(AN_TME_BY[[#All],[Claims: Professional, Primary Care]],AN_TME_BY[[#All],[Insurance Category Code]],1,AN_TME_BY[[#All],[Advanced Network/Insurance Carrier Org ID]],B185)/D185)</f>
        <v>NA</v>
      </c>
      <c r="H185" s="108" t="str">
        <f>IF(D185=0,"NA",SUMIFS(AN_TME_BY[[#All],[Claims: Professional, Primary Care (for Monitoring Purposes)]],AN_TME_BY[[#All],[Insurance Category Code]],1,AN_TME_BY[[#All],[Advanced Network/Insurance Carrier Org ID]],B185)/D185)</f>
        <v>NA</v>
      </c>
      <c r="I185" s="108" t="str">
        <f>IF(D185=0,"NA",SUMIFS(AN_TME_BY[[#All],[Claims: Professional, Specialty]],AN_TME_BY[[#All],[Insurance Category Code]],1,AN_TME_BY[[#All],[Advanced Network/Insurance Carrier Org ID]],B185)/D185)</f>
        <v>NA</v>
      </c>
      <c r="J185" s="108" t="str">
        <f>IF(D185=0,"NA",SUMIFS(AN_TME_BY[[#All],[Claims: Professional Other]],AN_TME_BY[[#All],[Insurance Category Code]],1,AN_TME_BY[[#All],[Advanced Network/Insurance Carrier Org ID]],B185)/D185)</f>
        <v>NA</v>
      </c>
      <c r="K185" s="108" t="str">
        <f>IF(D185=0,"NA",SUMIFS(AN_TME_BY[[#All],[Claims: Pharmacy]],AN_TME_BY[[#All],[Insurance Category Code]],1,AN_TME_BY[[#All],[Advanced Network/Insurance Carrier Org ID]],B185)/D185)</f>
        <v>NA</v>
      </c>
      <c r="L185" s="108" t="str">
        <f>IF(D185=0,"NA",SUMIFS(AN_TME_BY[[#All],[Claims: Long-Term Care]],AN_TME_BY[[#All],[Insurance Category Code]],1,AN_TME_BY[[#All],[Advanced Network/Insurance Carrier Org ID]],B185)/D185)</f>
        <v>NA</v>
      </c>
      <c r="M185" s="108" t="str">
        <f>IF(D185=0,"NA",SUMIFS(AN_TME_BY[[#All],[Claims: Other]],AN_TME_BY[[#All],[Insurance Category Code]],1,AN_TME_BY[[#All],[Advanced Network/Insurance Carrier Org ID]],B185)/D185)</f>
        <v>NA</v>
      </c>
      <c r="N185" s="147" t="str">
        <f>IF(D185=0,"NA",SUMIFS(AN_TME_BY[[#All],[TOTAL Non-Truncated Unadjusted Claims Expenses]],AN_TME_BY[[#All],[Insurance Category Code]],1,AN_TME_BY[[#All],[Advanced Network/Insurance Carrier Org ID]],B185)/D185)</f>
        <v>NA</v>
      </c>
      <c r="O185" s="147" t="str">
        <f>IF(D185=0,"NA",SUMIFS(AN_TME_BY[[#All],[TOTAL Truncated Unadjusted Claims Expenses (A21 -A19)]],AN_TME_BY[[#All],[Insurance Category Code]],1,AN_TME_BY[[#All],[Advanced Network/Insurance Carrier Org ID]],B185)/D185)</f>
        <v>NA</v>
      </c>
      <c r="P185" s="147" t="str">
        <f>IF(D185=0,"NA",SUMIFS(AN_TME_BY[[#All],[TOTAL Non-Claims Expenses]],AN_TME_BY[[#All],[Insurance Category Code]],1,AN_TME_BY[[#All],[Advanced Network/Insurance Carrier Org ID]],B185)/D185)</f>
        <v>NA</v>
      </c>
      <c r="Q185" s="147" t="str">
        <f>IF(D185=0,"NA",SUMIFS(AN_TME_BY[[#All],[TOTAL Non-Truncated Unadjusted Expenses (A21 + A23)]],AN_TME_BY[[#All],[Insurance Category Code]],1,AN_TME_BY[[#All],[Advanced Network/Insurance Carrier Org ID]],B185)/D185)</f>
        <v>NA</v>
      </c>
      <c r="R185" s="147" t="str">
        <f>IF(D185=0,"NA",SUMIFS(AN_TME_BY[[#All],[TOTAL Truncated Unadjusted Expenses (A22 + A23)]],AN_TME_BY[[#All],[Insurance Category Code]],1,AN_TME_BY[[#All],[Advanced Network/Insurance Carrier Org ID]],B185)/D185)</f>
        <v>NA</v>
      </c>
      <c r="S185" s="448">
        <f>SUMIFS(AN_TME_PY[[#All],[Member Months]],AN_TME_PY[[#All],[Insurance Category Code]],1,AN_TME_PY[[#All],[Advanced Network/Insurance Carrier Org ID]],B185)</f>
        <v>0</v>
      </c>
      <c r="T185" s="137" t="str">
        <f>IF(S185=0,"NA",SUMIFS(AN_TME_PY[[#All],[Claims: Hospital Inpatient]],AN_TME_PY[[#All],[Insurance Category Code]],1,AN_TME_PY[[#All],[Advanced Network/Insurance Carrier Org ID]],B185)/S185)</f>
        <v>NA</v>
      </c>
      <c r="U185" s="108" t="str">
        <f>IF(S185=0,"NA",SUMIFS(AN_TME_PY[[#All],[Claims: Hospital Outpatient]],AN_TME_PY[[#All],[Insurance Category Code]],1,AN_TME_PY[[#All],[Advanced Network/Insurance Carrier Org ID]],B185)/S185)</f>
        <v>NA</v>
      </c>
      <c r="V185" s="108" t="str">
        <f>IF(S185=0,"NA",SUMIFS(AN_TME_PY[[#All],[Claims: Professional, Primary Care]],AN_TME_PY[[#All],[Insurance Category Code]],1,AN_TME_PY[[#All],[Advanced Network/Insurance Carrier Org ID]],B185)/S185)</f>
        <v>NA</v>
      </c>
      <c r="W185" s="108" t="str">
        <f>IF(S185=0,"NA",SUMIFS(AN_TME_PY[[#All],[Claims: Professional, Primary Care (for Monitoring Purposes)]],AN_TME_PY[[#All],[Insurance Category Code]],1,AN_TME_PY[[#All],[Advanced Network/Insurance Carrier Org ID]],B185)/S185)</f>
        <v>NA</v>
      </c>
      <c r="X185" s="108" t="str">
        <f>IF(S185=0,"NA",SUMIFS(AN_TME_PY[[#All],[Claims: Professional, Specialty]],AN_TME_PY[[#All],[Insurance Category Code]],1,AN_TME_PY[[#All],[Advanced Network/Insurance Carrier Org ID]],B185)/S185)</f>
        <v>NA</v>
      </c>
      <c r="Y185" s="108" t="str">
        <f>IF(S185=0,"NA",SUMIFS(AN_TME_PY[[#All],[Claims: Professional Other]],AN_TME_PY[[#All],[Insurance Category Code]],1,AN_TME_PY[[#All],[Advanced Network/Insurance Carrier Org ID]],B185)/S185)</f>
        <v>NA</v>
      </c>
      <c r="Z185" s="108" t="str">
        <f>IF(S185=0,"NA",SUMIFS(AN_TME_PY[[#All],[Claims: Pharmacy]],AN_TME_PY[[#All],[Insurance Category Code]],1,AN_TME_PY[[#All],[Advanced Network/Insurance Carrier Org ID]],B185)/S185)</f>
        <v>NA</v>
      </c>
      <c r="AA185" s="108" t="str">
        <f>IF(S185=0,"NA",SUMIFS(AN_TME_PY[[#All],[Claims: Long-Term Care]],AN_TME_PY[[#All],[Insurance Category Code]],1,AN_TME_PY[[#All],[Advanced Network/Insurance Carrier Org ID]],B185)/S185)</f>
        <v>NA</v>
      </c>
      <c r="AB185" s="108" t="str">
        <f>IF(S185=0,"NA",SUMIFS(AN_TME_PY[[#All],[Claims: Other]],AN_TME_PY[[#All],[Insurance Category Code]],1,AN_TME_PY[[#All],[Advanced Network/Insurance Carrier Org ID]],B185)/S185)</f>
        <v>NA</v>
      </c>
      <c r="AC185" s="147" t="str">
        <f>IF(S185=0,"NA",SUMIFS(AN_TME_PY[[#All],[TOTAL Non-Truncated Unadjusted Claims Expenses]],AN_TME_PY[[#All],[Insurance Category Code]],1,AN_TME_PY[[#All],[Advanced Network/Insurance Carrier Org ID]],B185)/S185)</f>
        <v>NA</v>
      </c>
      <c r="AD185" s="147" t="str">
        <f>IF(S185=0,"NA",SUMIFS(AN_TME_PY[[#All],[TOTAL Truncated Unadjusted Claims Expenses (A21 -A19)]],AN_TME_PY[[#All],[Insurance Category Code]],1,AN_TME_PY[[#All],[Advanced Network/Insurance Carrier Org ID]],B185)/S185)</f>
        <v>NA</v>
      </c>
      <c r="AE185" s="147" t="str">
        <f>IF(S185=0,"NA",SUMIFS(AN_TME_PY[[#All],[TOTAL Non-Claims Expenses]],AN_TME_PY[[#All],[Insurance Category Code]],1,AN_TME_PY[[#All],[Advanced Network/Insurance Carrier Org ID]],B185)/S185)</f>
        <v>NA</v>
      </c>
      <c r="AF185" s="147" t="str">
        <f>IF(S185=0,"NA",SUMIFS(AN_TME_PY[[#All],[TOTAL Non-Truncated Unadjusted Expenses (A21 + A23)]],AN_TME_PY[[#All],[Insurance Category Code]],1,AN_TME_PY[[#All],[Advanced Network/Insurance Carrier Org ID]],B185)/S185)</f>
        <v>NA</v>
      </c>
      <c r="AG185" s="138" t="str">
        <f>IF(S185=0,"NA",SUMIFS(AN_TME_PY[[#All],[TOTAL Truncated Unadjusted Expenses (A22 + A23)]],AN_TME_PY[[#All],[Insurance Category Code]],1,AN_TME_PY[[#All],[Advanced Network/Insurance Carrier Org ID]],B185)/S185)</f>
        <v>NA</v>
      </c>
      <c r="AH185" s="419" t="str">
        <f t="shared" si="259"/>
        <v>NA</v>
      </c>
      <c r="AI185" s="420" t="str">
        <f t="shared" si="260"/>
        <v>NA</v>
      </c>
      <c r="AJ185" s="421" t="str">
        <f t="shared" si="261"/>
        <v>NA</v>
      </c>
      <c r="AK185" s="421" t="str">
        <f t="shared" si="262"/>
        <v>NA</v>
      </c>
      <c r="AL185" s="421" t="str">
        <f t="shared" si="263"/>
        <v>NA</v>
      </c>
      <c r="AM185" s="421" t="str">
        <f t="shared" si="264"/>
        <v>NA</v>
      </c>
      <c r="AN185" s="421" t="str">
        <f t="shared" si="265"/>
        <v>NA</v>
      </c>
      <c r="AO185" s="421" t="str">
        <f t="shared" si="266"/>
        <v>NA</v>
      </c>
      <c r="AP185" s="421" t="str">
        <f t="shared" si="267"/>
        <v>NA</v>
      </c>
      <c r="AQ185" s="421" t="str">
        <f t="shared" si="268"/>
        <v>NA</v>
      </c>
      <c r="AR185" s="422" t="str">
        <f t="shared" si="269"/>
        <v>NA</v>
      </c>
      <c r="AS185" s="422" t="str">
        <f t="shared" si="270"/>
        <v>NA</v>
      </c>
      <c r="AT185" s="422" t="str">
        <f t="shared" si="271"/>
        <v>NA</v>
      </c>
      <c r="AU185" s="422" t="str">
        <f t="shared" si="272"/>
        <v>NA</v>
      </c>
      <c r="AV185" s="423" t="str">
        <f t="shared" si="273"/>
        <v>NA</v>
      </c>
    </row>
    <row r="186" spans="1:48" ht="15" customHeight="1" x14ac:dyDescent="0.25">
      <c r="A186" s="146"/>
      <c r="B186" s="148">
        <v>115</v>
      </c>
      <c r="C186" s="151" t="str">
        <f>_xlfn.XLOOKUP(B186, LgProvEntOrgIDs[Advanced Network/Insurer Carrier Org ID], LgProvEntOrgIDs[Advanced Network/Insurance Carrier Overall])</f>
        <v>Community Health Center</v>
      </c>
      <c r="D186" s="448">
        <f>SUMIFS(AN_TME_BY[[#All],[Member Months]],AN_TME_BY[[#All],[Insurance Category Code]],1,AN_TME_BY[[#All],[Advanced Network/Insurance Carrier Org ID]],B186)</f>
        <v>0</v>
      </c>
      <c r="E186" s="137" t="str">
        <f>IF(D186=0,"NA",SUMIFS(AN_TME_BY[[#All],[Claims: Hospital Inpatient]],AN_TME_BY[[#All],[Insurance Category Code]],1,AN_TME_BY[[#All],[Advanced Network/Insurance Carrier Org ID]],B186)/D186)</f>
        <v>NA</v>
      </c>
      <c r="F186" s="108" t="str">
        <f>IF(D186=0,"NA",SUMIFS(AN_TME_BY[[#All],[Claims: Hospital Outpatient]],AN_TME_BY[[#All],[Insurance Category Code]],1,AN_TME_BY[[#All],[Advanced Network/Insurance Carrier Org ID]],B186)/D186)</f>
        <v>NA</v>
      </c>
      <c r="G186" s="108" t="str">
        <f>IF(D186=0,"NA",SUMIFS(AN_TME_BY[[#All],[Claims: Professional, Primary Care]],AN_TME_BY[[#All],[Insurance Category Code]],1,AN_TME_BY[[#All],[Advanced Network/Insurance Carrier Org ID]],B186)/D186)</f>
        <v>NA</v>
      </c>
      <c r="H186" s="108" t="str">
        <f>IF(D186=0,"NA",SUMIFS(AN_TME_BY[[#All],[Claims: Professional, Primary Care (for Monitoring Purposes)]],AN_TME_BY[[#All],[Insurance Category Code]],1,AN_TME_BY[[#All],[Advanced Network/Insurance Carrier Org ID]],B186)/D186)</f>
        <v>NA</v>
      </c>
      <c r="I186" s="108" t="str">
        <f>IF(D186=0,"NA",SUMIFS(AN_TME_BY[[#All],[Claims: Professional, Specialty]],AN_TME_BY[[#All],[Insurance Category Code]],1,AN_TME_BY[[#All],[Advanced Network/Insurance Carrier Org ID]],B186)/D186)</f>
        <v>NA</v>
      </c>
      <c r="J186" s="108" t="str">
        <f>IF(D186=0,"NA",SUMIFS(AN_TME_BY[[#All],[Claims: Professional Other]],AN_TME_BY[[#All],[Insurance Category Code]],1,AN_TME_BY[[#All],[Advanced Network/Insurance Carrier Org ID]],B186)/D186)</f>
        <v>NA</v>
      </c>
      <c r="K186" s="108" t="str">
        <f>IF(D186=0,"NA",SUMIFS(AN_TME_BY[[#All],[Claims: Pharmacy]],AN_TME_BY[[#All],[Insurance Category Code]],1,AN_TME_BY[[#All],[Advanced Network/Insurance Carrier Org ID]],B186)/D186)</f>
        <v>NA</v>
      </c>
      <c r="L186" s="108" t="str">
        <f>IF(D186=0,"NA",SUMIFS(AN_TME_BY[[#All],[Claims: Long-Term Care]],AN_TME_BY[[#All],[Insurance Category Code]],1,AN_TME_BY[[#All],[Advanced Network/Insurance Carrier Org ID]],B186)/D186)</f>
        <v>NA</v>
      </c>
      <c r="M186" s="108" t="str">
        <f>IF(D186=0,"NA",SUMIFS(AN_TME_BY[[#All],[Claims: Other]],AN_TME_BY[[#All],[Insurance Category Code]],1,AN_TME_BY[[#All],[Advanced Network/Insurance Carrier Org ID]],B186)/D186)</f>
        <v>NA</v>
      </c>
      <c r="N186" s="147" t="str">
        <f>IF(D186=0,"NA",SUMIFS(AN_TME_BY[[#All],[TOTAL Non-Truncated Unadjusted Claims Expenses]],AN_TME_BY[[#All],[Insurance Category Code]],1,AN_TME_BY[[#All],[Advanced Network/Insurance Carrier Org ID]],B186)/D186)</f>
        <v>NA</v>
      </c>
      <c r="O186" s="147" t="str">
        <f>IF(D186=0,"NA",SUMIFS(AN_TME_BY[[#All],[TOTAL Truncated Unadjusted Claims Expenses (A21 -A19)]],AN_TME_BY[[#All],[Insurance Category Code]],1,AN_TME_BY[[#All],[Advanced Network/Insurance Carrier Org ID]],B186)/D186)</f>
        <v>NA</v>
      </c>
      <c r="P186" s="147" t="str">
        <f>IF(D186=0,"NA",SUMIFS(AN_TME_BY[[#All],[TOTAL Non-Claims Expenses]],AN_TME_BY[[#All],[Insurance Category Code]],1,AN_TME_BY[[#All],[Advanced Network/Insurance Carrier Org ID]],B186)/D186)</f>
        <v>NA</v>
      </c>
      <c r="Q186" s="147" t="str">
        <f>IF(D186=0,"NA",SUMIFS(AN_TME_BY[[#All],[TOTAL Non-Truncated Unadjusted Expenses (A21 + A23)]],AN_TME_BY[[#All],[Insurance Category Code]],1,AN_TME_BY[[#All],[Advanced Network/Insurance Carrier Org ID]],B186)/D186)</f>
        <v>NA</v>
      </c>
      <c r="R186" s="147" t="str">
        <f>IF(D186=0,"NA",SUMIFS(AN_TME_BY[[#All],[TOTAL Truncated Unadjusted Expenses (A22 + A23)]],AN_TME_BY[[#All],[Insurance Category Code]],1,AN_TME_BY[[#All],[Advanced Network/Insurance Carrier Org ID]],B186)/D186)</f>
        <v>NA</v>
      </c>
      <c r="S186" s="448">
        <f>SUMIFS(AN_TME_PY[[#All],[Member Months]],AN_TME_PY[[#All],[Insurance Category Code]],1,AN_TME_PY[[#All],[Advanced Network/Insurance Carrier Org ID]],B186)</f>
        <v>0</v>
      </c>
      <c r="T186" s="137" t="str">
        <f>IF(S186=0,"NA",SUMIFS(AN_TME_PY[[#All],[Claims: Hospital Inpatient]],AN_TME_PY[[#All],[Insurance Category Code]],1,AN_TME_PY[[#All],[Advanced Network/Insurance Carrier Org ID]],B186)/S186)</f>
        <v>NA</v>
      </c>
      <c r="U186" s="108" t="str">
        <f>IF(S186=0,"NA",SUMIFS(AN_TME_PY[[#All],[Claims: Hospital Outpatient]],AN_TME_PY[[#All],[Insurance Category Code]],1,AN_TME_PY[[#All],[Advanced Network/Insurance Carrier Org ID]],B186)/S186)</f>
        <v>NA</v>
      </c>
      <c r="V186" s="108" t="str">
        <f>IF(S186=0,"NA",SUMIFS(AN_TME_PY[[#All],[Claims: Professional, Primary Care]],AN_TME_PY[[#All],[Insurance Category Code]],1,AN_TME_PY[[#All],[Advanced Network/Insurance Carrier Org ID]],B186)/S186)</f>
        <v>NA</v>
      </c>
      <c r="W186" s="108" t="str">
        <f>IF(S186=0,"NA",SUMIFS(AN_TME_PY[[#All],[Claims: Professional, Primary Care (for Monitoring Purposes)]],AN_TME_PY[[#All],[Insurance Category Code]],1,AN_TME_PY[[#All],[Advanced Network/Insurance Carrier Org ID]],B186)/S186)</f>
        <v>NA</v>
      </c>
      <c r="X186" s="108" t="str">
        <f>IF(S186=0,"NA",SUMIFS(AN_TME_PY[[#All],[Claims: Professional, Specialty]],AN_TME_PY[[#All],[Insurance Category Code]],1,AN_TME_PY[[#All],[Advanced Network/Insurance Carrier Org ID]],B186)/S186)</f>
        <v>NA</v>
      </c>
      <c r="Y186" s="108" t="str">
        <f>IF(S186=0,"NA",SUMIFS(AN_TME_PY[[#All],[Claims: Professional Other]],AN_TME_PY[[#All],[Insurance Category Code]],1,AN_TME_PY[[#All],[Advanced Network/Insurance Carrier Org ID]],B186)/S186)</f>
        <v>NA</v>
      </c>
      <c r="Z186" s="108" t="str">
        <f>IF(S186=0,"NA",SUMIFS(AN_TME_PY[[#All],[Claims: Pharmacy]],AN_TME_PY[[#All],[Insurance Category Code]],1,AN_TME_PY[[#All],[Advanced Network/Insurance Carrier Org ID]],B186)/S186)</f>
        <v>NA</v>
      </c>
      <c r="AA186" s="108" t="str">
        <f>IF(S186=0,"NA",SUMIFS(AN_TME_PY[[#All],[Claims: Long-Term Care]],AN_TME_PY[[#All],[Insurance Category Code]],1,AN_TME_PY[[#All],[Advanced Network/Insurance Carrier Org ID]],B186)/S186)</f>
        <v>NA</v>
      </c>
      <c r="AB186" s="108" t="str">
        <f>IF(S186=0,"NA",SUMIFS(AN_TME_PY[[#All],[Claims: Other]],AN_TME_PY[[#All],[Insurance Category Code]],1,AN_TME_PY[[#All],[Advanced Network/Insurance Carrier Org ID]],B186)/S186)</f>
        <v>NA</v>
      </c>
      <c r="AC186" s="147" t="str">
        <f>IF(S186=0,"NA",SUMIFS(AN_TME_PY[[#All],[TOTAL Non-Truncated Unadjusted Claims Expenses]],AN_TME_PY[[#All],[Insurance Category Code]],1,AN_TME_PY[[#All],[Advanced Network/Insurance Carrier Org ID]],B186)/S186)</f>
        <v>NA</v>
      </c>
      <c r="AD186" s="147" t="str">
        <f>IF(S186=0,"NA",SUMIFS(AN_TME_PY[[#All],[TOTAL Truncated Unadjusted Claims Expenses (A21 -A19)]],AN_TME_PY[[#All],[Insurance Category Code]],1,AN_TME_PY[[#All],[Advanced Network/Insurance Carrier Org ID]],B186)/S186)</f>
        <v>NA</v>
      </c>
      <c r="AE186" s="147" t="str">
        <f>IF(S186=0,"NA",SUMIFS(AN_TME_PY[[#All],[TOTAL Non-Claims Expenses]],AN_TME_PY[[#All],[Insurance Category Code]],1,AN_TME_PY[[#All],[Advanced Network/Insurance Carrier Org ID]],B186)/S186)</f>
        <v>NA</v>
      </c>
      <c r="AF186" s="147" t="str">
        <f>IF(S186=0,"NA",SUMIFS(AN_TME_PY[[#All],[TOTAL Non-Truncated Unadjusted Expenses (A21 + A23)]],AN_TME_PY[[#All],[Insurance Category Code]],1,AN_TME_PY[[#All],[Advanced Network/Insurance Carrier Org ID]],B186)/S186)</f>
        <v>NA</v>
      </c>
      <c r="AG186" s="138" t="str">
        <f>IF(S186=0,"NA",SUMIFS(AN_TME_PY[[#All],[TOTAL Truncated Unadjusted Expenses (A22 + A23)]],AN_TME_PY[[#All],[Insurance Category Code]],1,AN_TME_PY[[#All],[Advanced Network/Insurance Carrier Org ID]],B186)/S186)</f>
        <v>NA</v>
      </c>
      <c r="AH186" s="419" t="str">
        <f t="shared" si="259"/>
        <v>NA</v>
      </c>
      <c r="AI186" s="420" t="str">
        <f t="shared" si="260"/>
        <v>NA</v>
      </c>
      <c r="AJ186" s="421" t="str">
        <f t="shared" si="261"/>
        <v>NA</v>
      </c>
      <c r="AK186" s="421" t="str">
        <f t="shared" si="262"/>
        <v>NA</v>
      </c>
      <c r="AL186" s="421" t="str">
        <f t="shared" si="263"/>
        <v>NA</v>
      </c>
      <c r="AM186" s="421" t="str">
        <f t="shared" si="264"/>
        <v>NA</v>
      </c>
      <c r="AN186" s="421" t="str">
        <f t="shared" si="265"/>
        <v>NA</v>
      </c>
      <c r="AO186" s="421" t="str">
        <f t="shared" si="266"/>
        <v>NA</v>
      </c>
      <c r="AP186" s="421" t="str">
        <f t="shared" si="267"/>
        <v>NA</v>
      </c>
      <c r="AQ186" s="421" t="str">
        <f t="shared" si="268"/>
        <v>NA</v>
      </c>
      <c r="AR186" s="422" t="str">
        <f t="shared" si="269"/>
        <v>NA</v>
      </c>
      <c r="AS186" s="422" t="str">
        <f t="shared" si="270"/>
        <v>NA</v>
      </c>
      <c r="AT186" s="422" t="str">
        <f t="shared" si="271"/>
        <v>NA</v>
      </c>
      <c r="AU186" s="422" t="str">
        <f t="shared" si="272"/>
        <v>NA</v>
      </c>
      <c r="AV186" s="423" t="str">
        <f t="shared" si="273"/>
        <v>NA</v>
      </c>
    </row>
    <row r="187" spans="1:48" ht="15" customHeight="1" x14ac:dyDescent="0.25">
      <c r="A187" s="146"/>
      <c r="B187" s="148">
        <v>116</v>
      </c>
      <c r="C187" s="151" t="str">
        <f>_xlfn.XLOOKUP(B187, LgProvEntOrgIDs[Advanced Network/Insurer Carrier Org ID], LgProvEntOrgIDs[Advanced Network/Insurance Carrier Overall])</f>
        <v>Community Health Services</v>
      </c>
      <c r="D187" s="448">
        <f>SUMIFS(AN_TME_BY[[#All],[Member Months]],AN_TME_BY[[#All],[Insurance Category Code]],1,AN_TME_BY[[#All],[Advanced Network/Insurance Carrier Org ID]],B187)</f>
        <v>0</v>
      </c>
      <c r="E187" s="137" t="str">
        <f>IF(D187=0,"NA",SUMIFS(AN_TME_BY[[#All],[Claims: Hospital Inpatient]],AN_TME_BY[[#All],[Insurance Category Code]],1,AN_TME_BY[[#All],[Advanced Network/Insurance Carrier Org ID]],B187)/D187)</f>
        <v>NA</v>
      </c>
      <c r="F187" s="108" t="str">
        <f>IF(D187=0,"NA",SUMIFS(AN_TME_BY[[#All],[Claims: Hospital Outpatient]],AN_TME_BY[[#All],[Insurance Category Code]],1,AN_TME_BY[[#All],[Advanced Network/Insurance Carrier Org ID]],B187)/D187)</f>
        <v>NA</v>
      </c>
      <c r="G187" s="108" t="str">
        <f>IF(D187=0,"NA",SUMIFS(AN_TME_BY[[#All],[Claims: Professional, Primary Care]],AN_TME_BY[[#All],[Insurance Category Code]],1,AN_TME_BY[[#All],[Advanced Network/Insurance Carrier Org ID]],B187)/D187)</f>
        <v>NA</v>
      </c>
      <c r="H187" s="108" t="str">
        <f>IF(D187=0,"NA",SUMIFS(AN_TME_BY[[#All],[Claims: Professional, Primary Care (for Monitoring Purposes)]],AN_TME_BY[[#All],[Insurance Category Code]],1,AN_TME_BY[[#All],[Advanced Network/Insurance Carrier Org ID]],B187)/D187)</f>
        <v>NA</v>
      </c>
      <c r="I187" s="108" t="str">
        <f>IF(D187=0,"NA",SUMIFS(AN_TME_BY[[#All],[Claims: Professional, Specialty]],AN_TME_BY[[#All],[Insurance Category Code]],1,AN_TME_BY[[#All],[Advanced Network/Insurance Carrier Org ID]],B187)/D187)</f>
        <v>NA</v>
      </c>
      <c r="J187" s="108" t="str">
        <f>IF(D187=0,"NA",SUMIFS(AN_TME_BY[[#All],[Claims: Professional Other]],AN_TME_BY[[#All],[Insurance Category Code]],1,AN_TME_BY[[#All],[Advanced Network/Insurance Carrier Org ID]],B187)/D187)</f>
        <v>NA</v>
      </c>
      <c r="K187" s="108" t="str">
        <f>IF(D187=0,"NA",SUMIFS(AN_TME_BY[[#All],[Claims: Pharmacy]],AN_TME_BY[[#All],[Insurance Category Code]],1,AN_TME_BY[[#All],[Advanced Network/Insurance Carrier Org ID]],B187)/D187)</f>
        <v>NA</v>
      </c>
      <c r="L187" s="108" t="str">
        <f>IF(D187=0,"NA",SUMIFS(AN_TME_BY[[#All],[Claims: Long-Term Care]],AN_TME_BY[[#All],[Insurance Category Code]],1,AN_TME_BY[[#All],[Advanced Network/Insurance Carrier Org ID]],B187)/D187)</f>
        <v>NA</v>
      </c>
      <c r="M187" s="108" t="str">
        <f>IF(D187=0,"NA",SUMIFS(AN_TME_BY[[#All],[Claims: Other]],AN_TME_BY[[#All],[Insurance Category Code]],1,AN_TME_BY[[#All],[Advanced Network/Insurance Carrier Org ID]],B187)/D187)</f>
        <v>NA</v>
      </c>
      <c r="N187" s="147" t="str">
        <f>IF(D187=0,"NA",SUMIFS(AN_TME_BY[[#All],[TOTAL Non-Truncated Unadjusted Claims Expenses]],AN_TME_BY[[#All],[Insurance Category Code]],1,AN_TME_BY[[#All],[Advanced Network/Insurance Carrier Org ID]],B187)/D187)</f>
        <v>NA</v>
      </c>
      <c r="O187" s="147" t="str">
        <f>IF(D187=0,"NA",SUMIFS(AN_TME_BY[[#All],[TOTAL Truncated Unadjusted Claims Expenses (A21 -A19)]],AN_TME_BY[[#All],[Insurance Category Code]],1,AN_TME_BY[[#All],[Advanced Network/Insurance Carrier Org ID]],B187)/D187)</f>
        <v>NA</v>
      </c>
      <c r="P187" s="147" t="str">
        <f>IF(D187=0,"NA",SUMIFS(AN_TME_BY[[#All],[TOTAL Non-Claims Expenses]],AN_TME_BY[[#All],[Insurance Category Code]],1,AN_TME_BY[[#All],[Advanced Network/Insurance Carrier Org ID]],B187)/D187)</f>
        <v>NA</v>
      </c>
      <c r="Q187" s="147" t="str">
        <f>IF(D187=0,"NA",SUMIFS(AN_TME_BY[[#All],[TOTAL Non-Truncated Unadjusted Expenses (A21 + A23)]],AN_TME_BY[[#All],[Insurance Category Code]],1,AN_TME_BY[[#All],[Advanced Network/Insurance Carrier Org ID]],B187)/D187)</f>
        <v>NA</v>
      </c>
      <c r="R187" s="147" t="str">
        <f>IF(D187=0,"NA",SUMIFS(AN_TME_BY[[#All],[TOTAL Truncated Unadjusted Expenses (A22 + A23)]],AN_TME_BY[[#All],[Insurance Category Code]],1,AN_TME_BY[[#All],[Advanced Network/Insurance Carrier Org ID]],B187)/D187)</f>
        <v>NA</v>
      </c>
      <c r="S187" s="448">
        <f>SUMIFS(AN_TME_PY[[#All],[Member Months]],AN_TME_PY[[#All],[Insurance Category Code]],1,AN_TME_PY[[#All],[Advanced Network/Insurance Carrier Org ID]],B187)</f>
        <v>0</v>
      </c>
      <c r="T187" s="137" t="str">
        <f>IF(S187=0,"NA",SUMIFS(AN_TME_PY[[#All],[Claims: Hospital Inpatient]],AN_TME_PY[[#All],[Insurance Category Code]],1,AN_TME_PY[[#All],[Advanced Network/Insurance Carrier Org ID]],B187)/S187)</f>
        <v>NA</v>
      </c>
      <c r="U187" s="108" t="str">
        <f>IF(S187=0,"NA",SUMIFS(AN_TME_PY[[#All],[Claims: Hospital Outpatient]],AN_TME_PY[[#All],[Insurance Category Code]],1,AN_TME_PY[[#All],[Advanced Network/Insurance Carrier Org ID]],B187)/S187)</f>
        <v>NA</v>
      </c>
      <c r="V187" s="108" t="str">
        <f>IF(S187=0,"NA",SUMIFS(AN_TME_PY[[#All],[Claims: Professional, Primary Care]],AN_TME_PY[[#All],[Insurance Category Code]],1,AN_TME_PY[[#All],[Advanced Network/Insurance Carrier Org ID]],B187)/S187)</f>
        <v>NA</v>
      </c>
      <c r="W187" s="108" t="str">
        <f>IF(S187=0,"NA",SUMIFS(AN_TME_PY[[#All],[Claims: Professional, Primary Care (for Monitoring Purposes)]],AN_TME_PY[[#All],[Insurance Category Code]],1,AN_TME_PY[[#All],[Advanced Network/Insurance Carrier Org ID]],B187)/S187)</f>
        <v>NA</v>
      </c>
      <c r="X187" s="108" t="str">
        <f>IF(S187=0,"NA",SUMIFS(AN_TME_PY[[#All],[Claims: Professional, Specialty]],AN_TME_PY[[#All],[Insurance Category Code]],1,AN_TME_PY[[#All],[Advanced Network/Insurance Carrier Org ID]],B187)/S187)</f>
        <v>NA</v>
      </c>
      <c r="Y187" s="108" t="str">
        <f>IF(S187=0,"NA",SUMIFS(AN_TME_PY[[#All],[Claims: Professional Other]],AN_TME_PY[[#All],[Insurance Category Code]],1,AN_TME_PY[[#All],[Advanced Network/Insurance Carrier Org ID]],B187)/S187)</f>
        <v>NA</v>
      </c>
      <c r="Z187" s="108" t="str">
        <f>IF(S187=0,"NA",SUMIFS(AN_TME_PY[[#All],[Claims: Pharmacy]],AN_TME_PY[[#All],[Insurance Category Code]],1,AN_TME_PY[[#All],[Advanced Network/Insurance Carrier Org ID]],B187)/S187)</f>
        <v>NA</v>
      </c>
      <c r="AA187" s="108" t="str">
        <f>IF(S187=0,"NA",SUMIFS(AN_TME_PY[[#All],[Claims: Long-Term Care]],AN_TME_PY[[#All],[Insurance Category Code]],1,AN_TME_PY[[#All],[Advanced Network/Insurance Carrier Org ID]],B187)/S187)</f>
        <v>NA</v>
      </c>
      <c r="AB187" s="108" t="str">
        <f>IF(S187=0,"NA",SUMIFS(AN_TME_PY[[#All],[Claims: Other]],AN_TME_PY[[#All],[Insurance Category Code]],1,AN_TME_PY[[#All],[Advanced Network/Insurance Carrier Org ID]],B187)/S187)</f>
        <v>NA</v>
      </c>
      <c r="AC187" s="147" t="str">
        <f>IF(S187=0,"NA",SUMIFS(AN_TME_PY[[#All],[TOTAL Non-Truncated Unadjusted Claims Expenses]],AN_TME_PY[[#All],[Insurance Category Code]],1,AN_TME_PY[[#All],[Advanced Network/Insurance Carrier Org ID]],B187)/S187)</f>
        <v>NA</v>
      </c>
      <c r="AD187" s="147" t="str">
        <f>IF(S187=0,"NA",SUMIFS(AN_TME_PY[[#All],[TOTAL Truncated Unadjusted Claims Expenses (A21 -A19)]],AN_TME_PY[[#All],[Insurance Category Code]],1,AN_TME_PY[[#All],[Advanced Network/Insurance Carrier Org ID]],B187)/S187)</f>
        <v>NA</v>
      </c>
      <c r="AE187" s="147" t="str">
        <f>IF(S187=0,"NA",SUMIFS(AN_TME_PY[[#All],[TOTAL Non-Claims Expenses]],AN_TME_PY[[#All],[Insurance Category Code]],1,AN_TME_PY[[#All],[Advanced Network/Insurance Carrier Org ID]],B187)/S187)</f>
        <v>NA</v>
      </c>
      <c r="AF187" s="147" t="str">
        <f>IF(S187=0,"NA",SUMIFS(AN_TME_PY[[#All],[TOTAL Non-Truncated Unadjusted Expenses (A21 + A23)]],AN_TME_PY[[#All],[Insurance Category Code]],1,AN_TME_PY[[#All],[Advanced Network/Insurance Carrier Org ID]],B187)/S187)</f>
        <v>NA</v>
      </c>
      <c r="AG187" s="138" t="str">
        <f>IF(S187=0,"NA",SUMIFS(AN_TME_PY[[#All],[TOTAL Truncated Unadjusted Expenses (A22 + A23)]],AN_TME_PY[[#All],[Insurance Category Code]],1,AN_TME_PY[[#All],[Advanced Network/Insurance Carrier Org ID]],B187)/S187)</f>
        <v>NA</v>
      </c>
      <c r="AH187" s="419" t="str">
        <f t="shared" si="259"/>
        <v>NA</v>
      </c>
      <c r="AI187" s="420" t="str">
        <f t="shared" si="260"/>
        <v>NA</v>
      </c>
      <c r="AJ187" s="421" t="str">
        <f t="shared" si="261"/>
        <v>NA</v>
      </c>
      <c r="AK187" s="421" t="str">
        <f t="shared" si="262"/>
        <v>NA</v>
      </c>
      <c r="AL187" s="421" t="str">
        <f t="shared" si="263"/>
        <v>NA</v>
      </c>
      <c r="AM187" s="421" t="str">
        <f t="shared" si="264"/>
        <v>NA</v>
      </c>
      <c r="AN187" s="421" t="str">
        <f t="shared" si="265"/>
        <v>NA</v>
      </c>
      <c r="AO187" s="421" t="str">
        <f t="shared" si="266"/>
        <v>NA</v>
      </c>
      <c r="AP187" s="421" t="str">
        <f t="shared" si="267"/>
        <v>NA</v>
      </c>
      <c r="AQ187" s="421" t="str">
        <f t="shared" si="268"/>
        <v>NA</v>
      </c>
      <c r="AR187" s="422" t="str">
        <f t="shared" si="269"/>
        <v>NA</v>
      </c>
      <c r="AS187" s="422" t="str">
        <f t="shared" si="270"/>
        <v>NA</v>
      </c>
      <c r="AT187" s="422" t="str">
        <f t="shared" si="271"/>
        <v>NA</v>
      </c>
      <c r="AU187" s="422" t="str">
        <f t="shared" si="272"/>
        <v>NA</v>
      </c>
      <c r="AV187" s="423" t="str">
        <f t="shared" si="273"/>
        <v>NA</v>
      </c>
    </row>
    <row r="188" spans="1:48" ht="15" customHeight="1" x14ac:dyDescent="0.25">
      <c r="A188" s="146"/>
      <c r="B188" s="148">
        <v>117</v>
      </c>
      <c r="C188" s="151" t="str">
        <f>_xlfn.XLOOKUP(B188, LgProvEntOrgIDs[Advanced Network/Insurer Carrier Org ID], LgProvEntOrgIDs[Advanced Network/Insurance Carrier Overall])</f>
        <v>Cornell Scott Hill Health Center</v>
      </c>
      <c r="D188" s="448">
        <f>SUMIFS(AN_TME_BY[[#All],[Member Months]],AN_TME_BY[[#All],[Insurance Category Code]],1,AN_TME_BY[[#All],[Advanced Network/Insurance Carrier Org ID]],B188)</f>
        <v>0</v>
      </c>
      <c r="E188" s="137" t="str">
        <f>IF(D188=0,"NA",SUMIFS(AN_TME_BY[[#All],[Claims: Hospital Inpatient]],AN_TME_BY[[#All],[Insurance Category Code]],1,AN_TME_BY[[#All],[Advanced Network/Insurance Carrier Org ID]],B188)/D188)</f>
        <v>NA</v>
      </c>
      <c r="F188" s="108" t="str">
        <f>IF(D188=0,"NA",SUMIFS(AN_TME_BY[[#All],[Claims: Hospital Outpatient]],AN_TME_BY[[#All],[Insurance Category Code]],1,AN_TME_BY[[#All],[Advanced Network/Insurance Carrier Org ID]],B188)/D188)</f>
        <v>NA</v>
      </c>
      <c r="G188" s="108" t="str">
        <f>IF(D188=0,"NA",SUMIFS(AN_TME_BY[[#All],[Claims: Professional, Primary Care]],AN_TME_BY[[#All],[Insurance Category Code]],1,AN_TME_BY[[#All],[Advanced Network/Insurance Carrier Org ID]],B188)/D188)</f>
        <v>NA</v>
      </c>
      <c r="H188" s="108" t="str">
        <f>IF(D188=0,"NA",SUMIFS(AN_TME_BY[[#All],[Claims: Professional, Primary Care (for Monitoring Purposes)]],AN_TME_BY[[#All],[Insurance Category Code]],1,AN_TME_BY[[#All],[Advanced Network/Insurance Carrier Org ID]],B188)/D188)</f>
        <v>NA</v>
      </c>
      <c r="I188" s="108" t="str">
        <f>IF(D188=0,"NA",SUMIFS(AN_TME_BY[[#All],[Claims: Professional, Specialty]],AN_TME_BY[[#All],[Insurance Category Code]],1,AN_TME_BY[[#All],[Advanced Network/Insurance Carrier Org ID]],B188)/D188)</f>
        <v>NA</v>
      </c>
      <c r="J188" s="108" t="str">
        <f>IF(D188=0,"NA",SUMIFS(AN_TME_BY[[#All],[Claims: Professional Other]],AN_TME_BY[[#All],[Insurance Category Code]],1,AN_TME_BY[[#All],[Advanced Network/Insurance Carrier Org ID]],B188)/D188)</f>
        <v>NA</v>
      </c>
      <c r="K188" s="108" t="str">
        <f>IF(D188=0,"NA",SUMIFS(AN_TME_BY[[#All],[Claims: Pharmacy]],AN_TME_BY[[#All],[Insurance Category Code]],1,AN_TME_BY[[#All],[Advanced Network/Insurance Carrier Org ID]],B188)/D188)</f>
        <v>NA</v>
      </c>
      <c r="L188" s="108" t="str">
        <f>IF(D188=0,"NA",SUMIFS(AN_TME_BY[[#All],[Claims: Long-Term Care]],AN_TME_BY[[#All],[Insurance Category Code]],1,AN_TME_BY[[#All],[Advanced Network/Insurance Carrier Org ID]],B188)/D188)</f>
        <v>NA</v>
      </c>
      <c r="M188" s="108" t="str">
        <f>IF(D188=0,"NA",SUMIFS(AN_TME_BY[[#All],[Claims: Other]],AN_TME_BY[[#All],[Insurance Category Code]],1,AN_TME_BY[[#All],[Advanced Network/Insurance Carrier Org ID]],B188)/D188)</f>
        <v>NA</v>
      </c>
      <c r="N188" s="147" t="str">
        <f>IF(D188=0,"NA",SUMIFS(AN_TME_BY[[#All],[TOTAL Non-Truncated Unadjusted Claims Expenses]],AN_TME_BY[[#All],[Insurance Category Code]],1,AN_TME_BY[[#All],[Advanced Network/Insurance Carrier Org ID]],B188)/D188)</f>
        <v>NA</v>
      </c>
      <c r="O188" s="147" t="str">
        <f>IF(D188=0,"NA",SUMIFS(AN_TME_BY[[#All],[TOTAL Truncated Unadjusted Claims Expenses (A21 -A19)]],AN_TME_BY[[#All],[Insurance Category Code]],1,AN_TME_BY[[#All],[Advanced Network/Insurance Carrier Org ID]],B188)/D188)</f>
        <v>NA</v>
      </c>
      <c r="P188" s="147" t="str">
        <f>IF(D188=0,"NA",SUMIFS(AN_TME_BY[[#All],[TOTAL Non-Claims Expenses]],AN_TME_BY[[#All],[Insurance Category Code]],1,AN_TME_BY[[#All],[Advanced Network/Insurance Carrier Org ID]],B188)/D188)</f>
        <v>NA</v>
      </c>
      <c r="Q188" s="147" t="str">
        <f>IF(D188=0,"NA",SUMIFS(AN_TME_BY[[#All],[TOTAL Non-Truncated Unadjusted Expenses (A21 + A23)]],AN_TME_BY[[#All],[Insurance Category Code]],1,AN_TME_BY[[#All],[Advanced Network/Insurance Carrier Org ID]],B188)/D188)</f>
        <v>NA</v>
      </c>
      <c r="R188" s="147" t="str">
        <f>IF(D188=0,"NA",SUMIFS(AN_TME_BY[[#All],[TOTAL Truncated Unadjusted Expenses (A22 + A23)]],AN_TME_BY[[#All],[Insurance Category Code]],1,AN_TME_BY[[#All],[Advanced Network/Insurance Carrier Org ID]],B188)/D188)</f>
        <v>NA</v>
      </c>
      <c r="S188" s="448">
        <f>SUMIFS(AN_TME_PY[[#All],[Member Months]],AN_TME_PY[[#All],[Insurance Category Code]],1,AN_TME_PY[[#All],[Advanced Network/Insurance Carrier Org ID]],B188)</f>
        <v>0</v>
      </c>
      <c r="T188" s="137" t="str">
        <f>IF(S188=0,"NA",SUMIFS(AN_TME_PY[[#All],[Claims: Hospital Inpatient]],AN_TME_PY[[#All],[Insurance Category Code]],1,AN_TME_PY[[#All],[Advanced Network/Insurance Carrier Org ID]],B188)/S188)</f>
        <v>NA</v>
      </c>
      <c r="U188" s="108" t="str">
        <f>IF(S188=0,"NA",SUMIFS(AN_TME_PY[[#All],[Claims: Hospital Outpatient]],AN_TME_PY[[#All],[Insurance Category Code]],1,AN_TME_PY[[#All],[Advanced Network/Insurance Carrier Org ID]],B188)/S188)</f>
        <v>NA</v>
      </c>
      <c r="V188" s="108" t="str">
        <f>IF(S188=0,"NA",SUMIFS(AN_TME_PY[[#All],[Claims: Professional, Primary Care]],AN_TME_PY[[#All],[Insurance Category Code]],1,AN_TME_PY[[#All],[Advanced Network/Insurance Carrier Org ID]],B188)/S188)</f>
        <v>NA</v>
      </c>
      <c r="W188" s="108" t="str">
        <f>IF(S188=0,"NA",SUMIFS(AN_TME_PY[[#All],[Claims: Professional, Primary Care (for Monitoring Purposes)]],AN_TME_PY[[#All],[Insurance Category Code]],1,AN_TME_PY[[#All],[Advanced Network/Insurance Carrier Org ID]],B188)/S188)</f>
        <v>NA</v>
      </c>
      <c r="X188" s="108" t="str">
        <f>IF(S188=0,"NA",SUMIFS(AN_TME_PY[[#All],[Claims: Professional, Specialty]],AN_TME_PY[[#All],[Insurance Category Code]],1,AN_TME_PY[[#All],[Advanced Network/Insurance Carrier Org ID]],B188)/S188)</f>
        <v>NA</v>
      </c>
      <c r="Y188" s="108" t="str">
        <f>IF(S188=0,"NA",SUMIFS(AN_TME_PY[[#All],[Claims: Professional Other]],AN_TME_PY[[#All],[Insurance Category Code]],1,AN_TME_PY[[#All],[Advanced Network/Insurance Carrier Org ID]],B188)/S188)</f>
        <v>NA</v>
      </c>
      <c r="Z188" s="108" t="str">
        <f>IF(S188=0,"NA",SUMIFS(AN_TME_PY[[#All],[Claims: Pharmacy]],AN_TME_PY[[#All],[Insurance Category Code]],1,AN_TME_PY[[#All],[Advanced Network/Insurance Carrier Org ID]],B188)/S188)</f>
        <v>NA</v>
      </c>
      <c r="AA188" s="108" t="str">
        <f>IF(S188=0,"NA",SUMIFS(AN_TME_PY[[#All],[Claims: Long-Term Care]],AN_TME_PY[[#All],[Insurance Category Code]],1,AN_TME_PY[[#All],[Advanced Network/Insurance Carrier Org ID]],B188)/S188)</f>
        <v>NA</v>
      </c>
      <c r="AB188" s="108" t="str">
        <f>IF(S188=0,"NA",SUMIFS(AN_TME_PY[[#All],[Claims: Other]],AN_TME_PY[[#All],[Insurance Category Code]],1,AN_TME_PY[[#All],[Advanced Network/Insurance Carrier Org ID]],B188)/S188)</f>
        <v>NA</v>
      </c>
      <c r="AC188" s="147" t="str">
        <f>IF(S188=0,"NA",SUMIFS(AN_TME_PY[[#All],[TOTAL Non-Truncated Unadjusted Claims Expenses]],AN_TME_PY[[#All],[Insurance Category Code]],1,AN_TME_PY[[#All],[Advanced Network/Insurance Carrier Org ID]],B188)/S188)</f>
        <v>NA</v>
      </c>
      <c r="AD188" s="147" t="str">
        <f>IF(S188=0,"NA",SUMIFS(AN_TME_PY[[#All],[TOTAL Truncated Unadjusted Claims Expenses (A21 -A19)]],AN_TME_PY[[#All],[Insurance Category Code]],1,AN_TME_PY[[#All],[Advanced Network/Insurance Carrier Org ID]],B188)/S188)</f>
        <v>NA</v>
      </c>
      <c r="AE188" s="147" t="str">
        <f>IF(S188=0,"NA",SUMIFS(AN_TME_PY[[#All],[TOTAL Non-Claims Expenses]],AN_TME_PY[[#All],[Insurance Category Code]],1,AN_TME_PY[[#All],[Advanced Network/Insurance Carrier Org ID]],B188)/S188)</f>
        <v>NA</v>
      </c>
      <c r="AF188" s="147" t="str">
        <f>IF(S188=0,"NA",SUMIFS(AN_TME_PY[[#All],[TOTAL Non-Truncated Unadjusted Expenses (A21 + A23)]],AN_TME_PY[[#All],[Insurance Category Code]],1,AN_TME_PY[[#All],[Advanced Network/Insurance Carrier Org ID]],B188)/S188)</f>
        <v>NA</v>
      </c>
      <c r="AG188" s="138" t="str">
        <f>IF(S188=0,"NA",SUMIFS(AN_TME_PY[[#All],[TOTAL Truncated Unadjusted Expenses (A22 + A23)]],AN_TME_PY[[#All],[Insurance Category Code]],1,AN_TME_PY[[#All],[Advanced Network/Insurance Carrier Org ID]],B188)/S188)</f>
        <v>NA</v>
      </c>
      <c r="AH188" s="419" t="str">
        <f t="shared" si="259"/>
        <v>NA</v>
      </c>
      <c r="AI188" s="420" t="str">
        <f t="shared" si="260"/>
        <v>NA</v>
      </c>
      <c r="AJ188" s="421" t="str">
        <f t="shared" si="261"/>
        <v>NA</v>
      </c>
      <c r="AK188" s="421" t="str">
        <f t="shared" si="262"/>
        <v>NA</v>
      </c>
      <c r="AL188" s="421" t="str">
        <f t="shared" si="263"/>
        <v>NA</v>
      </c>
      <c r="AM188" s="421" t="str">
        <f t="shared" si="264"/>
        <v>NA</v>
      </c>
      <c r="AN188" s="421" t="str">
        <f t="shared" si="265"/>
        <v>NA</v>
      </c>
      <c r="AO188" s="421" t="str">
        <f t="shared" si="266"/>
        <v>NA</v>
      </c>
      <c r="AP188" s="421" t="str">
        <f t="shared" si="267"/>
        <v>NA</v>
      </c>
      <c r="AQ188" s="421" t="str">
        <f t="shared" si="268"/>
        <v>NA</v>
      </c>
      <c r="AR188" s="422" t="str">
        <f t="shared" si="269"/>
        <v>NA</v>
      </c>
      <c r="AS188" s="422" t="str">
        <f t="shared" si="270"/>
        <v>NA</v>
      </c>
      <c r="AT188" s="422" t="str">
        <f t="shared" si="271"/>
        <v>NA</v>
      </c>
      <c r="AU188" s="422" t="str">
        <f t="shared" si="272"/>
        <v>NA</v>
      </c>
      <c r="AV188" s="423" t="str">
        <f t="shared" si="273"/>
        <v>NA</v>
      </c>
    </row>
    <row r="189" spans="1:48" ht="15" customHeight="1" x14ac:dyDescent="0.25">
      <c r="A189" s="146"/>
      <c r="B189" s="148">
        <v>118</v>
      </c>
      <c r="C189" s="151" t="str">
        <f>_xlfn.XLOOKUP(B189, LgProvEntOrgIDs[Advanced Network/Insurer Carrier Org ID], LgProvEntOrgIDs[Advanced Network/Insurance Carrier Overall])</f>
        <v>Fair Haven Community Health Center</v>
      </c>
      <c r="D189" s="448">
        <f>SUMIFS(AN_TME_BY[[#All],[Member Months]],AN_TME_BY[[#All],[Insurance Category Code]],1,AN_TME_BY[[#All],[Advanced Network/Insurance Carrier Org ID]],B189)</f>
        <v>0</v>
      </c>
      <c r="E189" s="137" t="str">
        <f>IF(D189=0,"NA",SUMIFS(AN_TME_BY[[#All],[Claims: Hospital Inpatient]],AN_TME_BY[[#All],[Insurance Category Code]],1,AN_TME_BY[[#All],[Advanced Network/Insurance Carrier Org ID]],B189)/D189)</f>
        <v>NA</v>
      </c>
      <c r="F189" s="108" t="str">
        <f>IF(D189=0,"NA",SUMIFS(AN_TME_BY[[#All],[Claims: Hospital Outpatient]],AN_TME_BY[[#All],[Insurance Category Code]],1,AN_TME_BY[[#All],[Advanced Network/Insurance Carrier Org ID]],B189)/D189)</f>
        <v>NA</v>
      </c>
      <c r="G189" s="108" t="str">
        <f>IF(D189=0,"NA",SUMIFS(AN_TME_BY[[#All],[Claims: Professional, Primary Care]],AN_TME_BY[[#All],[Insurance Category Code]],1,AN_TME_BY[[#All],[Advanced Network/Insurance Carrier Org ID]],B189)/D189)</f>
        <v>NA</v>
      </c>
      <c r="H189" s="108" t="str">
        <f>IF(D189=0,"NA",SUMIFS(AN_TME_BY[[#All],[Claims: Professional, Primary Care (for Monitoring Purposes)]],AN_TME_BY[[#All],[Insurance Category Code]],1,AN_TME_BY[[#All],[Advanced Network/Insurance Carrier Org ID]],B189)/D189)</f>
        <v>NA</v>
      </c>
      <c r="I189" s="108" t="str">
        <f>IF(D189=0,"NA",SUMIFS(AN_TME_BY[[#All],[Claims: Professional, Specialty]],AN_TME_BY[[#All],[Insurance Category Code]],1,AN_TME_BY[[#All],[Advanced Network/Insurance Carrier Org ID]],B189)/D189)</f>
        <v>NA</v>
      </c>
      <c r="J189" s="108" t="str">
        <f>IF(D189=0,"NA",SUMIFS(AN_TME_BY[[#All],[Claims: Professional Other]],AN_TME_BY[[#All],[Insurance Category Code]],1,AN_TME_BY[[#All],[Advanced Network/Insurance Carrier Org ID]],B189)/D189)</f>
        <v>NA</v>
      </c>
      <c r="K189" s="108" t="str">
        <f>IF(D189=0,"NA",SUMIFS(AN_TME_BY[[#All],[Claims: Pharmacy]],AN_TME_BY[[#All],[Insurance Category Code]],1,AN_TME_BY[[#All],[Advanced Network/Insurance Carrier Org ID]],B189)/D189)</f>
        <v>NA</v>
      </c>
      <c r="L189" s="108" t="str">
        <f>IF(D189=0,"NA",SUMIFS(AN_TME_BY[[#All],[Claims: Long-Term Care]],AN_TME_BY[[#All],[Insurance Category Code]],1,AN_TME_BY[[#All],[Advanced Network/Insurance Carrier Org ID]],B189)/D189)</f>
        <v>NA</v>
      </c>
      <c r="M189" s="108" t="str">
        <f>IF(D189=0,"NA",SUMIFS(AN_TME_BY[[#All],[Claims: Other]],AN_TME_BY[[#All],[Insurance Category Code]],1,AN_TME_BY[[#All],[Advanced Network/Insurance Carrier Org ID]],B189)/D189)</f>
        <v>NA</v>
      </c>
      <c r="N189" s="147" t="str">
        <f>IF(D189=0,"NA",SUMIFS(AN_TME_BY[[#All],[TOTAL Non-Truncated Unadjusted Claims Expenses]],AN_TME_BY[[#All],[Insurance Category Code]],1,AN_TME_BY[[#All],[Advanced Network/Insurance Carrier Org ID]],B189)/D189)</f>
        <v>NA</v>
      </c>
      <c r="O189" s="147" t="str">
        <f>IF(D189=0,"NA",SUMIFS(AN_TME_BY[[#All],[TOTAL Truncated Unadjusted Claims Expenses (A21 -A19)]],AN_TME_BY[[#All],[Insurance Category Code]],1,AN_TME_BY[[#All],[Advanced Network/Insurance Carrier Org ID]],B189)/D189)</f>
        <v>NA</v>
      </c>
      <c r="P189" s="147" t="str">
        <f>IF(D189=0,"NA",SUMIFS(AN_TME_BY[[#All],[TOTAL Non-Claims Expenses]],AN_TME_BY[[#All],[Insurance Category Code]],1,AN_TME_BY[[#All],[Advanced Network/Insurance Carrier Org ID]],B189)/D189)</f>
        <v>NA</v>
      </c>
      <c r="Q189" s="147" t="str">
        <f>IF(D189=0,"NA",SUMIFS(AN_TME_BY[[#All],[TOTAL Non-Truncated Unadjusted Expenses (A21 + A23)]],AN_TME_BY[[#All],[Insurance Category Code]],1,AN_TME_BY[[#All],[Advanced Network/Insurance Carrier Org ID]],B189)/D189)</f>
        <v>NA</v>
      </c>
      <c r="R189" s="147" t="str">
        <f>IF(D189=0,"NA",SUMIFS(AN_TME_BY[[#All],[TOTAL Truncated Unadjusted Expenses (A22 + A23)]],AN_TME_BY[[#All],[Insurance Category Code]],1,AN_TME_BY[[#All],[Advanced Network/Insurance Carrier Org ID]],B189)/D189)</f>
        <v>NA</v>
      </c>
      <c r="S189" s="448">
        <f>SUMIFS(AN_TME_PY[[#All],[Member Months]],AN_TME_PY[[#All],[Insurance Category Code]],1,AN_TME_PY[[#All],[Advanced Network/Insurance Carrier Org ID]],B189)</f>
        <v>0</v>
      </c>
      <c r="T189" s="137" t="str">
        <f>IF(S189=0,"NA",SUMIFS(AN_TME_PY[[#All],[Claims: Hospital Inpatient]],AN_TME_PY[[#All],[Insurance Category Code]],1,AN_TME_PY[[#All],[Advanced Network/Insurance Carrier Org ID]],B189)/S189)</f>
        <v>NA</v>
      </c>
      <c r="U189" s="108" t="str">
        <f>IF(S189=0,"NA",SUMIFS(AN_TME_PY[[#All],[Claims: Hospital Outpatient]],AN_TME_PY[[#All],[Insurance Category Code]],1,AN_TME_PY[[#All],[Advanced Network/Insurance Carrier Org ID]],B189)/S189)</f>
        <v>NA</v>
      </c>
      <c r="V189" s="108" t="str">
        <f>IF(S189=0,"NA",SUMIFS(AN_TME_PY[[#All],[Claims: Professional, Primary Care]],AN_TME_PY[[#All],[Insurance Category Code]],1,AN_TME_PY[[#All],[Advanced Network/Insurance Carrier Org ID]],B189)/S189)</f>
        <v>NA</v>
      </c>
      <c r="W189" s="108" t="str">
        <f>IF(S189=0,"NA",SUMIFS(AN_TME_PY[[#All],[Claims: Professional, Primary Care (for Monitoring Purposes)]],AN_TME_PY[[#All],[Insurance Category Code]],1,AN_TME_PY[[#All],[Advanced Network/Insurance Carrier Org ID]],B189)/S189)</f>
        <v>NA</v>
      </c>
      <c r="X189" s="108" t="str">
        <f>IF(S189=0,"NA",SUMIFS(AN_TME_PY[[#All],[Claims: Professional, Specialty]],AN_TME_PY[[#All],[Insurance Category Code]],1,AN_TME_PY[[#All],[Advanced Network/Insurance Carrier Org ID]],B189)/S189)</f>
        <v>NA</v>
      </c>
      <c r="Y189" s="108" t="str">
        <f>IF(S189=0,"NA",SUMIFS(AN_TME_PY[[#All],[Claims: Professional Other]],AN_TME_PY[[#All],[Insurance Category Code]],1,AN_TME_PY[[#All],[Advanced Network/Insurance Carrier Org ID]],B189)/S189)</f>
        <v>NA</v>
      </c>
      <c r="Z189" s="108" t="str">
        <f>IF(S189=0,"NA",SUMIFS(AN_TME_PY[[#All],[Claims: Pharmacy]],AN_TME_PY[[#All],[Insurance Category Code]],1,AN_TME_PY[[#All],[Advanced Network/Insurance Carrier Org ID]],B189)/S189)</f>
        <v>NA</v>
      </c>
      <c r="AA189" s="108" t="str">
        <f>IF(S189=0,"NA",SUMIFS(AN_TME_PY[[#All],[Claims: Long-Term Care]],AN_TME_PY[[#All],[Insurance Category Code]],1,AN_TME_PY[[#All],[Advanced Network/Insurance Carrier Org ID]],B189)/S189)</f>
        <v>NA</v>
      </c>
      <c r="AB189" s="108" t="str">
        <f>IF(S189=0,"NA",SUMIFS(AN_TME_PY[[#All],[Claims: Other]],AN_TME_PY[[#All],[Insurance Category Code]],1,AN_TME_PY[[#All],[Advanced Network/Insurance Carrier Org ID]],B189)/S189)</f>
        <v>NA</v>
      </c>
      <c r="AC189" s="147" t="str">
        <f>IF(S189=0,"NA",SUMIFS(AN_TME_PY[[#All],[TOTAL Non-Truncated Unadjusted Claims Expenses]],AN_TME_PY[[#All],[Insurance Category Code]],1,AN_TME_PY[[#All],[Advanced Network/Insurance Carrier Org ID]],B189)/S189)</f>
        <v>NA</v>
      </c>
      <c r="AD189" s="147" t="str">
        <f>IF(S189=0,"NA",SUMIFS(AN_TME_PY[[#All],[TOTAL Truncated Unadjusted Claims Expenses (A21 -A19)]],AN_TME_PY[[#All],[Insurance Category Code]],1,AN_TME_PY[[#All],[Advanced Network/Insurance Carrier Org ID]],B189)/S189)</f>
        <v>NA</v>
      </c>
      <c r="AE189" s="147" t="str">
        <f>IF(S189=0,"NA",SUMIFS(AN_TME_PY[[#All],[TOTAL Non-Claims Expenses]],AN_TME_PY[[#All],[Insurance Category Code]],1,AN_TME_PY[[#All],[Advanced Network/Insurance Carrier Org ID]],B189)/S189)</f>
        <v>NA</v>
      </c>
      <c r="AF189" s="147" t="str">
        <f>IF(S189=0,"NA",SUMIFS(AN_TME_PY[[#All],[TOTAL Non-Truncated Unadjusted Expenses (A21 + A23)]],AN_TME_PY[[#All],[Insurance Category Code]],1,AN_TME_PY[[#All],[Advanced Network/Insurance Carrier Org ID]],B189)/S189)</f>
        <v>NA</v>
      </c>
      <c r="AG189" s="138" t="str">
        <f>IF(S189=0,"NA",SUMIFS(AN_TME_PY[[#All],[TOTAL Truncated Unadjusted Expenses (A22 + A23)]],AN_TME_PY[[#All],[Insurance Category Code]],1,AN_TME_PY[[#All],[Advanced Network/Insurance Carrier Org ID]],B189)/S189)</f>
        <v>NA</v>
      </c>
      <c r="AH189" s="419" t="str">
        <f t="shared" si="259"/>
        <v>NA</v>
      </c>
      <c r="AI189" s="420" t="str">
        <f t="shared" si="260"/>
        <v>NA</v>
      </c>
      <c r="AJ189" s="421" t="str">
        <f t="shared" si="261"/>
        <v>NA</v>
      </c>
      <c r="AK189" s="421" t="str">
        <f t="shared" si="262"/>
        <v>NA</v>
      </c>
      <c r="AL189" s="421" t="str">
        <f t="shared" si="263"/>
        <v>NA</v>
      </c>
      <c r="AM189" s="421" t="str">
        <f t="shared" si="264"/>
        <v>NA</v>
      </c>
      <c r="AN189" s="421" t="str">
        <f t="shared" si="265"/>
        <v>NA</v>
      </c>
      <c r="AO189" s="421" t="str">
        <f t="shared" si="266"/>
        <v>NA</v>
      </c>
      <c r="AP189" s="421" t="str">
        <f t="shared" si="267"/>
        <v>NA</v>
      </c>
      <c r="AQ189" s="421" t="str">
        <f t="shared" si="268"/>
        <v>NA</v>
      </c>
      <c r="AR189" s="422" t="str">
        <f t="shared" si="269"/>
        <v>NA</v>
      </c>
      <c r="AS189" s="422" t="str">
        <f t="shared" si="270"/>
        <v>NA</v>
      </c>
      <c r="AT189" s="422" t="str">
        <f t="shared" si="271"/>
        <v>NA</v>
      </c>
      <c r="AU189" s="422" t="str">
        <f t="shared" si="272"/>
        <v>NA</v>
      </c>
      <c r="AV189" s="423" t="str">
        <f t="shared" si="273"/>
        <v>NA</v>
      </c>
    </row>
    <row r="190" spans="1:48" ht="15" customHeight="1" x14ac:dyDescent="0.25">
      <c r="A190" s="146"/>
      <c r="B190" s="148">
        <v>119</v>
      </c>
      <c r="C190" s="151" t="str">
        <f>_xlfn.XLOOKUP(B190, LgProvEntOrgIDs[Advanced Network/Insurer Carrier Org ID], LgProvEntOrgIDs[Advanced Network/Insurance Carrier Overall])</f>
        <v>Family Centers</v>
      </c>
      <c r="D190" s="448">
        <f>SUMIFS(AN_TME_BY[[#All],[Member Months]],AN_TME_BY[[#All],[Insurance Category Code]],1,AN_TME_BY[[#All],[Advanced Network/Insurance Carrier Org ID]],B190)</f>
        <v>0</v>
      </c>
      <c r="E190" s="137" t="str">
        <f>IF(D190=0,"NA",SUMIFS(AN_TME_BY[[#All],[Claims: Hospital Inpatient]],AN_TME_BY[[#All],[Insurance Category Code]],1,AN_TME_BY[[#All],[Advanced Network/Insurance Carrier Org ID]],B190)/D190)</f>
        <v>NA</v>
      </c>
      <c r="F190" s="108" t="str">
        <f>IF(D190=0,"NA",SUMIFS(AN_TME_BY[[#All],[Claims: Hospital Outpatient]],AN_TME_BY[[#All],[Insurance Category Code]],1,AN_TME_BY[[#All],[Advanced Network/Insurance Carrier Org ID]],B190)/D190)</f>
        <v>NA</v>
      </c>
      <c r="G190" s="108" t="str">
        <f>IF(D190=0,"NA",SUMIFS(AN_TME_BY[[#All],[Claims: Professional, Primary Care]],AN_TME_BY[[#All],[Insurance Category Code]],1,AN_TME_BY[[#All],[Advanced Network/Insurance Carrier Org ID]],B190)/D190)</f>
        <v>NA</v>
      </c>
      <c r="H190" s="108" t="str">
        <f>IF(D190=0,"NA",SUMIFS(AN_TME_BY[[#All],[Claims: Professional, Primary Care (for Monitoring Purposes)]],AN_TME_BY[[#All],[Insurance Category Code]],1,AN_TME_BY[[#All],[Advanced Network/Insurance Carrier Org ID]],B190)/D190)</f>
        <v>NA</v>
      </c>
      <c r="I190" s="108" t="str">
        <f>IF(D190=0,"NA",SUMIFS(AN_TME_BY[[#All],[Claims: Professional, Specialty]],AN_TME_BY[[#All],[Insurance Category Code]],1,AN_TME_BY[[#All],[Advanced Network/Insurance Carrier Org ID]],B190)/D190)</f>
        <v>NA</v>
      </c>
      <c r="J190" s="108" t="str">
        <f>IF(D190=0,"NA",SUMIFS(AN_TME_BY[[#All],[Claims: Professional Other]],AN_TME_BY[[#All],[Insurance Category Code]],1,AN_TME_BY[[#All],[Advanced Network/Insurance Carrier Org ID]],B190)/D190)</f>
        <v>NA</v>
      </c>
      <c r="K190" s="108" t="str">
        <f>IF(D190=0,"NA",SUMIFS(AN_TME_BY[[#All],[Claims: Pharmacy]],AN_TME_BY[[#All],[Insurance Category Code]],1,AN_TME_BY[[#All],[Advanced Network/Insurance Carrier Org ID]],B190)/D190)</f>
        <v>NA</v>
      </c>
      <c r="L190" s="108" t="str">
        <f>IF(D190=0,"NA",SUMIFS(AN_TME_BY[[#All],[Claims: Long-Term Care]],AN_TME_BY[[#All],[Insurance Category Code]],1,AN_TME_BY[[#All],[Advanced Network/Insurance Carrier Org ID]],B190)/D190)</f>
        <v>NA</v>
      </c>
      <c r="M190" s="108" t="str">
        <f>IF(D190=0,"NA",SUMIFS(AN_TME_BY[[#All],[Claims: Other]],AN_TME_BY[[#All],[Insurance Category Code]],1,AN_TME_BY[[#All],[Advanced Network/Insurance Carrier Org ID]],B190)/D190)</f>
        <v>NA</v>
      </c>
      <c r="N190" s="147" t="str">
        <f>IF(D190=0,"NA",SUMIFS(AN_TME_BY[[#All],[TOTAL Non-Truncated Unadjusted Claims Expenses]],AN_TME_BY[[#All],[Insurance Category Code]],1,AN_TME_BY[[#All],[Advanced Network/Insurance Carrier Org ID]],B190)/D190)</f>
        <v>NA</v>
      </c>
      <c r="O190" s="147" t="str">
        <f>IF(D190=0,"NA",SUMIFS(AN_TME_BY[[#All],[TOTAL Truncated Unadjusted Claims Expenses (A21 -A19)]],AN_TME_BY[[#All],[Insurance Category Code]],1,AN_TME_BY[[#All],[Advanced Network/Insurance Carrier Org ID]],B190)/D190)</f>
        <v>NA</v>
      </c>
      <c r="P190" s="147" t="str">
        <f>IF(D190=0,"NA",SUMIFS(AN_TME_BY[[#All],[TOTAL Non-Claims Expenses]],AN_TME_BY[[#All],[Insurance Category Code]],1,AN_TME_BY[[#All],[Advanced Network/Insurance Carrier Org ID]],B190)/D190)</f>
        <v>NA</v>
      </c>
      <c r="Q190" s="147" t="str">
        <f>IF(D190=0,"NA",SUMIFS(AN_TME_BY[[#All],[TOTAL Non-Truncated Unadjusted Expenses (A21 + A23)]],AN_TME_BY[[#All],[Insurance Category Code]],1,AN_TME_BY[[#All],[Advanced Network/Insurance Carrier Org ID]],B190)/D190)</f>
        <v>NA</v>
      </c>
      <c r="R190" s="147" t="str">
        <f>IF(D190=0,"NA",SUMIFS(AN_TME_BY[[#All],[TOTAL Truncated Unadjusted Expenses (A22 + A23)]],AN_TME_BY[[#All],[Insurance Category Code]],1,AN_TME_BY[[#All],[Advanced Network/Insurance Carrier Org ID]],B190)/D190)</f>
        <v>NA</v>
      </c>
      <c r="S190" s="448">
        <f>SUMIFS(AN_TME_PY[[#All],[Member Months]],AN_TME_PY[[#All],[Insurance Category Code]],1,AN_TME_PY[[#All],[Advanced Network/Insurance Carrier Org ID]],B190)</f>
        <v>0</v>
      </c>
      <c r="T190" s="137" t="str">
        <f>IF(S190=0,"NA",SUMIFS(AN_TME_PY[[#All],[Claims: Hospital Inpatient]],AN_TME_PY[[#All],[Insurance Category Code]],1,AN_TME_PY[[#All],[Advanced Network/Insurance Carrier Org ID]],B190)/S190)</f>
        <v>NA</v>
      </c>
      <c r="U190" s="108" t="str">
        <f>IF(S190=0,"NA",SUMIFS(AN_TME_PY[[#All],[Claims: Hospital Outpatient]],AN_TME_PY[[#All],[Insurance Category Code]],1,AN_TME_PY[[#All],[Advanced Network/Insurance Carrier Org ID]],B190)/S190)</f>
        <v>NA</v>
      </c>
      <c r="V190" s="108" t="str">
        <f>IF(S190=0,"NA",SUMIFS(AN_TME_PY[[#All],[Claims: Professional, Primary Care]],AN_TME_PY[[#All],[Insurance Category Code]],1,AN_TME_PY[[#All],[Advanced Network/Insurance Carrier Org ID]],B190)/S190)</f>
        <v>NA</v>
      </c>
      <c r="W190" s="108" t="str">
        <f>IF(S190=0,"NA",SUMIFS(AN_TME_PY[[#All],[Claims: Professional, Primary Care (for Monitoring Purposes)]],AN_TME_PY[[#All],[Insurance Category Code]],1,AN_TME_PY[[#All],[Advanced Network/Insurance Carrier Org ID]],B190)/S190)</f>
        <v>NA</v>
      </c>
      <c r="X190" s="108" t="str">
        <f>IF(S190=0,"NA",SUMIFS(AN_TME_PY[[#All],[Claims: Professional, Specialty]],AN_TME_PY[[#All],[Insurance Category Code]],1,AN_TME_PY[[#All],[Advanced Network/Insurance Carrier Org ID]],B190)/S190)</f>
        <v>NA</v>
      </c>
      <c r="Y190" s="108" t="str">
        <f>IF(S190=0,"NA",SUMIFS(AN_TME_PY[[#All],[Claims: Professional Other]],AN_TME_PY[[#All],[Insurance Category Code]],1,AN_TME_PY[[#All],[Advanced Network/Insurance Carrier Org ID]],B190)/S190)</f>
        <v>NA</v>
      </c>
      <c r="Z190" s="108" t="str">
        <f>IF(S190=0,"NA",SUMIFS(AN_TME_PY[[#All],[Claims: Pharmacy]],AN_TME_PY[[#All],[Insurance Category Code]],1,AN_TME_PY[[#All],[Advanced Network/Insurance Carrier Org ID]],B190)/S190)</f>
        <v>NA</v>
      </c>
      <c r="AA190" s="108" t="str">
        <f>IF(S190=0,"NA",SUMIFS(AN_TME_PY[[#All],[Claims: Long-Term Care]],AN_TME_PY[[#All],[Insurance Category Code]],1,AN_TME_PY[[#All],[Advanced Network/Insurance Carrier Org ID]],B190)/S190)</f>
        <v>NA</v>
      </c>
      <c r="AB190" s="108" t="str">
        <f>IF(S190=0,"NA",SUMIFS(AN_TME_PY[[#All],[Claims: Other]],AN_TME_PY[[#All],[Insurance Category Code]],1,AN_TME_PY[[#All],[Advanced Network/Insurance Carrier Org ID]],B190)/S190)</f>
        <v>NA</v>
      </c>
      <c r="AC190" s="147" t="str">
        <f>IF(S190=0,"NA",SUMIFS(AN_TME_PY[[#All],[TOTAL Non-Truncated Unadjusted Claims Expenses]],AN_TME_PY[[#All],[Insurance Category Code]],1,AN_TME_PY[[#All],[Advanced Network/Insurance Carrier Org ID]],B190)/S190)</f>
        <v>NA</v>
      </c>
      <c r="AD190" s="147" t="str">
        <f>IF(S190=0,"NA",SUMIFS(AN_TME_PY[[#All],[TOTAL Truncated Unadjusted Claims Expenses (A21 -A19)]],AN_TME_PY[[#All],[Insurance Category Code]],1,AN_TME_PY[[#All],[Advanced Network/Insurance Carrier Org ID]],B190)/S190)</f>
        <v>NA</v>
      </c>
      <c r="AE190" s="147" t="str">
        <f>IF(S190=0,"NA",SUMIFS(AN_TME_PY[[#All],[TOTAL Non-Claims Expenses]],AN_TME_PY[[#All],[Insurance Category Code]],1,AN_TME_PY[[#All],[Advanced Network/Insurance Carrier Org ID]],B190)/S190)</f>
        <v>NA</v>
      </c>
      <c r="AF190" s="147" t="str">
        <f>IF(S190=0,"NA",SUMIFS(AN_TME_PY[[#All],[TOTAL Non-Truncated Unadjusted Expenses (A21 + A23)]],AN_TME_PY[[#All],[Insurance Category Code]],1,AN_TME_PY[[#All],[Advanced Network/Insurance Carrier Org ID]],B190)/S190)</f>
        <v>NA</v>
      </c>
      <c r="AG190" s="138" t="str">
        <f>IF(S190=0,"NA",SUMIFS(AN_TME_PY[[#All],[TOTAL Truncated Unadjusted Expenses (A22 + A23)]],AN_TME_PY[[#All],[Insurance Category Code]],1,AN_TME_PY[[#All],[Advanced Network/Insurance Carrier Org ID]],B190)/S190)</f>
        <v>NA</v>
      </c>
      <c r="AH190" s="419" t="str">
        <f t="shared" si="259"/>
        <v>NA</v>
      </c>
      <c r="AI190" s="420" t="str">
        <f t="shared" si="260"/>
        <v>NA</v>
      </c>
      <c r="AJ190" s="421" t="str">
        <f t="shared" si="261"/>
        <v>NA</v>
      </c>
      <c r="AK190" s="421" t="str">
        <f t="shared" si="262"/>
        <v>NA</v>
      </c>
      <c r="AL190" s="421" t="str">
        <f t="shared" si="263"/>
        <v>NA</v>
      </c>
      <c r="AM190" s="421" t="str">
        <f t="shared" si="264"/>
        <v>NA</v>
      </c>
      <c r="AN190" s="421" t="str">
        <f t="shared" si="265"/>
        <v>NA</v>
      </c>
      <c r="AO190" s="421" t="str">
        <f t="shared" si="266"/>
        <v>NA</v>
      </c>
      <c r="AP190" s="421" t="str">
        <f t="shared" si="267"/>
        <v>NA</v>
      </c>
      <c r="AQ190" s="421" t="str">
        <f t="shared" si="268"/>
        <v>NA</v>
      </c>
      <c r="AR190" s="422" t="str">
        <f t="shared" si="269"/>
        <v>NA</v>
      </c>
      <c r="AS190" s="422" t="str">
        <f t="shared" si="270"/>
        <v>NA</v>
      </c>
      <c r="AT190" s="422" t="str">
        <f t="shared" si="271"/>
        <v>NA</v>
      </c>
      <c r="AU190" s="422" t="str">
        <f t="shared" si="272"/>
        <v>NA</v>
      </c>
      <c r="AV190" s="423" t="str">
        <f t="shared" si="273"/>
        <v>NA</v>
      </c>
    </row>
    <row r="191" spans="1:48" ht="15" customHeight="1" x14ac:dyDescent="0.25">
      <c r="A191" s="146"/>
      <c r="B191" s="148">
        <v>120</v>
      </c>
      <c r="C191" s="151" t="str">
        <f>_xlfn.XLOOKUP(B191, LgProvEntOrgIDs[Advanced Network/Insurer Carrier Org ID], LgProvEntOrgIDs[Advanced Network/Insurance Carrier Overall])</f>
        <v>First Choice Community Health Centers</v>
      </c>
      <c r="D191" s="448">
        <f>SUMIFS(AN_TME_BY[[#All],[Member Months]],AN_TME_BY[[#All],[Insurance Category Code]],1,AN_TME_BY[[#All],[Advanced Network/Insurance Carrier Org ID]],B191)</f>
        <v>0</v>
      </c>
      <c r="E191" s="137" t="str">
        <f>IF(D191=0,"NA",SUMIFS(AN_TME_BY[[#All],[Claims: Hospital Inpatient]],AN_TME_BY[[#All],[Insurance Category Code]],1,AN_TME_BY[[#All],[Advanced Network/Insurance Carrier Org ID]],B191)/D191)</f>
        <v>NA</v>
      </c>
      <c r="F191" s="108" t="str">
        <f>IF(D191=0,"NA",SUMIFS(AN_TME_BY[[#All],[Claims: Hospital Outpatient]],AN_TME_BY[[#All],[Insurance Category Code]],1,AN_TME_BY[[#All],[Advanced Network/Insurance Carrier Org ID]],B191)/D191)</f>
        <v>NA</v>
      </c>
      <c r="G191" s="108" t="str">
        <f>IF(D191=0,"NA",SUMIFS(AN_TME_BY[[#All],[Claims: Professional, Primary Care]],AN_TME_BY[[#All],[Insurance Category Code]],1,AN_TME_BY[[#All],[Advanced Network/Insurance Carrier Org ID]],B191)/D191)</f>
        <v>NA</v>
      </c>
      <c r="H191" s="108" t="str">
        <f>IF(D191=0,"NA",SUMIFS(AN_TME_BY[[#All],[Claims: Professional, Primary Care (for Monitoring Purposes)]],AN_TME_BY[[#All],[Insurance Category Code]],1,AN_TME_BY[[#All],[Advanced Network/Insurance Carrier Org ID]],B191)/D191)</f>
        <v>NA</v>
      </c>
      <c r="I191" s="108" t="str">
        <f>IF(D191=0,"NA",SUMIFS(AN_TME_BY[[#All],[Claims: Professional, Specialty]],AN_TME_BY[[#All],[Insurance Category Code]],1,AN_TME_BY[[#All],[Advanced Network/Insurance Carrier Org ID]],B191)/D191)</f>
        <v>NA</v>
      </c>
      <c r="J191" s="108" t="str">
        <f>IF(D191=0,"NA",SUMIFS(AN_TME_BY[[#All],[Claims: Professional Other]],AN_TME_BY[[#All],[Insurance Category Code]],1,AN_TME_BY[[#All],[Advanced Network/Insurance Carrier Org ID]],B191)/D191)</f>
        <v>NA</v>
      </c>
      <c r="K191" s="108" t="str">
        <f>IF(D191=0,"NA",SUMIFS(AN_TME_BY[[#All],[Claims: Pharmacy]],AN_TME_BY[[#All],[Insurance Category Code]],1,AN_TME_BY[[#All],[Advanced Network/Insurance Carrier Org ID]],B191)/D191)</f>
        <v>NA</v>
      </c>
      <c r="L191" s="108" t="str">
        <f>IF(D191=0,"NA",SUMIFS(AN_TME_BY[[#All],[Claims: Long-Term Care]],AN_TME_BY[[#All],[Insurance Category Code]],1,AN_TME_BY[[#All],[Advanced Network/Insurance Carrier Org ID]],B191)/D191)</f>
        <v>NA</v>
      </c>
      <c r="M191" s="108" t="str">
        <f>IF(D191=0,"NA",SUMIFS(AN_TME_BY[[#All],[Claims: Other]],AN_TME_BY[[#All],[Insurance Category Code]],1,AN_TME_BY[[#All],[Advanced Network/Insurance Carrier Org ID]],B191)/D191)</f>
        <v>NA</v>
      </c>
      <c r="N191" s="147" t="str">
        <f>IF(D191=0,"NA",SUMIFS(AN_TME_BY[[#All],[TOTAL Non-Truncated Unadjusted Claims Expenses]],AN_TME_BY[[#All],[Insurance Category Code]],1,AN_TME_BY[[#All],[Advanced Network/Insurance Carrier Org ID]],B191)/D191)</f>
        <v>NA</v>
      </c>
      <c r="O191" s="147" t="str">
        <f>IF(D191=0,"NA",SUMIFS(AN_TME_BY[[#All],[TOTAL Truncated Unadjusted Claims Expenses (A21 -A19)]],AN_TME_BY[[#All],[Insurance Category Code]],1,AN_TME_BY[[#All],[Advanced Network/Insurance Carrier Org ID]],B191)/D191)</f>
        <v>NA</v>
      </c>
      <c r="P191" s="147" t="str">
        <f>IF(D191=0,"NA",SUMIFS(AN_TME_BY[[#All],[TOTAL Non-Claims Expenses]],AN_TME_BY[[#All],[Insurance Category Code]],1,AN_TME_BY[[#All],[Advanced Network/Insurance Carrier Org ID]],B191)/D191)</f>
        <v>NA</v>
      </c>
      <c r="Q191" s="147" t="str">
        <f>IF(D191=0,"NA",SUMIFS(AN_TME_BY[[#All],[TOTAL Non-Truncated Unadjusted Expenses (A21 + A23)]],AN_TME_BY[[#All],[Insurance Category Code]],1,AN_TME_BY[[#All],[Advanced Network/Insurance Carrier Org ID]],B191)/D191)</f>
        <v>NA</v>
      </c>
      <c r="R191" s="147" t="str">
        <f>IF(D191=0,"NA",SUMIFS(AN_TME_BY[[#All],[TOTAL Truncated Unadjusted Expenses (A22 + A23)]],AN_TME_BY[[#All],[Insurance Category Code]],1,AN_TME_BY[[#All],[Advanced Network/Insurance Carrier Org ID]],B191)/D191)</f>
        <v>NA</v>
      </c>
      <c r="S191" s="448">
        <f>SUMIFS(AN_TME_PY[[#All],[Member Months]],AN_TME_PY[[#All],[Insurance Category Code]],1,AN_TME_PY[[#All],[Advanced Network/Insurance Carrier Org ID]],B191)</f>
        <v>0</v>
      </c>
      <c r="T191" s="137" t="str">
        <f>IF(S191=0,"NA",SUMIFS(AN_TME_PY[[#All],[Claims: Hospital Inpatient]],AN_TME_PY[[#All],[Insurance Category Code]],1,AN_TME_PY[[#All],[Advanced Network/Insurance Carrier Org ID]],B191)/S191)</f>
        <v>NA</v>
      </c>
      <c r="U191" s="108" t="str">
        <f>IF(S191=0,"NA",SUMIFS(AN_TME_PY[[#All],[Claims: Hospital Outpatient]],AN_TME_PY[[#All],[Insurance Category Code]],1,AN_TME_PY[[#All],[Advanced Network/Insurance Carrier Org ID]],B191)/S191)</f>
        <v>NA</v>
      </c>
      <c r="V191" s="108" t="str">
        <f>IF(S191=0,"NA",SUMIFS(AN_TME_PY[[#All],[Claims: Professional, Primary Care]],AN_TME_PY[[#All],[Insurance Category Code]],1,AN_TME_PY[[#All],[Advanced Network/Insurance Carrier Org ID]],B191)/S191)</f>
        <v>NA</v>
      </c>
      <c r="W191" s="108" t="str">
        <f>IF(S191=0,"NA",SUMIFS(AN_TME_PY[[#All],[Claims: Professional, Primary Care (for Monitoring Purposes)]],AN_TME_PY[[#All],[Insurance Category Code]],1,AN_TME_PY[[#All],[Advanced Network/Insurance Carrier Org ID]],B191)/S191)</f>
        <v>NA</v>
      </c>
      <c r="X191" s="108" t="str">
        <f>IF(S191=0,"NA",SUMIFS(AN_TME_PY[[#All],[Claims: Professional, Specialty]],AN_TME_PY[[#All],[Insurance Category Code]],1,AN_TME_PY[[#All],[Advanced Network/Insurance Carrier Org ID]],B191)/S191)</f>
        <v>NA</v>
      </c>
      <c r="Y191" s="108" t="str">
        <f>IF(S191=0,"NA",SUMIFS(AN_TME_PY[[#All],[Claims: Professional Other]],AN_TME_PY[[#All],[Insurance Category Code]],1,AN_TME_PY[[#All],[Advanced Network/Insurance Carrier Org ID]],B191)/S191)</f>
        <v>NA</v>
      </c>
      <c r="Z191" s="108" t="str">
        <f>IF(S191=0,"NA",SUMIFS(AN_TME_PY[[#All],[Claims: Pharmacy]],AN_TME_PY[[#All],[Insurance Category Code]],1,AN_TME_PY[[#All],[Advanced Network/Insurance Carrier Org ID]],B191)/S191)</f>
        <v>NA</v>
      </c>
      <c r="AA191" s="108" t="str">
        <f>IF(S191=0,"NA",SUMIFS(AN_TME_PY[[#All],[Claims: Long-Term Care]],AN_TME_PY[[#All],[Insurance Category Code]],1,AN_TME_PY[[#All],[Advanced Network/Insurance Carrier Org ID]],B191)/S191)</f>
        <v>NA</v>
      </c>
      <c r="AB191" s="108" t="str">
        <f>IF(S191=0,"NA",SUMIFS(AN_TME_PY[[#All],[Claims: Other]],AN_TME_PY[[#All],[Insurance Category Code]],1,AN_TME_PY[[#All],[Advanced Network/Insurance Carrier Org ID]],B191)/S191)</f>
        <v>NA</v>
      </c>
      <c r="AC191" s="147" t="str">
        <f>IF(S191=0,"NA",SUMIFS(AN_TME_PY[[#All],[TOTAL Non-Truncated Unadjusted Claims Expenses]],AN_TME_PY[[#All],[Insurance Category Code]],1,AN_TME_PY[[#All],[Advanced Network/Insurance Carrier Org ID]],B191)/S191)</f>
        <v>NA</v>
      </c>
      <c r="AD191" s="147" t="str">
        <f>IF(S191=0,"NA",SUMIFS(AN_TME_PY[[#All],[TOTAL Truncated Unadjusted Claims Expenses (A21 -A19)]],AN_TME_PY[[#All],[Insurance Category Code]],1,AN_TME_PY[[#All],[Advanced Network/Insurance Carrier Org ID]],B191)/S191)</f>
        <v>NA</v>
      </c>
      <c r="AE191" s="147" t="str">
        <f>IF(S191=0,"NA",SUMIFS(AN_TME_PY[[#All],[TOTAL Non-Claims Expenses]],AN_TME_PY[[#All],[Insurance Category Code]],1,AN_TME_PY[[#All],[Advanced Network/Insurance Carrier Org ID]],B191)/S191)</f>
        <v>NA</v>
      </c>
      <c r="AF191" s="147" t="str">
        <f>IF(S191=0,"NA",SUMIFS(AN_TME_PY[[#All],[TOTAL Non-Truncated Unadjusted Expenses (A21 + A23)]],AN_TME_PY[[#All],[Insurance Category Code]],1,AN_TME_PY[[#All],[Advanced Network/Insurance Carrier Org ID]],B191)/S191)</f>
        <v>NA</v>
      </c>
      <c r="AG191" s="138" t="str">
        <f>IF(S191=0,"NA",SUMIFS(AN_TME_PY[[#All],[TOTAL Truncated Unadjusted Expenses (A22 + A23)]],AN_TME_PY[[#All],[Insurance Category Code]],1,AN_TME_PY[[#All],[Advanced Network/Insurance Carrier Org ID]],B191)/S191)</f>
        <v>NA</v>
      </c>
      <c r="AH191" s="419" t="str">
        <f t="shared" si="259"/>
        <v>NA</v>
      </c>
      <c r="AI191" s="420" t="str">
        <f t="shared" si="260"/>
        <v>NA</v>
      </c>
      <c r="AJ191" s="421" t="str">
        <f t="shared" si="261"/>
        <v>NA</v>
      </c>
      <c r="AK191" s="421" t="str">
        <f t="shared" si="262"/>
        <v>NA</v>
      </c>
      <c r="AL191" s="421" t="str">
        <f t="shared" si="263"/>
        <v>NA</v>
      </c>
      <c r="AM191" s="421" t="str">
        <f t="shared" si="264"/>
        <v>NA</v>
      </c>
      <c r="AN191" s="421" t="str">
        <f t="shared" si="265"/>
        <v>NA</v>
      </c>
      <c r="AO191" s="421" t="str">
        <f t="shared" si="266"/>
        <v>NA</v>
      </c>
      <c r="AP191" s="421" t="str">
        <f t="shared" si="267"/>
        <v>NA</v>
      </c>
      <c r="AQ191" s="421" t="str">
        <f t="shared" si="268"/>
        <v>NA</v>
      </c>
      <c r="AR191" s="422" t="str">
        <f t="shared" si="269"/>
        <v>NA</v>
      </c>
      <c r="AS191" s="422" t="str">
        <f t="shared" si="270"/>
        <v>NA</v>
      </c>
      <c r="AT191" s="422" t="str">
        <f t="shared" si="271"/>
        <v>NA</v>
      </c>
      <c r="AU191" s="422" t="str">
        <f t="shared" si="272"/>
        <v>NA</v>
      </c>
      <c r="AV191" s="423" t="str">
        <f t="shared" si="273"/>
        <v>NA</v>
      </c>
    </row>
    <row r="192" spans="1:48" ht="15" customHeight="1" x14ac:dyDescent="0.25">
      <c r="A192" s="146"/>
      <c r="B192" s="148">
        <v>121</v>
      </c>
      <c r="C192" s="151" t="str">
        <f>_xlfn.XLOOKUP(B192, LgProvEntOrgIDs[Advanced Network/Insurer Carrier Org ID], LgProvEntOrgIDs[Advanced Network/Insurance Carrier Overall])</f>
        <v>Generations Family Health Center</v>
      </c>
      <c r="D192" s="448">
        <f>SUMIFS(AN_TME_BY[[#All],[Member Months]],AN_TME_BY[[#All],[Insurance Category Code]],1,AN_TME_BY[[#All],[Advanced Network/Insurance Carrier Org ID]],B192)</f>
        <v>0</v>
      </c>
      <c r="E192" s="137" t="str">
        <f>IF(D192=0,"NA",SUMIFS(AN_TME_BY[[#All],[Claims: Hospital Inpatient]],AN_TME_BY[[#All],[Insurance Category Code]],1,AN_TME_BY[[#All],[Advanced Network/Insurance Carrier Org ID]],B192)/D192)</f>
        <v>NA</v>
      </c>
      <c r="F192" s="108" t="str">
        <f>IF(D192=0,"NA",SUMIFS(AN_TME_BY[[#All],[Claims: Hospital Outpatient]],AN_TME_BY[[#All],[Insurance Category Code]],1,AN_TME_BY[[#All],[Advanced Network/Insurance Carrier Org ID]],B192)/D192)</f>
        <v>NA</v>
      </c>
      <c r="G192" s="108" t="str">
        <f>IF(D192=0,"NA",SUMIFS(AN_TME_BY[[#All],[Claims: Professional, Primary Care]],AN_TME_BY[[#All],[Insurance Category Code]],1,AN_TME_BY[[#All],[Advanced Network/Insurance Carrier Org ID]],B192)/D192)</f>
        <v>NA</v>
      </c>
      <c r="H192" s="108" t="str">
        <f>IF(D192=0,"NA",SUMIFS(AN_TME_BY[[#All],[Claims: Professional, Primary Care (for Monitoring Purposes)]],AN_TME_BY[[#All],[Insurance Category Code]],1,AN_TME_BY[[#All],[Advanced Network/Insurance Carrier Org ID]],B192)/D192)</f>
        <v>NA</v>
      </c>
      <c r="I192" s="108" t="str">
        <f>IF(D192=0,"NA",SUMIFS(AN_TME_BY[[#All],[Claims: Professional, Specialty]],AN_TME_BY[[#All],[Insurance Category Code]],1,AN_TME_BY[[#All],[Advanced Network/Insurance Carrier Org ID]],B192)/D192)</f>
        <v>NA</v>
      </c>
      <c r="J192" s="108" t="str">
        <f>IF(D192=0,"NA",SUMIFS(AN_TME_BY[[#All],[Claims: Professional Other]],AN_TME_BY[[#All],[Insurance Category Code]],1,AN_TME_BY[[#All],[Advanced Network/Insurance Carrier Org ID]],B192)/D192)</f>
        <v>NA</v>
      </c>
      <c r="K192" s="108" t="str">
        <f>IF(D192=0,"NA",SUMIFS(AN_TME_BY[[#All],[Claims: Pharmacy]],AN_TME_BY[[#All],[Insurance Category Code]],1,AN_TME_BY[[#All],[Advanced Network/Insurance Carrier Org ID]],B192)/D192)</f>
        <v>NA</v>
      </c>
      <c r="L192" s="108" t="str">
        <f>IF(D192=0,"NA",SUMIFS(AN_TME_BY[[#All],[Claims: Long-Term Care]],AN_TME_BY[[#All],[Insurance Category Code]],1,AN_TME_BY[[#All],[Advanced Network/Insurance Carrier Org ID]],B192)/D192)</f>
        <v>NA</v>
      </c>
      <c r="M192" s="108" t="str">
        <f>IF(D192=0,"NA",SUMIFS(AN_TME_BY[[#All],[Claims: Other]],AN_TME_BY[[#All],[Insurance Category Code]],1,AN_TME_BY[[#All],[Advanced Network/Insurance Carrier Org ID]],B192)/D192)</f>
        <v>NA</v>
      </c>
      <c r="N192" s="147" t="str">
        <f>IF(D192=0,"NA",SUMIFS(AN_TME_BY[[#All],[TOTAL Non-Truncated Unadjusted Claims Expenses]],AN_TME_BY[[#All],[Insurance Category Code]],1,AN_TME_BY[[#All],[Advanced Network/Insurance Carrier Org ID]],B192)/D192)</f>
        <v>NA</v>
      </c>
      <c r="O192" s="147" t="str">
        <f>IF(D192=0,"NA",SUMIFS(AN_TME_BY[[#All],[TOTAL Truncated Unadjusted Claims Expenses (A21 -A19)]],AN_TME_BY[[#All],[Insurance Category Code]],1,AN_TME_BY[[#All],[Advanced Network/Insurance Carrier Org ID]],B192)/D192)</f>
        <v>NA</v>
      </c>
      <c r="P192" s="147" t="str">
        <f>IF(D192=0,"NA",SUMIFS(AN_TME_BY[[#All],[TOTAL Non-Claims Expenses]],AN_TME_BY[[#All],[Insurance Category Code]],1,AN_TME_BY[[#All],[Advanced Network/Insurance Carrier Org ID]],B192)/D192)</f>
        <v>NA</v>
      </c>
      <c r="Q192" s="147" t="str">
        <f>IF(D192=0,"NA",SUMIFS(AN_TME_BY[[#All],[TOTAL Non-Truncated Unadjusted Expenses (A21 + A23)]],AN_TME_BY[[#All],[Insurance Category Code]],1,AN_TME_BY[[#All],[Advanced Network/Insurance Carrier Org ID]],B192)/D192)</f>
        <v>NA</v>
      </c>
      <c r="R192" s="147" t="str">
        <f>IF(D192=0,"NA",SUMIFS(AN_TME_BY[[#All],[TOTAL Truncated Unadjusted Expenses (A22 + A23)]],AN_TME_BY[[#All],[Insurance Category Code]],1,AN_TME_BY[[#All],[Advanced Network/Insurance Carrier Org ID]],B192)/D192)</f>
        <v>NA</v>
      </c>
      <c r="S192" s="448">
        <f>SUMIFS(AN_TME_PY[[#All],[Member Months]],AN_TME_PY[[#All],[Insurance Category Code]],1,AN_TME_PY[[#All],[Advanced Network/Insurance Carrier Org ID]],B192)</f>
        <v>0</v>
      </c>
      <c r="T192" s="137" t="str">
        <f>IF(S192=0,"NA",SUMIFS(AN_TME_PY[[#All],[Claims: Hospital Inpatient]],AN_TME_PY[[#All],[Insurance Category Code]],1,AN_TME_PY[[#All],[Advanced Network/Insurance Carrier Org ID]],B192)/S192)</f>
        <v>NA</v>
      </c>
      <c r="U192" s="108" t="str">
        <f>IF(S192=0,"NA",SUMIFS(AN_TME_PY[[#All],[Claims: Hospital Outpatient]],AN_TME_PY[[#All],[Insurance Category Code]],1,AN_TME_PY[[#All],[Advanced Network/Insurance Carrier Org ID]],B192)/S192)</f>
        <v>NA</v>
      </c>
      <c r="V192" s="108" t="str">
        <f>IF(S192=0,"NA",SUMIFS(AN_TME_PY[[#All],[Claims: Professional, Primary Care]],AN_TME_PY[[#All],[Insurance Category Code]],1,AN_TME_PY[[#All],[Advanced Network/Insurance Carrier Org ID]],B192)/S192)</f>
        <v>NA</v>
      </c>
      <c r="W192" s="108" t="str">
        <f>IF(S192=0,"NA",SUMIFS(AN_TME_PY[[#All],[Claims: Professional, Primary Care (for Monitoring Purposes)]],AN_TME_PY[[#All],[Insurance Category Code]],1,AN_TME_PY[[#All],[Advanced Network/Insurance Carrier Org ID]],B192)/S192)</f>
        <v>NA</v>
      </c>
      <c r="X192" s="108" t="str">
        <f>IF(S192=0,"NA",SUMIFS(AN_TME_PY[[#All],[Claims: Professional, Specialty]],AN_TME_PY[[#All],[Insurance Category Code]],1,AN_TME_PY[[#All],[Advanced Network/Insurance Carrier Org ID]],B192)/S192)</f>
        <v>NA</v>
      </c>
      <c r="Y192" s="108" t="str">
        <f>IF(S192=0,"NA",SUMIFS(AN_TME_PY[[#All],[Claims: Professional Other]],AN_TME_PY[[#All],[Insurance Category Code]],1,AN_TME_PY[[#All],[Advanced Network/Insurance Carrier Org ID]],B192)/S192)</f>
        <v>NA</v>
      </c>
      <c r="Z192" s="108" t="str">
        <f>IF(S192=0,"NA",SUMIFS(AN_TME_PY[[#All],[Claims: Pharmacy]],AN_TME_PY[[#All],[Insurance Category Code]],1,AN_TME_PY[[#All],[Advanced Network/Insurance Carrier Org ID]],B192)/S192)</f>
        <v>NA</v>
      </c>
      <c r="AA192" s="108" t="str">
        <f>IF(S192=0,"NA",SUMIFS(AN_TME_PY[[#All],[Claims: Long-Term Care]],AN_TME_PY[[#All],[Insurance Category Code]],1,AN_TME_PY[[#All],[Advanced Network/Insurance Carrier Org ID]],B192)/S192)</f>
        <v>NA</v>
      </c>
      <c r="AB192" s="108" t="str">
        <f>IF(S192=0,"NA",SUMIFS(AN_TME_PY[[#All],[Claims: Other]],AN_TME_PY[[#All],[Insurance Category Code]],1,AN_TME_PY[[#All],[Advanced Network/Insurance Carrier Org ID]],B192)/S192)</f>
        <v>NA</v>
      </c>
      <c r="AC192" s="147" t="str">
        <f>IF(S192=0,"NA",SUMIFS(AN_TME_PY[[#All],[TOTAL Non-Truncated Unadjusted Claims Expenses]],AN_TME_PY[[#All],[Insurance Category Code]],1,AN_TME_PY[[#All],[Advanced Network/Insurance Carrier Org ID]],B192)/S192)</f>
        <v>NA</v>
      </c>
      <c r="AD192" s="147" t="str">
        <f>IF(S192=0,"NA",SUMIFS(AN_TME_PY[[#All],[TOTAL Truncated Unadjusted Claims Expenses (A21 -A19)]],AN_TME_PY[[#All],[Insurance Category Code]],1,AN_TME_PY[[#All],[Advanced Network/Insurance Carrier Org ID]],B192)/S192)</f>
        <v>NA</v>
      </c>
      <c r="AE192" s="147" t="str">
        <f>IF(S192=0,"NA",SUMIFS(AN_TME_PY[[#All],[TOTAL Non-Claims Expenses]],AN_TME_PY[[#All],[Insurance Category Code]],1,AN_TME_PY[[#All],[Advanced Network/Insurance Carrier Org ID]],B192)/S192)</f>
        <v>NA</v>
      </c>
      <c r="AF192" s="147" t="str">
        <f>IF(S192=0,"NA",SUMIFS(AN_TME_PY[[#All],[TOTAL Non-Truncated Unadjusted Expenses (A21 + A23)]],AN_TME_PY[[#All],[Insurance Category Code]],1,AN_TME_PY[[#All],[Advanced Network/Insurance Carrier Org ID]],B192)/S192)</f>
        <v>NA</v>
      </c>
      <c r="AG192" s="138" t="str">
        <f>IF(S192=0,"NA",SUMIFS(AN_TME_PY[[#All],[TOTAL Truncated Unadjusted Expenses (A22 + A23)]],AN_TME_PY[[#All],[Insurance Category Code]],1,AN_TME_PY[[#All],[Advanced Network/Insurance Carrier Org ID]],B192)/S192)</f>
        <v>NA</v>
      </c>
      <c r="AH192" s="419" t="str">
        <f t="shared" si="259"/>
        <v>NA</v>
      </c>
      <c r="AI192" s="420" t="str">
        <f t="shared" si="260"/>
        <v>NA</v>
      </c>
      <c r="AJ192" s="421" t="str">
        <f t="shared" si="261"/>
        <v>NA</v>
      </c>
      <c r="AK192" s="421" t="str">
        <f t="shared" si="262"/>
        <v>NA</v>
      </c>
      <c r="AL192" s="421" t="str">
        <f t="shared" si="263"/>
        <v>NA</v>
      </c>
      <c r="AM192" s="421" t="str">
        <f t="shared" si="264"/>
        <v>NA</v>
      </c>
      <c r="AN192" s="421" t="str">
        <f t="shared" si="265"/>
        <v>NA</v>
      </c>
      <c r="AO192" s="421" t="str">
        <f t="shared" si="266"/>
        <v>NA</v>
      </c>
      <c r="AP192" s="421" t="str">
        <f t="shared" si="267"/>
        <v>NA</v>
      </c>
      <c r="AQ192" s="421" t="str">
        <f t="shared" si="268"/>
        <v>NA</v>
      </c>
      <c r="AR192" s="422" t="str">
        <f t="shared" si="269"/>
        <v>NA</v>
      </c>
      <c r="AS192" s="422" t="str">
        <f t="shared" si="270"/>
        <v>NA</v>
      </c>
      <c r="AT192" s="422" t="str">
        <f t="shared" si="271"/>
        <v>NA</v>
      </c>
      <c r="AU192" s="422" t="str">
        <f t="shared" si="272"/>
        <v>NA</v>
      </c>
      <c r="AV192" s="423" t="str">
        <f t="shared" si="273"/>
        <v>NA</v>
      </c>
    </row>
    <row r="193" spans="1:48" ht="15" customHeight="1" x14ac:dyDescent="0.25">
      <c r="A193" s="146"/>
      <c r="B193" s="148">
        <v>122</v>
      </c>
      <c r="C193" s="151" t="str">
        <f>_xlfn.XLOOKUP(B193, LgProvEntOrgIDs[Advanced Network/Insurer Carrier Org ID], LgProvEntOrgIDs[Advanced Network/Insurance Carrier Overall])</f>
        <v>Norwalk Community Health Center</v>
      </c>
      <c r="D193" s="448">
        <f>SUMIFS(AN_TME_BY[[#All],[Member Months]],AN_TME_BY[[#All],[Insurance Category Code]],1,AN_TME_BY[[#All],[Advanced Network/Insurance Carrier Org ID]],B193)</f>
        <v>0</v>
      </c>
      <c r="E193" s="137" t="str">
        <f>IF(D193=0,"NA",SUMIFS(AN_TME_BY[[#All],[Claims: Hospital Inpatient]],AN_TME_BY[[#All],[Insurance Category Code]],1,AN_TME_BY[[#All],[Advanced Network/Insurance Carrier Org ID]],B193)/D193)</f>
        <v>NA</v>
      </c>
      <c r="F193" s="108" t="str">
        <f>IF(D193=0,"NA",SUMIFS(AN_TME_BY[[#All],[Claims: Hospital Outpatient]],AN_TME_BY[[#All],[Insurance Category Code]],1,AN_TME_BY[[#All],[Advanced Network/Insurance Carrier Org ID]],B193)/D193)</f>
        <v>NA</v>
      </c>
      <c r="G193" s="108" t="str">
        <f>IF(D193=0,"NA",SUMIFS(AN_TME_BY[[#All],[Claims: Professional, Primary Care]],AN_TME_BY[[#All],[Insurance Category Code]],1,AN_TME_BY[[#All],[Advanced Network/Insurance Carrier Org ID]],B193)/D193)</f>
        <v>NA</v>
      </c>
      <c r="H193" s="108" t="str">
        <f>IF(D193=0,"NA",SUMIFS(AN_TME_BY[[#All],[Claims: Professional, Primary Care (for Monitoring Purposes)]],AN_TME_BY[[#All],[Insurance Category Code]],1,AN_TME_BY[[#All],[Advanced Network/Insurance Carrier Org ID]],B193)/D193)</f>
        <v>NA</v>
      </c>
      <c r="I193" s="108" t="str">
        <f>IF(D193=0,"NA",SUMIFS(AN_TME_BY[[#All],[Claims: Professional, Specialty]],AN_TME_BY[[#All],[Insurance Category Code]],1,AN_TME_BY[[#All],[Advanced Network/Insurance Carrier Org ID]],B193)/D193)</f>
        <v>NA</v>
      </c>
      <c r="J193" s="108" t="str">
        <f>IF(D193=0,"NA",SUMIFS(AN_TME_BY[[#All],[Claims: Professional Other]],AN_TME_BY[[#All],[Insurance Category Code]],1,AN_TME_BY[[#All],[Advanced Network/Insurance Carrier Org ID]],B193)/D193)</f>
        <v>NA</v>
      </c>
      <c r="K193" s="108" t="str">
        <f>IF(D193=0,"NA",SUMIFS(AN_TME_BY[[#All],[Claims: Pharmacy]],AN_TME_BY[[#All],[Insurance Category Code]],1,AN_TME_BY[[#All],[Advanced Network/Insurance Carrier Org ID]],B193)/D193)</f>
        <v>NA</v>
      </c>
      <c r="L193" s="108" t="str">
        <f>IF(D193=0,"NA",SUMIFS(AN_TME_BY[[#All],[Claims: Long-Term Care]],AN_TME_BY[[#All],[Insurance Category Code]],1,AN_TME_BY[[#All],[Advanced Network/Insurance Carrier Org ID]],B193)/D193)</f>
        <v>NA</v>
      </c>
      <c r="M193" s="108" t="str">
        <f>IF(D193=0,"NA",SUMIFS(AN_TME_BY[[#All],[Claims: Other]],AN_TME_BY[[#All],[Insurance Category Code]],1,AN_TME_BY[[#All],[Advanced Network/Insurance Carrier Org ID]],B193)/D193)</f>
        <v>NA</v>
      </c>
      <c r="N193" s="147" t="str">
        <f>IF(D193=0,"NA",SUMIFS(AN_TME_BY[[#All],[TOTAL Non-Truncated Unadjusted Claims Expenses]],AN_TME_BY[[#All],[Insurance Category Code]],1,AN_TME_BY[[#All],[Advanced Network/Insurance Carrier Org ID]],B193)/D193)</f>
        <v>NA</v>
      </c>
      <c r="O193" s="147" t="str">
        <f>IF(D193=0,"NA",SUMIFS(AN_TME_BY[[#All],[TOTAL Truncated Unadjusted Claims Expenses (A21 -A19)]],AN_TME_BY[[#All],[Insurance Category Code]],1,AN_TME_BY[[#All],[Advanced Network/Insurance Carrier Org ID]],B193)/D193)</f>
        <v>NA</v>
      </c>
      <c r="P193" s="147" t="str">
        <f>IF(D193=0,"NA",SUMIFS(AN_TME_BY[[#All],[TOTAL Non-Claims Expenses]],AN_TME_BY[[#All],[Insurance Category Code]],1,AN_TME_BY[[#All],[Advanced Network/Insurance Carrier Org ID]],B193)/D193)</f>
        <v>NA</v>
      </c>
      <c r="Q193" s="147" t="str">
        <f>IF(D193=0,"NA",SUMIFS(AN_TME_BY[[#All],[TOTAL Non-Truncated Unadjusted Expenses (A21 + A23)]],AN_TME_BY[[#All],[Insurance Category Code]],1,AN_TME_BY[[#All],[Advanced Network/Insurance Carrier Org ID]],B193)/D193)</f>
        <v>NA</v>
      </c>
      <c r="R193" s="147" t="str">
        <f>IF(D193=0,"NA",SUMIFS(AN_TME_BY[[#All],[TOTAL Truncated Unadjusted Expenses (A22 + A23)]],AN_TME_BY[[#All],[Insurance Category Code]],1,AN_TME_BY[[#All],[Advanced Network/Insurance Carrier Org ID]],B193)/D193)</f>
        <v>NA</v>
      </c>
      <c r="S193" s="448">
        <f>SUMIFS(AN_TME_PY[[#All],[Member Months]],AN_TME_PY[[#All],[Insurance Category Code]],1,AN_TME_PY[[#All],[Advanced Network/Insurance Carrier Org ID]],B193)</f>
        <v>0</v>
      </c>
      <c r="T193" s="137" t="str">
        <f>IF(S193=0,"NA",SUMIFS(AN_TME_PY[[#All],[Claims: Hospital Inpatient]],AN_TME_PY[[#All],[Insurance Category Code]],1,AN_TME_PY[[#All],[Advanced Network/Insurance Carrier Org ID]],B193)/S193)</f>
        <v>NA</v>
      </c>
      <c r="U193" s="108" t="str">
        <f>IF(S193=0,"NA",SUMIFS(AN_TME_PY[[#All],[Claims: Hospital Outpatient]],AN_TME_PY[[#All],[Insurance Category Code]],1,AN_TME_PY[[#All],[Advanced Network/Insurance Carrier Org ID]],B193)/S193)</f>
        <v>NA</v>
      </c>
      <c r="V193" s="108" t="str">
        <f>IF(S193=0,"NA",SUMIFS(AN_TME_PY[[#All],[Claims: Professional, Primary Care]],AN_TME_PY[[#All],[Insurance Category Code]],1,AN_TME_PY[[#All],[Advanced Network/Insurance Carrier Org ID]],B193)/S193)</f>
        <v>NA</v>
      </c>
      <c r="W193" s="108" t="str">
        <f>IF(S193=0,"NA",SUMIFS(AN_TME_PY[[#All],[Claims: Professional, Primary Care (for Monitoring Purposes)]],AN_TME_PY[[#All],[Insurance Category Code]],1,AN_TME_PY[[#All],[Advanced Network/Insurance Carrier Org ID]],B193)/S193)</f>
        <v>NA</v>
      </c>
      <c r="X193" s="108" t="str">
        <f>IF(S193=0,"NA",SUMIFS(AN_TME_PY[[#All],[Claims: Professional, Specialty]],AN_TME_PY[[#All],[Insurance Category Code]],1,AN_TME_PY[[#All],[Advanced Network/Insurance Carrier Org ID]],B193)/S193)</f>
        <v>NA</v>
      </c>
      <c r="Y193" s="108" t="str">
        <f>IF(S193=0,"NA",SUMIFS(AN_TME_PY[[#All],[Claims: Professional Other]],AN_TME_PY[[#All],[Insurance Category Code]],1,AN_TME_PY[[#All],[Advanced Network/Insurance Carrier Org ID]],B193)/S193)</f>
        <v>NA</v>
      </c>
      <c r="Z193" s="108" t="str">
        <f>IF(S193=0,"NA",SUMIFS(AN_TME_PY[[#All],[Claims: Pharmacy]],AN_TME_PY[[#All],[Insurance Category Code]],1,AN_TME_PY[[#All],[Advanced Network/Insurance Carrier Org ID]],B193)/S193)</f>
        <v>NA</v>
      </c>
      <c r="AA193" s="108" t="str">
        <f>IF(S193=0,"NA",SUMIFS(AN_TME_PY[[#All],[Claims: Long-Term Care]],AN_TME_PY[[#All],[Insurance Category Code]],1,AN_TME_PY[[#All],[Advanced Network/Insurance Carrier Org ID]],B193)/S193)</f>
        <v>NA</v>
      </c>
      <c r="AB193" s="108" t="str">
        <f>IF(S193=0,"NA",SUMIFS(AN_TME_PY[[#All],[Claims: Other]],AN_TME_PY[[#All],[Insurance Category Code]],1,AN_TME_PY[[#All],[Advanced Network/Insurance Carrier Org ID]],B193)/S193)</f>
        <v>NA</v>
      </c>
      <c r="AC193" s="147" t="str">
        <f>IF(S193=0,"NA",SUMIFS(AN_TME_PY[[#All],[TOTAL Non-Truncated Unadjusted Claims Expenses]],AN_TME_PY[[#All],[Insurance Category Code]],1,AN_TME_PY[[#All],[Advanced Network/Insurance Carrier Org ID]],B193)/S193)</f>
        <v>NA</v>
      </c>
      <c r="AD193" s="147" t="str">
        <f>IF(S193=0,"NA",SUMIFS(AN_TME_PY[[#All],[TOTAL Truncated Unadjusted Claims Expenses (A21 -A19)]],AN_TME_PY[[#All],[Insurance Category Code]],1,AN_TME_PY[[#All],[Advanced Network/Insurance Carrier Org ID]],B193)/S193)</f>
        <v>NA</v>
      </c>
      <c r="AE193" s="147" t="str">
        <f>IF(S193=0,"NA",SUMIFS(AN_TME_PY[[#All],[TOTAL Non-Claims Expenses]],AN_TME_PY[[#All],[Insurance Category Code]],1,AN_TME_PY[[#All],[Advanced Network/Insurance Carrier Org ID]],B193)/S193)</f>
        <v>NA</v>
      </c>
      <c r="AF193" s="147" t="str">
        <f>IF(S193=0,"NA",SUMIFS(AN_TME_PY[[#All],[TOTAL Non-Truncated Unadjusted Expenses (A21 + A23)]],AN_TME_PY[[#All],[Insurance Category Code]],1,AN_TME_PY[[#All],[Advanced Network/Insurance Carrier Org ID]],B193)/S193)</f>
        <v>NA</v>
      </c>
      <c r="AG193" s="138" t="str">
        <f>IF(S193=0,"NA",SUMIFS(AN_TME_PY[[#All],[TOTAL Truncated Unadjusted Expenses (A22 + A23)]],AN_TME_PY[[#All],[Insurance Category Code]],1,AN_TME_PY[[#All],[Advanced Network/Insurance Carrier Org ID]],B193)/S193)</f>
        <v>NA</v>
      </c>
      <c r="AH193" s="419" t="str">
        <f t="shared" si="259"/>
        <v>NA</v>
      </c>
      <c r="AI193" s="420" t="str">
        <f t="shared" si="260"/>
        <v>NA</v>
      </c>
      <c r="AJ193" s="421" t="str">
        <f t="shared" si="261"/>
        <v>NA</v>
      </c>
      <c r="AK193" s="421" t="str">
        <f t="shared" si="262"/>
        <v>NA</v>
      </c>
      <c r="AL193" s="421" t="str">
        <f t="shared" si="263"/>
        <v>NA</v>
      </c>
      <c r="AM193" s="421" t="str">
        <f t="shared" si="264"/>
        <v>NA</v>
      </c>
      <c r="AN193" s="421" t="str">
        <f t="shared" si="265"/>
        <v>NA</v>
      </c>
      <c r="AO193" s="421" t="str">
        <f t="shared" si="266"/>
        <v>NA</v>
      </c>
      <c r="AP193" s="421" t="str">
        <f t="shared" si="267"/>
        <v>NA</v>
      </c>
      <c r="AQ193" s="421" t="str">
        <f t="shared" si="268"/>
        <v>NA</v>
      </c>
      <c r="AR193" s="422" t="str">
        <f t="shared" si="269"/>
        <v>NA</v>
      </c>
      <c r="AS193" s="422" t="str">
        <f t="shared" si="270"/>
        <v>NA</v>
      </c>
      <c r="AT193" s="422" t="str">
        <f t="shared" si="271"/>
        <v>NA</v>
      </c>
      <c r="AU193" s="422" t="str">
        <f t="shared" si="272"/>
        <v>NA</v>
      </c>
      <c r="AV193" s="423" t="str">
        <f t="shared" si="273"/>
        <v>NA</v>
      </c>
    </row>
    <row r="194" spans="1:48" ht="15" customHeight="1" x14ac:dyDescent="0.25">
      <c r="A194" s="146"/>
      <c r="B194" s="148">
        <v>123</v>
      </c>
      <c r="C194" s="151" t="str">
        <f>_xlfn.XLOOKUP(B194, LgProvEntOrgIDs[Advanced Network/Insurer Carrier Org ID], LgProvEntOrgIDs[Advanced Network/Insurance Carrier Overall])</f>
        <v>Optimus Health Care, Inc.</v>
      </c>
      <c r="D194" s="448">
        <f>SUMIFS(AN_TME_BY[[#All],[Member Months]],AN_TME_BY[[#All],[Insurance Category Code]],1,AN_TME_BY[[#All],[Advanced Network/Insurance Carrier Org ID]],B194)</f>
        <v>0</v>
      </c>
      <c r="E194" s="137" t="str">
        <f>IF(D194=0,"NA",SUMIFS(AN_TME_BY[[#All],[Claims: Hospital Inpatient]],AN_TME_BY[[#All],[Insurance Category Code]],1,AN_TME_BY[[#All],[Advanced Network/Insurance Carrier Org ID]],B194)/D194)</f>
        <v>NA</v>
      </c>
      <c r="F194" s="108" t="str">
        <f>IF(D194=0,"NA",SUMIFS(AN_TME_BY[[#All],[Claims: Hospital Outpatient]],AN_TME_BY[[#All],[Insurance Category Code]],1,AN_TME_BY[[#All],[Advanced Network/Insurance Carrier Org ID]],B194)/D194)</f>
        <v>NA</v>
      </c>
      <c r="G194" s="108" t="str">
        <f>IF(D194=0,"NA",SUMIFS(AN_TME_BY[[#All],[Claims: Professional, Primary Care]],AN_TME_BY[[#All],[Insurance Category Code]],1,AN_TME_BY[[#All],[Advanced Network/Insurance Carrier Org ID]],B194)/D194)</f>
        <v>NA</v>
      </c>
      <c r="H194" s="108" t="str">
        <f>IF(D194=0,"NA",SUMIFS(AN_TME_BY[[#All],[Claims: Professional, Primary Care (for Monitoring Purposes)]],AN_TME_BY[[#All],[Insurance Category Code]],1,AN_TME_BY[[#All],[Advanced Network/Insurance Carrier Org ID]],B194)/D194)</f>
        <v>NA</v>
      </c>
      <c r="I194" s="108" t="str">
        <f>IF(D194=0,"NA",SUMIFS(AN_TME_BY[[#All],[Claims: Professional, Specialty]],AN_TME_BY[[#All],[Insurance Category Code]],1,AN_TME_BY[[#All],[Advanced Network/Insurance Carrier Org ID]],B194)/D194)</f>
        <v>NA</v>
      </c>
      <c r="J194" s="108" t="str">
        <f>IF(D194=0,"NA",SUMIFS(AN_TME_BY[[#All],[Claims: Professional Other]],AN_TME_BY[[#All],[Insurance Category Code]],1,AN_TME_BY[[#All],[Advanced Network/Insurance Carrier Org ID]],B194)/D194)</f>
        <v>NA</v>
      </c>
      <c r="K194" s="108" t="str">
        <f>IF(D194=0,"NA",SUMIFS(AN_TME_BY[[#All],[Claims: Pharmacy]],AN_TME_BY[[#All],[Insurance Category Code]],1,AN_TME_BY[[#All],[Advanced Network/Insurance Carrier Org ID]],B194)/D194)</f>
        <v>NA</v>
      </c>
      <c r="L194" s="108" t="str">
        <f>IF(D194=0,"NA",SUMIFS(AN_TME_BY[[#All],[Claims: Long-Term Care]],AN_TME_BY[[#All],[Insurance Category Code]],1,AN_TME_BY[[#All],[Advanced Network/Insurance Carrier Org ID]],B194)/D194)</f>
        <v>NA</v>
      </c>
      <c r="M194" s="108" t="str">
        <f>IF(D194=0,"NA",SUMIFS(AN_TME_BY[[#All],[Claims: Other]],AN_TME_BY[[#All],[Insurance Category Code]],1,AN_TME_BY[[#All],[Advanced Network/Insurance Carrier Org ID]],B194)/D194)</f>
        <v>NA</v>
      </c>
      <c r="N194" s="147" t="str">
        <f>IF(D194=0,"NA",SUMIFS(AN_TME_BY[[#All],[TOTAL Non-Truncated Unadjusted Claims Expenses]],AN_TME_BY[[#All],[Insurance Category Code]],1,AN_TME_BY[[#All],[Advanced Network/Insurance Carrier Org ID]],B194)/D194)</f>
        <v>NA</v>
      </c>
      <c r="O194" s="147" t="str">
        <f>IF(D194=0,"NA",SUMIFS(AN_TME_BY[[#All],[TOTAL Truncated Unadjusted Claims Expenses (A21 -A19)]],AN_TME_BY[[#All],[Insurance Category Code]],1,AN_TME_BY[[#All],[Advanced Network/Insurance Carrier Org ID]],B194)/D194)</f>
        <v>NA</v>
      </c>
      <c r="P194" s="147" t="str">
        <f>IF(D194=0,"NA",SUMIFS(AN_TME_BY[[#All],[TOTAL Non-Claims Expenses]],AN_TME_BY[[#All],[Insurance Category Code]],1,AN_TME_BY[[#All],[Advanced Network/Insurance Carrier Org ID]],B194)/D194)</f>
        <v>NA</v>
      </c>
      <c r="Q194" s="147" t="str">
        <f>IF(D194=0,"NA",SUMIFS(AN_TME_BY[[#All],[TOTAL Non-Truncated Unadjusted Expenses (A21 + A23)]],AN_TME_BY[[#All],[Insurance Category Code]],1,AN_TME_BY[[#All],[Advanced Network/Insurance Carrier Org ID]],B194)/D194)</f>
        <v>NA</v>
      </c>
      <c r="R194" s="147" t="str">
        <f>IF(D194=0,"NA",SUMIFS(AN_TME_BY[[#All],[TOTAL Truncated Unadjusted Expenses (A22 + A23)]],AN_TME_BY[[#All],[Insurance Category Code]],1,AN_TME_BY[[#All],[Advanced Network/Insurance Carrier Org ID]],B194)/D194)</f>
        <v>NA</v>
      </c>
      <c r="S194" s="448">
        <f>SUMIFS(AN_TME_PY[[#All],[Member Months]],AN_TME_PY[[#All],[Insurance Category Code]],1,AN_TME_PY[[#All],[Advanced Network/Insurance Carrier Org ID]],B194)</f>
        <v>0</v>
      </c>
      <c r="T194" s="137" t="str">
        <f>IF(S194=0,"NA",SUMIFS(AN_TME_PY[[#All],[Claims: Hospital Inpatient]],AN_TME_PY[[#All],[Insurance Category Code]],1,AN_TME_PY[[#All],[Advanced Network/Insurance Carrier Org ID]],B194)/S194)</f>
        <v>NA</v>
      </c>
      <c r="U194" s="108" t="str">
        <f>IF(S194=0,"NA",SUMIFS(AN_TME_PY[[#All],[Claims: Hospital Outpatient]],AN_TME_PY[[#All],[Insurance Category Code]],1,AN_TME_PY[[#All],[Advanced Network/Insurance Carrier Org ID]],B194)/S194)</f>
        <v>NA</v>
      </c>
      <c r="V194" s="108" t="str">
        <f>IF(S194=0,"NA",SUMIFS(AN_TME_PY[[#All],[Claims: Professional, Primary Care]],AN_TME_PY[[#All],[Insurance Category Code]],1,AN_TME_PY[[#All],[Advanced Network/Insurance Carrier Org ID]],B194)/S194)</f>
        <v>NA</v>
      </c>
      <c r="W194" s="108" t="str">
        <f>IF(S194=0,"NA",SUMIFS(AN_TME_PY[[#All],[Claims: Professional, Primary Care (for Monitoring Purposes)]],AN_TME_PY[[#All],[Insurance Category Code]],1,AN_TME_PY[[#All],[Advanced Network/Insurance Carrier Org ID]],B194)/S194)</f>
        <v>NA</v>
      </c>
      <c r="X194" s="108" t="str">
        <f>IF(S194=0,"NA",SUMIFS(AN_TME_PY[[#All],[Claims: Professional, Specialty]],AN_TME_PY[[#All],[Insurance Category Code]],1,AN_TME_PY[[#All],[Advanced Network/Insurance Carrier Org ID]],B194)/S194)</f>
        <v>NA</v>
      </c>
      <c r="Y194" s="108" t="str">
        <f>IF(S194=0,"NA",SUMIFS(AN_TME_PY[[#All],[Claims: Professional Other]],AN_TME_PY[[#All],[Insurance Category Code]],1,AN_TME_PY[[#All],[Advanced Network/Insurance Carrier Org ID]],B194)/S194)</f>
        <v>NA</v>
      </c>
      <c r="Z194" s="108" t="str">
        <f>IF(S194=0,"NA",SUMIFS(AN_TME_PY[[#All],[Claims: Pharmacy]],AN_TME_PY[[#All],[Insurance Category Code]],1,AN_TME_PY[[#All],[Advanced Network/Insurance Carrier Org ID]],B194)/S194)</f>
        <v>NA</v>
      </c>
      <c r="AA194" s="108" t="str">
        <f>IF(S194=0,"NA",SUMIFS(AN_TME_PY[[#All],[Claims: Long-Term Care]],AN_TME_PY[[#All],[Insurance Category Code]],1,AN_TME_PY[[#All],[Advanced Network/Insurance Carrier Org ID]],B194)/S194)</f>
        <v>NA</v>
      </c>
      <c r="AB194" s="108" t="str">
        <f>IF(S194=0,"NA",SUMIFS(AN_TME_PY[[#All],[Claims: Other]],AN_TME_PY[[#All],[Insurance Category Code]],1,AN_TME_PY[[#All],[Advanced Network/Insurance Carrier Org ID]],B194)/S194)</f>
        <v>NA</v>
      </c>
      <c r="AC194" s="147" t="str">
        <f>IF(S194=0,"NA",SUMIFS(AN_TME_PY[[#All],[TOTAL Non-Truncated Unadjusted Claims Expenses]],AN_TME_PY[[#All],[Insurance Category Code]],1,AN_TME_PY[[#All],[Advanced Network/Insurance Carrier Org ID]],B194)/S194)</f>
        <v>NA</v>
      </c>
      <c r="AD194" s="147" t="str">
        <f>IF(S194=0,"NA",SUMIFS(AN_TME_PY[[#All],[TOTAL Truncated Unadjusted Claims Expenses (A21 -A19)]],AN_TME_PY[[#All],[Insurance Category Code]],1,AN_TME_PY[[#All],[Advanced Network/Insurance Carrier Org ID]],B194)/S194)</f>
        <v>NA</v>
      </c>
      <c r="AE194" s="147" t="str">
        <f>IF(S194=0,"NA",SUMIFS(AN_TME_PY[[#All],[TOTAL Non-Claims Expenses]],AN_TME_PY[[#All],[Insurance Category Code]],1,AN_TME_PY[[#All],[Advanced Network/Insurance Carrier Org ID]],B194)/S194)</f>
        <v>NA</v>
      </c>
      <c r="AF194" s="147" t="str">
        <f>IF(S194=0,"NA",SUMIFS(AN_TME_PY[[#All],[TOTAL Non-Truncated Unadjusted Expenses (A21 + A23)]],AN_TME_PY[[#All],[Insurance Category Code]],1,AN_TME_PY[[#All],[Advanced Network/Insurance Carrier Org ID]],B194)/S194)</f>
        <v>NA</v>
      </c>
      <c r="AG194" s="138" t="str">
        <f>IF(S194=0,"NA",SUMIFS(AN_TME_PY[[#All],[TOTAL Truncated Unadjusted Expenses (A22 + A23)]],AN_TME_PY[[#All],[Insurance Category Code]],1,AN_TME_PY[[#All],[Advanced Network/Insurance Carrier Org ID]],B194)/S194)</f>
        <v>NA</v>
      </c>
      <c r="AH194" s="419" t="str">
        <f t="shared" si="259"/>
        <v>NA</v>
      </c>
      <c r="AI194" s="420" t="str">
        <f t="shared" si="260"/>
        <v>NA</v>
      </c>
      <c r="AJ194" s="421" t="str">
        <f t="shared" si="261"/>
        <v>NA</v>
      </c>
      <c r="AK194" s="421" t="str">
        <f t="shared" si="262"/>
        <v>NA</v>
      </c>
      <c r="AL194" s="421" t="str">
        <f t="shared" si="263"/>
        <v>NA</v>
      </c>
      <c r="AM194" s="421" t="str">
        <f t="shared" si="264"/>
        <v>NA</v>
      </c>
      <c r="AN194" s="421" t="str">
        <f t="shared" si="265"/>
        <v>NA</v>
      </c>
      <c r="AO194" s="421" t="str">
        <f t="shared" si="266"/>
        <v>NA</v>
      </c>
      <c r="AP194" s="421" t="str">
        <f t="shared" si="267"/>
        <v>NA</v>
      </c>
      <c r="AQ194" s="421" t="str">
        <f t="shared" si="268"/>
        <v>NA</v>
      </c>
      <c r="AR194" s="422" t="str">
        <f t="shared" si="269"/>
        <v>NA</v>
      </c>
      <c r="AS194" s="422" t="str">
        <f t="shared" si="270"/>
        <v>NA</v>
      </c>
      <c r="AT194" s="422" t="str">
        <f t="shared" si="271"/>
        <v>NA</v>
      </c>
      <c r="AU194" s="422" t="str">
        <f t="shared" si="272"/>
        <v>NA</v>
      </c>
      <c r="AV194" s="423" t="str">
        <f t="shared" si="273"/>
        <v>NA</v>
      </c>
    </row>
    <row r="195" spans="1:48" ht="15" customHeight="1" x14ac:dyDescent="0.25">
      <c r="A195" s="146"/>
      <c r="B195" s="148">
        <v>124</v>
      </c>
      <c r="C195" s="151" t="str">
        <f>_xlfn.XLOOKUP(B195, LgProvEntOrgIDs[Advanced Network/Insurer Carrier Org ID], LgProvEntOrgIDs[Advanced Network/Insurance Carrier Overall])</f>
        <v>Southwest Community Health Center, Inc.</v>
      </c>
      <c r="D195" s="448">
        <f>SUMIFS(AN_TME_BY[[#All],[Member Months]],AN_TME_BY[[#All],[Insurance Category Code]],1,AN_TME_BY[[#All],[Advanced Network/Insurance Carrier Org ID]],B195)</f>
        <v>0</v>
      </c>
      <c r="E195" s="137" t="str">
        <f>IF(D195=0,"NA",SUMIFS(AN_TME_BY[[#All],[Claims: Hospital Inpatient]],AN_TME_BY[[#All],[Insurance Category Code]],1,AN_TME_BY[[#All],[Advanced Network/Insurance Carrier Org ID]],B195)/D195)</f>
        <v>NA</v>
      </c>
      <c r="F195" s="108" t="str">
        <f>IF(D195=0,"NA",SUMIFS(AN_TME_BY[[#All],[Claims: Hospital Outpatient]],AN_TME_BY[[#All],[Insurance Category Code]],1,AN_TME_BY[[#All],[Advanced Network/Insurance Carrier Org ID]],B195)/D195)</f>
        <v>NA</v>
      </c>
      <c r="G195" s="108" t="str">
        <f>IF(D195=0,"NA",SUMIFS(AN_TME_BY[[#All],[Claims: Professional, Primary Care]],AN_TME_BY[[#All],[Insurance Category Code]],1,AN_TME_BY[[#All],[Advanced Network/Insurance Carrier Org ID]],B195)/D195)</f>
        <v>NA</v>
      </c>
      <c r="H195" s="108" t="str">
        <f>IF(D195=0,"NA",SUMIFS(AN_TME_BY[[#All],[Claims: Professional, Primary Care (for Monitoring Purposes)]],AN_TME_BY[[#All],[Insurance Category Code]],1,AN_TME_BY[[#All],[Advanced Network/Insurance Carrier Org ID]],B195)/D195)</f>
        <v>NA</v>
      </c>
      <c r="I195" s="108" t="str">
        <f>IF(D195=0,"NA",SUMIFS(AN_TME_BY[[#All],[Claims: Professional, Specialty]],AN_TME_BY[[#All],[Insurance Category Code]],1,AN_TME_BY[[#All],[Advanced Network/Insurance Carrier Org ID]],B195)/D195)</f>
        <v>NA</v>
      </c>
      <c r="J195" s="108" t="str">
        <f>IF(D195=0,"NA",SUMIFS(AN_TME_BY[[#All],[Claims: Professional Other]],AN_TME_BY[[#All],[Insurance Category Code]],1,AN_TME_BY[[#All],[Advanced Network/Insurance Carrier Org ID]],B195)/D195)</f>
        <v>NA</v>
      </c>
      <c r="K195" s="108" t="str">
        <f>IF(D195=0,"NA",SUMIFS(AN_TME_BY[[#All],[Claims: Pharmacy]],AN_TME_BY[[#All],[Insurance Category Code]],1,AN_TME_BY[[#All],[Advanced Network/Insurance Carrier Org ID]],B195)/D195)</f>
        <v>NA</v>
      </c>
      <c r="L195" s="108" t="str">
        <f>IF(D195=0,"NA",SUMIFS(AN_TME_BY[[#All],[Claims: Long-Term Care]],AN_TME_BY[[#All],[Insurance Category Code]],1,AN_TME_BY[[#All],[Advanced Network/Insurance Carrier Org ID]],B195)/D195)</f>
        <v>NA</v>
      </c>
      <c r="M195" s="108" t="str">
        <f>IF(D195=0,"NA",SUMIFS(AN_TME_BY[[#All],[Claims: Other]],AN_TME_BY[[#All],[Insurance Category Code]],1,AN_TME_BY[[#All],[Advanced Network/Insurance Carrier Org ID]],B195)/D195)</f>
        <v>NA</v>
      </c>
      <c r="N195" s="147" t="str">
        <f>IF(D195=0,"NA",SUMIFS(AN_TME_BY[[#All],[TOTAL Non-Truncated Unadjusted Claims Expenses]],AN_TME_BY[[#All],[Insurance Category Code]],1,AN_TME_BY[[#All],[Advanced Network/Insurance Carrier Org ID]],B195)/D195)</f>
        <v>NA</v>
      </c>
      <c r="O195" s="147" t="str">
        <f>IF(D195=0,"NA",SUMIFS(AN_TME_BY[[#All],[TOTAL Truncated Unadjusted Claims Expenses (A21 -A19)]],AN_TME_BY[[#All],[Insurance Category Code]],1,AN_TME_BY[[#All],[Advanced Network/Insurance Carrier Org ID]],B195)/D195)</f>
        <v>NA</v>
      </c>
      <c r="P195" s="147" t="str">
        <f>IF(D195=0,"NA",SUMIFS(AN_TME_BY[[#All],[TOTAL Non-Claims Expenses]],AN_TME_BY[[#All],[Insurance Category Code]],1,AN_TME_BY[[#All],[Advanced Network/Insurance Carrier Org ID]],B195)/D195)</f>
        <v>NA</v>
      </c>
      <c r="Q195" s="147" t="str">
        <f>IF(D195=0,"NA",SUMIFS(AN_TME_BY[[#All],[TOTAL Non-Truncated Unadjusted Expenses (A21 + A23)]],AN_TME_BY[[#All],[Insurance Category Code]],1,AN_TME_BY[[#All],[Advanced Network/Insurance Carrier Org ID]],B195)/D195)</f>
        <v>NA</v>
      </c>
      <c r="R195" s="147" t="str">
        <f>IF(D195=0,"NA",SUMIFS(AN_TME_BY[[#All],[TOTAL Truncated Unadjusted Expenses (A22 + A23)]],AN_TME_BY[[#All],[Insurance Category Code]],1,AN_TME_BY[[#All],[Advanced Network/Insurance Carrier Org ID]],B195)/D195)</f>
        <v>NA</v>
      </c>
      <c r="S195" s="448">
        <f>SUMIFS(AN_TME_PY[[#All],[Member Months]],AN_TME_PY[[#All],[Insurance Category Code]],1,AN_TME_PY[[#All],[Advanced Network/Insurance Carrier Org ID]],B195)</f>
        <v>0</v>
      </c>
      <c r="T195" s="137" t="str">
        <f>IF(S195=0,"NA",SUMIFS(AN_TME_PY[[#All],[Claims: Hospital Inpatient]],AN_TME_PY[[#All],[Insurance Category Code]],1,AN_TME_PY[[#All],[Advanced Network/Insurance Carrier Org ID]],B195)/S195)</f>
        <v>NA</v>
      </c>
      <c r="U195" s="108" t="str">
        <f>IF(S195=0,"NA",SUMIFS(AN_TME_PY[[#All],[Claims: Hospital Outpatient]],AN_TME_PY[[#All],[Insurance Category Code]],1,AN_TME_PY[[#All],[Advanced Network/Insurance Carrier Org ID]],B195)/S195)</f>
        <v>NA</v>
      </c>
      <c r="V195" s="108" t="str">
        <f>IF(S195=0,"NA",SUMIFS(AN_TME_PY[[#All],[Claims: Professional, Primary Care]],AN_TME_PY[[#All],[Insurance Category Code]],1,AN_TME_PY[[#All],[Advanced Network/Insurance Carrier Org ID]],B195)/S195)</f>
        <v>NA</v>
      </c>
      <c r="W195" s="108" t="str">
        <f>IF(S195=0,"NA",SUMIFS(AN_TME_PY[[#All],[Claims: Professional, Primary Care (for Monitoring Purposes)]],AN_TME_PY[[#All],[Insurance Category Code]],1,AN_TME_PY[[#All],[Advanced Network/Insurance Carrier Org ID]],B195)/S195)</f>
        <v>NA</v>
      </c>
      <c r="X195" s="108" t="str">
        <f>IF(S195=0,"NA",SUMIFS(AN_TME_PY[[#All],[Claims: Professional, Specialty]],AN_TME_PY[[#All],[Insurance Category Code]],1,AN_TME_PY[[#All],[Advanced Network/Insurance Carrier Org ID]],B195)/S195)</f>
        <v>NA</v>
      </c>
      <c r="Y195" s="108" t="str">
        <f>IF(S195=0,"NA",SUMIFS(AN_TME_PY[[#All],[Claims: Professional Other]],AN_TME_PY[[#All],[Insurance Category Code]],1,AN_TME_PY[[#All],[Advanced Network/Insurance Carrier Org ID]],B195)/S195)</f>
        <v>NA</v>
      </c>
      <c r="Z195" s="108" t="str">
        <f>IF(S195=0,"NA",SUMIFS(AN_TME_PY[[#All],[Claims: Pharmacy]],AN_TME_PY[[#All],[Insurance Category Code]],1,AN_TME_PY[[#All],[Advanced Network/Insurance Carrier Org ID]],B195)/S195)</f>
        <v>NA</v>
      </c>
      <c r="AA195" s="108" t="str">
        <f>IF(S195=0,"NA",SUMIFS(AN_TME_PY[[#All],[Claims: Long-Term Care]],AN_TME_PY[[#All],[Insurance Category Code]],1,AN_TME_PY[[#All],[Advanced Network/Insurance Carrier Org ID]],B195)/S195)</f>
        <v>NA</v>
      </c>
      <c r="AB195" s="108" t="str">
        <f>IF(S195=0,"NA",SUMIFS(AN_TME_PY[[#All],[Claims: Other]],AN_TME_PY[[#All],[Insurance Category Code]],1,AN_TME_PY[[#All],[Advanced Network/Insurance Carrier Org ID]],B195)/S195)</f>
        <v>NA</v>
      </c>
      <c r="AC195" s="147" t="str">
        <f>IF(S195=0,"NA",SUMIFS(AN_TME_PY[[#All],[TOTAL Non-Truncated Unadjusted Claims Expenses]],AN_TME_PY[[#All],[Insurance Category Code]],1,AN_TME_PY[[#All],[Advanced Network/Insurance Carrier Org ID]],B195)/S195)</f>
        <v>NA</v>
      </c>
      <c r="AD195" s="147" t="str">
        <f>IF(S195=0,"NA",SUMIFS(AN_TME_PY[[#All],[TOTAL Truncated Unadjusted Claims Expenses (A21 -A19)]],AN_TME_PY[[#All],[Insurance Category Code]],1,AN_TME_PY[[#All],[Advanced Network/Insurance Carrier Org ID]],B195)/S195)</f>
        <v>NA</v>
      </c>
      <c r="AE195" s="147" t="str">
        <f>IF(S195=0,"NA",SUMIFS(AN_TME_PY[[#All],[TOTAL Non-Claims Expenses]],AN_TME_PY[[#All],[Insurance Category Code]],1,AN_TME_PY[[#All],[Advanced Network/Insurance Carrier Org ID]],B195)/S195)</f>
        <v>NA</v>
      </c>
      <c r="AF195" s="147" t="str">
        <f>IF(S195=0,"NA",SUMIFS(AN_TME_PY[[#All],[TOTAL Non-Truncated Unadjusted Expenses (A21 + A23)]],AN_TME_PY[[#All],[Insurance Category Code]],1,AN_TME_PY[[#All],[Advanced Network/Insurance Carrier Org ID]],B195)/S195)</f>
        <v>NA</v>
      </c>
      <c r="AG195" s="138" t="str">
        <f>IF(S195=0,"NA",SUMIFS(AN_TME_PY[[#All],[TOTAL Truncated Unadjusted Expenses (A22 + A23)]],AN_TME_PY[[#All],[Insurance Category Code]],1,AN_TME_PY[[#All],[Advanced Network/Insurance Carrier Org ID]],B195)/S195)</f>
        <v>NA</v>
      </c>
      <c r="AH195" s="419" t="str">
        <f t="shared" si="259"/>
        <v>NA</v>
      </c>
      <c r="AI195" s="420" t="str">
        <f t="shared" si="260"/>
        <v>NA</v>
      </c>
      <c r="AJ195" s="421" t="str">
        <f t="shared" si="261"/>
        <v>NA</v>
      </c>
      <c r="AK195" s="421" t="str">
        <f t="shared" si="262"/>
        <v>NA</v>
      </c>
      <c r="AL195" s="421" t="str">
        <f t="shared" si="263"/>
        <v>NA</v>
      </c>
      <c r="AM195" s="421" t="str">
        <f t="shared" si="264"/>
        <v>NA</v>
      </c>
      <c r="AN195" s="421" t="str">
        <f t="shared" si="265"/>
        <v>NA</v>
      </c>
      <c r="AO195" s="421" t="str">
        <f t="shared" si="266"/>
        <v>NA</v>
      </c>
      <c r="AP195" s="421" t="str">
        <f t="shared" si="267"/>
        <v>NA</v>
      </c>
      <c r="AQ195" s="421" t="str">
        <f t="shared" si="268"/>
        <v>NA</v>
      </c>
      <c r="AR195" s="422" t="str">
        <f t="shared" si="269"/>
        <v>NA</v>
      </c>
      <c r="AS195" s="422" t="str">
        <f t="shared" si="270"/>
        <v>NA</v>
      </c>
      <c r="AT195" s="422" t="str">
        <f t="shared" si="271"/>
        <v>NA</v>
      </c>
      <c r="AU195" s="422" t="str">
        <f t="shared" si="272"/>
        <v>NA</v>
      </c>
      <c r="AV195" s="423" t="str">
        <f t="shared" si="273"/>
        <v>NA</v>
      </c>
    </row>
    <row r="196" spans="1:48" ht="15" customHeight="1" x14ac:dyDescent="0.25">
      <c r="A196" s="146"/>
      <c r="B196" s="148">
        <v>125</v>
      </c>
      <c r="C196" s="151" t="str">
        <f>_xlfn.XLOOKUP(B196, LgProvEntOrgIDs[Advanced Network/Insurer Carrier Org ID], LgProvEntOrgIDs[Advanced Network/Insurance Carrier Overall])</f>
        <v>Stamford Health Medical Group</v>
      </c>
      <c r="D196" s="448">
        <f>SUMIFS(AN_TME_BY[[#All],[Member Months]],AN_TME_BY[[#All],[Insurance Category Code]],1,AN_TME_BY[[#All],[Advanced Network/Insurance Carrier Org ID]],B196)</f>
        <v>0</v>
      </c>
      <c r="E196" s="137" t="str">
        <f>IF(D196=0,"NA",SUMIFS(AN_TME_BY[[#All],[Claims: Hospital Inpatient]],AN_TME_BY[[#All],[Insurance Category Code]],1,AN_TME_BY[[#All],[Advanced Network/Insurance Carrier Org ID]],B196)/D196)</f>
        <v>NA</v>
      </c>
      <c r="F196" s="108" t="str">
        <f>IF(D196=0,"NA",SUMIFS(AN_TME_BY[[#All],[Claims: Hospital Outpatient]],AN_TME_BY[[#All],[Insurance Category Code]],1,AN_TME_BY[[#All],[Advanced Network/Insurance Carrier Org ID]],B196)/D196)</f>
        <v>NA</v>
      </c>
      <c r="G196" s="108" t="str">
        <f>IF(D196=0,"NA",SUMIFS(AN_TME_BY[[#All],[Claims: Professional, Primary Care]],AN_TME_BY[[#All],[Insurance Category Code]],1,AN_TME_BY[[#All],[Advanced Network/Insurance Carrier Org ID]],B196)/D196)</f>
        <v>NA</v>
      </c>
      <c r="H196" s="108" t="str">
        <f>IF(D196=0,"NA",SUMIFS(AN_TME_BY[[#All],[Claims: Professional, Primary Care (for Monitoring Purposes)]],AN_TME_BY[[#All],[Insurance Category Code]],1,AN_TME_BY[[#All],[Advanced Network/Insurance Carrier Org ID]],B196)/D196)</f>
        <v>NA</v>
      </c>
      <c r="I196" s="108" t="str">
        <f>IF(D196=0,"NA",SUMIFS(AN_TME_BY[[#All],[Claims: Professional, Specialty]],AN_TME_BY[[#All],[Insurance Category Code]],1,AN_TME_BY[[#All],[Advanced Network/Insurance Carrier Org ID]],B196)/D196)</f>
        <v>NA</v>
      </c>
      <c r="J196" s="108" t="str">
        <f>IF(D196=0,"NA",SUMIFS(AN_TME_BY[[#All],[Claims: Professional Other]],AN_TME_BY[[#All],[Insurance Category Code]],1,AN_TME_BY[[#All],[Advanced Network/Insurance Carrier Org ID]],B196)/D196)</f>
        <v>NA</v>
      </c>
      <c r="K196" s="108" t="str">
        <f>IF(D196=0,"NA",SUMIFS(AN_TME_BY[[#All],[Claims: Pharmacy]],AN_TME_BY[[#All],[Insurance Category Code]],1,AN_TME_BY[[#All],[Advanced Network/Insurance Carrier Org ID]],B196)/D196)</f>
        <v>NA</v>
      </c>
      <c r="L196" s="108" t="str">
        <f>IF(D196=0,"NA",SUMIFS(AN_TME_BY[[#All],[Claims: Long-Term Care]],AN_TME_BY[[#All],[Insurance Category Code]],1,AN_TME_BY[[#All],[Advanced Network/Insurance Carrier Org ID]],B196)/D196)</f>
        <v>NA</v>
      </c>
      <c r="M196" s="108" t="str">
        <f>IF(D196=0,"NA",SUMIFS(AN_TME_BY[[#All],[Claims: Other]],AN_TME_BY[[#All],[Insurance Category Code]],1,AN_TME_BY[[#All],[Advanced Network/Insurance Carrier Org ID]],B196)/D196)</f>
        <v>NA</v>
      </c>
      <c r="N196" s="147" t="str">
        <f>IF(D196=0,"NA",SUMIFS(AN_TME_BY[[#All],[TOTAL Non-Truncated Unadjusted Claims Expenses]],AN_TME_BY[[#All],[Insurance Category Code]],1,AN_TME_BY[[#All],[Advanced Network/Insurance Carrier Org ID]],B196)/D196)</f>
        <v>NA</v>
      </c>
      <c r="O196" s="147" t="str">
        <f>IF(D196=0,"NA",SUMIFS(AN_TME_BY[[#All],[TOTAL Truncated Unadjusted Claims Expenses (A21 -A19)]],AN_TME_BY[[#All],[Insurance Category Code]],1,AN_TME_BY[[#All],[Advanced Network/Insurance Carrier Org ID]],B196)/D196)</f>
        <v>NA</v>
      </c>
      <c r="P196" s="147" t="str">
        <f>IF(D196=0,"NA",SUMIFS(AN_TME_BY[[#All],[TOTAL Non-Claims Expenses]],AN_TME_BY[[#All],[Insurance Category Code]],1,AN_TME_BY[[#All],[Advanced Network/Insurance Carrier Org ID]],B196)/D196)</f>
        <v>NA</v>
      </c>
      <c r="Q196" s="147" t="str">
        <f>IF(D196=0,"NA",SUMIFS(AN_TME_BY[[#All],[TOTAL Non-Truncated Unadjusted Expenses (A21 + A23)]],AN_TME_BY[[#All],[Insurance Category Code]],1,AN_TME_BY[[#All],[Advanced Network/Insurance Carrier Org ID]],B196)/D196)</f>
        <v>NA</v>
      </c>
      <c r="R196" s="147" t="str">
        <f>IF(D196=0,"NA",SUMIFS(AN_TME_BY[[#All],[TOTAL Truncated Unadjusted Expenses (A22 + A23)]],AN_TME_BY[[#All],[Insurance Category Code]],1,AN_TME_BY[[#All],[Advanced Network/Insurance Carrier Org ID]],B196)/D196)</f>
        <v>NA</v>
      </c>
      <c r="S196" s="448">
        <f>SUMIFS(AN_TME_PY[[#All],[Member Months]],AN_TME_PY[[#All],[Insurance Category Code]],1,AN_TME_PY[[#All],[Advanced Network/Insurance Carrier Org ID]],B196)</f>
        <v>0</v>
      </c>
      <c r="T196" s="137" t="str">
        <f>IF(S196=0,"NA",SUMIFS(AN_TME_PY[[#All],[Claims: Hospital Inpatient]],AN_TME_PY[[#All],[Insurance Category Code]],1,AN_TME_PY[[#All],[Advanced Network/Insurance Carrier Org ID]],B196)/S196)</f>
        <v>NA</v>
      </c>
      <c r="U196" s="108" t="str">
        <f>IF(S196=0,"NA",SUMIFS(AN_TME_PY[[#All],[Claims: Hospital Outpatient]],AN_TME_PY[[#All],[Insurance Category Code]],1,AN_TME_PY[[#All],[Advanced Network/Insurance Carrier Org ID]],B196)/S196)</f>
        <v>NA</v>
      </c>
      <c r="V196" s="108" t="str">
        <f>IF(S196=0,"NA",SUMIFS(AN_TME_PY[[#All],[Claims: Professional, Primary Care]],AN_TME_PY[[#All],[Insurance Category Code]],1,AN_TME_PY[[#All],[Advanced Network/Insurance Carrier Org ID]],B196)/S196)</f>
        <v>NA</v>
      </c>
      <c r="W196" s="108" t="str">
        <f>IF(S196=0,"NA",SUMIFS(AN_TME_PY[[#All],[Claims: Professional, Primary Care (for Monitoring Purposes)]],AN_TME_PY[[#All],[Insurance Category Code]],1,AN_TME_PY[[#All],[Advanced Network/Insurance Carrier Org ID]],B196)/S196)</f>
        <v>NA</v>
      </c>
      <c r="X196" s="108" t="str">
        <f>IF(S196=0,"NA",SUMIFS(AN_TME_PY[[#All],[Claims: Professional, Specialty]],AN_TME_PY[[#All],[Insurance Category Code]],1,AN_TME_PY[[#All],[Advanced Network/Insurance Carrier Org ID]],B196)/S196)</f>
        <v>NA</v>
      </c>
      <c r="Y196" s="108" t="str">
        <f>IF(S196=0,"NA",SUMIFS(AN_TME_PY[[#All],[Claims: Professional Other]],AN_TME_PY[[#All],[Insurance Category Code]],1,AN_TME_PY[[#All],[Advanced Network/Insurance Carrier Org ID]],B196)/S196)</f>
        <v>NA</v>
      </c>
      <c r="Z196" s="108" t="str">
        <f>IF(S196=0,"NA",SUMIFS(AN_TME_PY[[#All],[Claims: Pharmacy]],AN_TME_PY[[#All],[Insurance Category Code]],1,AN_TME_PY[[#All],[Advanced Network/Insurance Carrier Org ID]],B196)/S196)</f>
        <v>NA</v>
      </c>
      <c r="AA196" s="108" t="str">
        <f>IF(S196=0,"NA",SUMIFS(AN_TME_PY[[#All],[Claims: Long-Term Care]],AN_TME_PY[[#All],[Insurance Category Code]],1,AN_TME_PY[[#All],[Advanced Network/Insurance Carrier Org ID]],B196)/S196)</f>
        <v>NA</v>
      </c>
      <c r="AB196" s="108" t="str">
        <f>IF(S196=0,"NA",SUMIFS(AN_TME_PY[[#All],[Claims: Other]],AN_TME_PY[[#All],[Insurance Category Code]],1,AN_TME_PY[[#All],[Advanced Network/Insurance Carrier Org ID]],B196)/S196)</f>
        <v>NA</v>
      </c>
      <c r="AC196" s="147" t="str">
        <f>IF(S196=0,"NA",SUMIFS(AN_TME_PY[[#All],[TOTAL Non-Truncated Unadjusted Claims Expenses]],AN_TME_PY[[#All],[Insurance Category Code]],1,AN_TME_PY[[#All],[Advanced Network/Insurance Carrier Org ID]],B196)/S196)</f>
        <v>NA</v>
      </c>
      <c r="AD196" s="147" t="str">
        <f>IF(S196=0,"NA",SUMIFS(AN_TME_PY[[#All],[TOTAL Truncated Unadjusted Claims Expenses (A21 -A19)]],AN_TME_PY[[#All],[Insurance Category Code]],1,AN_TME_PY[[#All],[Advanced Network/Insurance Carrier Org ID]],B196)/S196)</f>
        <v>NA</v>
      </c>
      <c r="AE196" s="147" t="str">
        <f>IF(S196=0,"NA",SUMIFS(AN_TME_PY[[#All],[TOTAL Non-Claims Expenses]],AN_TME_PY[[#All],[Insurance Category Code]],1,AN_TME_PY[[#All],[Advanced Network/Insurance Carrier Org ID]],B196)/S196)</f>
        <v>NA</v>
      </c>
      <c r="AF196" s="147" t="str">
        <f>IF(S196=0,"NA",SUMIFS(AN_TME_PY[[#All],[TOTAL Non-Truncated Unadjusted Expenses (A21 + A23)]],AN_TME_PY[[#All],[Insurance Category Code]],1,AN_TME_PY[[#All],[Advanced Network/Insurance Carrier Org ID]],B196)/S196)</f>
        <v>NA</v>
      </c>
      <c r="AG196" s="138" t="str">
        <f>IF(S196=0,"NA",SUMIFS(AN_TME_PY[[#All],[TOTAL Truncated Unadjusted Expenses (A22 + A23)]],AN_TME_PY[[#All],[Insurance Category Code]],1,AN_TME_PY[[#All],[Advanced Network/Insurance Carrier Org ID]],B196)/S196)</f>
        <v>NA</v>
      </c>
      <c r="AH196" s="419" t="str">
        <f t="shared" si="259"/>
        <v>NA</v>
      </c>
      <c r="AI196" s="420" t="str">
        <f t="shared" si="260"/>
        <v>NA</v>
      </c>
      <c r="AJ196" s="421" t="str">
        <f t="shared" si="261"/>
        <v>NA</v>
      </c>
      <c r="AK196" s="421" t="str">
        <f t="shared" si="262"/>
        <v>NA</v>
      </c>
      <c r="AL196" s="421" t="str">
        <f t="shared" si="263"/>
        <v>NA</v>
      </c>
      <c r="AM196" s="421" t="str">
        <f t="shared" si="264"/>
        <v>NA</v>
      </c>
      <c r="AN196" s="421" t="str">
        <f t="shared" si="265"/>
        <v>NA</v>
      </c>
      <c r="AO196" s="421" t="str">
        <f t="shared" si="266"/>
        <v>NA</v>
      </c>
      <c r="AP196" s="421" t="str">
        <f t="shared" si="267"/>
        <v>NA</v>
      </c>
      <c r="AQ196" s="421" t="str">
        <f t="shared" si="268"/>
        <v>NA</v>
      </c>
      <c r="AR196" s="422" t="str">
        <f t="shared" si="269"/>
        <v>NA</v>
      </c>
      <c r="AS196" s="422" t="str">
        <f t="shared" si="270"/>
        <v>NA</v>
      </c>
      <c r="AT196" s="422" t="str">
        <f t="shared" si="271"/>
        <v>NA</v>
      </c>
      <c r="AU196" s="422" t="str">
        <f t="shared" si="272"/>
        <v>NA</v>
      </c>
      <c r="AV196" s="423" t="str">
        <f t="shared" si="273"/>
        <v>NA</v>
      </c>
    </row>
    <row r="197" spans="1:48" ht="15" customHeight="1" x14ac:dyDescent="0.25">
      <c r="A197" s="146"/>
      <c r="B197" s="148">
        <v>126</v>
      </c>
      <c r="C197" s="151" t="str">
        <f>_xlfn.XLOOKUP(B197, LgProvEntOrgIDs[Advanced Network/Insurer Carrier Org ID], LgProvEntOrgIDs[Advanced Network/Insurance Carrier Overall])</f>
        <v>Starling Physicians</v>
      </c>
      <c r="D197" s="448">
        <f>SUMIFS(AN_TME_BY[[#All],[Member Months]],AN_TME_BY[[#All],[Insurance Category Code]],1,AN_TME_BY[[#All],[Advanced Network/Insurance Carrier Org ID]],B197)</f>
        <v>0</v>
      </c>
      <c r="E197" s="137" t="str">
        <f>IF(D197=0,"NA",SUMIFS(AN_TME_BY[[#All],[Claims: Hospital Inpatient]],AN_TME_BY[[#All],[Insurance Category Code]],1,AN_TME_BY[[#All],[Advanced Network/Insurance Carrier Org ID]],B197)/D197)</f>
        <v>NA</v>
      </c>
      <c r="F197" s="108" t="str">
        <f>IF(D197=0,"NA",SUMIFS(AN_TME_BY[[#All],[Claims: Hospital Outpatient]],AN_TME_BY[[#All],[Insurance Category Code]],1,AN_TME_BY[[#All],[Advanced Network/Insurance Carrier Org ID]],B197)/D197)</f>
        <v>NA</v>
      </c>
      <c r="G197" s="108" t="str">
        <f>IF(D197=0,"NA",SUMIFS(AN_TME_BY[[#All],[Claims: Professional, Primary Care]],AN_TME_BY[[#All],[Insurance Category Code]],1,AN_TME_BY[[#All],[Advanced Network/Insurance Carrier Org ID]],B197)/D197)</f>
        <v>NA</v>
      </c>
      <c r="H197" s="108" t="str">
        <f>IF(D197=0,"NA",SUMIFS(AN_TME_BY[[#All],[Claims: Professional, Primary Care (for Monitoring Purposes)]],AN_TME_BY[[#All],[Insurance Category Code]],1,AN_TME_BY[[#All],[Advanced Network/Insurance Carrier Org ID]],B197)/D197)</f>
        <v>NA</v>
      </c>
      <c r="I197" s="108" t="str">
        <f>IF(D197=0,"NA",SUMIFS(AN_TME_BY[[#All],[Claims: Professional, Specialty]],AN_TME_BY[[#All],[Insurance Category Code]],1,AN_TME_BY[[#All],[Advanced Network/Insurance Carrier Org ID]],B197)/D197)</f>
        <v>NA</v>
      </c>
      <c r="J197" s="108" t="str">
        <f>IF(D197=0,"NA",SUMIFS(AN_TME_BY[[#All],[Claims: Professional Other]],AN_TME_BY[[#All],[Insurance Category Code]],1,AN_TME_BY[[#All],[Advanced Network/Insurance Carrier Org ID]],B197)/D197)</f>
        <v>NA</v>
      </c>
      <c r="K197" s="108" t="str">
        <f>IF(D197=0,"NA",SUMIFS(AN_TME_BY[[#All],[Claims: Pharmacy]],AN_TME_BY[[#All],[Insurance Category Code]],1,AN_TME_BY[[#All],[Advanced Network/Insurance Carrier Org ID]],B197)/D197)</f>
        <v>NA</v>
      </c>
      <c r="L197" s="108" t="str">
        <f>IF(D197=0,"NA",SUMIFS(AN_TME_BY[[#All],[Claims: Long-Term Care]],AN_TME_BY[[#All],[Insurance Category Code]],1,AN_TME_BY[[#All],[Advanced Network/Insurance Carrier Org ID]],B197)/D197)</f>
        <v>NA</v>
      </c>
      <c r="M197" s="108" t="str">
        <f>IF(D197=0,"NA",SUMIFS(AN_TME_BY[[#All],[Claims: Other]],AN_TME_BY[[#All],[Insurance Category Code]],1,AN_TME_BY[[#All],[Advanced Network/Insurance Carrier Org ID]],B197)/D197)</f>
        <v>NA</v>
      </c>
      <c r="N197" s="147" t="str">
        <f>IF(D197=0,"NA",SUMIFS(AN_TME_BY[[#All],[TOTAL Non-Truncated Unadjusted Claims Expenses]],AN_TME_BY[[#All],[Insurance Category Code]],1,AN_TME_BY[[#All],[Advanced Network/Insurance Carrier Org ID]],B197)/D197)</f>
        <v>NA</v>
      </c>
      <c r="O197" s="147" t="str">
        <f>IF(D197=0,"NA",SUMIFS(AN_TME_BY[[#All],[TOTAL Truncated Unadjusted Claims Expenses (A21 -A19)]],AN_TME_BY[[#All],[Insurance Category Code]],1,AN_TME_BY[[#All],[Advanced Network/Insurance Carrier Org ID]],B197)/D197)</f>
        <v>NA</v>
      </c>
      <c r="P197" s="147" t="str">
        <f>IF(D197=0,"NA",SUMIFS(AN_TME_BY[[#All],[TOTAL Non-Claims Expenses]],AN_TME_BY[[#All],[Insurance Category Code]],1,AN_TME_BY[[#All],[Advanced Network/Insurance Carrier Org ID]],B197)/D197)</f>
        <v>NA</v>
      </c>
      <c r="Q197" s="147" t="str">
        <f>IF(D197=0,"NA",SUMIFS(AN_TME_BY[[#All],[TOTAL Non-Truncated Unadjusted Expenses (A21 + A23)]],AN_TME_BY[[#All],[Insurance Category Code]],1,AN_TME_BY[[#All],[Advanced Network/Insurance Carrier Org ID]],B197)/D197)</f>
        <v>NA</v>
      </c>
      <c r="R197" s="147" t="str">
        <f>IF(D197=0,"NA",SUMIFS(AN_TME_BY[[#All],[TOTAL Truncated Unadjusted Expenses (A22 + A23)]],AN_TME_BY[[#All],[Insurance Category Code]],1,AN_TME_BY[[#All],[Advanced Network/Insurance Carrier Org ID]],B197)/D197)</f>
        <v>NA</v>
      </c>
      <c r="S197" s="448">
        <f>SUMIFS(AN_TME_PY[[#All],[Member Months]],AN_TME_PY[[#All],[Insurance Category Code]],1,AN_TME_PY[[#All],[Advanced Network/Insurance Carrier Org ID]],B197)</f>
        <v>0</v>
      </c>
      <c r="T197" s="137" t="str">
        <f>IF(S197=0,"NA",SUMIFS(AN_TME_PY[[#All],[Claims: Hospital Inpatient]],AN_TME_PY[[#All],[Insurance Category Code]],1,AN_TME_PY[[#All],[Advanced Network/Insurance Carrier Org ID]],B197)/S197)</f>
        <v>NA</v>
      </c>
      <c r="U197" s="108" t="str">
        <f>IF(S197=0,"NA",SUMIFS(AN_TME_PY[[#All],[Claims: Hospital Outpatient]],AN_TME_PY[[#All],[Insurance Category Code]],1,AN_TME_PY[[#All],[Advanced Network/Insurance Carrier Org ID]],B197)/S197)</f>
        <v>NA</v>
      </c>
      <c r="V197" s="108" t="str">
        <f>IF(S197=0,"NA",SUMIFS(AN_TME_PY[[#All],[Claims: Professional, Primary Care]],AN_TME_PY[[#All],[Insurance Category Code]],1,AN_TME_PY[[#All],[Advanced Network/Insurance Carrier Org ID]],B197)/S197)</f>
        <v>NA</v>
      </c>
      <c r="W197" s="108" t="str">
        <f>IF(S197=0,"NA",SUMIFS(AN_TME_PY[[#All],[Claims: Professional, Primary Care (for Monitoring Purposes)]],AN_TME_PY[[#All],[Insurance Category Code]],1,AN_TME_PY[[#All],[Advanced Network/Insurance Carrier Org ID]],B197)/S197)</f>
        <v>NA</v>
      </c>
      <c r="X197" s="108" t="str">
        <f>IF(S197=0,"NA",SUMIFS(AN_TME_PY[[#All],[Claims: Professional, Specialty]],AN_TME_PY[[#All],[Insurance Category Code]],1,AN_TME_PY[[#All],[Advanced Network/Insurance Carrier Org ID]],B197)/S197)</f>
        <v>NA</v>
      </c>
      <c r="Y197" s="108" t="str">
        <f>IF(S197=0,"NA",SUMIFS(AN_TME_PY[[#All],[Claims: Professional Other]],AN_TME_PY[[#All],[Insurance Category Code]],1,AN_TME_PY[[#All],[Advanced Network/Insurance Carrier Org ID]],B197)/S197)</f>
        <v>NA</v>
      </c>
      <c r="Z197" s="108" t="str">
        <f>IF(S197=0,"NA",SUMIFS(AN_TME_PY[[#All],[Claims: Pharmacy]],AN_TME_PY[[#All],[Insurance Category Code]],1,AN_TME_PY[[#All],[Advanced Network/Insurance Carrier Org ID]],B197)/S197)</f>
        <v>NA</v>
      </c>
      <c r="AA197" s="108" t="str">
        <f>IF(S197=0,"NA",SUMIFS(AN_TME_PY[[#All],[Claims: Long-Term Care]],AN_TME_PY[[#All],[Insurance Category Code]],1,AN_TME_PY[[#All],[Advanced Network/Insurance Carrier Org ID]],B197)/S197)</f>
        <v>NA</v>
      </c>
      <c r="AB197" s="108" t="str">
        <f>IF(S197=0,"NA",SUMIFS(AN_TME_PY[[#All],[Claims: Other]],AN_TME_PY[[#All],[Insurance Category Code]],1,AN_TME_PY[[#All],[Advanced Network/Insurance Carrier Org ID]],B197)/S197)</f>
        <v>NA</v>
      </c>
      <c r="AC197" s="147" t="str">
        <f>IF(S197=0,"NA",SUMIFS(AN_TME_PY[[#All],[TOTAL Non-Truncated Unadjusted Claims Expenses]],AN_TME_PY[[#All],[Insurance Category Code]],1,AN_TME_PY[[#All],[Advanced Network/Insurance Carrier Org ID]],B197)/S197)</f>
        <v>NA</v>
      </c>
      <c r="AD197" s="147" t="str">
        <f>IF(S197=0,"NA",SUMIFS(AN_TME_PY[[#All],[TOTAL Truncated Unadjusted Claims Expenses (A21 -A19)]],AN_TME_PY[[#All],[Insurance Category Code]],1,AN_TME_PY[[#All],[Advanced Network/Insurance Carrier Org ID]],B197)/S197)</f>
        <v>NA</v>
      </c>
      <c r="AE197" s="147" t="str">
        <f>IF(S197=0,"NA",SUMIFS(AN_TME_PY[[#All],[TOTAL Non-Claims Expenses]],AN_TME_PY[[#All],[Insurance Category Code]],1,AN_TME_PY[[#All],[Advanced Network/Insurance Carrier Org ID]],B197)/S197)</f>
        <v>NA</v>
      </c>
      <c r="AF197" s="147" t="str">
        <f>IF(S197=0,"NA",SUMIFS(AN_TME_PY[[#All],[TOTAL Non-Truncated Unadjusted Expenses (A21 + A23)]],AN_TME_PY[[#All],[Insurance Category Code]],1,AN_TME_PY[[#All],[Advanced Network/Insurance Carrier Org ID]],B197)/S197)</f>
        <v>NA</v>
      </c>
      <c r="AG197" s="138" t="str">
        <f>IF(S197=0,"NA",SUMIFS(AN_TME_PY[[#All],[TOTAL Truncated Unadjusted Expenses (A22 + A23)]],AN_TME_PY[[#All],[Insurance Category Code]],1,AN_TME_PY[[#All],[Advanced Network/Insurance Carrier Org ID]],B197)/S197)</f>
        <v>NA</v>
      </c>
      <c r="AH197" s="419" t="str">
        <f t="shared" si="259"/>
        <v>NA</v>
      </c>
      <c r="AI197" s="420" t="str">
        <f t="shared" si="260"/>
        <v>NA</v>
      </c>
      <c r="AJ197" s="421" t="str">
        <f t="shared" si="261"/>
        <v>NA</v>
      </c>
      <c r="AK197" s="421" t="str">
        <f t="shared" si="262"/>
        <v>NA</v>
      </c>
      <c r="AL197" s="421" t="str">
        <f t="shared" si="263"/>
        <v>NA</v>
      </c>
      <c r="AM197" s="421" t="str">
        <f t="shared" si="264"/>
        <v>NA</v>
      </c>
      <c r="AN197" s="421" t="str">
        <f t="shared" si="265"/>
        <v>NA</v>
      </c>
      <c r="AO197" s="421" t="str">
        <f t="shared" si="266"/>
        <v>NA</v>
      </c>
      <c r="AP197" s="421" t="str">
        <f t="shared" si="267"/>
        <v>NA</v>
      </c>
      <c r="AQ197" s="421" t="str">
        <f t="shared" si="268"/>
        <v>NA</v>
      </c>
      <c r="AR197" s="422" t="str">
        <f t="shared" si="269"/>
        <v>NA</v>
      </c>
      <c r="AS197" s="422" t="str">
        <f t="shared" si="270"/>
        <v>NA</v>
      </c>
      <c r="AT197" s="422" t="str">
        <f t="shared" si="271"/>
        <v>NA</v>
      </c>
      <c r="AU197" s="422" t="str">
        <f t="shared" si="272"/>
        <v>NA</v>
      </c>
      <c r="AV197" s="423" t="str">
        <f t="shared" si="273"/>
        <v>NA</v>
      </c>
    </row>
    <row r="198" spans="1:48" ht="15" customHeight="1" x14ac:dyDescent="0.25">
      <c r="A198" s="146"/>
      <c r="B198" s="148">
        <v>127</v>
      </c>
      <c r="C198" s="151" t="str">
        <f>_xlfn.XLOOKUP(B198, LgProvEntOrgIDs[Advanced Network/Insurer Carrier Org ID], LgProvEntOrgIDs[Advanced Network/Insurance Carrier Overall])</f>
        <v>UConn Medical Group</v>
      </c>
      <c r="D198" s="448">
        <f>SUMIFS(AN_TME_BY[[#All],[Member Months]],AN_TME_BY[[#All],[Insurance Category Code]],1,AN_TME_BY[[#All],[Advanced Network/Insurance Carrier Org ID]],B198)</f>
        <v>0</v>
      </c>
      <c r="E198" s="137" t="str">
        <f>IF(D198=0,"NA",SUMIFS(AN_TME_BY[[#All],[Claims: Hospital Inpatient]],AN_TME_BY[[#All],[Insurance Category Code]],1,AN_TME_BY[[#All],[Advanced Network/Insurance Carrier Org ID]],B198)/D198)</f>
        <v>NA</v>
      </c>
      <c r="F198" s="108" t="str">
        <f>IF(D198=0,"NA",SUMIFS(AN_TME_BY[[#All],[Claims: Hospital Outpatient]],AN_TME_BY[[#All],[Insurance Category Code]],1,AN_TME_BY[[#All],[Advanced Network/Insurance Carrier Org ID]],B198)/D198)</f>
        <v>NA</v>
      </c>
      <c r="G198" s="108" t="str">
        <f>IF(D198=0,"NA",SUMIFS(AN_TME_BY[[#All],[Claims: Professional, Primary Care]],AN_TME_BY[[#All],[Insurance Category Code]],1,AN_TME_BY[[#All],[Advanced Network/Insurance Carrier Org ID]],B198)/D198)</f>
        <v>NA</v>
      </c>
      <c r="H198" s="108" t="str">
        <f>IF(D198=0,"NA",SUMIFS(AN_TME_BY[[#All],[Claims: Professional, Primary Care (for Monitoring Purposes)]],AN_TME_BY[[#All],[Insurance Category Code]],1,AN_TME_BY[[#All],[Advanced Network/Insurance Carrier Org ID]],B198)/D198)</f>
        <v>NA</v>
      </c>
      <c r="I198" s="108" t="str">
        <f>IF(D198=0,"NA",SUMIFS(AN_TME_BY[[#All],[Claims: Professional, Specialty]],AN_TME_BY[[#All],[Insurance Category Code]],1,AN_TME_BY[[#All],[Advanced Network/Insurance Carrier Org ID]],B198)/D198)</f>
        <v>NA</v>
      </c>
      <c r="J198" s="108" t="str">
        <f>IF(D198=0,"NA",SUMIFS(AN_TME_BY[[#All],[Claims: Professional Other]],AN_TME_BY[[#All],[Insurance Category Code]],1,AN_TME_BY[[#All],[Advanced Network/Insurance Carrier Org ID]],B198)/D198)</f>
        <v>NA</v>
      </c>
      <c r="K198" s="108" t="str">
        <f>IF(D198=0,"NA",SUMIFS(AN_TME_BY[[#All],[Claims: Pharmacy]],AN_TME_BY[[#All],[Insurance Category Code]],1,AN_TME_BY[[#All],[Advanced Network/Insurance Carrier Org ID]],B198)/D198)</f>
        <v>NA</v>
      </c>
      <c r="L198" s="108" t="str">
        <f>IF(D198=0,"NA",SUMIFS(AN_TME_BY[[#All],[Claims: Long-Term Care]],AN_TME_BY[[#All],[Insurance Category Code]],1,AN_TME_BY[[#All],[Advanced Network/Insurance Carrier Org ID]],B198)/D198)</f>
        <v>NA</v>
      </c>
      <c r="M198" s="108" t="str">
        <f>IF(D198=0,"NA",SUMIFS(AN_TME_BY[[#All],[Claims: Other]],AN_TME_BY[[#All],[Insurance Category Code]],1,AN_TME_BY[[#All],[Advanced Network/Insurance Carrier Org ID]],B198)/D198)</f>
        <v>NA</v>
      </c>
      <c r="N198" s="147" t="str">
        <f>IF(D198=0,"NA",SUMIFS(AN_TME_BY[[#All],[TOTAL Non-Truncated Unadjusted Claims Expenses]],AN_TME_BY[[#All],[Insurance Category Code]],1,AN_TME_BY[[#All],[Advanced Network/Insurance Carrier Org ID]],B198)/D198)</f>
        <v>NA</v>
      </c>
      <c r="O198" s="147" t="str">
        <f>IF(D198=0,"NA",SUMIFS(AN_TME_BY[[#All],[TOTAL Truncated Unadjusted Claims Expenses (A21 -A19)]],AN_TME_BY[[#All],[Insurance Category Code]],1,AN_TME_BY[[#All],[Advanced Network/Insurance Carrier Org ID]],B198)/D198)</f>
        <v>NA</v>
      </c>
      <c r="P198" s="147" t="str">
        <f>IF(D198=0,"NA",SUMIFS(AN_TME_BY[[#All],[TOTAL Non-Claims Expenses]],AN_TME_BY[[#All],[Insurance Category Code]],1,AN_TME_BY[[#All],[Advanced Network/Insurance Carrier Org ID]],B198)/D198)</f>
        <v>NA</v>
      </c>
      <c r="Q198" s="147" t="str">
        <f>IF(D198=0,"NA",SUMIFS(AN_TME_BY[[#All],[TOTAL Non-Truncated Unadjusted Expenses (A21 + A23)]],AN_TME_BY[[#All],[Insurance Category Code]],1,AN_TME_BY[[#All],[Advanced Network/Insurance Carrier Org ID]],B198)/D198)</f>
        <v>NA</v>
      </c>
      <c r="R198" s="147" t="str">
        <f>IF(D198=0,"NA",SUMIFS(AN_TME_BY[[#All],[TOTAL Truncated Unadjusted Expenses (A22 + A23)]],AN_TME_BY[[#All],[Insurance Category Code]],1,AN_TME_BY[[#All],[Advanced Network/Insurance Carrier Org ID]],B198)/D198)</f>
        <v>NA</v>
      </c>
      <c r="S198" s="448">
        <f>SUMIFS(AN_TME_PY[[#All],[Member Months]],AN_TME_PY[[#All],[Insurance Category Code]],1,AN_TME_PY[[#All],[Advanced Network/Insurance Carrier Org ID]],B198)</f>
        <v>0</v>
      </c>
      <c r="T198" s="137" t="str">
        <f>IF(S198=0,"NA",SUMIFS(AN_TME_PY[[#All],[Claims: Hospital Inpatient]],AN_TME_PY[[#All],[Insurance Category Code]],1,AN_TME_PY[[#All],[Advanced Network/Insurance Carrier Org ID]],B198)/S198)</f>
        <v>NA</v>
      </c>
      <c r="U198" s="108" t="str">
        <f>IF(S198=0,"NA",SUMIFS(AN_TME_PY[[#All],[Claims: Hospital Outpatient]],AN_TME_PY[[#All],[Insurance Category Code]],1,AN_TME_PY[[#All],[Advanced Network/Insurance Carrier Org ID]],B198)/S198)</f>
        <v>NA</v>
      </c>
      <c r="V198" s="108" t="str">
        <f>IF(S198=0,"NA",SUMIFS(AN_TME_PY[[#All],[Claims: Professional, Primary Care]],AN_TME_PY[[#All],[Insurance Category Code]],1,AN_TME_PY[[#All],[Advanced Network/Insurance Carrier Org ID]],B198)/S198)</f>
        <v>NA</v>
      </c>
      <c r="W198" s="108" t="str">
        <f>IF(S198=0,"NA",SUMIFS(AN_TME_PY[[#All],[Claims: Professional, Primary Care (for Monitoring Purposes)]],AN_TME_PY[[#All],[Insurance Category Code]],1,AN_TME_PY[[#All],[Advanced Network/Insurance Carrier Org ID]],B198)/S198)</f>
        <v>NA</v>
      </c>
      <c r="X198" s="108" t="str">
        <f>IF(S198=0,"NA",SUMIFS(AN_TME_PY[[#All],[Claims: Professional, Specialty]],AN_TME_PY[[#All],[Insurance Category Code]],1,AN_TME_PY[[#All],[Advanced Network/Insurance Carrier Org ID]],B198)/S198)</f>
        <v>NA</v>
      </c>
      <c r="Y198" s="108" t="str">
        <f>IF(S198=0,"NA",SUMIFS(AN_TME_PY[[#All],[Claims: Professional Other]],AN_TME_PY[[#All],[Insurance Category Code]],1,AN_TME_PY[[#All],[Advanced Network/Insurance Carrier Org ID]],B198)/S198)</f>
        <v>NA</v>
      </c>
      <c r="Z198" s="108" t="str">
        <f>IF(S198=0,"NA",SUMIFS(AN_TME_PY[[#All],[Claims: Pharmacy]],AN_TME_PY[[#All],[Insurance Category Code]],1,AN_TME_PY[[#All],[Advanced Network/Insurance Carrier Org ID]],B198)/S198)</f>
        <v>NA</v>
      </c>
      <c r="AA198" s="108" t="str">
        <f>IF(S198=0,"NA",SUMIFS(AN_TME_PY[[#All],[Claims: Long-Term Care]],AN_TME_PY[[#All],[Insurance Category Code]],1,AN_TME_PY[[#All],[Advanced Network/Insurance Carrier Org ID]],B198)/S198)</f>
        <v>NA</v>
      </c>
      <c r="AB198" s="108" t="str">
        <f>IF(S198=0,"NA",SUMIFS(AN_TME_PY[[#All],[Claims: Other]],AN_TME_PY[[#All],[Insurance Category Code]],1,AN_TME_PY[[#All],[Advanced Network/Insurance Carrier Org ID]],B198)/S198)</f>
        <v>NA</v>
      </c>
      <c r="AC198" s="147" t="str">
        <f>IF(S198=0,"NA",SUMIFS(AN_TME_PY[[#All],[TOTAL Non-Truncated Unadjusted Claims Expenses]],AN_TME_PY[[#All],[Insurance Category Code]],1,AN_TME_PY[[#All],[Advanced Network/Insurance Carrier Org ID]],B198)/S198)</f>
        <v>NA</v>
      </c>
      <c r="AD198" s="147" t="str">
        <f>IF(S198=0,"NA",SUMIFS(AN_TME_PY[[#All],[TOTAL Truncated Unadjusted Claims Expenses (A21 -A19)]],AN_TME_PY[[#All],[Insurance Category Code]],1,AN_TME_PY[[#All],[Advanced Network/Insurance Carrier Org ID]],B198)/S198)</f>
        <v>NA</v>
      </c>
      <c r="AE198" s="147" t="str">
        <f>IF(S198=0,"NA",SUMIFS(AN_TME_PY[[#All],[TOTAL Non-Claims Expenses]],AN_TME_PY[[#All],[Insurance Category Code]],1,AN_TME_PY[[#All],[Advanced Network/Insurance Carrier Org ID]],B198)/S198)</f>
        <v>NA</v>
      </c>
      <c r="AF198" s="147" t="str">
        <f>IF(S198=0,"NA",SUMIFS(AN_TME_PY[[#All],[TOTAL Non-Truncated Unadjusted Expenses (A21 + A23)]],AN_TME_PY[[#All],[Insurance Category Code]],1,AN_TME_PY[[#All],[Advanced Network/Insurance Carrier Org ID]],B198)/S198)</f>
        <v>NA</v>
      </c>
      <c r="AG198" s="138" t="str">
        <f>IF(S198=0,"NA",SUMIFS(AN_TME_PY[[#All],[TOTAL Truncated Unadjusted Expenses (A22 + A23)]],AN_TME_PY[[#All],[Insurance Category Code]],1,AN_TME_PY[[#All],[Advanced Network/Insurance Carrier Org ID]],B198)/S198)</f>
        <v>NA</v>
      </c>
      <c r="AH198" s="419" t="str">
        <f t="shared" si="259"/>
        <v>NA</v>
      </c>
      <c r="AI198" s="420" t="str">
        <f t="shared" si="260"/>
        <v>NA</v>
      </c>
      <c r="AJ198" s="421" t="str">
        <f t="shared" si="261"/>
        <v>NA</v>
      </c>
      <c r="AK198" s="421" t="str">
        <f t="shared" si="262"/>
        <v>NA</v>
      </c>
      <c r="AL198" s="421" t="str">
        <f t="shared" si="263"/>
        <v>NA</v>
      </c>
      <c r="AM198" s="421" t="str">
        <f t="shared" si="264"/>
        <v>NA</v>
      </c>
      <c r="AN198" s="421" t="str">
        <f t="shared" si="265"/>
        <v>NA</v>
      </c>
      <c r="AO198" s="421" t="str">
        <f t="shared" si="266"/>
        <v>NA</v>
      </c>
      <c r="AP198" s="421" t="str">
        <f t="shared" si="267"/>
        <v>NA</v>
      </c>
      <c r="AQ198" s="421" t="str">
        <f t="shared" si="268"/>
        <v>NA</v>
      </c>
      <c r="AR198" s="422" t="str">
        <f t="shared" si="269"/>
        <v>NA</v>
      </c>
      <c r="AS198" s="422" t="str">
        <f t="shared" si="270"/>
        <v>NA</v>
      </c>
      <c r="AT198" s="422" t="str">
        <f t="shared" si="271"/>
        <v>NA</v>
      </c>
      <c r="AU198" s="422" t="str">
        <f t="shared" si="272"/>
        <v>NA</v>
      </c>
      <c r="AV198" s="423" t="str">
        <f t="shared" si="273"/>
        <v>NA</v>
      </c>
    </row>
    <row r="199" spans="1:48" ht="15" customHeight="1" x14ac:dyDescent="0.25">
      <c r="A199" s="146"/>
      <c r="B199" s="148">
        <v>128</v>
      </c>
      <c r="C199" s="151" t="str">
        <f>_xlfn.XLOOKUP(B199, LgProvEntOrgIDs[Advanced Network/Insurer Carrier Org ID], LgProvEntOrgIDs[Advanced Network/Insurance Carrier Overall])</f>
        <v>United Community and Family Services</v>
      </c>
      <c r="D199" s="448">
        <f>SUMIFS(AN_TME_BY[[#All],[Member Months]],AN_TME_BY[[#All],[Insurance Category Code]],1,AN_TME_BY[[#All],[Advanced Network/Insurance Carrier Org ID]],B199)</f>
        <v>0</v>
      </c>
      <c r="E199" s="137" t="str">
        <f>IF(D199=0,"NA",SUMIFS(AN_TME_BY[[#All],[Claims: Hospital Inpatient]],AN_TME_BY[[#All],[Insurance Category Code]],1,AN_TME_BY[[#All],[Advanced Network/Insurance Carrier Org ID]],B199)/D199)</f>
        <v>NA</v>
      </c>
      <c r="F199" s="108" t="str">
        <f>IF(D199=0,"NA",SUMIFS(AN_TME_BY[[#All],[Claims: Hospital Outpatient]],AN_TME_BY[[#All],[Insurance Category Code]],1,AN_TME_BY[[#All],[Advanced Network/Insurance Carrier Org ID]],B199)/D199)</f>
        <v>NA</v>
      </c>
      <c r="G199" s="108" t="str">
        <f>IF(D199=0,"NA",SUMIFS(AN_TME_BY[[#All],[Claims: Professional, Primary Care]],AN_TME_BY[[#All],[Insurance Category Code]],1,AN_TME_BY[[#All],[Advanced Network/Insurance Carrier Org ID]],B199)/D199)</f>
        <v>NA</v>
      </c>
      <c r="H199" s="108" t="str">
        <f>IF(D199=0,"NA",SUMIFS(AN_TME_BY[[#All],[Claims: Professional, Primary Care (for Monitoring Purposes)]],AN_TME_BY[[#All],[Insurance Category Code]],1,AN_TME_BY[[#All],[Advanced Network/Insurance Carrier Org ID]],B199)/D199)</f>
        <v>NA</v>
      </c>
      <c r="I199" s="108" t="str">
        <f>IF(D199=0,"NA",SUMIFS(AN_TME_BY[[#All],[Claims: Professional, Specialty]],AN_TME_BY[[#All],[Insurance Category Code]],1,AN_TME_BY[[#All],[Advanced Network/Insurance Carrier Org ID]],B199)/D199)</f>
        <v>NA</v>
      </c>
      <c r="J199" s="108" t="str">
        <f>IF(D199=0,"NA",SUMIFS(AN_TME_BY[[#All],[Claims: Professional Other]],AN_TME_BY[[#All],[Insurance Category Code]],1,AN_TME_BY[[#All],[Advanced Network/Insurance Carrier Org ID]],B199)/D199)</f>
        <v>NA</v>
      </c>
      <c r="K199" s="108" t="str">
        <f>IF(D199=0,"NA",SUMIFS(AN_TME_BY[[#All],[Claims: Pharmacy]],AN_TME_BY[[#All],[Insurance Category Code]],1,AN_TME_BY[[#All],[Advanced Network/Insurance Carrier Org ID]],B199)/D199)</f>
        <v>NA</v>
      </c>
      <c r="L199" s="108" t="str">
        <f>IF(D199=0,"NA",SUMIFS(AN_TME_BY[[#All],[Claims: Long-Term Care]],AN_TME_BY[[#All],[Insurance Category Code]],1,AN_TME_BY[[#All],[Advanced Network/Insurance Carrier Org ID]],B199)/D199)</f>
        <v>NA</v>
      </c>
      <c r="M199" s="108" t="str">
        <f>IF(D199=0,"NA",SUMIFS(AN_TME_BY[[#All],[Claims: Other]],AN_TME_BY[[#All],[Insurance Category Code]],1,AN_TME_BY[[#All],[Advanced Network/Insurance Carrier Org ID]],B199)/D199)</f>
        <v>NA</v>
      </c>
      <c r="N199" s="147" t="str">
        <f>IF(D199=0,"NA",SUMIFS(AN_TME_BY[[#All],[TOTAL Non-Truncated Unadjusted Claims Expenses]],AN_TME_BY[[#All],[Insurance Category Code]],1,AN_TME_BY[[#All],[Advanced Network/Insurance Carrier Org ID]],B199)/D199)</f>
        <v>NA</v>
      </c>
      <c r="O199" s="147" t="str">
        <f>IF(D199=0,"NA",SUMIFS(AN_TME_BY[[#All],[TOTAL Truncated Unadjusted Claims Expenses (A21 -A19)]],AN_TME_BY[[#All],[Insurance Category Code]],1,AN_TME_BY[[#All],[Advanced Network/Insurance Carrier Org ID]],B199)/D199)</f>
        <v>NA</v>
      </c>
      <c r="P199" s="147" t="str">
        <f>IF(D199=0,"NA",SUMIFS(AN_TME_BY[[#All],[TOTAL Non-Claims Expenses]],AN_TME_BY[[#All],[Insurance Category Code]],1,AN_TME_BY[[#All],[Advanced Network/Insurance Carrier Org ID]],B199)/D199)</f>
        <v>NA</v>
      </c>
      <c r="Q199" s="147" t="str">
        <f>IF(D199=0,"NA",SUMIFS(AN_TME_BY[[#All],[TOTAL Non-Truncated Unadjusted Expenses (A21 + A23)]],AN_TME_BY[[#All],[Insurance Category Code]],1,AN_TME_BY[[#All],[Advanced Network/Insurance Carrier Org ID]],B199)/D199)</f>
        <v>NA</v>
      </c>
      <c r="R199" s="147" t="str">
        <f>IF(D199=0,"NA",SUMIFS(AN_TME_BY[[#All],[TOTAL Truncated Unadjusted Expenses (A22 + A23)]],AN_TME_BY[[#All],[Insurance Category Code]],1,AN_TME_BY[[#All],[Advanced Network/Insurance Carrier Org ID]],B199)/D199)</f>
        <v>NA</v>
      </c>
      <c r="S199" s="448">
        <f>SUMIFS(AN_TME_PY[[#All],[Member Months]],AN_TME_PY[[#All],[Insurance Category Code]],1,AN_TME_PY[[#All],[Advanced Network/Insurance Carrier Org ID]],B199)</f>
        <v>0</v>
      </c>
      <c r="T199" s="137" t="str">
        <f>IF(S199=0,"NA",SUMIFS(AN_TME_PY[[#All],[Claims: Hospital Inpatient]],AN_TME_PY[[#All],[Insurance Category Code]],1,AN_TME_PY[[#All],[Advanced Network/Insurance Carrier Org ID]],B199)/S199)</f>
        <v>NA</v>
      </c>
      <c r="U199" s="108" t="str">
        <f>IF(S199=0,"NA",SUMIFS(AN_TME_PY[[#All],[Claims: Hospital Outpatient]],AN_TME_PY[[#All],[Insurance Category Code]],1,AN_TME_PY[[#All],[Advanced Network/Insurance Carrier Org ID]],B199)/S199)</f>
        <v>NA</v>
      </c>
      <c r="V199" s="108" t="str">
        <f>IF(S199=0,"NA",SUMIFS(AN_TME_PY[[#All],[Claims: Professional, Primary Care]],AN_TME_PY[[#All],[Insurance Category Code]],1,AN_TME_PY[[#All],[Advanced Network/Insurance Carrier Org ID]],B199)/S199)</f>
        <v>NA</v>
      </c>
      <c r="W199" s="108" t="str">
        <f>IF(S199=0,"NA",SUMIFS(AN_TME_PY[[#All],[Claims: Professional, Primary Care (for Monitoring Purposes)]],AN_TME_PY[[#All],[Insurance Category Code]],1,AN_TME_PY[[#All],[Advanced Network/Insurance Carrier Org ID]],B199)/S199)</f>
        <v>NA</v>
      </c>
      <c r="X199" s="108" t="str">
        <f>IF(S199=0,"NA",SUMIFS(AN_TME_PY[[#All],[Claims: Professional, Specialty]],AN_TME_PY[[#All],[Insurance Category Code]],1,AN_TME_PY[[#All],[Advanced Network/Insurance Carrier Org ID]],B199)/S199)</f>
        <v>NA</v>
      </c>
      <c r="Y199" s="108" t="str">
        <f>IF(S199=0,"NA",SUMIFS(AN_TME_PY[[#All],[Claims: Professional Other]],AN_TME_PY[[#All],[Insurance Category Code]],1,AN_TME_PY[[#All],[Advanced Network/Insurance Carrier Org ID]],B199)/S199)</f>
        <v>NA</v>
      </c>
      <c r="Z199" s="108" t="str">
        <f>IF(S199=0,"NA",SUMIFS(AN_TME_PY[[#All],[Claims: Pharmacy]],AN_TME_PY[[#All],[Insurance Category Code]],1,AN_TME_PY[[#All],[Advanced Network/Insurance Carrier Org ID]],B199)/S199)</f>
        <v>NA</v>
      </c>
      <c r="AA199" s="108" t="str">
        <f>IF(S199=0,"NA",SUMIFS(AN_TME_PY[[#All],[Claims: Long-Term Care]],AN_TME_PY[[#All],[Insurance Category Code]],1,AN_TME_PY[[#All],[Advanced Network/Insurance Carrier Org ID]],B199)/S199)</f>
        <v>NA</v>
      </c>
      <c r="AB199" s="108" t="str">
        <f>IF(S199=0,"NA",SUMIFS(AN_TME_PY[[#All],[Claims: Other]],AN_TME_PY[[#All],[Insurance Category Code]],1,AN_TME_PY[[#All],[Advanced Network/Insurance Carrier Org ID]],B199)/S199)</f>
        <v>NA</v>
      </c>
      <c r="AC199" s="147" t="str">
        <f>IF(S199=0,"NA",SUMIFS(AN_TME_PY[[#All],[TOTAL Non-Truncated Unadjusted Claims Expenses]],AN_TME_PY[[#All],[Insurance Category Code]],1,AN_TME_PY[[#All],[Advanced Network/Insurance Carrier Org ID]],B199)/S199)</f>
        <v>NA</v>
      </c>
      <c r="AD199" s="147" t="str">
        <f>IF(S199=0,"NA",SUMIFS(AN_TME_PY[[#All],[TOTAL Truncated Unadjusted Claims Expenses (A21 -A19)]],AN_TME_PY[[#All],[Insurance Category Code]],1,AN_TME_PY[[#All],[Advanced Network/Insurance Carrier Org ID]],B199)/S199)</f>
        <v>NA</v>
      </c>
      <c r="AE199" s="147" t="str">
        <f>IF(S199=0,"NA",SUMIFS(AN_TME_PY[[#All],[TOTAL Non-Claims Expenses]],AN_TME_PY[[#All],[Insurance Category Code]],1,AN_TME_PY[[#All],[Advanced Network/Insurance Carrier Org ID]],B199)/S199)</f>
        <v>NA</v>
      </c>
      <c r="AF199" s="147" t="str">
        <f>IF(S199=0,"NA",SUMIFS(AN_TME_PY[[#All],[TOTAL Non-Truncated Unadjusted Expenses (A21 + A23)]],AN_TME_PY[[#All],[Insurance Category Code]],1,AN_TME_PY[[#All],[Advanced Network/Insurance Carrier Org ID]],B199)/S199)</f>
        <v>NA</v>
      </c>
      <c r="AG199" s="138" t="str">
        <f>IF(S199=0,"NA",SUMIFS(AN_TME_PY[[#All],[TOTAL Truncated Unadjusted Expenses (A22 + A23)]],AN_TME_PY[[#All],[Insurance Category Code]],1,AN_TME_PY[[#All],[Advanced Network/Insurance Carrier Org ID]],B199)/S199)</f>
        <v>NA</v>
      </c>
      <c r="AH199" s="419" t="str">
        <f t="shared" si="259"/>
        <v>NA</v>
      </c>
      <c r="AI199" s="420" t="str">
        <f t="shared" si="260"/>
        <v>NA</v>
      </c>
      <c r="AJ199" s="421" t="str">
        <f t="shared" si="261"/>
        <v>NA</v>
      </c>
      <c r="AK199" s="421" t="str">
        <f t="shared" si="262"/>
        <v>NA</v>
      </c>
      <c r="AL199" s="421" t="str">
        <f t="shared" si="263"/>
        <v>NA</v>
      </c>
      <c r="AM199" s="421" t="str">
        <f t="shared" si="264"/>
        <v>NA</v>
      </c>
      <c r="AN199" s="421" t="str">
        <f t="shared" si="265"/>
        <v>NA</v>
      </c>
      <c r="AO199" s="421" t="str">
        <f t="shared" si="266"/>
        <v>NA</v>
      </c>
      <c r="AP199" s="421" t="str">
        <f t="shared" si="267"/>
        <v>NA</v>
      </c>
      <c r="AQ199" s="421" t="str">
        <f t="shared" si="268"/>
        <v>NA</v>
      </c>
      <c r="AR199" s="422" t="str">
        <f t="shared" si="269"/>
        <v>NA</v>
      </c>
      <c r="AS199" s="422" t="str">
        <f t="shared" si="270"/>
        <v>NA</v>
      </c>
      <c r="AT199" s="422" t="str">
        <f t="shared" si="271"/>
        <v>NA</v>
      </c>
      <c r="AU199" s="422" t="str">
        <f t="shared" si="272"/>
        <v>NA</v>
      </c>
      <c r="AV199" s="423" t="str">
        <f t="shared" si="273"/>
        <v>NA</v>
      </c>
    </row>
    <row r="200" spans="1:48" ht="15" customHeight="1" x14ac:dyDescent="0.25">
      <c r="A200" s="146"/>
      <c r="B200" s="148">
        <v>129</v>
      </c>
      <c r="C200" s="151" t="str">
        <f>_xlfn.XLOOKUP(B200, LgProvEntOrgIDs[Advanced Network/Insurer Carrier Org ID], LgProvEntOrgIDs[Advanced Network/Insurance Carrier Overall])</f>
        <v>Westchester Medical Group PLLC (dba WestMed)</v>
      </c>
      <c r="D200" s="448">
        <f>SUMIFS(AN_TME_BY[[#All],[Member Months]],AN_TME_BY[[#All],[Insurance Category Code]],1,AN_TME_BY[[#All],[Advanced Network/Insurance Carrier Org ID]],B200)</f>
        <v>0</v>
      </c>
      <c r="E200" s="137" t="str">
        <f>IF(D200=0,"NA",SUMIFS(AN_TME_BY[[#All],[Claims: Hospital Inpatient]],AN_TME_BY[[#All],[Insurance Category Code]],1,AN_TME_BY[[#All],[Advanced Network/Insurance Carrier Org ID]],B200)/D200)</f>
        <v>NA</v>
      </c>
      <c r="F200" s="108" t="str">
        <f>IF(D200=0,"NA",SUMIFS(AN_TME_BY[[#All],[Claims: Hospital Outpatient]],AN_TME_BY[[#All],[Insurance Category Code]],1,AN_TME_BY[[#All],[Advanced Network/Insurance Carrier Org ID]],B200)/D200)</f>
        <v>NA</v>
      </c>
      <c r="G200" s="108" t="str">
        <f>IF(D200=0,"NA",SUMIFS(AN_TME_BY[[#All],[Claims: Professional, Primary Care]],AN_TME_BY[[#All],[Insurance Category Code]],1,AN_TME_BY[[#All],[Advanced Network/Insurance Carrier Org ID]],B200)/D200)</f>
        <v>NA</v>
      </c>
      <c r="H200" s="108" t="str">
        <f>IF(D200=0,"NA",SUMIFS(AN_TME_BY[[#All],[Claims: Professional, Primary Care (for Monitoring Purposes)]],AN_TME_BY[[#All],[Insurance Category Code]],1,AN_TME_BY[[#All],[Advanced Network/Insurance Carrier Org ID]],B200)/D200)</f>
        <v>NA</v>
      </c>
      <c r="I200" s="108" t="str">
        <f>IF(D200=0,"NA",SUMIFS(AN_TME_BY[[#All],[Claims: Professional, Specialty]],AN_TME_BY[[#All],[Insurance Category Code]],1,AN_TME_BY[[#All],[Advanced Network/Insurance Carrier Org ID]],B200)/D200)</f>
        <v>NA</v>
      </c>
      <c r="J200" s="108" t="str">
        <f>IF(D200=0,"NA",SUMIFS(AN_TME_BY[[#All],[Claims: Professional Other]],AN_TME_BY[[#All],[Insurance Category Code]],1,AN_TME_BY[[#All],[Advanced Network/Insurance Carrier Org ID]],B200)/D200)</f>
        <v>NA</v>
      </c>
      <c r="K200" s="108" t="str">
        <f>IF(D200=0,"NA",SUMIFS(AN_TME_BY[[#All],[Claims: Pharmacy]],AN_TME_BY[[#All],[Insurance Category Code]],1,AN_TME_BY[[#All],[Advanced Network/Insurance Carrier Org ID]],B200)/D200)</f>
        <v>NA</v>
      </c>
      <c r="L200" s="108" t="str">
        <f>IF(D200=0,"NA",SUMIFS(AN_TME_BY[[#All],[Claims: Long-Term Care]],AN_TME_BY[[#All],[Insurance Category Code]],1,AN_TME_BY[[#All],[Advanced Network/Insurance Carrier Org ID]],B200)/D200)</f>
        <v>NA</v>
      </c>
      <c r="M200" s="108" t="str">
        <f>IF(D200=0,"NA",SUMIFS(AN_TME_BY[[#All],[Claims: Other]],AN_TME_BY[[#All],[Insurance Category Code]],1,AN_TME_BY[[#All],[Advanced Network/Insurance Carrier Org ID]],B200)/D200)</f>
        <v>NA</v>
      </c>
      <c r="N200" s="147" t="str">
        <f>IF(D200=0,"NA",SUMIFS(AN_TME_BY[[#All],[TOTAL Non-Truncated Unadjusted Claims Expenses]],AN_TME_BY[[#All],[Insurance Category Code]],1,AN_TME_BY[[#All],[Advanced Network/Insurance Carrier Org ID]],B200)/D200)</f>
        <v>NA</v>
      </c>
      <c r="O200" s="147" t="str">
        <f>IF(D200=0,"NA",SUMIFS(AN_TME_BY[[#All],[TOTAL Truncated Unadjusted Claims Expenses (A21 -A19)]],AN_TME_BY[[#All],[Insurance Category Code]],1,AN_TME_BY[[#All],[Advanced Network/Insurance Carrier Org ID]],B200)/D200)</f>
        <v>NA</v>
      </c>
      <c r="P200" s="147" t="str">
        <f>IF(D200=0,"NA",SUMIFS(AN_TME_BY[[#All],[TOTAL Non-Claims Expenses]],AN_TME_BY[[#All],[Insurance Category Code]],1,AN_TME_BY[[#All],[Advanced Network/Insurance Carrier Org ID]],B200)/D200)</f>
        <v>NA</v>
      </c>
      <c r="Q200" s="147" t="str">
        <f>IF(D200=0,"NA",SUMIFS(AN_TME_BY[[#All],[TOTAL Non-Truncated Unadjusted Expenses (A21 + A23)]],AN_TME_BY[[#All],[Insurance Category Code]],1,AN_TME_BY[[#All],[Advanced Network/Insurance Carrier Org ID]],B200)/D200)</f>
        <v>NA</v>
      </c>
      <c r="R200" s="147" t="str">
        <f>IF(D200=0,"NA",SUMIFS(AN_TME_BY[[#All],[TOTAL Truncated Unadjusted Expenses (A22 + A23)]],AN_TME_BY[[#All],[Insurance Category Code]],1,AN_TME_BY[[#All],[Advanced Network/Insurance Carrier Org ID]],B200)/D200)</f>
        <v>NA</v>
      </c>
      <c r="S200" s="448">
        <f>SUMIFS(AN_TME_PY[[#All],[Member Months]],AN_TME_PY[[#All],[Insurance Category Code]],1,AN_TME_PY[[#All],[Advanced Network/Insurance Carrier Org ID]],B200)</f>
        <v>0</v>
      </c>
      <c r="T200" s="137" t="str">
        <f>IF(S200=0,"NA",SUMIFS(AN_TME_PY[[#All],[Claims: Hospital Inpatient]],AN_TME_PY[[#All],[Insurance Category Code]],1,AN_TME_PY[[#All],[Advanced Network/Insurance Carrier Org ID]],B200)/S200)</f>
        <v>NA</v>
      </c>
      <c r="U200" s="108" t="str">
        <f>IF(S200=0,"NA",SUMIFS(AN_TME_PY[[#All],[Claims: Hospital Outpatient]],AN_TME_PY[[#All],[Insurance Category Code]],1,AN_TME_PY[[#All],[Advanced Network/Insurance Carrier Org ID]],B200)/S200)</f>
        <v>NA</v>
      </c>
      <c r="V200" s="108" t="str">
        <f>IF(S200=0,"NA",SUMIFS(AN_TME_PY[[#All],[Claims: Professional, Primary Care]],AN_TME_PY[[#All],[Insurance Category Code]],1,AN_TME_PY[[#All],[Advanced Network/Insurance Carrier Org ID]],B200)/S200)</f>
        <v>NA</v>
      </c>
      <c r="W200" s="108" t="str">
        <f>IF(S200=0,"NA",SUMIFS(AN_TME_PY[[#All],[Claims: Professional, Primary Care (for Monitoring Purposes)]],AN_TME_PY[[#All],[Insurance Category Code]],1,AN_TME_PY[[#All],[Advanced Network/Insurance Carrier Org ID]],B200)/S200)</f>
        <v>NA</v>
      </c>
      <c r="X200" s="108" t="str">
        <f>IF(S200=0,"NA",SUMIFS(AN_TME_PY[[#All],[Claims: Professional, Specialty]],AN_TME_PY[[#All],[Insurance Category Code]],1,AN_TME_PY[[#All],[Advanced Network/Insurance Carrier Org ID]],B200)/S200)</f>
        <v>NA</v>
      </c>
      <c r="Y200" s="108" t="str">
        <f>IF(S200=0,"NA",SUMIFS(AN_TME_PY[[#All],[Claims: Professional Other]],AN_TME_PY[[#All],[Insurance Category Code]],1,AN_TME_PY[[#All],[Advanced Network/Insurance Carrier Org ID]],B200)/S200)</f>
        <v>NA</v>
      </c>
      <c r="Z200" s="108" t="str">
        <f>IF(S200=0,"NA",SUMIFS(AN_TME_PY[[#All],[Claims: Pharmacy]],AN_TME_PY[[#All],[Insurance Category Code]],1,AN_TME_PY[[#All],[Advanced Network/Insurance Carrier Org ID]],B200)/S200)</f>
        <v>NA</v>
      </c>
      <c r="AA200" s="108" t="str">
        <f>IF(S200=0,"NA",SUMIFS(AN_TME_PY[[#All],[Claims: Long-Term Care]],AN_TME_PY[[#All],[Insurance Category Code]],1,AN_TME_PY[[#All],[Advanced Network/Insurance Carrier Org ID]],B200)/S200)</f>
        <v>NA</v>
      </c>
      <c r="AB200" s="108" t="str">
        <f>IF(S200=0,"NA",SUMIFS(AN_TME_PY[[#All],[Claims: Other]],AN_TME_PY[[#All],[Insurance Category Code]],1,AN_TME_PY[[#All],[Advanced Network/Insurance Carrier Org ID]],B200)/S200)</f>
        <v>NA</v>
      </c>
      <c r="AC200" s="147" t="str">
        <f>IF(S200=0,"NA",SUMIFS(AN_TME_PY[[#All],[TOTAL Non-Truncated Unadjusted Claims Expenses]],AN_TME_PY[[#All],[Insurance Category Code]],1,AN_TME_PY[[#All],[Advanced Network/Insurance Carrier Org ID]],B200)/S200)</f>
        <v>NA</v>
      </c>
      <c r="AD200" s="147" t="str">
        <f>IF(S200=0,"NA",SUMIFS(AN_TME_PY[[#All],[TOTAL Truncated Unadjusted Claims Expenses (A21 -A19)]],AN_TME_PY[[#All],[Insurance Category Code]],1,AN_TME_PY[[#All],[Advanced Network/Insurance Carrier Org ID]],B200)/S200)</f>
        <v>NA</v>
      </c>
      <c r="AE200" s="147" t="str">
        <f>IF(S200=0,"NA",SUMIFS(AN_TME_PY[[#All],[TOTAL Non-Claims Expenses]],AN_TME_PY[[#All],[Insurance Category Code]],1,AN_TME_PY[[#All],[Advanced Network/Insurance Carrier Org ID]],B200)/S200)</f>
        <v>NA</v>
      </c>
      <c r="AF200" s="147" t="str">
        <f>IF(S200=0,"NA",SUMIFS(AN_TME_PY[[#All],[TOTAL Non-Truncated Unadjusted Expenses (A21 + A23)]],AN_TME_PY[[#All],[Insurance Category Code]],1,AN_TME_PY[[#All],[Advanced Network/Insurance Carrier Org ID]],B200)/S200)</f>
        <v>NA</v>
      </c>
      <c r="AG200" s="138" t="str">
        <f>IF(S200=0,"NA",SUMIFS(AN_TME_PY[[#All],[TOTAL Truncated Unadjusted Expenses (A22 + A23)]],AN_TME_PY[[#All],[Insurance Category Code]],1,AN_TME_PY[[#All],[Advanced Network/Insurance Carrier Org ID]],B200)/S200)</f>
        <v>NA</v>
      </c>
      <c r="AH200" s="419" t="str">
        <f t="shared" si="259"/>
        <v>NA</v>
      </c>
      <c r="AI200" s="420" t="str">
        <f t="shared" si="260"/>
        <v>NA</v>
      </c>
      <c r="AJ200" s="421" t="str">
        <f t="shared" si="261"/>
        <v>NA</v>
      </c>
      <c r="AK200" s="421" t="str">
        <f t="shared" si="262"/>
        <v>NA</v>
      </c>
      <c r="AL200" s="421" t="str">
        <f t="shared" si="263"/>
        <v>NA</v>
      </c>
      <c r="AM200" s="421" t="str">
        <f t="shared" si="264"/>
        <v>NA</v>
      </c>
      <c r="AN200" s="421" t="str">
        <f t="shared" si="265"/>
        <v>NA</v>
      </c>
      <c r="AO200" s="421" t="str">
        <f t="shared" si="266"/>
        <v>NA</v>
      </c>
      <c r="AP200" s="421" t="str">
        <f t="shared" si="267"/>
        <v>NA</v>
      </c>
      <c r="AQ200" s="421" t="str">
        <f t="shared" si="268"/>
        <v>NA</v>
      </c>
      <c r="AR200" s="422" t="str">
        <f t="shared" si="269"/>
        <v>NA</v>
      </c>
      <c r="AS200" s="422" t="str">
        <f t="shared" si="270"/>
        <v>NA</v>
      </c>
      <c r="AT200" s="422" t="str">
        <f t="shared" si="271"/>
        <v>NA</v>
      </c>
      <c r="AU200" s="422" t="str">
        <f t="shared" si="272"/>
        <v>NA</v>
      </c>
      <c r="AV200" s="423" t="str">
        <f t="shared" si="273"/>
        <v>NA</v>
      </c>
    </row>
    <row r="201" spans="1:48" ht="15" customHeight="1" x14ac:dyDescent="0.25">
      <c r="A201" s="146"/>
      <c r="B201" s="148">
        <v>130</v>
      </c>
      <c r="C201" s="151" t="str">
        <f>_xlfn.XLOOKUP(B201, LgProvEntOrgIDs[Advanced Network/Insurer Carrier Org ID], LgProvEntOrgIDs[Advanced Network/Insurance Carrier Overall])</f>
        <v>Wheeler Clinic</v>
      </c>
      <c r="D201" s="448">
        <f>SUMIFS(AN_TME_BY[[#All],[Member Months]],AN_TME_BY[[#All],[Insurance Category Code]],1,AN_TME_BY[[#All],[Advanced Network/Insurance Carrier Org ID]],B201)</f>
        <v>0</v>
      </c>
      <c r="E201" s="137" t="str">
        <f>IF(D201=0,"NA",SUMIFS(AN_TME_BY[[#All],[Claims: Hospital Inpatient]],AN_TME_BY[[#All],[Insurance Category Code]],1,AN_TME_BY[[#All],[Advanced Network/Insurance Carrier Org ID]],B201)/D201)</f>
        <v>NA</v>
      </c>
      <c r="F201" s="108" t="str">
        <f>IF(D201=0,"NA",SUMIFS(AN_TME_BY[[#All],[Claims: Hospital Outpatient]],AN_TME_BY[[#All],[Insurance Category Code]],1,AN_TME_BY[[#All],[Advanced Network/Insurance Carrier Org ID]],B201)/D201)</f>
        <v>NA</v>
      </c>
      <c r="G201" s="108" t="str">
        <f>IF(D201=0,"NA",SUMIFS(AN_TME_BY[[#All],[Claims: Professional, Primary Care]],AN_TME_BY[[#All],[Insurance Category Code]],1,AN_TME_BY[[#All],[Advanced Network/Insurance Carrier Org ID]],B201)/D201)</f>
        <v>NA</v>
      </c>
      <c r="H201" s="108" t="str">
        <f>IF(D201=0,"NA",SUMIFS(AN_TME_BY[[#All],[Claims: Professional, Primary Care (for Monitoring Purposes)]],AN_TME_BY[[#All],[Insurance Category Code]],1,AN_TME_BY[[#All],[Advanced Network/Insurance Carrier Org ID]],B201)/D201)</f>
        <v>NA</v>
      </c>
      <c r="I201" s="108" t="str">
        <f>IF(D201=0,"NA",SUMIFS(AN_TME_BY[[#All],[Claims: Professional, Specialty]],AN_TME_BY[[#All],[Insurance Category Code]],1,AN_TME_BY[[#All],[Advanced Network/Insurance Carrier Org ID]],B201)/D201)</f>
        <v>NA</v>
      </c>
      <c r="J201" s="108" t="str">
        <f>IF(D201=0,"NA",SUMIFS(AN_TME_BY[[#All],[Claims: Professional Other]],AN_TME_BY[[#All],[Insurance Category Code]],1,AN_TME_BY[[#All],[Advanced Network/Insurance Carrier Org ID]],B201)/D201)</f>
        <v>NA</v>
      </c>
      <c r="K201" s="108" t="str">
        <f>IF(D201=0,"NA",SUMIFS(AN_TME_BY[[#All],[Claims: Pharmacy]],AN_TME_BY[[#All],[Insurance Category Code]],1,AN_TME_BY[[#All],[Advanced Network/Insurance Carrier Org ID]],B201)/D201)</f>
        <v>NA</v>
      </c>
      <c r="L201" s="108" t="str">
        <f>IF(D201=0,"NA",SUMIFS(AN_TME_BY[[#All],[Claims: Long-Term Care]],AN_TME_BY[[#All],[Insurance Category Code]],1,AN_TME_BY[[#All],[Advanced Network/Insurance Carrier Org ID]],B201)/D201)</f>
        <v>NA</v>
      </c>
      <c r="M201" s="108" t="str">
        <f>IF(D201=0,"NA",SUMIFS(AN_TME_BY[[#All],[Claims: Other]],AN_TME_BY[[#All],[Insurance Category Code]],1,AN_TME_BY[[#All],[Advanced Network/Insurance Carrier Org ID]],B201)/D201)</f>
        <v>NA</v>
      </c>
      <c r="N201" s="147" t="str">
        <f>IF(D201=0,"NA",SUMIFS(AN_TME_BY[[#All],[TOTAL Non-Truncated Unadjusted Claims Expenses]],AN_TME_BY[[#All],[Insurance Category Code]],1,AN_TME_BY[[#All],[Advanced Network/Insurance Carrier Org ID]],B201)/D201)</f>
        <v>NA</v>
      </c>
      <c r="O201" s="147" t="str">
        <f>IF(D201=0,"NA",SUMIFS(AN_TME_BY[[#All],[TOTAL Truncated Unadjusted Claims Expenses (A21 -A19)]],AN_TME_BY[[#All],[Insurance Category Code]],1,AN_TME_BY[[#All],[Advanced Network/Insurance Carrier Org ID]],B201)/D201)</f>
        <v>NA</v>
      </c>
      <c r="P201" s="147" t="str">
        <f>IF(D201=0,"NA",SUMIFS(AN_TME_BY[[#All],[TOTAL Non-Claims Expenses]],AN_TME_BY[[#All],[Insurance Category Code]],1,AN_TME_BY[[#All],[Advanced Network/Insurance Carrier Org ID]],B201)/D201)</f>
        <v>NA</v>
      </c>
      <c r="Q201" s="147" t="str">
        <f>IF(D201=0,"NA",SUMIFS(AN_TME_BY[[#All],[TOTAL Non-Truncated Unadjusted Expenses (A21 + A23)]],AN_TME_BY[[#All],[Insurance Category Code]],1,AN_TME_BY[[#All],[Advanced Network/Insurance Carrier Org ID]],B201)/D201)</f>
        <v>NA</v>
      </c>
      <c r="R201" s="147" t="str">
        <f>IF(D201=0,"NA",SUMIFS(AN_TME_BY[[#All],[TOTAL Truncated Unadjusted Expenses (A22 + A23)]],AN_TME_BY[[#All],[Insurance Category Code]],1,AN_TME_BY[[#All],[Advanced Network/Insurance Carrier Org ID]],B201)/D201)</f>
        <v>NA</v>
      </c>
      <c r="S201" s="448">
        <f>SUMIFS(AN_TME_PY[[#All],[Member Months]],AN_TME_PY[[#All],[Insurance Category Code]],1,AN_TME_PY[[#All],[Advanced Network/Insurance Carrier Org ID]],B201)</f>
        <v>0</v>
      </c>
      <c r="T201" s="137" t="str">
        <f>IF(S201=0,"NA",SUMIFS(AN_TME_PY[[#All],[Claims: Hospital Inpatient]],AN_TME_PY[[#All],[Insurance Category Code]],1,AN_TME_PY[[#All],[Advanced Network/Insurance Carrier Org ID]],B201)/S201)</f>
        <v>NA</v>
      </c>
      <c r="U201" s="108" t="str">
        <f>IF(S201=0,"NA",SUMIFS(AN_TME_PY[[#All],[Claims: Hospital Outpatient]],AN_TME_PY[[#All],[Insurance Category Code]],1,AN_TME_PY[[#All],[Advanced Network/Insurance Carrier Org ID]],B201)/S201)</f>
        <v>NA</v>
      </c>
      <c r="V201" s="108" t="str">
        <f>IF(S201=0,"NA",SUMIFS(AN_TME_PY[[#All],[Claims: Professional, Primary Care]],AN_TME_PY[[#All],[Insurance Category Code]],1,AN_TME_PY[[#All],[Advanced Network/Insurance Carrier Org ID]],B201)/S201)</f>
        <v>NA</v>
      </c>
      <c r="W201" s="108" t="str">
        <f>IF(S201=0,"NA",SUMIFS(AN_TME_PY[[#All],[Claims: Professional, Primary Care (for Monitoring Purposes)]],AN_TME_PY[[#All],[Insurance Category Code]],1,AN_TME_PY[[#All],[Advanced Network/Insurance Carrier Org ID]],B201)/S201)</f>
        <v>NA</v>
      </c>
      <c r="X201" s="108" t="str">
        <f>IF(S201=0,"NA",SUMIFS(AN_TME_PY[[#All],[Claims: Professional, Specialty]],AN_TME_PY[[#All],[Insurance Category Code]],1,AN_TME_PY[[#All],[Advanced Network/Insurance Carrier Org ID]],B201)/S201)</f>
        <v>NA</v>
      </c>
      <c r="Y201" s="108" t="str">
        <f>IF(S201=0,"NA",SUMIFS(AN_TME_PY[[#All],[Claims: Professional Other]],AN_TME_PY[[#All],[Insurance Category Code]],1,AN_TME_PY[[#All],[Advanced Network/Insurance Carrier Org ID]],B201)/S201)</f>
        <v>NA</v>
      </c>
      <c r="Z201" s="108" t="str">
        <f>IF(S201=0,"NA",SUMIFS(AN_TME_PY[[#All],[Claims: Pharmacy]],AN_TME_PY[[#All],[Insurance Category Code]],1,AN_TME_PY[[#All],[Advanced Network/Insurance Carrier Org ID]],B201)/S201)</f>
        <v>NA</v>
      </c>
      <c r="AA201" s="108" t="str">
        <f>IF(S201=0,"NA",SUMIFS(AN_TME_PY[[#All],[Claims: Long-Term Care]],AN_TME_PY[[#All],[Insurance Category Code]],1,AN_TME_PY[[#All],[Advanced Network/Insurance Carrier Org ID]],B201)/S201)</f>
        <v>NA</v>
      </c>
      <c r="AB201" s="108" t="str">
        <f>IF(S201=0,"NA",SUMIFS(AN_TME_PY[[#All],[Claims: Other]],AN_TME_PY[[#All],[Insurance Category Code]],1,AN_TME_PY[[#All],[Advanced Network/Insurance Carrier Org ID]],B201)/S201)</f>
        <v>NA</v>
      </c>
      <c r="AC201" s="147" t="str">
        <f>IF(S201=0,"NA",SUMIFS(AN_TME_PY[[#All],[TOTAL Non-Truncated Unadjusted Claims Expenses]],AN_TME_PY[[#All],[Insurance Category Code]],1,AN_TME_PY[[#All],[Advanced Network/Insurance Carrier Org ID]],B201)/S201)</f>
        <v>NA</v>
      </c>
      <c r="AD201" s="147" t="str">
        <f>IF(S201=0,"NA",SUMIFS(AN_TME_PY[[#All],[TOTAL Truncated Unadjusted Claims Expenses (A21 -A19)]],AN_TME_PY[[#All],[Insurance Category Code]],1,AN_TME_PY[[#All],[Advanced Network/Insurance Carrier Org ID]],B201)/S201)</f>
        <v>NA</v>
      </c>
      <c r="AE201" s="147" t="str">
        <f>IF(S201=0,"NA",SUMIFS(AN_TME_PY[[#All],[TOTAL Non-Claims Expenses]],AN_TME_PY[[#All],[Insurance Category Code]],1,AN_TME_PY[[#All],[Advanced Network/Insurance Carrier Org ID]],B201)/S201)</f>
        <v>NA</v>
      </c>
      <c r="AF201" s="147" t="str">
        <f>IF(S201=0,"NA",SUMIFS(AN_TME_PY[[#All],[TOTAL Non-Truncated Unadjusted Expenses (A21 + A23)]],AN_TME_PY[[#All],[Insurance Category Code]],1,AN_TME_PY[[#All],[Advanced Network/Insurance Carrier Org ID]],B201)/S201)</f>
        <v>NA</v>
      </c>
      <c r="AG201" s="138" t="str">
        <f>IF(S201=0,"NA",SUMIFS(AN_TME_PY[[#All],[TOTAL Truncated Unadjusted Expenses (A22 + A23)]],AN_TME_PY[[#All],[Insurance Category Code]],1,AN_TME_PY[[#All],[Advanced Network/Insurance Carrier Org ID]],B201)/S201)</f>
        <v>NA</v>
      </c>
      <c r="AH201" s="419" t="str">
        <f t="shared" si="259"/>
        <v>NA</v>
      </c>
      <c r="AI201" s="420" t="str">
        <f t="shared" si="260"/>
        <v>NA</v>
      </c>
      <c r="AJ201" s="421" t="str">
        <f t="shared" si="261"/>
        <v>NA</v>
      </c>
      <c r="AK201" s="421" t="str">
        <f t="shared" si="262"/>
        <v>NA</v>
      </c>
      <c r="AL201" s="421" t="str">
        <f t="shared" si="263"/>
        <v>NA</v>
      </c>
      <c r="AM201" s="421" t="str">
        <f t="shared" si="264"/>
        <v>NA</v>
      </c>
      <c r="AN201" s="421" t="str">
        <f t="shared" si="265"/>
        <v>NA</v>
      </c>
      <c r="AO201" s="421" t="str">
        <f t="shared" si="266"/>
        <v>NA</v>
      </c>
      <c r="AP201" s="421" t="str">
        <f t="shared" si="267"/>
        <v>NA</v>
      </c>
      <c r="AQ201" s="421" t="str">
        <f t="shared" si="268"/>
        <v>NA</v>
      </c>
      <c r="AR201" s="422" t="str">
        <f t="shared" si="269"/>
        <v>NA</v>
      </c>
      <c r="AS201" s="422" t="str">
        <f t="shared" si="270"/>
        <v>NA</v>
      </c>
      <c r="AT201" s="422" t="str">
        <f t="shared" si="271"/>
        <v>NA</v>
      </c>
      <c r="AU201" s="422" t="str">
        <f t="shared" si="272"/>
        <v>NA</v>
      </c>
      <c r="AV201" s="423" t="str">
        <f t="shared" si="273"/>
        <v>NA</v>
      </c>
    </row>
    <row r="202" spans="1:48" ht="15" customHeight="1" x14ac:dyDescent="0.25">
      <c r="A202" s="146"/>
      <c r="B202" s="148">
        <v>131</v>
      </c>
      <c r="C202" s="151" t="str">
        <f>_xlfn.XLOOKUP(B202, LgProvEntOrgIDs[Advanced Network/Insurer Carrier Org ID], LgProvEntOrgIDs[Advanced Network/Insurance Carrier Overall])</f>
        <v>Yale Medicine</v>
      </c>
      <c r="D202" s="448">
        <f>SUMIFS(AN_TME_BY[[#All],[Member Months]],AN_TME_BY[[#All],[Insurance Category Code]],1,AN_TME_BY[[#All],[Advanced Network/Insurance Carrier Org ID]],B202)</f>
        <v>0</v>
      </c>
      <c r="E202" s="137" t="str">
        <f>IF(D202=0,"NA",SUMIFS(AN_TME_BY[[#All],[Claims: Hospital Inpatient]],AN_TME_BY[[#All],[Insurance Category Code]],1,AN_TME_BY[[#All],[Advanced Network/Insurance Carrier Org ID]],B202)/D202)</f>
        <v>NA</v>
      </c>
      <c r="F202" s="108" t="str">
        <f>IF(D202=0,"NA",SUMIFS(AN_TME_BY[[#All],[Claims: Hospital Outpatient]],AN_TME_BY[[#All],[Insurance Category Code]],1,AN_TME_BY[[#All],[Advanced Network/Insurance Carrier Org ID]],B202)/D202)</f>
        <v>NA</v>
      </c>
      <c r="G202" s="108" t="str">
        <f>IF(D202=0,"NA",SUMIFS(AN_TME_BY[[#All],[Claims: Professional, Primary Care]],AN_TME_BY[[#All],[Insurance Category Code]],1,AN_TME_BY[[#All],[Advanced Network/Insurance Carrier Org ID]],B202)/D202)</f>
        <v>NA</v>
      </c>
      <c r="H202" s="108" t="str">
        <f>IF(D202=0,"NA",SUMIFS(AN_TME_BY[[#All],[Claims: Professional, Primary Care (for Monitoring Purposes)]],AN_TME_BY[[#All],[Insurance Category Code]],1,AN_TME_BY[[#All],[Advanced Network/Insurance Carrier Org ID]],B202)/D202)</f>
        <v>NA</v>
      </c>
      <c r="I202" s="108" t="str">
        <f>IF(D202=0,"NA",SUMIFS(AN_TME_BY[[#All],[Claims: Professional, Specialty]],AN_TME_BY[[#All],[Insurance Category Code]],1,AN_TME_BY[[#All],[Advanced Network/Insurance Carrier Org ID]],B202)/D202)</f>
        <v>NA</v>
      </c>
      <c r="J202" s="108" t="str">
        <f>IF(D202=0,"NA",SUMIFS(AN_TME_BY[[#All],[Claims: Professional Other]],AN_TME_BY[[#All],[Insurance Category Code]],1,AN_TME_BY[[#All],[Advanced Network/Insurance Carrier Org ID]],B202)/D202)</f>
        <v>NA</v>
      </c>
      <c r="K202" s="108" t="str">
        <f>IF(D202=0,"NA",SUMIFS(AN_TME_BY[[#All],[Claims: Pharmacy]],AN_TME_BY[[#All],[Insurance Category Code]],1,AN_TME_BY[[#All],[Advanced Network/Insurance Carrier Org ID]],B202)/D202)</f>
        <v>NA</v>
      </c>
      <c r="L202" s="108" t="str">
        <f>IF(D202=0,"NA",SUMIFS(AN_TME_BY[[#All],[Claims: Long-Term Care]],AN_TME_BY[[#All],[Insurance Category Code]],1,AN_TME_BY[[#All],[Advanced Network/Insurance Carrier Org ID]],B202)/D202)</f>
        <v>NA</v>
      </c>
      <c r="M202" s="108" t="str">
        <f>IF(D202=0,"NA",SUMIFS(AN_TME_BY[[#All],[Claims: Other]],AN_TME_BY[[#All],[Insurance Category Code]],1,AN_TME_BY[[#All],[Advanced Network/Insurance Carrier Org ID]],B202)/D202)</f>
        <v>NA</v>
      </c>
      <c r="N202" s="147" t="str">
        <f>IF(D202=0,"NA",SUMIFS(AN_TME_BY[[#All],[TOTAL Non-Truncated Unadjusted Claims Expenses]],AN_TME_BY[[#All],[Insurance Category Code]],1,AN_TME_BY[[#All],[Advanced Network/Insurance Carrier Org ID]],B202)/D202)</f>
        <v>NA</v>
      </c>
      <c r="O202" s="147" t="str">
        <f>IF(D202=0,"NA",SUMIFS(AN_TME_BY[[#All],[TOTAL Truncated Unadjusted Claims Expenses (A21 -A19)]],AN_TME_BY[[#All],[Insurance Category Code]],1,AN_TME_BY[[#All],[Advanced Network/Insurance Carrier Org ID]],B202)/D202)</f>
        <v>NA</v>
      </c>
      <c r="P202" s="147" t="str">
        <f>IF(D202=0,"NA",SUMIFS(AN_TME_BY[[#All],[TOTAL Non-Claims Expenses]],AN_TME_BY[[#All],[Insurance Category Code]],1,AN_TME_BY[[#All],[Advanced Network/Insurance Carrier Org ID]],B202)/D202)</f>
        <v>NA</v>
      </c>
      <c r="Q202" s="147" t="str">
        <f>IF(D202=0,"NA",SUMIFS(AN_TME_BY[[#All],[TOTAL Non-Truncated Unadjusted Expenses (A21 + A23)]],AN_TME_BY[[#All],[Insurance Category Code]],1,AN_TME_BY[[#All],[Advanced Network/Insurance Carrier Org ID]],B202)/D202)</f>
        <v>NA</v>
      </c>
      <c r="R202" s="147" t="str">
        <f>IF(D202=0,"NA",SUMIFS(AN_TME_BY[[#All],[TOTAL Truncated Unadjusted Expenses (A22 + A23)]],AN_TME_BY[[#All],[Insurance Category Code]],1,AN_TME_BY[[#All],[Advanced Network/Insurance Carrier Org ID]],B202)/D202)</f>
        <v>NA</v>
      </c>
      <c r="S202" s="448">
        <f>SUMIFS(AN_TME_PY[[#All],[Member Months]],AN_TME_PY[[#All],[Insurance Category Code]],1,AN_TME_PY[[#All],[Advanced Network/Insurance Carrier Org ID]],B202)</f>
        <v>0</v>
      </c>
      <c r="T202" s="137" t="str">
        <f>IF(S202=0,"NA",SUMIFS(AN_TME_PY[[#All],[Claims: Hospital Inpatient]],AN_TME_PY[[#All],[Insurance Category Code]],1,AN_TME_PY[[#All],[Advanced Network/Insurance Carrier Org ID]],B202)/S202)</f>
        <v>NA</v>
      </c>
      <c r="U202" s="108" t="str">
        <f>IF(S202=0,"NA",SUMIFS(AN_TME_PY[[#All],[Claims: Hospital Outpatient]],AN_TME_PY[[#All],[Insurance Category Code]],1,AN_TME_PY[[#All],[Advanced Network/Insurance Carrier Org ID]],B202)/S202)</f>
        <v>NA</v>
      </c>
      <c r="V202" s="108" t="str">
        <f>IF(S202=0,"NA",SUMIFS(AN_TME_PY[[#All],[Claims: Professional, Primary Care]],AN_TME_PY[[#All],[Insurance Category Code]],1,AN_TME_PY[[#All],[Advanced Network/Insurance Carrier Org ID]],B202)/S202)</f>
        <v>NA</v>
      </c>
      <c r="W202" s="108" t="str">
        <f>IF(S202=0,"NA",SUMIFS(AN_TME_PY[[#All],[Claims: Professional, Primary Care (for Monitoring Purposes)]],AN_TME_PY[[#All],[Insurance Category Code]],1,AN_TME_PY[[#All],[Advanced Network/Insurance Carrier Org ID]],B202)/S202)</f>
        <v>NA</v>
      </c>
      <c r="X202" s="108" t="str">
        <f>IF(S202=0,"NA",SUMIFS(AN_TME_PY[[#All],[Claims: Professional, Specialty]],AN_TME_PY[[#All],[Insurance Category Code]],1,AN_TME_PY[[#All],[Advanced Network/Insurance Carrier Org ID]],B202)/S202)</f>
        <v>NA</v>
      </c>
      <c r="Y202" s="108" t="str">
        <f>IF(S202=0,"NA",SUMIFS(AN_TME_PY[[#All],[Claims: Professional Other]],AN_TME_PY[[#All],[Insurance Category Code]],1,AN_TME_PY[[#All],[Advanced Network/Insurance Carrier Org ID]],B202)/S202)</f>
        <v>NA</v>
      </c>
      <c r="Z202" s="108" t="str">
        <f>IF(S202=0,"NA",SUMIFS(AN_TME_PY[[#All],[Claims: Pharmacy]],AN_TME_PY[[#All],[Insurance Category Code]],1,AN_TME_PY[[#All],[Advanced Network/Insurance Carrier Org ID]],B202)/S202)</f>
        <v>NA</v>
      </c>
      <c r="AA202" s="108" t="str">
        <f>IF(S202=0,"NA",SUMIFS(AN_TME_PY[[#All],[Claims: Long-Term Care]],AN_TME_PY[[#All],[Insurance Category Code]],1,AN_TME_PY[[#All],[Advanced Network/Insurance Carrier Org ID]],B202)/S202)</f>
        <v>NA</v>
      </c>
      <c r="AB202" s="108" t="str">
        <f>IF(S202=0,"NA",SUMIFS(AN_TME_PY[[#All],[Claims: Other]],AN_TME_PY[[#All],[Insurance Category Code]],1,AN_TME_PY[[#All],[Advanced Network/Insurance Carrier Org ID]],B202)/S202)</f>
        <v>NA</v>
      </c>
      <c r="AC202" s="147" t="str">
        <f>IF(S202=0,"NA",SUMIFS(AN_TME_PY[[#All],[TOTAL Non-Truncated Unadjusted Claims Expenses]],AN_TME_PY[[#All],[Insurance Category Code]],1,AN_TME_PY[[#All],[Advanced Network/Insurance Carrier Org ID]],B202)/S202)</f>
        <v>NA</v>
      </c>
      <c r="AD202" s="147" t="str">
        <f>IF(S202=0,"NA",SUMIFS(AN_TME_PY[[#All],[TOTAL Truncated Unadjusted Claims Expenses (A21 -A19)]],AN_TME_PY[[#All],[Insurance Category Code]],1,AN_TME_PY[[#All],[Advanced Network/Insurance Carrier Org ID]],B202)/S202)</f>
        <v>NA</v>
      </c>
      <c r="AE202" s="147" t="str">
        <f>IF(S202=0,"NA",SUMIFS(AN_TME_PY[[#All],[TOTAL Non-Claims Expenses]],AN_TME_PY[[#All],[Insurance Category Code]],1,AN_TME_PY[[#All],[Advanced Network/Insurance Carrier Org ID]],B202)/S202)</f>
        <v>NA</v>
      </c>
      <c r="AF202" s="147" t="str">
        <f>IF(S202=0,"NA",SUMIFS(AN_TME_PY[[#All],[TOTAL Non-Truncated Unadjusted Expenses (A21 + A23)]],AN_TME_PY[[#All],[Insurance Category Code]],1,AN_TME_PY[[#All],[Advanced Network/Insurance Carrier Org ID]],B202)/S202)</f>
        <v>NA</v>
      </c>
      <c r="AG202" s="138" t="str">
        <f>IF(S202=0,"NA",SUMIFS(AN_TME_PY[[#All],[TOTAL Truncated Unadjusted Expenses (A22 + A23)]],AN_TME_PY[[#All],[Insurance Category Code]],1,AN_TME_PY[[#All],[Advanced Network/Insurance Carrier Org ID]],B202)/S202)</f>
        <v>NA</v>
      </c>
      <c r="AH202" s="419" t="str">
        <f t="shared" si="259"/>
        <v>NA</v>
      </c>
      <c r="AI202" s="420" t="str">
        <f t="shared" si="260"/>
        <v>NA</v>
      </c>
      <c r="AJ202" s="421" t="str">
        <f t="shared" si="261"/>
        <v>NA</v>
      </c>
      <c r="AK202" s="421" t="str">
        <f t="shared" si="262"/>
        <v>NA</v>
      </c>
      <c r="AL202" s="421" t="str">
        <f t="shared" si="263"/>
        <v>NA</v>
      </c>
      <c r="AM202" s="421" t="str">
        <f t="shared" si="264"/>
        <v>NA</v>
      </c>
      <c r="AN202" s="421" t="str">
        <f t="shared" si="265"/>
        <v>NA</v>
      </c>
      <c r="AO202" s="421" t="str">
        <f t="shared" si="266"/>
        <v>NA</v>
      </c>
      <c r="AP202" s="421" t="str">
        <f t="shared" si="267"/>
        <v>NA</v>
      </c>
      <c r="AQ202" s="421" t="str">
        <f t="shared" si="268"/>
        <v>NA</v>
      </c>
      <c r="AR202" s="422" t="str">
        <f t="shared" si="269"/>
        <v>NA</v>
      </c>
      <c r="AS202" s="422" t="str">
        <f t="shared" si="270"/>
        <v>NA</v>
      </c>
      <c r="AT202" s="422" t="str">
        <f t="shared" si="271"/>
        <v>NA</v>
      </c>
      <c r="AU202" s="422" t="str">
        <f t="shared" si="272"/>
        <v>NA</v>
      </c>
      <c r="AV202" s="423" t="str">
        <f t="shared" si="273"/>
        <v>NA</v>
      </c>
    </row>
    <row r="203" spans="1:48" ht="15" customHeight="1" x14ac:dyDescent="0.25">
      <c r="A203" s="146"/>
      <c r="B203" s="148">
        <v>132</v>
      </c>
      <c r="C203" s="151" t="str">
        <f>_xlfn.XLOOKUP(B203, LgProvEntOrgIDs[Advanced Network/Insurer Carrier Org ID], LgProvEntOrgIDs[Advanced Network/Insurance Carrier Overall])</f>
        <v>InterCommunity Health Care</v>
      </c>
      <c r="D203" s="448">
        <f>SUMIFS(AN_TME_BY[[#All],[Member Months]],AN_TME_BY[[#All],[Insurance Category Code]],1,AN_TME_BY[[#All],[Advanced Network/Insurance Carrier Org ID]],B203)</f>
        <v>0</v>
      </c>
      <c r="E203" s="137" t="str">
        <f>IF(D203=0,"NA",SUMIFS(AN_TME_BY[[#All],[Claims: Hospital Inpatient]],AN_TME_BY[[#All],[Insurance Category Code]],1,AN_TME_BY[[#All],[Advanced Network/Insurance Carrier Org ID]],B203)/D203)</f>
        <v>NA</v>
      </c>
      <c r="F203" s="108" t="str">
        <f>IF(D203=0,"NA",SUMIFS(AN_TME_BY[[#All],[Claims: Hospital Outpatient]],AN_TME_BY[[#All],[Insurance Category Code]],1,AN_TME_BY[[#All],[Advanced Network/Insurance Carrier Org ID]],B203)/D203)</f>
        <v>NA</v>
      </c>
      <c r="G203" s="108" t="str">
        <f>IF(D203=0,"NA",SUMIFS(AN_TME_BY[[#All],[Claims: Professional, Primary Care]],AN_TME_BY[[#All],[Insurance Category Code]],1,AN_TME_BY[[#All],[Advanced Network/Insurance Carrier Org ID]],B203)/D203)</f>
        <v>NA</v>
      </c>
      <c r="H203" s="108" t="str">
        <f>IF(D203=0,"NA",SUMIFS(AN_TME_BY[[#All],[Claims: Professional, Primary Care (for Monitoring Purposes)]],AN_TME_BY[[#All],[Insurance Category Code]],1,AN_TME_BY[[#All],[Advanced Network/Insurance Carrier Org ID]],B203)/D203)</f>
        <v>NA</v>
      </c>
      <c r="I203" s="108" t="str">
        <f>IF(D203=0,"NA",SUMIFS(AN_TME_BY[[#All],[Claims: Professional, Specialty]],AN_TME_BY[[#All],[Insurance Category Code]],1,AN_TME_BY[[#All],[Advanced Network/Insurance Carrier Org ID]],B203)/D203)</f>
        <v>NA</v>
      </c>
      <c r="J203" s="108" t="str">
        <f>IF(D203=0,"NA",SUMIFS(AN_TME_BY[[#All],[Claims: Professional Other]],AN_TME_BY[[#All],[Insurance Category Code]],1,AN_TME_BY[[#All],[Advanced Network/Insurance Carrier Org ID]],B203)/D203)</f>
        <v>NA</v>
      </c>
      <c r="K203" s="108" t="str">
        <f>IF(D203=0,"NA",SUMIFS(AN_TME_BY[[#All],[Claims: Pharmacy]],AN_TME_BY[[#All],[Insurance Category Code]],1,AN_TME_BY[[#All],[Advanced Network/Insurance Carrier Org ID]],B203)/D203)</f>
        <v>NA</v>
      </c>
      <c r="L203" s="108" t="str">
        <f>IF(D203=0,"NA",SUMIFS(AN_TME_BY[[#All],[Claims: Long-Term Care]],AN_TME_BY[[#All],[Insurance Category Code]],1,AN_TME_BY[[#All],[Advanced Network/Insurance Carrier Org ID]],B203)/D203)</f>
        <v>NA</v>
      </c>
      <c r="M203" s="108" t="str">
        <f>IF(D203=0,"NA",SUMIFS(AN_TME_BY[[#All],[Claims: Other]],AN_TME_BY[[#All],[Insurance Category Code]],1,AN_TME_BY[[#All],[Advanced Network/Insurance Carrier Org ID]],B203)/D203)</f>
        <v>NA</v>
      </c>
      <c r="N203" s="147" t="str">
        <f>IF(D203=0,"NA",SUMIFS(AN_TME_BY[[#All],[TOTAL Non-Truncated Unadjusted Claims Expenses]],AN_TME_BY[[#All],[Insurance Category Code]],1,AN_TME_BY[[#All],[Advanced Network/Insurance Carrier Org ID]],B203)/D203)</f>
        <v>NA</v>
      </c>
      <c r="O203" s="147" t="str">
        <f>IF(D203=0,"NA",SUMIFS(AN_TME_BY[[#All],[TOTAL Truncated Unadjusted Claims Expenses (A21 -A19)]],AN_TME_BY[[#All],[Insurance Category Code]],1,AN_TME_BY[[#All],[Advanced Network/Insurance Carrier Org ID]],B203)/D203)</f>
        <v>NA</v>
      </c>
      <c r="P203" s="147" t="str">
        <f>IF(D203=0,"NA",SUMIFS(AN_TME_BY[[#All],[TOTAL Non-Claims Expenses]],AN_TME_BY[[#All],[Insurance Category Code]],1,AN_TME_BY[[#All],[Advanced Network/Insurance Carrier Org ID]],B203)/D203)</f>
        <v>NA</v>
      </c>
      <c r="Q203" s="147" t="str">
        <f>IF(D203=0,"NA",SUMIFS(AN_TME_BY[[#All],[TOTAL Non-Truncated Unadjusted Expenses (A21 + A23)]],AN_TME_BY[[#All],[Insurance Category Code]],1,AN_TME_BY[[#All],[Advanced Network/Insurance Carrier Org ID]],B203)/D203)</f>
        <v>NA</v>
      </c>
      <c r="R203" s="147" t="str">
        <f>IF(D203=0,"NA",SUMIFS(AN_TME_BY[[#All],[TOTAL Truncated Unadjusted Expenses (A22 + A23)]],AN_TME_BY[[#All],[Insurance Category Code]],1,AN_TME_BY[[#All],[Advanced Network/Insurance Carrier Org ID]],B203)/D203)</f>
        <v>NA</v>
      </c>
      <c r="S203" s="448">
        <f>SUMIFS(AN_TME_PY[[#All],[Member Months]],AN_TME_PY[[#All],[Insurance Category Code]],1,AN_TME_PY[[#All],[Advanced Network/Insurance Carrier Org ID]],B203)</f>
        <v>0</v>
      </c>
      <c r="T203" s="137" t="str">
        <f>IF(S203=0,"NA",SUMIFS(AN_TME_PY[[#All],[Claims: Hospital Inpatient]],AN_TME_PY[[#All],[Insurance Category Code]],1,AN_TME_PY[[#All],[Advanced Network/Insurance Carrier Org ID]],B203)/S203)</f>
        <v>NA</v>
      </c>
      <c r="U203" s="108" t="str">
        <f>IF(S203=0,"NA",SUMIFS(AN_TME_PY[[#All],[Claims: Hospital Outpatient]],AN_TME_PY[[#All],[Insurance Category Code]],1,AN_TME_PY[[#All],[Advanced Network/Insurance Carrier Org ID]],B203)/S203)</f>
        <v>NA</v>
      </c>
      <c r="V203" s="108" t="str">
        <f>IF(S203=0,"NA",SUMIFS(AN_TME_PY[[#All],[Claims: Professional, Primary Care]],AN_TME_PY[[#All],[Insurance Category Code]],1,AN_TME_PY[[#All],[Advanced Network/Insurance Carrier Org ID]],B203)/S203)</f>
        <v>NA</v>
      </c>
      <c r="W203" s="108" t="str">
        <f>IF(S203=0,"NA",SUMIFS(AN_TME_PY[[#All],[Claims: Professional, Primary Care (for Monitoring Purposes)]],AN_TME_PY[[#All],[Insurance Category Code]],1,AN_TME_PY[[#All],[Advanced Network/Insurance Carrier Org ID]],B203)/S203)</f>
        <v>NA</v>
      </c>
      <c r="X203" s="108" t="str">
        <f>IF(S203=0,"NA",SUMIFS(AN_TME_PY[[#All],[Claims: Professional, Specialty]],AN_TME_PY[[#All],[Insurance Category Code]],1,AN_TME_PY[[#All],[Advanced Network/Insurance Carrier Org ID]],B203)/S203)</f>
        <v>NA</v>
      </c>
      <c r="Y203" s="108" t="str">
        <f>IF(S203=0,"NA",SUMIFS(AN_TME_PY[[#All],[Claims: Professional Other]],AN_TME_PY[[#All],[Insurance Category Code]],1,AN_TME_PY[[#All],[Advanced Network/Insurance Carrier Org ID]],B203)/S203)</f>
        <v>NA</v>
      </c>
      <c r="Z203" s="108" t="str">
        <f>IF(S203=0,"NA",SUMIFS(AN_TME_PY[[#All],[Claims: Pharmacy]],AN_TME_PY[[#All],[Insurance Category Code]],1,AN_TME_PY[[#All],[Advanced Network/Insurance Carrier Org ID]],B203)/S203)</f>
        <v>NA</v>
      </c>
      <c r="AA203" s="108" t="str">
        <f>IF(S203=0,"NA",SUMIFS(AN_TME_PY[[#All],[Claims: Long-Term Care]],AN_TME_PY[[#All],[Insurance Category Code]],1,AN_TME_PY[[#All],[Advanced Network/Insurance Carrier Org ID]],B203)/S203)</f>
        <v>NA</v>
      </c>
      <c r="AB203" s="108" t="str">
        <f>IF(S203=0,"NA",SUMIFS(AN_TME_PY[[#All],[Claims: Other]],AN_TME_PY[[#All],[Insurance Category Code]],1,AN_TME_PY[[#All],[Advanced Network/Insurance Carrier Org ID]],B203)/S203)</f>
        <v>NA</v>
      </c>
      <c r="AC203" s="147" t="str">
        <f>IF(S203=0,"NA",SUMIFS(AN_TME_PY[[#All],[TOTAL Non-Truncated Unadjusted Claims Expenses]],AN_TME_PY[[#All],[Insurance Category Code]],1,AN_TME_PY[[#All],[Advanced Network/Insurance Carrier Org ID]],B203)/S203)</f>
        <v>NA</v>
      </c>
      <c r="AD203" s="147" t="str">
        <f>IF(S203=0,"NA",SUMIFS(AN_TME_PY[[#All],[TOTAL Truncated Unadjusted Claims Expenses (A21 -A19)]],AN_TME_PY[[#All],[Insurance Category Code]],1,AN_TME_PY[[#All],[Advanced Network/Insurance Carrier Org ID]],B203)/S203)</f>
        <v>NA</v>
      </c>
      <c r="AE203" s="147" t="str">
        <f>IF(S203=0,"NA",SUMIFS(AN_TME_PY[[#All],[TOTAL Non-Claims Expenses]],AN_TME_PY[[#All],[Insurance Category Code]],1,AN_TME_PY[[#All],[Advanced Network/Insurance Carrier Org ID]],B203)/S203)</f>
        <v>NA</v>
      </c>
      <c r="AF203" s="147" t="str">
        <f>IF(S203=0,"NA",SUMIFS(AN_TME_PY[[#All],[TOTAL Non-Truncated Unadjusted Expenses (A21 + A23)]],AN_TME_PY[[#All],[Insurance Category Code]],1,AN_TME_PY[[#All],[Advanced Network/Insurance Carrier Org ID]],B203)/S203)</f>
        <v>NA</v>
      </c>
      <c r="AG203" s="138" t="str">
        <f>IF(S203=0,"NA",SUMIFS(AN_TME_PY[[#All],[TOTAL Truncated Unadjusted Expenses (A22 + A23)]],AN_TME_PY[[#All],[Insurance Category Code]],1,AN_TME_PY[[#All],[Advanced Network/Insurance Carrier Org ID]],B203)/S203)</f>
        <v>NA</v>
      </c>
      <c r="AH203" s="419" t="str">
        <f t="shared" ref="AH203:AH205" si="274">IF(D203=0,"NA",S203/D203-1)</f>
        <v>NA</v>
      </c>
      <c r="AI203" s="420" t="str">
        <f t="shared" ref="AI203:AI205" si="275">IF(D203=0,"NA",T203/E203-1)</f>
        <v>NA</v>
      </c>
      <c r="AJ203" s="421" t="str">
        <f t="shared" ref="AJ203:AJ205" si="276">IF(D203=0,"NA",U203/F203-1)</f>
        <v>NA</v>
      </c>
      <c r="AK203" s="421" t="str">
        <f t="shared" ref="AK203:AK205" si="277">IF(D203=0,"NA",V203/G203-1)</f>
        <v>NA</v>
      </c>
      <c r="AL203" s="421" t="str">
        <f t="shared" ref="AL203:AL205" si="278">IF(D203=0,"NA",W203/H203-1)</f>
        <v>NA</v>
      </c>
      <c r="AM203" s="421" t="str">
        <f t="shared" ref="AM203:AM205" si="279">IF(D203=0,"NA",X203/I203-1)</f>
        <v>NA</v>
      </c>
      <c r="AN203" s="421" t="str">
        <f t="shared" ref="AN203:AN205" si="280">IF(D203=0,"NA",Y203/J203-1)</f>
        <v>NA</v>
      </c>
      <c r="AO203" s="421" t="str">
        <f t="shared" ref="AO203:AO205" si="281">IF(D203=0,"NA",Z203/K203-1)</f>
        <v>NA</v>
      </c>
      <c r="AP203" s="421" t="str">
        <f t="shared" ref="AP203:AP205" si="282">IF(D203=0,"NA",AA203/L203-1)</f>
        <v>NA</v>
      </c>
      <c r="AQ203" s="421" t="str">
        <f t="shared" ref="AQ203:AQ205" si="283">IF(D203=0,"NA",AB203/M203-1)</f>
        <v>NA</v>
      </c>
      <c r="AR203" s="422" t="str">
        <f t="shared" ref="AR203:AR205" si="284">IF(D203=0,"NA",AC203/N203-1)</f>
        <v>NA</v>
      </c>
      <c r="AS203" s="422" t="str">
        <f t="shared" ref="AS203:AS205" si="285">IF(D203=0,"NA",AD203/O203-1)</f>
        <v>NA</v>
      </c>
      <c r="AT203" s="422" t="str">
        <f t="shared" ref="AT203:AT205" si="286">IF(D203=0,"NA",AE203/P203-1)</f>
        <v>NA</v>
      </c>
      <c r="AU203" s="422" t="str">
        <f t="shared" ref="AU203:AU205" si="287">IF(D203=0,"NA",AF203/Q203-1)</f>
        <v>NA</v>
      </c>
      <c r="AV203" s="423" t="str">
        <f t="shared" ref="AV203:AV205" si="288">IF(D203=0,"NA",AG203/R203-1)</f>
        <v>NA</v>
      </c>
    </row>
    <row r="204" spans="1:48" ht="15" customHeight="1" x14ac:dyDescent="0.25">
      <c r="A204" s="146"/>
      <c r="B204" s="148">
        <v>133</v>
      </c>
      <c r="C204" s="151" t="str">
        <f>_xlfn.XLOOKUP(B204, LgProvEntOrgIDs[Advanced Network/Insurer Carrier Org ID], LgProvEntOrgIDs[Advanced Network/Insurance Carrier Overall])</f>
        <v>Trinity Health, Inc.</v>
      </c>
      <c r="D204" s="448">
        <f>SUMIFS(AN_TME_BY[[#All],[Member Months]],AN_TME_BY[[#All],[Insurance Category Code]],1,AN_TME_BY[[#All],[Advanced Network/Insurance Carrier Org ID]],B204)</f>
        <v>0</v>
      </c>
      <c r="E204" s="137" t="str">
        <f>IF(D204=0,"NA",SUMIFS(AN_TME_BY[[#All],[Claims: Hospital Inpatient]],AN_TME_BY[[#All],[Insurance Category Code]],1,AN_TME_BY[[#All],[Advanced Network/Insurance Carrier Org ID]],B204)/D204)</f>
        <v>NA</v>
      </c>
      <c r="F204" s="108" t="str">
        <f>IF(D204=0,"NA",SUMIFS(AN_TME_BY[[#All],[Claims: Hospital Outpatient]],AN_TME_BY[[#All],[Insurance Category Code]],1,AN_TME_BY[[#All],[Advanced Network/Insurance Carrier Org ID]],B204)/D204)</f>
        <v>NA</v>
      </c>
      <c r="G204" s="108" t="str">
        <f>IF(D204=0,"NA",SUMIFS(AN_TME_BY[[#All],[Claims: Professional, Primary Care]],AN_TME_BY[[#All],[Insurance Category Code]],1,AN_TME_BY[[#All],[Advanced Network/Insurance Carrier Org ID]],B204)/D204)</f>
        <v>NA</v>
      </c>
      <c r="H204" s="108" t="str">
        <f>IF(D204=0,"NA",SUMIFS(AN_TME_BY[[#All],[Claims: Professional, Primary Care (for Monitoring Purposes)]],AN_TME_BY[[#All],[Insurance Category Code]],1,AN_TME_BY[[#All],[Advanced Network/Insurance Carrier Org ID]],B204)/D204)</f>
        <v>NA</v>
      </c>
      <c r="I204" s="108" t="str">
        <f>IF(D204=0,"NA",SUMIFS(AN_TME_BY[[#All],[Claims: Professional, Specialty]],AN_TME_BY[[#All],[Insurance Category Code]],1,AN_TME_BY[[#All],[Advanced Network/Insurance Carrier Org ID]],B204)/D204)</f>
        <v>NA</v>
      </c>
      <c r="J204" s="108" t="str">
        <f>IF(D204=0,"NA",SUMIFS(AN_TME_BY[[#All],[Claims: Professional Other]],AN_TME_BY[[#All],[Insurance Category Code]],1,AN_TME_BY[[#All],[Advanced Network/Insurance Carrier Org ID]],B204)/D204)</f>
        <v>NA</v>
      </c>
      <c r="K204" s="108" t="str">
        <f>IF(D204=0,"NA",SUMIFS(AN_TME_BY[[#All],[Claims: Pharmacy]],AN_TME_BY[[#All],[Insurance Category Code]],1,AN_TME_BY[[#All],[Advanced Network/Insurance Carrier Org ID]],B204)/D204)</f>
        <v>NA</v>
      </c>
      <c r="L204" s="108" t="str">
        <f>IF(D204=0,"NA",SUMIFS(AN_TME_BY[[#All],[Claims: Long-Term Care]],AN_TME_BY[[#All],[Insurance Category Code]],1,AN_TME_BY[[#All],[Advanced Network/Insurance Carrier Org ID]],B204)/D204)</f>
        <v>NA</v>
      </c>
      <c r="M204" s="108" t="str">
        <f>IF(D204=0,"NA",SUMIFS(AN_TME_BY[[#All],[Claims: Other]],AN_TME_BY[[#All],[Insurance Category Code]],1,AN_TME_BY[[#All],[Advanced Network/Insurance Carrier Org ID]],B204)/D204)</f>
        <v>NA</v>
      </c>
      <c r="N204" s="147" t="str">
        <f>IF(D204=0,"NA",SUMIFS(AN_TME_BY[[#All],[TOTAL Non-Truncated Unadjusted Claims Expenses]],AN_TME_BY[[#All],[Insurance Category Code]],1,AN_TME_BY[[#All],[Advanced Network/Insurance Carrier Org ID]],B204)/D204)</f>
        <v>NA</v>
      </c>
      <c r="O204" s="147" t="str">
        <f>IF(D204=0,"NA",SUMIFS(AN_TME_BY[[#All],[TOTAL Truncated Unadjusted Claims Expenses (A21 -A19)]],AN_TME_BY[[#All],[Insurance Category Code]],1,AN_TME_BY[[#All],[Advanced Network/Insurance Carrier Org ID]],B204)/D204)</f>
        <v>NA</v>
      </c>
      <c r="P204" s="147" t="str">
        <f>IF(D204=0,"NA",SUMIFS(AN_TME_BY[[#All],[TOTAL Non-Claims Expenses]],AN_TME_BY[[#All],[Insurance Category Code]],1,AN_TME_BY[[#All],[Advanced Network/Insurance Carrier Org ID]],B204)/D204)</f>
        <v>NA</v>
      </c>
      <c r="Q204" s="147" t="str">
        <f>IF(D204=0,"NA",SUMIFS(AN_TME_BY[[#All],[TOTAL Non-Truncated Unadjusted Expenses (A21 + A23)]],AN_TME_BY[[#All],[Insurance Category Code]],1,AN_TME_BY[[#All],[Advanced Network/Insurance Carrier Org ID]],B204)/D204)</f>
        <v>NA</v>
      </c>
      <c r="R204" s="147" t="str">
        <f>IF(D204=0,"NA",SUMIFS(AN_TME_BY[[#All],[TOTAL Truncated Unadjusted Expenses (A22 + A23)]],AN_TME_BY[[#All],[Insurance Category Code]],1,AN_TME_BY[[#All],[Advanced Network/Insurance Carrier Org ID]],B204)/D204)</f>
        <v>NA</v>
      </c>
      <c r="S204" s="448">
        <f>SUMIFS(AN_TME_PY[[#All],[Member Months]],AN_TME_PY[[#All],[Insurance Category Code]],1,AN_TME_PY[[#All],[Advanced Network/Insurance Carrier Org ID]],B204)</f>
        <v>0</v>
      </c>
      <c r="T204" s="137" t="str">
        <f>IF(S204=0,"NA",SUMIFS(AN_TME_PY[[#All],[Claims: Hospital Inpatient]],AN_TME_PY[[#All],[Insurance Category Code]],1,AN_TME_PY[[#All],[Advanced Network/Insurance Carrier Org ID]],B204)/S204)</f>
        <v>NA</v>
      </c>
      <c r="U204" s="108" t="str">
        <f>IF(S204=0,"NA",SUMIFS(AN_TME_PY[[#All],[Claims: Hospital Outpatient]],AN_TME_PY[[#All],[Insurance Category Code]],1,AN_TME_PY[[#All],[Advanced Network/Insurance Carrier Org ID]],B204)/S204)</f>
        <v>NA</v>
      </c>
      <c r="V204" s="108" t="str">
        <f>IF(S204=0,"NA",SUMIFS(AN_TME_PY[[#All],[Claims: Professional, Primary Care]],AN_TME_PY[[#All],[Insurance Category Code]],1,AN_TME_PY[[#All],[Advanced Network/Insurance Carrier Org ID]],B204)/S204)</f>
        <v>NA</v>
      </c>
      <c r="W204" s="108" t="str">
        <f>IF(S204=0,"NA",SUMIFS(AN_TME_PY[[#All],[Claims: Professional, Primary Care (for Monitoring Purposes)]],AN_TME_PY[[#All],[Insurance Category Code]],1,AN_TME_PY[[#All],[Advanced Network/Insurance Carrier Org ID]],B204)/S204)</f>
        <v>NA</v>
      </c>
      <c r="X204" s="108" t="str">
        <f>IF(S204=0,"NA",SUMIFS(AN_TME_PY[[#All],[Claims: Professional, Specialty]],AN_TME_PY[[#All],[Insurance Category Code]],1,AN_TME_PY[[#All],[Advanced Network/Insurance Carrier Org ID]],B204)/S204)</f>
        <v>NA</v>
      </c>
      <c r="Y204" s="108" t="str">
        <f>IF(S204=0,"NA",SUMIFS(AN_TME_PY[[#All],[Claims: Professional Other]],AN_TME_PY[[#All],[Insurance Category Code]],1,AN_TME_PY[[#All],[Advanced Network/Insurance Carrier Org ID]],B204)/S204)</f>
        <v>NA</v>
      </c>
      <c r="Z204" s="108" t="str">
        <f>IF(S204=0,"NA",SUMIFS(AN_TME_PY[[#All],[Claims: Pharmacy]],AN_TME_PY[[#All],[Insurance Category Code]],1,AN_TME_PY[[#All],[Advanced Network/Insurance Carrier Org ID]],B204)/S204)</f>
        <v>NA</v>
      </c>
      <c r="AA204" s="108" t="str">
        <f>IF(S204=0,"NA",SUMIFS(AN_TME_PY[[#All],[Claims: Long-Term Care]],AN_TME_PY[[#All],[Insurance Category Code]],1,AN_TME_PY[[#All],[Advanced Network/Insurance Carrier Org ID]],B204)/S204)</f>
        <v>NA</v>
      </c>
      <c r="AB204" s="108" t="str">
        <f>IF(S204=0,"NA",SUMIFS(AN_TME_PY[[#All],[Claims: Other]],AN_TME_PY[[#All],[Insurance Category Code]],1,AN_TME_PY[[#All],[Advanced Network/Insurance Carrier Org ID]],B204)/S204)</f>
        <v>NA</v>
      </c>
      <c r="AC204" s="147" t="str">
        <f>IF(S204=0,"NA",SUMIFS(AN_TME_PY[[#All],[TOTAL Non-Truncated Unadjusted Claims Expenses]],AN_TME_PY[[#All],[Insurance Category Code]],1,AN_TME_PY[[#All],[Advanced Network/Insurance Carrier Org ID]],B204)/S204)</f>
        <v>NA</v>
      </c>
      <c r="AD204" s="147" t="str">
        <f>IF(S204=0,"NA",SUMIFS(AN_TME_PY[[#All],[TOTAL Truncated Unadjusted Claims Expenses (A21 -A19)]],AN_TME_PY[[#All],[Insurance Category Code]],1,AN_TME_PY[[#All],[Advanced Network/Insurance Carrier Org ID]],B204)/S204)</f>
        <v>NA</v>
      </c>
      <c r="AE204" s="147" t="str">
        <f>IF(S204=0,"NA",SUMIFS(AN_TME_PY[[#All],[TOTAL Non-Claims Expenses]],AN_TME_PY[[#All],[Insurance Category Code]],1,AN_TME_PY[[#All],[Advanced Network/Insurance Carrier Org ID]],B204)/S204)</f>
        <v>NA</v>
      </c>
      <c r="AF204" s="147" t="str">
        <f>IF(S204=0,"NA",SUMIFS(AN_TME_PY[[#All],[TOTAL Non-Truncated Unadjusted Expenses (A21 + A23)]],AN_TME_PY[[#All],[Insurance Category Code]],1,AN_TME_PY[[#All],[Advanced Network/Insurance Carrier Org ID]],B204)/S204)</f>
        <v>NA</v>
      </c>
      <c r="AG204" s="138" t="str">
        <f>IF(S204=0,"NA",SUMIFS(AN_TME_PY[[#All],[TOTAL Truncated Unadjusted Expenses (A22 + A23)]],AN_TME_PY[[#All],[Insurance Category Code]],1,AN_TME_PY[[#All],[Advanced Network/Insurance Carrier Org ID]],B204)/S204)</f>
        <v>NA</v>
      </c>
      <c r="AH204" s="419" t="str">
        <f t="shared" si="274"/>
        <v>NA</v>
      </c>
      <c r="AI204" s="420" t="str">
        <f t="shared" si="275"/>
        <v>NA</v>
      </c>
      <c r="AJ204" s="421" t="str">
        <f t="shared" si="276"/>
        <v>NA</v>
      </c>
      <c r="AK204" s="421" t="str">
        <f t="shared" si="277"/>
        <v>NA</v>
      </c>
      <c r="AL204" s="421" t="str">
        <f t="shared" si="278"/>
        <v>NA</v>
      </c>
      <c r="AM204" s="421" t="str">
        <f t="shared" si="279"/>
        <v>NA</v>
      </c>
      <c r="AN204" s="421" t="str">
        <f t="shared" si="280"/>
        <v>NA</v>
      </c>
      <c r="AO204" s="421" t="str">
        <f t="shared" si="281"/>
        <v>NA</v>
      </c>
      <c r="AP204" s="421" t="str">
        <f t="shared" si="282"/>
        <v>NA</v>
      </c>
      <c r="AQ204" s="421" t="str">
        <f t="shared" si="283"/>
        <v>NA</v>
      </c>
      <c r="AR204" s="422" t="str">
        <f t="shared" si="284"/>
        <v>NA</v>
      </c>
      <c r="AS204" s="422" t="str">
        <f t="shared" si="285"/>
        <v>NA</v>
      </c>
      <c r="AT204" s="422" t="str">
        <f t="shared" si="286"/>
        <v>NA</v>
      </c>
      <c r="AU204" s="422" t="str">
        <f t="shared" si="287"/>
        <v>NA</v>
      </c>
      <c r="AV204" s="423" t="str">
        <f t="shared" si="288"/>
        <v>NA</v>
      </c>
    </row>
    <row r="205" spans="1:48" ht="15" customHeight="1" x14ac:dyDescent="0.25">
      <c r="A205" s="146"/>
      <c r="B205" s="148">
        <v>134</v>
      </c>
      <c r="C205" s="151" t="str">
        <f>_xlfn.XLOOKUP(B205, LgProvEntOrgIDs[Advanced Network/Insurer Carrier Org ID], LgProvEntOrgIDs[Advanced Network/Insurance Carrier Overall])</f>
        <v>Western Connecticut Health Network (WCHN) Physician Hospital Organization</v>
      </c>
      <c r="D205" s="448">
        <f>SUMIFS(AN_TME_BY[[#All],[Member Months]],AN_TME_BY[[#All],[Insurance Category Code]],1,AN_TME_BY[[#All],[Advanced Network/Insurance Carrier Org ID]],B205)</f>
        <v>0</v>
      </c>
      <c r="E205" s="137" t="str">
        <f>IF(D205=0,"NA",SUMIFS(AN_TME_BY[[#All],[Claims: Hospital Inpatient]],AN_TME_BY[[#All],[Insurance Category Code]],1,AN_TME_BY[[#All],[Advanced Network/Insurance Carrier Org ID]],B205)/D205)</f>
        <v>NA</v>
      </c>
      <c r="F205" s="108" t="str">
        <f>IF(D205=0,"NA",SUMIFS(AN_TME_BY[[#All],[Claims: Hospital Outpatient]],AN_TME_BY[[#All],[Insurance Category Code]],1,AN_TME_BY[[#All],[Advanced Network/Insurance Carrier Org ID]],B205)/D205)</f>
        <v>NA</v>
      </c>
      <c r="G205" s="108" t="str">
        <f>IF(D205=0,"NA",SUMIFS(AN_TME_BY[[#All],[Claims: Professional, Primary Care]],AN_TME_BY[[#All],[Insurance Category Code]],1,AN_TME_BY[[#All],[Advanced Network/Insurance Carrier Org ID]],B205)/D205)</f>
        <v>NA</v>
      </c>
      <c r="H205" s="108" t="str">
        <f>IF(D205=0,"NA",SUMIFS(AN_TME_BY[[#All],[Claims: Professional, Primary Care (for Monitoring Purposes)]],AN_TME_BY[[#All],[Insurance Category Code]],1,AN_TME_BY[[#All],[Advanced Network/Insurance Carrier Org ID]],B205)/D205)</f>
        <v>NA</v>
      </c>
      <c r="I205" s="108" t="str">
        <f>IF(D205=0,"NA",SUMIFS(AN_TME_BY[[#All],[Claims: Professional, Specialty]],AN_TME_BY[[#All],[Insurance Category Code]],1,AN_TME_BY[[#All],[Advanced Network/Insurance Carrier Org ID]],B205)/D205)</f>
        <v>NA</v>
      </c>
      <c r="J205" s="108" t="str">
        <f>IF(D205=0,"NA",SUMIFS(AN_TME_BY[[#All],[Claims: Professional Other]],AN_TME_BY[[#All],[Insurance Category Code]],1,AN_TME_BY[[#All],[Advanced Network/Insurance Carrier Org ID]],B205)/D205)</f>
        <v>NA</v>
      </c>
      <c r="K205" s="108" t="str">
        <f>IF(D205=0,"NA",SUMIFS(AN_TME_BY[[#All],[Claims: Pharmacy]],AN_TME_BY[[#All],[Insurance Category Code]],1,AN_TME_BY[[#All],[Advanced Network/Insurance Carrier Org ID]],B205)/D205)</f>
        <v>NA</v>
      </c>
      <c r="L205" s="108" t="str">
        <f>IF(D205=0,"NA",SUMIFS(AN_TME_BY[[#All],[Claims: Long-Term Care]],AN_TME_BY[[#All],[Insurance Category Code]],1,AN_TME_BY[[#All],[Advanced Network/Insurance Carrier Org ID]],B205)/D205)</f>
        <v>NA</v>
      </c>
      <c r="M205" s="108" t="str">
        <f>IF(D205=0,"NA",SUMIFS(AN_TME_BY[[#All],[Claims: Other]],AN_TME_BY[[#All],[Insurance Category Code]],1,AN_TME_BY[[#All],[Advanced Network/Insurance Carrier Org ID]],B205)/D205)</f>
        <v>NA</v>
      </c>
      <c r="N205" s="147" t="str">
        <f>IF(D205=0,"NA",SUMIFS(AN_TME_BY[[#All],[TOTAL Non-Truncated Unadjusted Claims Expenses]],AN_TME_BY[[#All],[Insurance Category Code]],1,AN_TME_BY[[#All],[Advanced Network/Insurance Carrier Org ID]],B205)/D205)</f>
        <v>NA</v>
      </c>
      <c r="O205" s="147" t="str">
        <f>IF(D205=0,"NA",SUMIFS(AN_TME_BY[[#All],[TOTAL Truncated Unadjusted Claims Expenses (A21 -A19)]],AN_TME_BY[[#All],[Insurance Category Code]],1,AN_TME_BY[[#All],[Advanced Network/Insurance Carrier Org ID]],B205)/D205)</f>
        <v>NA</v>
      </c>
      <c r="P205" s="147" t="str">
        <f>IF(D205=0,"NA",SUMIFS(AN_TME_BY[[#All],[TOTAL Non-Claims Expenses]],AN_TME_BY[[#All],[Insurance Category Code]],1,AN_TME_BY[[#All],[Advanced Network/Insurance Carrier Org ID]],B205)/D205)</f>
        <v>NA</v>
      </c>
      <c r="Q205" s="147" t="str">
        <f>IF(D205=0,"NA",SUMIFS(AN_TME_BY[[#All],[TOTAL Non-Truncated Unadjusted Expenses (A21 + A23)]],AN_TME_BY[[#All],[Insurance Category Code]],1,AN_TME_BY[[#All],[Advanced Network/Insurance Carrier Org ID]],B205)/D205)</f>
        <v>NA</v>
      </c>
      <c r="R205" s="147" t="str">
        <f>IF(D205=0,"NA",SUMIFS(AN_TME_BY[[#All],[TOTAL Truncated Unadjusted Expenses (A22 + A23)]],AN_TME_BY[[#All],[Insurance Category Code]],1,AN_TME_BY[[#All],[Advanced Network/Insurance Carrier Org ID]],B205)/D205)</f>
        <v>NA</v>
      </c>
      <c r="S205" s="448">
        <f>SUMIFS(AN_TME_PY[[#All],[Member Months]],AN_TME_PY[[#All],[Insurance Category Code]],1,AN_TME_PY[[#All],[Advanced Network/Insurance Carrier Org ID]],B205)</f>
        <v>0</v>
      </c>
      <c r="T205" s="137" t="str">
        <f>IF(S205=0,"NA",SUMIFS(AN_TME_PY[[#All],[Claims: Hospital Inpatient]],AN_TME_PY[[#All],[Insurance Category Code]],1,AN_TME_PY[[#All],[Advanced Network/Insurance Carrier Org ID]],B205)/S205)</f>
        <v>NA</v>
      </c>
      <c r="U205" s="108" t="str">
        <f>IF(S205=0,"NA",SUMIFS(AN_TME_PY[[#All],[Claims: Hospital Outpatient]],AN_TME_PY[[#All],[Insurance Category Code]],1,AN_TME_PY[[#All],[Advanced Network/Insurance Carrier Org ID]],B205)/S205)</f>
        <v>NA</v>
      </c>
      <c r="V205" s="108" t="str">
        <f>IF(S205=0,"NA",SUMIFS(AN_TME_PY[[#All],[Claims: Professional, Primary Care]],AN_TME_PY[[#All],[Insurance Category Code]],1,AN_TME_PY[[#All],[Advanced Network/Insurance Carrier Org ID]],B205)/S205)</f>
        <v>NA</v>
      </c>
      <c r="W205" s="108" t="str">
        <f>IF(S205=0,"NA",SUMIFS(AN_TME_PY[[#All],[Claims: Professional, Primary Care (for Monitoring Purposes)]],AN_TME_PY[[#All],[Insurance Category Code]],1,AN_TME_PY[[#All],[Advanced Network/Insurance Carrier Org ID]],B205)/S205)</f>
        <v>NA</v>
      </c>
      <c r="X205" s="108" t="str">
        <f>IF(S205=0,"NA",SUMIFS(AN_TME_PY[[#All],[Claims: Professional, Specialty]],AN_TME_PY[[#All],[Insurance Category Code]],1,AN_TME_PY[[#All],[Advanced Network/Insurance Carrier Org ID]],B205)/S205)</f>
        <v>NA</v>
      </c>
      <c r="Y205" s="108" t="str">
        <f>IF(S205=0,"NA",SUMIFS(AN_TME_PY[[#All],[Claims: Professional Other]],AN_TME_PY[[#All],[Insurance Category Code]],1,AN_TME_PY[[#All],[Advanced Network/Insurance Carrier Org ID]],B205)/S205)</f>
        <v>NA</v>
      </c>
      <c r="Z205" s="108" t="str">
        <f>IF(S205=0,"NA",SUMIFS(AN_TME_PY[[#All],[Claims: Pharmacy]],AN_TME_PY[[#All],[Insurance Category Code]],1,AN_TME_PY[[#All],[Advanced Network/Insurance Carrier Org ID]],B205)/S205)</f>
        <v>NA</v>
      </c>
      <c r="AA205" s="108" t="str">
        <f>IF(S205=0,"NA",SUMIFS(AN_TME_PY[[#All],[Claims: Long-Term Care]],AN_TME_PY[[#All],[Insurance Category Code]],1,AN_TME_PY[[#All],[Advanced Network/Insurance Carrier Org ID]],B205)/S205)</f>
        <v>NA</v>
      </c>
      <c r="AB205" s="108" t="str">
        <f>IF(S205=0,"NA",SUMIFS(AN_TME_PY[[#All],[Claims: Other]],AN_TME_PY[[#All],[Insurance Category Code]],1,AN_TME_PY[[#All],[Advanced Network/Insurance Carrier Org ID]],B205)/S205)</f>
        <v>NA</v>
      </c>
      <c r="AC205" s="147" t="str">
        <f>IF(S205=0,"NA",SUMIFS(AN_TME_PY[[#All],[TOTAL Non-Truncated Unadjusted Claims Expenses]],AN_TME_PY[[#All],[Insurance Category Code]],1,AN_TME_PY[[#All],[Advanced Network/Insurance Carrier Org ID]],B205)/S205)</f>
        <v>NA</v>
      </c>
      <c r="AD205" s="147" t="str">
        <f>IF(S205=0,"NA",SUMIFS(AN_TME_PY[[#All],[TOTAL Truncated Unadjusted Claims Expenses (A21 -A19)]],AN_TME_PY[[#All],[Insurance Category Code]],1,AN_TME_PY[[#All],[Advanced Network/Insurance Carrier Org ID]],B205)/S205)</f>
        <v>NA</v>
      </c>
      <c r="AE205" s="147" t="str">
        <f>IF(S205=0,"NA",SUMIFS(AN_TME_PY[[#All],[TOTAL Non-Claims Expenses]],AN_TME_PY[[#All],[Insurance Category Code]],1,AN_TME_PY[[#All],[Advanced Network/Insurance Carrier Org ID]],B205)/S205)</f>
        <v>NA</v>
      </c>
      <c r="AF205" s="147" t="str">
        <f>IF(S205=0,"NA",SUMIFS(AN_TME_PY[[#All],[TOTAL Non-Truncated Unadjusted Expenses (A21 + A23)]],AN_TME_PY[[#All],[Insurance Category Code]],1,AN_TME_PY[[#All],[Advanced Network/Insurance Carrier Org ID]],B205)/S205)</f>
        <v>NA</v>
      </c>
      <c r="AG205" s="138" t="str">
        <f>IF(S205=0,"NA",SUMIFS(AN_TME_PY[[#All],[TOTAL Truncated Unadjusted Expenses (A22 + A23)]],AN_TME_PY[[#All],[Insurance Category Code]],1,AN_TME_PY[[#All],[Advanced Network/Insurance Carrier Org ID]],B205)/S205)</f>
        <v>NA</v>
      </c>
      <c r="AH205" s="419" t="str">
        <f t="shared" si="274"/>
        <v>NA</v>
      </c>
      <c r="AI205" s="420" t="str">
        <f t="shared" si="275"/>
        <v>NA</v>
      </c>
      <c r="AJ205" s="421" t="str">
        <f t="shared" si="276"/>
        <v>NA</v>
      </c>
      <c r="AK205" s="421" t="str">
        <f t="shared" si="277"/>
        <v>NA</v>
      </c>
      <c r="AL205" s="421" t="str">
        <f t="shared" si="278"/>
        <v>NA</v>
      </c>
      <c r="AM205" s="421" t="str">
        <f t="shared" si="279"/>
        <v>NA</v>
      </c>
      <c r="AN205" s="421" t="str">
        <f t="shared" si="280"/>
        <v>NA</v>
      </c>
      <c r="AO205" s="421" t="str">
        <f t="shared" si="281"/>
        <v>NA</v>
      </c>
      <c r="AP205" s="421" t="str">
        <f t="shared" si="282"/>
        <v>NA</v>
      </c>
      <c r="AQ205" s="421" t="str">
        <f t="shared" si="283"/>
        <v>NA</v>
      </c>
      <c r="AR205" s="422" t="str">
        <f t="shared" si="284"/>
        <v>NA</v>
      </c>
      <c r="AS205" s="422" t="str">
        <f t="shared" si="285"/>
        <v>NA</v>
      </c>
      <c r="AT205" s="422" t="str">
        <f t="shared" si="286"/>
        <v>NA</v>
      </c>
      <c r="AU205" s="422" t="str">
        <f t="shared" si="287"/>
        <v>NA</v>
      </c>
      <c r="AV205" s="423" t="str">
        <f t="shared" si="288"/>
        <v>NA</v>
      </c>
    </row>
    <row r="206" spans="1:48" ht="15" customHeight="1" x14ac:dyDescent="0.25">
      <c r="A206" s="146"/>
      <c r="B206" s="148">
        <v>999</v>
      </c>
      <c r="C206" s="151" t="str">
        <f>_xlfn.XLOOKUP(B206, LgProvEntOrgIDs[Advanced Network/Insurer Carrier Org ID], LgProvEntOrgIDs[Advanced Network/Insurance Carrier Overall])</f>
        <v>Members Not Attributed to an Advanced Network</v>
      </c>
      <c r="D206" s="448">
        <f>SUMIFS(AN_TME_BY[[#All],[Member Months]],AN_TME_BY[[#All],[Insurance Category Code]],1,AN_TME_BY[[#All],[Advanced Network/Insurance Carrier Org ID]],B206)</f>
        <v>0</v>
      </c>
      <c r="E206" s="137" t="str">
        <f>IF(D206=0,"NA",SUMIFS(AN_TME_BY[[#All],[Claims: Hospital Inpatient]],AN_TME_BY[[#All],[Insurance Category Code]],1,AN_TME_BY[[#All],[Advanced Network/Insurance Carrier Org ID]],B206)/D206)</f>
        <v>NA</v>
      </c>
      <c r="F206" s="108" t="str">
        <f>IF(D206=0,"NA",SUMIFS(AN_TME_BY[[#All],[Claims: Hospital Outpatient]],AN_TME_BY[[#All],[Insurance Category Code]],1,AN_TME_BY[[#All],[Advanced Network/Insurance Carrier Org ID]],B206)/D206)</f>
        <v>NA</v>
      </c>
      <c r="G206" s="108" t="str">
        <f>IF(D206=0,"NA",SUMIFS(AN_TME_BY[[#All],[Claims: Professional, Primary Care]],AN_TME_BY[[#All],[Insurance Category Code]],1,AN_TME_BY[[#All],[Advanced Network/Insurance Carrier Org ID]],B206)/D206)</f>
        <v>NA</v>
      </c>
      <c r="H206" s="108" t="str">
        <f>IF(D206=0,"NA",SUMIFS(AN_TME_BY[[#All],[Claims: Professional, Primary Care (for Monitoring Purposes)]],AN_TME_BY[[#All],[Insurance Category Code]],1,AN_TME_BY[[#All],[Advanced Network/Insurance Carrier Org ID]],B206)/D206)</f>
        <v>NA</v>
      </c>
      <c r="I206" s="108" t="str">
        <f>IF(D206=0,"NA",SUMIFS(AN_TME_BY[[#All],[Claims: Professional, Specialty]],AN_TME_BY[[#All],[Insurance Category Code]],1,AN_TME_BY[[#All],[Advanced Network/Insurance Carrier Org ID]],B206)/D206)</f>
        <v>NA</v>
      </c>
      <c r="J206" s="108" t="str">
        <f>IF(D206=0,"NA",SUMIFS(AN_TME_BY[[#All],[Claims: Professional Other]],AN_TME_BY[[#All],[Insurance Category Code]],1,AN_TME_BY[[#All],[Advanced Network/Insurance Carrier Org ID]],B206)/D206)</f>
        <v>NA</v>
      </c>
      <c r="K206" s="108" t="str">
        <f>IF(D206=0,"NA",SUMIFS(AN_TME_BY[[#All],[Claims: Pharmacy]],AN_TME_BY[[#All],[Insurance Category Code]],1,AN_TME_BY[[#All],[Advanced Network/Insurance Carrier Org ID]],B206)/D206)</f>
        <v>NA</v>
      </c>
      <c r="L206" s="108" t="str">
        <f>IF(D206=0,"NA",SUMIFS(AN_TME_BY[[#All],[Claims: Long-Term Care]],AN_TME_BY[[#All],[Insurance Category Code]],1,AN_TME_BY[[#All],[Advanced Network/Insurance Carrier Org ID]],B206)/D206)</f>
        <v>NA</v>
      </c>
      <c r="M206" s="108" t="str">
        <f>IF(D206=0,"NA",SUMIFS(AN_TME_BY[[#All],[Claims: Other]],AN_TME_BY[[#All],[Insurance Category Code]],1,AN_TME_BY[[#All],[Advanced Network/Insurance Carrier Org ID]],B206)/D206)</f>
        <v>NA</v>
      </c>
      <c r="N206" s="147" t="str">
        <f>IF(D206=0,"NA",SUMIFS(AN_TME_BY[[#All],[TOTAL Non-Truncated Unadjusted Claims Expenses]],AN_TME_BY[[#All],[Insurance Category Code]],1,AN_TME_BY[[#All],[Advanced Network/Insurance Carrier Org ID]],B206)/D206)</f>
        <v>NA</v>
      </c>
      <c r="O206" s="147" t="str">
        <f>IF(D206=0,"NA",SUMIFS(AN_TME_BY[[#All],[TOTAL Truncated Unadjusted Claims Expenses (A21 -A19)]],AN_TME_BY[[#All],[Insurance Category Code]],1,AN_TME_BY[[#All],[Advanced Network/Insurance Carrier Org ID]],B206)/D206)</f>
        <v>NA</v>
      </c>
      <c r="P206" s="147" t="str">
        <f>IF(D206=0,"NA",SUMIFS(AN_TME_BY[[#All],[TOTAL Non-Claims Expenses]],AN_TME_BY[[#All],[Insurance Category Code]],1,AN_TME_BY[[#All],[Advanced Network/Insurance Carrier Org ID]],B206)/D206)</f>
        <v>NA</v>
      </c>
      <c r="Q206" s="147" t="str">
        <f>IF(D206=0,"NA",SUMIFS(AN_TME_BY[[#All],[TOTAL Non-Truncated Unadjusted Expenses (A21 + A23)]],AN_TME_BY[[#All],[Insurance Category Code]],1,AN_TME_BY[[#All],[Advanced Network/Insurance Carrier Org ID]],B206)/D206)</f>
        <v>NA</v>
      </c>
      <c r="R206" s="147" t="str">
        <f>IF(D206=0,"NA",SUMIFS(AN_TME_BY[[#All],[TOTAL Truncated Unadjusted Expenses (A22 + A23)]],AN_TME_BY[[#All],[Insurance Category Code]],1,AN_TME_BY[[#All],[Advanced Network/Insurance Carrier Org ID]],B206)/D206)</f>
        <v>NA</v>
      </c>
      <c r="S206" s="448">
        <f>SUMIFS(AN_TME_PY[[#All],[Member Months]],AN_TME_PY[[#All],[Insurance Category Code]],1,AN_TME_PY[[#All],[Advanced Network/Insurance Carrier Org ID]],B206)</f>
        <v>0</v>
      </c>
      <c r="T206" s="137" t="str">
        <f>IF(S206=0,"NA",SUMIFS(AN_TME_PY[[#All],[Claims: Hospital Inpatient]],AN_TME_PY[[#All],[Insurance Category Code]],1,AN_TME_PY[[#All],[Advanced Network/Insurance Carrier Org ID]],B206)/S206)</f>
        <v>NA</v>
      </c>
      <c r="U206" s="108" t="str">
        <f>IF(S206=0,"NA",SUMIFS(AN_TME_PY[[#All],[Claims: Hospital Outpatient]],AN_TME_PY[[#All],[Insurance Category Code]],1,AN_TME_PY[[#All],[Advanced Network/Insurance Carrier Org ID]],B206)/S206)</f>
        <v>NA</v>
      </c>
      <c r="V206" s="108" t="str">
        <f>IF(S206=0,"NA",SUMIFS(AN_TME_PY[[#All],[Claims: Professional, Primary Care]],AN_TME_PY[[#All],[Insurance Category Code]],1,AN_TME_PY[[#All],[Advanced Network/Insurance Carrier Org ID]],B206)/S206)</f>
        <v>NA</v>
      </c>
      <c r="W206" s="108" t="str">
        <f>IF(S206=0,"NA",SUMIFS(AN_TME_PY[[#All],[Claims: Professional, Primary Care (for Monitoring Purposes)]],AN_TME_PY[[#All],[Insurance Category Code]],1,AN_TME_PY[[#All],[Advanced Network/Insurance Carrier Org ID]],B206)/S206)</f>
        <v>NA</v>
      </c>
      <c r="X206" s="108" t="str">
        <f>IF(S206=0,"NA",SUMIFS(AN_TME_PY[[#All],[Claims: Professional, Specialty]],AN_TME_PY[[#All],[Insurance Category Code]],1,AN_TME_PY[[#All],[Advanced Network/Insurance Carrier Org ID]],B206)/S206)</f>
        <v>NA</v>
      </c>
      <c r="Y206" s="108" t="str">
        <f>IF(S206=0,"NA",SUMIFS(AN_TME_PY[[#All],[Claims: Professional Other]],AN_TME_PY[[#All],[Insurance Category Code]],1,AN_TME_PY[[#All],[Advanced Network/Insurance Carrier Org ID]],B206)/S206)</f>
        <v>NA</v>
      </c>
      <c r="Z206" s="108" t="str">
        <f>IF(S206=0,"NA",SUMIFS(AN_TME_PY[[#All],[Claims: Pharmacy]],AN_TME_PY[[#All],[Insurance Category Code]],1,AN_TME_PY[[#All],[Advanced Network/Insurance Carrier Org ID]],B206)/S206)</f>
        <v>NA</v>
      </c>
      <c r="AA206" s="108" t="str">
        <f>IF(S206=0,"NA",SUMIFS(AN_TME_PY[[#All],[Claims: Long-Term Care]],AN_TME_PY[[#All],[Insurance Category Code]],1,AN_TME_PY[[#All],[Advanced Network/Insurance Carrier Org ID]],B206)/S206)</f>
        <v>NA</v>
      </c>
      <c r="AB206" s="108" t="str">
        <f>IF(S206=0,"NA",SUMIFS(AN_TME_PY[[#All],[Claims: Other]],AN_TME_PY[[#All],[Insurance Category Code]],1,AN_TME_PY[[#All],[Advanced Network/Insurance Carrier Org ID]],B206)/S206)</f>
        <v>NA</v>
      </c>
      <c r="AC206" s="147" t="str">
        <f>IF(S206=0,"NA",SUMIFS(AN_TME_PY[[#All],[TOTAL Non-Truncated Unadjusted Claims Expenses]],AN_TME_PY[[#All],[Insurance Category Code]],1,AN_TME_PY[[#All],[Advanced Network/Insurance Carrier Org ID]],B206)/S206)</f>
        <v>NA</v>
      </c>
      <c r="AD206" s="147" t="str">
        <f>IF(S206=0,"NA",SUMIFS(AN_TME_PY[[#All],[TOTAL Truncated Unadjusted Claims Expenses (A21 -A19)]],AN_TME_PY[[#All],[Insurance Category Code]],1,AN_TME_PY[[#All],[Advanced Network/Insurance Carrier Org ID]],B206)/S206)</f>
        <v>NA</v>
      </c>
      <c r="AE206" s="147" t="str">
        <f>IF(S206=0,"NA",SUMIFS(AN_TME_PY[[#All],[TOTAL Non-Claims Expenses]],AN_TME_PY[[#All],[Insurance Category Code]],1,AN_TME_PY[[#All],[Advanced Network/Insurance Carrier Org ID]],B206)/S206)</f>
        <v>NA</v>
      </c>
      <c r="AF206" s="147" t="str">
        <f>IF(S206=0,"NA",SUMIFS(AN_TME_PY[[#All],[TOTAL Non-Truncated Unadjusted Expenses (A21 + A23)]],AN_TME_PY[[#All],[Insurance Category Code]],1,AN_TME_PY[[#All],[Advanced Network/Insurance Carrier Org ID]],B206)/S206)</f>
        <v>NA</v>
      </c>
      <c r="AG206" s="138" t="str">
        <f>IF(S206=0,"NA",SUMIFS(AN_TME_PY[[#All],[TOTAL Truncated Unadjusted Expenses (A22 + A23)]],AN_TME_PY[[#All],[Insurance Category Code]],1,AN_TME_PY[[#All],[Advanced Network/Insurance Carrier Org ID]],B206)/S206)</f>
        <v>NA</v>
      </c>
      <c r="AH206" s="419" t="str">
        <f>IF(D206=0,"NA",S206/D206-1)</f>
        <v>NA</v>
      </c>
      <c r="AI206" s="420" t="str">
        <f>IF(D206=0,"NA",T206/E206-1)</f>
        <v>NA</v>
      </c>
      <c r="AJ206" s="421" t="str">
        <f>IF(D206=0,"NA",U206/F206-1)</f>
        <v>NA</v>
      </c>
      <c r="AK206" s="421" t="str">
        <f>IF(D206=0,"NA",V206/G206-1)</f>
        <v>NA</v>
      </c>
      <c r="AL206" s="421" t="str">
        <f>IF(D206=0,"NA",W206/H206-1)</f>
        <v>NA</v>
      </c>
      <c r="AM206" s="421" t="str">
        <f>IF(D206=0,"NA",X206/I206-1)</f>
        <v>NA</v>
      </c>
      <c r="AN206" s="421" t="str">
        <f>IF(D206=0,"NA",Y206/J206-1)</f>
        <v>NA</v>
      </c>
      <c r="AO206" s="421" t="str">
        <f>IF(D206=0,"NA",Z206/K206-1)</f>
        <v>NA</v>
      </c>
      <c r="AP206" s="421" t="str">
        <f>IF(D206=0,"NA",AA206/L206-1)</f>
        <v>NA</v>
      </c>
      <c r="AQ206" s="421" t="str">
        <f>IF(D206=0,"NA",AB206/M206-1)</f>
        <v>NA</v>
      </c>
      <c r="AR206" s="422" t="str">
        <f>IF(D206=0,"NA",AC206/N206-1)</f>
        <v>NA</v>
      </c>
      <c r="AS206" s="422" t="str">
        <f>IF(D206=0,"NA",AD206/O206-1)</f>
        <v>NA</v>
      </c>
      <c r="AT206" s="422" t="str">
        <f>IF(D206=0,"NA",AE206/P206-1)</f>
        <v>NA</v>
      </c>
      <c r="AU206" s="422" t="str">
        <f>IF(D206=0,"NA",AF206/Q206-1)</f>
        <v>NA</v>
      </c>
      <c r="AV206" s="423" t="str">
        <f>IF(D206=0,"NA",AG206/R206-1)</f>
        <v>NA</v>
      </c>
    </row>
    <row r="207" spans="1:48" ht="15" customHeight="1" x14ac:dyDescent="0.25">
      <c r="B207" s="149"/>
      <c r="C207" s="152" t="s">
        <v>332</v>
      </c>
      <c r="D207" s="449">
        <f>SUM(D172:D206)</f>
        <v>0</v>
      </c>
      <c r="E207" s="139" t="str">
        <f>IF(D207=0,"NA",SUMPRODUCT(E172:E206,D172:D206)/D207)</f>
        <v>NA</v>
      </c>
      <c r="F207" s="109" t="str">
        <f>IF(D207=0,"NA",SUMPRODUCT(F172:F206,D172:D206)/D207)</f>
        <v>NA</v>
      </c>
      <c r="G207" s="109" t="str">
        <f>IF(D207=0,"NA",SUMPRODUCT(G172:G206,D172:D206)/D207)</f>
        <v>NA</v>
      </c>
      <c r="H207" s="109" t="str">
        <f>IF(D207=0,"NA",SUMPRODUCT(H172:H206,D172:D206)/D207)</f>
        <v>NA</v>
      </c>
      <c r="I207" s="109" t="str">
        <f>IF(D207=0,"NA",SUMPRODUCT(I172:I206,D172:D206)/D207)</f>
        <v>NA</v>
      </c>
      <c r="J207" s="109" t="str">
        <f>IF(D207=0,"NA",SUMPRODUCT(J172:J206,D172:D206)/D207)</f>
        <v>NA</v>
      </c>
      <c r="K207" s="109" t="str">
        <f>IF(D207=0,"NA",SUMPRODUCT(K172:K206,D172:D206)/D207)</f>
        <v>NA</v>
      </c>
      <c r="L207" s="109" t="str">
        <f>IF(D207=0,"NA",SUMPRODUCT(L172:L206,D172:D206)/D207)</f>
        <v>NA</v>
      </c>
      <c r="M207" s="109" t="str">
        <f>IF(D207=0,"NA",SUMPRODUCT(M172:M206,D172:D206)/D207)</f>
        <v>NA</v>
      </c>
      <c r="N207" s="140" t="str">
        <f>IF(D207=0,"NA",SUMPRODUCT(N172:N206,D172:D206)/D207)</f>
        <v>NA</v>
      </c>
      <c r="O207" s="140" t="str">
        <f>IF(D207=0,"NA",SUMPRODUCT(O172:O206,D172:D206)/D207)</f>
        <v>NA</v>
      </c>
      <c r="P207" s="140" t="str">
        <f>IF(D207=0,"NA",SUMPRODUCT(P172:P206,D172:D206)/D207)</f>
        <v>NA</v>
      </c>
      <c r="Q207" s="140" t="str">
        <f>IF(D207=0,"NA",SUMPRODUCT(Q172:Q206,D172:D206)/D207)</f>
        <v>NA</v>
      </c>
      <c r="R207" s="140" t="str">
        <f>IF(D207=0,"NA",SUMPRODUCT(R172:R206,D172:D206)/D207)</f>
        <v>NA</v>
      </c>
      <c r="S207" s="449">
        <f>SUM(S172:S206)</f>
        <v>0</v>
      </c>
      <c r="T207" s="139" t="str">
        <f>IF(S207=0,"NA",SUMPRODUCT(T172:T206,S172:S206)/S207)</f>
        <v>NA</v>
      </c>
      <c r="U207" s="109" t="str">
        <f>IF(S207=0,"NA",SUMPRODUCT(U172:U206,S172:S206)/S207)</f>
        <v>NA</v>
      </c>
      <c r="V207" s="109" t="str">
        <f>IF(S207=0,"NA",SUMPRODUCT(V172:V206,S172:S206)/S207)</f>
        <v>NA</v>
      </c>
      <c r="W207" s="109" t="str">
        <f>IF(S207=0,"NA",SUMPRODUCT(W172:W206,S172:S206)/S207)</f>
        <v>NA</v>
      </c>
      <c r="X207" s="109" t="str">
        <f>IF(S207=0,"NA",SUMPRODUCT(X172:X206,S172:S206)/S207)</f>
        <v>NA</v>
      </c>
      <c r="Y207" s="109" t="str">
        <f>IF(S207=0,"NA",SUMPRODUCT(Y172:Y206,S172:S206)/S207)</f>
        <v>NA</v>
      </c>
      <c r="Z207" s="109" t="str">
        <f>IF(S207=0,"NA",SUMPRODUCT(Z172:Z206,S172:S206)/S207)</f>
        <v>NA</v>
      </c>
      <c r="AA207" s="109" t="str">
        <f>IF(S207=0,"NA",SUMPRODUCT(AA172:AA206,S172:S206)/S207)</f>
        <v>NA</v>
      </c>
      <c r="AB207" s="109" t="str">
        <f>IF(S207=0,"NA",SUMPRODUCT(AB172:AB206,S172:S206)/S207)</f>
        <v>NA</v>
      </c>
      <c r="AC207" s="140" t="str">
        <f>IF(S207=0,"NA",SUMPRODUCT(AC172:AC206,S172:S206)/S207)</f>
        <v>NA</v>
      </c>
      <c r="AD207" s="140" t="str">
        <f>IF(S207=0,"NA",SUMPRODUCT(AD172:AD206,S172:S206)/S207)</f>
        <v>NA</v>
      </c>
      <c r="AE207" s="140" t="str">
        <f>IF(S207=0,"NA",SUMPRODUCT(AE172:AE206,S172:S206)/S207)</f>
        <v>NA</v>
      </c>
      <c r="AF207" s="140" t="str">
        <f>IF(S207=0,"NA",SUMPRODUCT(AF172:AF206,S172:S206)/S207)</f>
        <v>NA</v>
      </c>
      <c r="AG207" s="141" t="str">
        <f>IF(S207=0,"NA",SUMPRODUCT(AG172:AG206,S172:S206)/S207)</f>
        <v>NA</v>
      </c>
      <c r="AH207" s="424" t="str">
        <f>IF(D207=0,"NA",S207/D207-1)</f>
        <v>NA</v>
      </c>
      <c r="AI207" s="425" t="str">
        <f>IF(D207=0,"NA",T207/E207-1)</f>
        <v>NA</v>
      </c>
      <c r="AJ207" s="426" t="str">
        <f>IF(D207=0,"NA",U207/F207-1)</f>
        <v>NA</v>
      </c>
      <c r="AK207" s="426" t="str">
        <f>IF(D207=0,"NA",V207/G207-1)</f>
        <v>NA</v>
      </c>
      <c r="AL207" s="426" t="str">
        <f>IF(D207=0,"NA",W207/H207-1)</f>
        <v>NA</v>
      </c>
      <c r="AM207" s="426" t="str">
        <f>IF(D207=0,"NA",X207/I207-1)</f>
        <v>NA</v>
      </c>
      <c r="AN207" s="426" t="str">
        <f>IF(D207=0,"NA",Y207/J207-1)</f>
        <v>NA</v>
      </c>
      <c r="AO207" s="426" t="str">
        <f>IF(D207=0,"NA",Z207/K207-1)</f>
        <v>NA</v>
      </c>
      <c r="AP207" s="426" t="str">
        <f>IF(D207=0,"NA",AA207/L207-1)</f>
        <v>NA</v>
      </c>
      <c r="AQ207" s="426" t="str">
        <f>IF(D207=0,"NA",AB207/M207-1)</f>
        <v>NA</v>
      </c>
      <c r="AR207" s="427" t="str">
        <f>IF(D207=0,"NA",AC207/N207-1)</f>
        <v>NA</v>
      </c>
      <c r="AS207" s="427" t="str">
        <f>IF(D207=0,"NA",AD207/O207-1)</f>
        <v>NA</v>
      </c>
      <c r="AT207" s="427" t="str">
        <f>IF(D207=0,"NA",AE207/P207-1)</f>
        <v>NA</v>
      </c>
      <c r="AU207" s="427" t="str">
        <f>IF(D207=0,"NA",AF207/Q207-1)</f>
        <v>NA</v>
      </c>
      <c r="AV207" s="428" t="str">
        <f>IF(D207=0,"NA",AG207/R207-1)</f>
        <v>NA</v>
      </c>
    </row>
    <row r="208" spans="1:48" ht="15.75" customHeight="1" thickBot="1" x14ac:dyDescent="0.3">
      <c r="B208" s="150"/>
      <c r="C208" s="153" t="s">
        <v>333</v>
      </c>
      <c r="D208" s="450">
        <f t="shared" ref="D208:J208" si="289">D207</f>
        <v>0</v>
      </c>
      <c r="E208" s="142" t="str">
        <f t="shared" si="289"/>
        <v>NA</v>
      </c>
      <c r="F208" s="143" t="str">
        <f t="shared" si="289"/>
        <v>NA</v>
      </c>
      <c r="G208" s="143" t="str">
        <f t="shared" si="289"/>
        <v>NA</v>
      </c>
      <c r="H208" s="143" t="str">
        <f t="shared" si="289"/>
        <v>NA</v>
      </c>
      <c r="I208" s="143" t="str">
        <f t="shared" si="289"/>
        <v>NA</v>
      </c>
      <c r="J208" s="143" t="str">
        <f t="shared" si="289"/>
        <v>NA</v>
      </c>
      <c r="K208" s="143" t="str">
        <f>IF(D208=0,"NA",(SUMPRODUCT(K172:K206,D172:D206)-ABS(SUMIF(RX_REBATES_BY[[#All],[Insurance Category Code]],1,RX_REBATES_BY[[#All],[Total Pharmacy Rebates]])))/D208)</f>
        <v>NA</v>
      </c>
      <c r="L208" s="143" t="str">
        <f>L207</f>
        <v>NA</v>
      </c>
      <c r="M208" s="143" t="str">
        <f>M207</f>
        <v>NA</v>
      </c>
      <c r="N208" s="144" t="str">
        <f>IF(D208=0,"NA",(SUMPRODUCT(N172:N206,D172:D206)-ABS(SUMIF(RX_REBATES_BY[[#All],[Insurance Category Code]],1,RX_REBATES_BY[[#All],[Total Pharmacy Rebates]])))/D208)</f>
        <v>NA</v>
      </c>
      <c r="O208" s="144" t="str">
        <f>IF(D208=0,"NA",(SUMPRODUCT(O172:O206,D172:D206)-ABS(SUMIF(RX_REBATES_BY[[#All],[Insurance Category Code]],1,RX_REBATES_BY[[#All],[Total Pharmacy Rebates]])))/D208)</f>
        <v>NA</v>
      </c>
      <c r="P208" s="144" t="str">
        <f>IF(D208=0,"NA",(SUMPRODUCT(P172:P206,D172:D206)-ABS(SUMIF(RX_REBATES_BY[[#All],[Insurance Category Code]],1,RX_REBATES_BY[[#All],[Total Pharmacy Rebates]])))/D208)</f>
        <v>NA</v>
      </c>
      <c r="Q208" s="144" t="str">
        <f>IF(D208=0,"NA",(SUMPRODUCT(Q172:Q206,D172:D206)-ABS(SUMIF(RX_REBATES_BY[[#All],[Insurance Category Code]],1,RX_REBATES_BY[[#All],[Total Pharmacy Rebates]])))/D208)</f>
        <v>NA</v>
      </c>
      <c r="R208" s="144" t="str">
        <f>IF(D208=0,"NA",(SUMPRODUCT(R172:R206,D172:D206)-ABS(SUMIF(RX_REBATES_BY[[#All],[Insurance Category Code]],1,RX_REBATES_BY[[#All],[Total Pharmacy Rebates]])))/D208)</f>
        <v>NA</v>
      </c>
      <c r="S208" s="450">
        <f t="shared" ref="S208:Y208" si="290">S207</f>
        <v>0</v>
      </c>
      <c r="T208" s="142" t="str">
        <f t="shared" si="290"/>
        <v>NA</v>
      </c>
      <c r="U208" s="143" t="str">
        <f t="shared" si="290"/>
        <v>NA</v>
      </c>
      <c r="V208" s="143" t="str">
        <f t="shared" si="290"/>
        <v>NA</v>
      </c>
      <c r="W208" s="143" t="str">
        <f t="shared" si="290"/>
        <v>NA</v>
      </c>
      <c r="X208" s="143" t="str">
        <f t="shared" si="290"/>
        <v>NA</v>
      </c>
      <c r="Y208" s="143" t="str">
        <f t="shared" si="290"/>
        <v>NA</v>
      </c>
      <c r="Z208" s="143" t="str">
        <f>IF(S208=0,"NA",(SUMPRODUCT(Z172:Z206,S172:S206)-ABS(SUMIF(RX_REBATES_PY[[#All],[Insurance Category Code]],1,RX_REBATES_PY[[#All],[Total Pharmacy Rebates]])))/S208)</f>
        <v>NA</v>
      </c>
      <c r="AA208" s="143" t="str">
        <f>AA207</f>
        <v>NA</v>
      </c>
      <c r="AB208" s="143" t="str">
        <f>AB207</f>
        <v>NA</v>
      </c>
      <c r="AC208" s="144" t="str">
        <f>IF(S208=0,"NA",(SUMPRODUCT(AC172:AC206,S172:S206)-ABS(SUMIF(RX_REBATES_PY[[#All],[Insurance Category Code]],1,RX_REBATES_PY[[#All],[Total Pharmacy Rebates]])))/S208)</f>
        <v>NA</v>
      </c>
      <c r="AD208" s="144" t="str">
        <f>IF(S208=0,"NA",(SUMPRODUCT(AD172:AD206,S172:S206)-ABS(SUMIF(RX_REBATES_PY[[#All],[Insurance Category Code]],1,RX_REBATES_PY[[#All],[Total Pharmacy Rebates]])))/S208)</f>
        <v>NA</v>
      </c>
      <c r="AE208" s="144" t="str">
        <f>IF(S208=0,"NA",(SUMPRODUCT(AE172:AE206,S172:S206)-ABS(SUMIF(RX_REBATES_PY[[#All],[Insurance Category Code]],1,RX_REBATES_PY[[#All],[Total Pharmacy Rebates]])))/S208)</f>
        <v>NA</v>
      </c>
      <c r="AF208" s="144" t="str">
        <f>IF(S208=0,"NA",(SUMPRODUCT(AF172:AF206,S172:S206)-ABS(SUMIF(RX_REBATES_PY[[#All],[Insurance Category Code]],1,RX_REBATES_PY[[#All],[Total Pharmacy Rebates]])))/S208)</f>
        <v>NA</v>
      </c>
      <c r="AG208" s="144" t="str">
        <f>IF(S208=0,"NA",(SUMPRODUCT(AG172:AG206,S172:S206)-ABS(SUMIF(RX_REBATES_PY[[#All],[Insurance Category Code]],1,RX_REBATES_PY[[#All],[Total Pharmacy Rebates]])))/S208)</f>
        <v>NA</v>
      </c>
      <c r="AH208" s="429" t="str">
        <f>IF(D208=0,"NA",S208/D208-1)</f>
        <v>NA</v>
      </c>
      <c r="AI208" s="430" t="str">
        <f>IF(D208=0,"NA",T208/E208-1)</f>
        <v>NA</v>
      </c>
      <c r="AJ208" s="431" t="str">
        <f>IF(D208=0,"NA",U208/F208-1)</f>
        <v>NA</v>
      </c>
      <c r="AK208" s="431" t="str">
        <f>IF(D208=0,"NA",V208/G208-1)</f>
        <v>NA</v>
      </c>
      <c r="AL208" s="431" t="str">
        <f>IF(D208=0,"NA",W208/H208-1)</f>
        <v>NA</v>
      </c>
      <c r="AM208" s="431" t="str">
        <f>IF(D208=0,"NA",X208/I208-1)</f>
        <v>NA</v>
      </c>
      <c r="AN208" s="431" t="str">
        <f>IF(D208=0,"NA",Y208/J208-1)</f>
        <v>NA</v>
      </c>
      <c r="AO208" s="431" t="str">
        <f>IF(D208=0,"NA",Z208/K208-1)</f>
        <v>NA</v>
      </c>
      <c r="AP208" s="431" t="str">
        <f>IF(D208=0,"NA",AA208/L208-1)</f>
        <v>NA</v>
      </c>
      <c r="AQ208" s="431" t="str">
        <f>IF(D208=0,"NA",AB208/M208-1)</f>
        <v>NA</v>
      </c>
      <c r="AR208" s="432" t="str">
        <f>IF(D208=0,"NA",AC208/N208-1)</f>
        <v>NA</v>
      </c>
      <c r="AS208" s="432" t="str">
        <f>IF(D208=0,"NA",AD208/O208-1)</f>
        <v>NA</v>
      </c>
      <c r="AT208" s="432" t="str">
        <f>IF(D208=0,"NA",AE208/P208-1)</f>
        <v>NA</v>
      </c>
      <c r="AU208" s="432" t="str">
        <f>IF(D208=0,"NA",AF208/Q208-1)</f>
        <v>NA</v>
      </c>
      <c r="AV208" s="433" t="str">
        <f>IF(D208=0,"NA",AG208/R208-1)</f>
        <v>NA</v>
      </c>
    </row>
    <row r="210" spans="1:48" ht="16.5" thickBot="1" x14ac:dyDescent="0.3">
      <c r="B210" s="53" t="s">
        <v>339</v>
      </c>
      <c r="C210" s="464"/>
    </row>
    <row r="211" spans="1:48" x14ac:dyDescent="0.25">
      <c r="B211" s="624" t="s">
        <v>322</v>
      </c>
      <c r="C211" s="625"/>
      <c r="D211" s="632">
        <v>2023</v>
      </c>
      <c r="E211" s="633"/>
      <c r="F211" s="633"/>
      <c r="G211" s="633"/>
      <c r="H211" s="633"/>
      <c r="I211" s="633"/>
      <c r="J211" s="633"/>
      <c r="K211" s="633"/>
      <c r="L211" s="633"/>
      <c r="M211" s="633"/>
      <c r="N211" s="633"/>
      <c r="O211" s="633"/>
      <c r="P211" s="633"/>
      <c r="Q211" s="633"/>
      <c r="R211" s="633"/>
      <c r="S211" s="632">
        <v>2024</v>
      </c>
      <c r="T211" s="633"/>
      <c r="U211" s="633"/>
      <c r="V211" s="633"/>
      <c r="W211" s="633"/>
      <c r="X211" s="633"/>
      <c r="Y211" s="633"/>
      <c r="Z211" s="633"/>
      <c r="AA211" s="633"/>
      <c r="AB211" s="633"/>
      <c r="AC211" s="633"/>
      <c r="AD211" s="633"/>
      <c r="AE211" s="633"/>
      <c r="AF211" s="633"/>
      <c r="AG211" s="635"/>
      <c r="AH211" s="567" t="s">
        <v>292</v>
      </c>
      <c r="AI211" s="568"/>
      <c r="AJ211" s="569"/>
      <c r="AK211" s="569"/>
      <c r="AL211" s="569"/>
      <c r="AM211" s="569"/>
      <c r="AN211" s="569"/>
      <c r="AO211" s="569"/>
      <c r="AP211" s="569"/>
      <c r="AQ211" s="569"/>
      <c r="AR211" s="570"/>
      <c r="AS211" s="570"/>
      <c r="AT211" s="570"/>
      <c r="AU211" s="570"/>
      <c r="AV211" s="571"/>
    </row>
    <row r="212" spans="1:48" ht="30" x14ac:dyDescent="0.25">
      <c r="B212" s="73" t="s">
        <v>323</v>
      </c>
      <c r="C212" s="75" t="s">
        <v>324</v>
      </c>
      <c r="D212" s="73" t="s">
        <v>212</v>
      </c>
      <c r="E212" s="129" t="s">
        <v>124</v>
      </c>
      <c r="F212" s="74" t="s">
        <v>125</v>
      </c>
      <c r="G212" s="74" t="s">
        <v>127</v>
      </c>
      <c r="H212" s="74" t="s">
        <v>325</v>
      </c>
      <c r="I212" s="74" t="s">
        <v>129</v>
      </c>
      <c r="J212" s="74" t="s">
        <v>130</v>
      </c>
      <c r="K212" s="74" t="s">
        <v>326</v>
      </c>
      <c r="L212" s="74" t="s">
        <v>327</v>
      </c>
      <c r="M212" s="74" t="s">
        <v>134</v>
      </c>
      <c r="N212" s="135" t="s">
        <v>328</v>
      </c>
      <c r="O212" s="135" t="s">
        <v>329</v>
      </c>
      <c r="P212" s="135" t="s">
        <v>218</v>
      </c>
      <c r="Q212" s="135" t="s">
        <v>330</v>
      </c>
      <c r="R212" s="135" t="s">
        <v>331</v>
      </c>
      <c r="S212" s="73" t="s">
        <v>212</v>
      </c>
      <c r="T212" s="129" t="s">
        <v>124</v>
      </c>
      <c r="U212" s="74" t="s">
        <v>125</v>
      </c>
      <c r="V212" s="74" t="s">
        <v>127</v>
      </c>
      <c r="W212" s="74" t="s">
        <v>325</v>
      </c>
      <c r="X212" s="74" t="s">
        <v>129</v>
      </c>
      <c r="Y212" s="74" t="s">
        <v>130</v>
      </c>
      <c r="Z212" s="74" t="s">
        <v>326</v>
      </c>
      <c r="AA212" s="74" t="s">
        <v>327</v>
      </c>
      <c r="AB212" s="74" t="s">
        <v>134</v>
      </c>
      <c r="AC212" s="135" t="s">
        <v>328</v>
      </c>
      <c r="AD212" s="135" t="s">
        <v>329</v>
      </c>
      <c r="AE212" s="135" t="s">
        <v>218</v>
      </c>
      <c r="AF212" s="135" t="s">
        <v>330</v>
      </c>
      <c r="AG212" s="75" t="s">
        <v>331</v>
      </c>
      <c r="AH212" s="73" t="s">
        <v>212</v>
      </c>
      <c r="AI212" s="129" t="s">
        <v>124</v>
      </c>
      <c r="AJ212" s="74" t="s">
        <v>125</v>
      </c>
      <c r="AK212" s="74" t="s">
        <v>127</v>
      </c>
      <c r="AL212" s="74" t="s">
        <v>325</v>
      </c>
      <c r="AM212" s="74" t="s">
        <v>129</v>
      </c>
      <c r="AN212" s="74" t="s">
        <v>130</v>
      </c>
      <c r="AO212" s="74" t="s">
        <v>326</v>
      </c>
      <c r="AP212" s="74" t="s">
        <v>327</v>
      </c>
      <c r="AQ212" s="74" t="s">
        <v>134</v>
      </c>
      <c r="AR212" s="135" t="s">
        <v>328</v>
      </c>
      <c r="AS212" s="135" t="s">
        <v>329</v>
      </c>
      <c r="AT212" s="135" t="s">
        <v>218</v>
      </c>
      <c r="AU212" s="135" t="s">
        <v>330</v>
      </c>
      <c r="AV212" s="75" t="s">
        <v>331</v>
      </c>
    </row>
    <row r="213" spans="1:48" ht="15" customHeight="1" x14ac:dyDescent="0.25">
      <c r="A213" s="146"/>
      <c r="B213" s="148">
        <v>101</v>
      </c>
      <c r="C213" s="151" t="str">
        <f>_xlfn.XLOOKUP(B213, LgProvEntOrgIDs[Advanced Network/Insurer Carrier Org ID], LgProvEntOrgIDs[Advanced Network/Insurance Carrier Overall])</f>
        <v>Privia Quality Network of Connecticut (PQN CT) (formerly Community Medical Group)</v>
      </c>
      <c r="D213" s="448">
        <f>SUMIFS(AN_TME_BY[[#All],[Member Months]],AN_TME_BY[[#All],[Insurance Category Code]],5,AN_TME_BY[[#All],[Advanced Network/Insurance Carrier Org ID]],B213)</f>
        <v>0</v>
      </c>
      <c r="E213" s="137" t="str">
        <f>IF(D213=0,"NA",SUMIFS(AN_TME_BY[[#All],[Claims: Hospital Inpatient]],AN_TME_BY[[#All],[Insurance Category Code]],5,AN_TME_BY[[#All],[Advanced Network/Insurance Carrier Org ID]],B213)/D213)</f>
        <v>NA</v>
      </c>
      <c r="F213" s="108" t="str">
        <f>IF(D213=0,"NA",SUMIFS(AN_TME_BY[[#All],[Claims: Hospital Outpatient]],AN_TME_BY[[#All],[Insurance Category Code]],5,AN_TME_BY[[#All],[Advanced Network/Insurance Carrier Org ID]],B213)/D213)</f>
        <v>NA</v>
      </c>
      <c r="G213" s="108" t="str">
        <f>IF(D213=0,"NA",SUMIFS(AN_TME_BY[[#All],[Claims: Professional, Primary Care]],AN_TME_BY[[#All],[Insurance Category Code]],5,AN_TME_BY[[#All],[Advanced Network/Insurance Carrier Org ID]],B213)/D213)</f>
        <v>NA</v>
      </c>
      <c r="H213" s="108" t="str">
        <f>IF(D213=0,"NA",SUMIFS(AN_TME_BY[[#All],[Claims: Professional, Primary Care (for Monitoring Purposes)]],AN_TME_BY[[#All],[Insurance Category Code]],5,AN_TME_BY[[#All],[Advanced Network/Insurance Carrier Org ID]],B213)/D213)</f>
        <v>NA</v>
      </c>
      <c r="I213" s="108" t="str">
        <f>IF(D213=0,"NA",SUMIFS(AN_TME_BY[[#All],[Claims: Professional, Specialty]],AN_TME_BY[[#All],[Insurance Category Code]],5,AN_TME_BY[[#All],[Advanced Network/Insurance Carrier Org ID]],B213)/D213)</f>
        <v>NA</v>
      </c>
      <c r="J213" s="108" t="str">
        <f>IF(D213=0,"NA",SUMIFS(AN_TME_BY[[#All],[Claims: Professional Other]],AN_TME_BY[[#All],[Insurance Category Code]],5,AN_TME_BY[[#All],[Advanced Network/Insurance Carrier Org ID]],B213)/D213)</f>
        <v>NA</v>
      </c>
      <c r="K213" s="108" t="str">
        <f>IF(D213=0,"NA",SUMIFS(AN_TME_BY[[#All],[Claims: Pharmacy]],AN_TME_BY[[#All],[Insurance Category Code]],5,AN_TME_BY[[#All],[Advanced Network/Insurance Carrier Org ID]],B213)/D213)</f>
        <v>NA</v>
      </c>
      <c r="L213" s="108" t="str">
        <f>IF(D213=0,"NA",SUMIFS(AN_TME_BY[[#All],[Claims: Long-Term Care]],AN_TME_BY[[#All],[Insurance Category Code]],5,AN_TME_BY[[#All],[Advanced Network/Insurance Carrier Org ID]],B213)/D213)</f>
        <v>NA</v>
      </c>
      <c r="M213" s="108" t="str">
        <f>IF(D213=0,"NA",SUMIFS(AN_TME_BY[[#All],[Claims: Other]],AN_TME_BY[[#All],[Insurance Category Code]],5,AN_TME_BY[[#All],[Advanced Network/Insurance Carrier Org ID]],B213)/D213)</f>
        <v>NA</v>
      </c>
      <c r="N213" s="147" t="str">
        <f>IF(D213=0,"NA",SUMIFS(AN_TME_BY[[#All],[TOTAL Non-Truncated Unadjusted Claims Expenses]],AN_TME_BY[[#All],[Insurance Category Code]],5,AN_TME_BY[[#All],[Advanced Network/Insurance Carrier Org ID]],B213)/D213)</f>
        <v>NA</v>
      </c>
      <c r="O213" s="147" t="str">
        <f>IF(D213=0,"NA",SUMIFS(AN_TME_BY[[#All],[TOTAL Truncated Unadjusted Claims Expenses (A21 -A19)]],AN_TME_BY[[#All],[Insurance Category Code]],5,AN_TME_BY[[#All],[Advanced Network/Insurance Carrier Org ID]],B213)/D213)</f>
        <v>NA</v>
      </c>
      <c r="P213" s="147" t="str">
        <f>IF(D213=0,"NA",SUMIFS(AN_TME_BY[[#All],[TOTAL Non-Claims Expenses]],AN_TME_BY[[#All],[Insurance Category Code]],5,AN_TME_BY[[#All],[Advanced Network/Insurance Carrier Org ID]],B213)/D213)</f>
        <v>NA</v>
      </c>
      <c r="Q213" s="147" t="str">
        <f>IF(D213=0,"NA",SUMIFS(AN_TME_BY[[#All],[TOTAL Non-Truncated Unadjusted Expenses (A21 + A23)]],AN_TME_BY[[#All],[Insurance Category Code]],5,AN_TME_BY[[#All],[Advanced Network/Insurance Carrier Org ID]],B213)/D213)</f>
        <v>NA</v>
      </c>
      <c r="R213" s="147" t="str">
        <f>IF(D213=0,"NA",SUMIFS(AN_TME_BY[[#All],[TOTAL Truncated Unadjusted Expenses (A22 + A23)]],AN_TME_BY[[#All],[Insurance Category Code]],5,AN_TME_BY[[#All],[Advanced Network/Insurance Carrier Org ID]],B213)/D213)</f>
        <v>NA</v>
      </c>
      <c r="S213" s="448">
        <f>SUMIFS(AN_TME_PY[[#All],[Member Months]],AN_TME_PY[[#All],[Insurance Category Code]],5,AN_TME_PY[[#All],[Advanced Network/Insurance Carrier Org ID]],B213)</f>
        <v>0</v>
      </c>
      <c r="T213" s="137" t="str">
        <f>IF(S213=0,"NA",SUMIFS(AN_TME_PY[[#All],[Claims: Hospital Inpatient]],AN_TME_PY[[#All],[Insurance Category Code]],5,AN_TME_PY[[#All],[Advanced Network/Insurance Carrier Org ID]],B213)/S213)</f>
        <v>NA</v>
      </c>
      <c r="U213" s="108" t="str">
        <f>IF(S213=0,"NA",SUMIFS(AN_TME_PY[[#All],[Claims: Hospital Outpatient]],AN_TME_PY[[#All],[Insurance Category Code]],5,AN_TME_PY[[#All],[Advanced Network/Insurance Carrier Org ID]],B213)/S213)</f>
        <v>NA</v>
      </c>
      <c r="V213" s="108" t="str">
        <f>IF(S213=0,"NA",SUMIFS(AN_TME_PY[[#All],[Claims: Professional, Primary Care]],AN_TME_PY[[#All],[Insurance Category Code]],5,AN_TME_PY[[#All],[Advanced Network/Insurance Carrier Org ID]],B213)/S213)</f>
        <v>NA</v>
      </c>
      <c r="W213" s="108" t="str">
        <f>IF(S213=0,"NA",SUMIFS(AN_TME_PY[[#All],[Claims: Professional, Primary Care (for Monitoring Purposes)]],AN_TME_PY[[#All],[Insurance Category Code]],5,AN_TME_PY[[#All],[Advanced Network/Insurance Carrier Org ID]],B213)/S213)</f>
        <v>NA</v>
      </c>
      <c r="X213" s="108" t="str">
        <f>IF(S213=0,"NA",SUMIFS(AN_TME_PY[[#All],[Claims: Professional, Specialty]],AN_TME_PY[[#All],[Insurance Category Code]],5,AN_TME_PY[[#All],[Advanced Network/Insurance Carrier Org ID]],B213)/S213)</f>
        <v>NA</v>
      </c>
      <c r="Y213" s="108" t="str">
        <f>IF(S213=0,"NA",SUMIFS(AN_TME_PY[[#All],[Claims: Professional Other]],AN_TME_PY[[#All],[Insurance Category Code]],5,AN_TME_PY[[#All],[Advanced Network/Insurance Carrier Org ID]],B213)/S213)</f>
        <v>NA</v>
      </c>
      <c r="Z213" s="108" t="str">
        <f>IF(S213=0,"NA",SUMIFS(AN_TME_PY[[#All],[Claims: Pharmacy]],AN_TME_PY[[#All],[Insurance Category Code]],5,AN_TME_PY[[#All],[Advanced Network/Insurance Carrier Org ID]],B213)/S213)</f>
        <v>NA</v>
      </c>
      <c r="AA213" s="108" t="str">
        <f>IF(S213=0,"NA",SUMIFS(AN_TME_PY[[#All],[Claims: Long-Term Care]],AN_TME_PY[[#All],[Insurance Category Code]],5,AN_TME_PY[[#All],[Advanced Network/Insurance Carrier Org ID]],B213)/S213)</f>
        <v>NA</v>
      </c>
      <c r="AB213" s="108" t="str">
        <f>IF(S213=0,"NA",SUMIFS(AN_TME_PY[[#All],[Claims: Other]],AN_TME_PY[[#All],[Insurance Category Code]],5,AN_TME_PY[[#All],[Advanced Network/Insurance Carrier Org ID]],B213)/S213)</f>
        <v>NA</v>
      </c>
      <c r="AC213" s="147" t="str">
        <f>IF(S213=0,"NA",SUMIFS(AN_TME_PY[[#All],[TOTAL Non-Truncated Unadjusted Claims Expenses]],AN_TME_PY[[#All],[Insurance Category Code]],5,AN_TME_PY[[#All],[Advanced Network/Insurance Carrier Org ID]],B213)/S213)</f>
        <v>NA</v>
      </c>
      <c r="AD213" s="147" t="str">
        <f>IF(S213=0,"NA",SUMIFS(AN_TME_PY[[#All],[TOTAL Truncated Unadjusted Claims Expenses (A21 -A19)]],AN_TME_PY[[#All],[Insurance Category Code]],5,AN_TME_PY[[#All],[Advanced Network/Insurance Carrier Org ID]],B213)/S213)</f>
        <v>NA</v>
      </c>
      <c r="AE213" s="147" t="str">
        <f>IF(S213=0,"NA",SUMIFS(AN_TME_PY[[#All],[TOTAL Non-Claims Expenses]],AN_TME_PY[[#All],[Insurance Category Code]],5,AN_TME_PY[[#All],[Advanced Network/Insurance Carrier Org ID]],B213)/S213)</f>
        <v>NA</v>
      </c>
      <c r="AF213" s="147" t="str">
        <f>IF(S213=0,"NA",SUMIFS(AN_TME_PY[[#All],[TOTAL Non-Truncated Unadjusted Expenses (A21 + A23)]],AN_TME_PY[[#All],[Insurance Category Code]],5,AN_TME_PY[[#All],[Advanced Network/Insurance Carrier Org ID]],B213)/S213)</f>
        <v>NA</v>
      </c>
      <c r="AG213" s="138" t="str">
        <f>IF(S213=0,"NA",SUMIFS(AN_TME_PY[[#All],[TOTAL Truncated Unadjusted Expenses (A22 + A23)]],AN_TME_PY[[#All],[Insurance Category Code]],5,AN_TME_PY[[#All],[Advanced Network/Insurance Carrier Org ID]],B213)/S213)</f>
        <v>NA</v>
      </c>
      <c r="AH213" s="419" t="str">
        <f>IF(D213=0,"NA",S213/D213-1)</f>
        <v>NA</v>
      </c>
      <c r="AI213" s="420" t="str">
        <f>IF(D213=0,"NA",T213/E213-1)</f>
        <v>NA</v>
      </c>
      <c r="AJ213" s="421" t="str">
        <f>IF(D213=0,"NA",U213/F213-1)</f>
        <v>NA</v>
      </c>
      <c r="AK213" s="421" t="str">
        <f>IF(D213=0,"NA",V213/G213-1)</f>
        <v>NA</v>
      </c>
      <c r="AL213" s="421" t="str">
        <f>IF(D213=0,"NA",W213/H213-1)</f>
        <v>NA</v>
      </c>
      <c r="AM213" s="421" t="str">
        <f>IF(D213=0,"NA",X213/I213-1)</f>
        <v>NA</v>
      </c>
      <c r="AN213" s="421" t="str">
        <f>IF(D213=0,"NA",Y213/J213-1)</f>
        <v>NA</v>
      </c>
      <c r="AO213" s="421" t="str">
        <f>IF(D213=0,"NA",Z213/K213-1)</f>
        <v>NA</v>
      </c>
      <c r="AP213" s="421" t="str">
        <f>IF(D213=0,"NA",AA213/L213-1)</f>
        <v>NA</v>
      </c>
      <c r="AQ213" s="421" t="str">
        <f>IF(D213=0,"NA",AB213/M213-1)</f>
        <v>NA</v>
      </c>
      <c r="AR213" s="422" t="str">
        <f>IF(D213=0,"NA",AC213/N213-1)</f>
        <v>NA</v>
      </c>
      <c r="AS213" s="422" t="str">
        <f>IF(D213=0,"NA",AD213/O213-1)</f>
        <v>NA</v>
      </c>
      <c r="AT213" s="422" t="str">
        <f>IF(D213=0,"NA",AE213/P213-1)</f>
        <v>NA</v>
      </c>
      <c r="AU213" s="422" t="str">
        <f>IF(D213=0,"NA",AF213/Q213-1)</f>
        <v>NA</v>
      </c>
      <c r="AV213" s="423" t="str">
        <f>IF(D213=0,"NA",AG213/R213-1)</f>
        <v>NA</v>
      </c>
    </row>
    <row r="214" spans="1:48" ht="15" customHeight="1" x14ac:dyDescent="0.25">
      <c r="A214" s="146"/>
      <c r="B214" s="148">
        <v>102</v>
      </c>
      <c r="C214" s="151" t="str">
        <f>_xlfn.XLOOKUP(B214, LgProvEntOrgIDs[Advanced Network/Insurer Carrier Org ID], LgProvEntOrgIDs[Advanced Network/Insurance Carrier Overall])</f>
        <v>Connecticut Children's Care Network</v>
      </c>
      <c r="D214" s="448">
        <f>SUMIFS(AN_TME_BY[[#All],[Member Months]],AN_TME_BY[[#All],[Insurance Category Code]],5,AN_TME_BY[[#All],[Advanced Network/Insurance Carrier Org ID]],B214)</f>
        <v>0</v>
      </c>
      <c r="E214" s="137" t="str">
        <f>IF(D214=0,"NA",SUMIFS(AN_TME_BY[[#All],[Claims: Hospital Inpatient]],AN_TME_BY[[#All],[Insurance Category Code]],5,AN_TME_BY[[#All],[Advanced Network/Insurance Carrier Org ID]],B214)/D214)</f>
        <v>NA</v>
      </c>
      <c r="F214" s="108" t="str">
        <f>IF(D214=0,"NA",SUMIFS(AN_TME_BY[[#All],[Claims: Hospital Outpatient]],AN_TME_BY[[#All],[Insurance Category Code]],5,AN_TME_BY[[#All],[Advanced Network/Insurance Carrier Org ID]],B214)/D214)</f>
        <v>NA</v>
      </c>
      <c r="G214" s="108" t="str">
        <f>IF(D214=0,"NA",SUMIFS(AN_TME_BY[[#All],[Claims: Professional, Primary Care]],AN_TME_BY[[#All],[Insurance Category Code]],5,AN_TME_BY[[#All],[Advanced Network/Insurance Carrier Org ID]],B214)/D214)</f>
        <v>NA</v>
      </c>
      <c r="H214" s="108" t="str">
        <f>IF(D214=0,"NA",SUMIFS(AN_TME_BY[[#All],[Claims: Professional, Primary Care (for Monitoring Purposes)]],AN_TME_BY[[#All],[Insurance Category Code]],5,AN_TME_BY[[#All],[Advanced Network/Insurance Carrier Org ID]],B214)/D214)</f>
        <v>NA</v>
      </c>
      <c r="I214" s="108" t="str">
        <f>IF(D214=0,"NA",SUMIFS(AN_TME_BY[[#All],[Claims: Professional, Specialty]],AN_TME_BY[[#All],[Insurance Category Code]],5,AN_TME_BY[[#All],[Advanced Network/Insurance Carrier Org ID]],B214)/D214)</f>
        <v>NA</v>
      </c>
      <c r="J214" s="108" t="str">
        <f>IF(D214=0,"NA",SUMIFS(AN_TME_BY[[#All],[Claims: Professional Other]],AN_TME_BY[[#All],[Insurance Category Code]],5,AN_TME_BY[[#All],[Advanced Network/Insurance Carrier Org ID]],B214)/D214)</f>
        <v>NA</v>
      </c>
      <c r="K214" s="108" t="str">
        <f>IF(D214=0,"NA",SUMIFS(AN_TME_BY[[#All],[Claims: Pharmacy]],AN_TME_BY[[#All],[Insurance Category Code]],5,AN_TME_BY[[#All],[Advanced Network/Insurance Carrier Org ID]],B214)/D214)</f>
        <v>NA</v>
      </c>
      <c r="L214" s="108" t="str">
        <f>IF(D214=0,"NA",SUMIFS(AN_TME_BY[[#All],[Claims: Long-Term Care]],AN_TME_BY[[#All],[Insurance Category Code]],5,AN_TME_BY[[#All],[Advanced Network/Insurance Carrier Org ID]],B214)/D214)</f>
        <v>NA</v>
      </c>
      <c r="M214" s="108" t="str">
        <f>IF(D214=0,"NA",SUMIFS(AN_TME_BY[[#All],[Claims: Other]],AN_TME_BY[[#All],[Insurance Category Code]],5,AN_TME_BY[[#All],[Advanced Network/Insurance Carrier Org ID]],B214)/D214)</f>
        <v>NA</v>
      </c>
      <c r="N214" s="147" t="str">
        <f>IF(D214=0,"NA",SUMIFS(AN_TME_BY[[#All],[TOTAL Non-Truncated Unadjusted Claims Expenses]],AN_TME_BY[[#All],[Insurance Category Code]],5,AN_TME_BY[[#All],[Advanced Network/Insurance Carrier Org ID]],B214)/D214)</f>
        <v>NA</v>
      </c>
      <c r="O214" s="147" t="str">
        <f>IF(D214=0,"NA",SUMIFS(AN_TME_BY[[#All],[TOTAL Truncated Unadjusted Claims Expenses (A21 -A19)]],AN_TME_BY[[#All],[Insurance Category Code]],5,AN_TME_BY[[#All],[Advanced Network/Insurance Carrier Org ID]],B214)/D214)</f>
        <v>NA</v>
      </c>
      <c r="P214" s="147" t="str">
        <f>IF(D214=0,"NA",SUMIFS(AN_TME_BY[[#All],[TOTAL Non-Claims Expenses]],AN_TME_BY[[#All],[Insurance Category Code]],5,AN_TME_BY[[#All],[Advanced Network/Insurance Carrier Org ID]],B214)/D214)</f>
        <v>NA</v>
      </c>
      <c r="Q214" s="147" t="str">
        <f>IF(D214=0,"NA",SUMIFS(AN_TME_BY[[#All],[TOTAL Non-Truncated Unadjusted Expenses (A21 + A23)]],AN_TME_BY[[#All],[Insurance Category Code]],5,AN_TME_BY[[#All],[Advanced Network/Insurance Carrier Org ID]],B214)/D214)</f>
        <v>NA</v>
      </c>
      <c r="R214" s="147" t="str">
        <f>IF(D214=0,"NA",SUMIFS(AN_TME_BY[[#All],[TOTAL Truncated Unadjusted Expenses (A22 + A23)]],AN_TME_BY[[#All],[Insurance Category Code]],5,AN_TME_BY[[#All],[Advanced Network/Insurance Carrier Org ID]],B214)/D214)</f>
        <v>NA</v>
      </c>
      <c r="S214" s="448">
        <f>SUMIFS(AN_TME_PY[[#All],[Member Months]],AN_TME_PY[[#All],[Insurance Category Code]],5,AN_TME_PY[[#All],[Advanced Network/Insurance Carrier Org ID]],B214)</f>
        <v>0</v>
      </c>
      <c r="T214" s="137" t="str">
        <f>IF(S214=0,"NA",SUMIFS(AN_TME_PY[[#All],[Claims: Hospital Inpatient]],AN_TME_PY[[#All],[Insurance Category Code]],5,AN_TME_PY[[#All],[Advanced Network/Insurance Carrier Org ID]],B214)/S214)</f>
        <v>NA</v>
      </c>
      <c r="U214" s="108" t="str">
        <f>IF(S214=0,"NA",SUMIFS(AN_TME_PY[[#All],[Claims: Hospital Outpatient]],AN_TME_PY[[#All],[Insurance Category Code]],5,AN_TME_PY[[#All],[Advanced Network/Insurance Carrier Org ID]],B214)/S214)</f>
        <v>NA</v>
      </c>
      <c r="V214" s="108" t="str">
        <f>IF(S214=0,"NA",SUMIFS(AN_TME_PY[[#All],[Claims: Professional, Primary Care]],AN_TME_PY[[#All],[Insurance Category Code]],5,AN_TME_PY[[#All],[Advanced Network/Insurance Carrier Org ID]],B214)/S214)</f>
        <v>NA</v>
      </c>
      <c r="W214" s="108" t="str">
        <f>IF(S214=0,"NA",SUMIFS(AN_TME_PY[[#All],[Claims: Professional, Primary Care (for Monitoring Purposes)]],AN_TME_PY[[#All],[Insurance Category Code]],5,AN_TME_PY[[#All],[Advanced Network/Insurance Carrier Org ID]],B214)/S214)</f>
        <v>NA</v>
      </c>
      <c r="X214" s="108" t="str">
        <f>IF(S214=0,"NA",SUMIFS(AN_TME_PY[[#All],[Claims: Professional, Specialty]],AN_TME_PY[[#All],[Insurance Category Code]],5,AN_TME_PY[[#All],[Advanced Network/Insurance Carrier Org ID]],B214)/S214)</f>
        <v>NA</v>
      </c>
      <c r="Y214" s="108" t="str">
        <f>IF(S214=0,"NA",SUMIFS(AN_TME_PY[[#All],[Claims: Professional Other]],AN_TME_PY[[#All],[Insurance Category Code]],5,AN_TME_PY[[#All],[Advanced Network/Insurance Carrier Org ID]],B214)/S214)</f>
        <v>NA</v>
      </c>
      <c r="Z214" s="108" t="str">
        <f>IF(S214=0,"NA",SUMIFS(AN_TME_PY[[#All],[Claims: Pharmacy]],AN_TME_PY[[#All],[Insurance Category Code]],5,AN_TME_PY[[#All],[Advanced Network/Insurance Carrier Org ID]],B214)/S214)</f>
        <v>NA</v>
      </c>
      <c r="AA214" s="108" t="str">
        <f>IF(S214=0,"NA",SUMIFS(AN_TME_PY[[#All],[Claims: Long-Term Care]],AN_TME_PY[[#All],[Insurance Category Code]],5,AN_TME_PY[[#All],[Advanced Network/Insurance Carrier Org ID]],B214)/S214)</f>
        <v>NA</v>
      </c>
      <c r="AB214" s="108" t="str">
        <f>IF(S214=0,"NA",SUMIFS(AN_TME_PY[[#All],[Claims: Other]],AN_TME_PY[[#All],[Insurance Category Code]],5,AN_TME_PY[[#All],[Advanced Network/Insurance Carrier Org ID]],B214)/S214)</f>
        <v>NA</v>
      </c>
      <c r="AC214" s="147" t="str">
        <f>IF(S214=0,"NA",SUMIFS(AN_TME_PY[[#All],[TOTAL Non-Truncated Unadjusted Claims Expenses]],AN_TME_PY[[#All],[Insurance Category Code]],5,AN_TME_PY[[#All],[Advanced Network/Insurance Carrier Org ID]],B214)/S214)</f>
        <v>NA</v>
      </c>
      <c r="AD214" s="147" t="str">
        <f>IF(S214=0,"NA",SUMIFS(AN_TME_PY[[#All],[TOTAL Truncated Unadjusted Claims Expenses (A21 -A19)]],AN_TME_PY[[#All],[Insurance Category Code]],5,AN_TME_PY[[#All],[Advanced Network/Insurance Carrier Org ID]],B214)/S214)</f>
        <v>NA</v>
      </c>
      <c r="AE214" s="147" t="str">
        <f>IF(S214=0,"NA",SUMIFS(AN_TME_PY[[#All],[TOTAL Non-Claims Expenses]],AN_TME_PY[[#All],[Insurance Category Code]],5,AN_TME_PY[[#All],[Advanced Network/Insurance Carrier Org ID]],B214)/S214)</f>
        <v>NA</v>
      </c>
      <c r="AF214" s="147" t="str">
        <f>IF(S214=0,"NA",SUMIFS(AN_TME_PY[[#All],[TOTAL Non-Truncated Unadjusted Expenses (A21 + A23)]],AN_TME_PY[[#All],[Insurance Category Code]],5,AN_TME_PY[[#All],[Advanced Network/Insurance Carrier Org ID]],B214)/S214)</f>
        <v>NA</v>
      </c>
      <c r="AG214" s="138" t="str">
        <f>IF(S214=0,"NA",SUMIFS(AN_TME_PY[[#All],[TOTAL Truncated Unadjusted Expenses (A22 + A23)]],AN_TME_PY[[#All],[Insurance Category Code]],5,AN_TME_PY[[#All],[Advanced Network/Insurance Carrier Org ID]],B214)/S214)</f>
        <v>NA</v>
      </c>
      <c r="AH214" s="419" t="str">
        <f t="shared" ref="AH214:AH222" si="291">IF(D214=0,"NA",S214/D214-1)</f>
        <v>NA</v>
      </c>
      <c r="AI214" s="420" t="str">
        <f t="shared" ref="AI214:AI222" si="292">IF(D214=0,"NA",T214/E214-1)</f>
        <v>NA</v>
      </c>
      <c r="AJ214" s="421" t="str">
        <f t="shared" ref="AJ214:AJ222" si="293">IF(D214=0,"NA",U214/F214-1)</f>
        <v>NA</v>
      </c>
      <c r="AK214" s="421" t="str">
        <f t="shared" ref="AK214:AK222" si="294">IF(D214=0,"NA",V214/G214-1)</f>
        <v>NA</v>
      </c>
      <c r="AL214" s="421" t="str">
        <f t="shared" ref="AL214:AL222" si="295">IF(D214=0,"NA",W214/H214-1)</f>
        <v>NA</v>
      </c>
      <c r="AM214" s="421" t="str">
        <f t="shared" ref="AM214:AM222" si="296">IF(D214=0,"NA",X214/I214-1)</f>
        <v>NA</v>
      </c>
      <c r="AN214" s="421" t="str">
        <f t="shared" ref="AN214:AN222" si="297">IF(D214=0,"NA",Y214/J214-1)</f>
        <v>NA</v>
      </c>
      <c r="AO214" s="421" t="str">
        <f t="shared" ref="AO214:AO222" si="298">IF(D214=0,"NA",Z214/K214-1)</f>
        <v>NA</v>
      </c>
      <c r="AP214" s="421" t="str">
        <f t="shared" ref="AP214:AP222" si="299">IF(D214=0,"NA",AA214/L214-1)</f>
        <v>NA</v>
      </c>
      <c r="AQ214" s="421" t="str">
        <f t="shared" ref="AQ214:AQ222" si="300">IF(D214=0,"NA",AB214/M214-1)</f>
        <v>NA</v>
      </c>
      <c r="AR214" s="422" t="str">
        <f t="shared" ref="AR214:AR222" si="301">IF(D214=0,"NA",AC214/N214-1)</f>
        <v>NA</v>
      </c>
      <c r="AS214" s="422" t="str">
        <f t="shared" ref="AS214:AS222" si="302">IF(D214=0,"NA",AD214/O214-1)</f>
        <v>NA</v>
      </c>
      <c r="AT214" s="422" t="str">
        <f t="shared" ref="AT214:AT222" si="303">IF(D214=0,"NA",AE214/P214-1)</f>
        <v>NA</v>
      </c>
      <c r="AU214" s="422" t="str">
        <f t="shared" ref="AU214:AU222" si="304">IF(D214=0,"NA",AF214/Q214-1)</f>
        <v>NA</v>
      </c>
      <c r="AV214" s="423" t="str">
        <f t="shared" ref="AV214:AV222" si="305">IF(D214=0,"NA",AG214/R214-1)</f>
        <v>NA</v>
      </c>
    </row>
    <row r="215" spans="1:48" ht="15" customHeight="1" x14ac:dyDescent="0.25">
      <c r="A215" s="146"/>
      <c r="B215" s="148">
        <v>103</v>
      </c>
      <c r="C215" s="151" t="str">
        <f>_xlfn.XLOOKUP(B215, LgProvEntOrgIDs[Advanced Network/Insurer Carrier Org ID], LgProvEntOrgIDs[Advanced Network/Insurance Carrier Overall])</f>
        <v>Connecticut State Medical Society IPA</v>
      </c>
      <c r="D215" s="448">
        <f>SUMIFS(AN_TME_BY[[#All],[Member Months]],AN_TME_BY[[#All],[Insurance Category Code]],5,AN_TME_BY[[#All],[Advanced Network/Insurance Carrier Org ID]],B215)</f>
        <v>0</v>
      </c>
      <c r="E215" s="137" t="str">
        <f>IF(D215=0,"NA",SUMIFS(AN_TME_BY[[#All],[Claims: Hospital Inpatient]],AN_TME_BY[[#All],[Insurance Category Code]],5,AN_TME_BY[[#All],[Advanced Network/Insurance Carrier Org ID]],B215)/D215)</f>
        <v>NA</v>
      </c>
      <c r="F215" s="108" t="str">
        <f>IF(D215=0,"NA",SUMIFS(AN_TME_BY[[#All],[Claims: Hospital Outpatient]],AN_TME_BY[[#All],[Insurance Category Code]],5,AN_TME_BY[[#All],[Advanced Network/Insurance Carrier Org ID]],B215)/D215)</f>
        <v>NA</v>
      </c>
      <c r="G215" s="108" t="str">
        <f>IF(D215=0,"NA",SUMIFS(AN_TME_BY[[#All],[Claims: Professional, Primary Care]],AN_TME_BY[[#All],[Insurance Category Code]],5,AN_TME_BY[[#All],[Advanced Network/Insurance Carrier Org ID]],B215)/D215)</f>
        <v>NA</v>
      </c>
      <c r="H215" s="108" t="str">
        <f>IF(D215=0,"NA",SUMIFS(AN_TME_BY[[#All],[Claims: Professional, Primary Care (for Monitoring Purposes)]],AN_TME_BY[[#All],[Insurance Category Code]],5,AN_TME_BY[[#All],[Advanced Network/Insurance Carrier Org ID]],B215)/D215)</f>
        <v>NA</v>
      </c>
      <c r="I215" s="108" t="str">
        <f>IF(D215=0,"NA",SUMIFS(AN_TME_BY[[#All],[Claims: Professional, Specialty]],AN_TME_BY[[#All],[Insurance Category Code]],5,AN_TME_BY[[#All],[Advanced Network/Insurance Carrier Org ID]],B215)/D215)</f>
        <v>NA</v>
      </c>
      <c r="J215" s="108" t="str">
        <f>IF(D215=0,"NA",SUMIFS(AN_TME_BY[[#All],[Claims: Professional Other]],AN_TME_BY[[#All],[Insurance Category Code]],5,AN_TME_BY[[#All],[Advanced Network/Insurance Carrier Org ID]],B215)/D215)</f>
        <v>NA</v>
      </c>
      <c r="K215" s="108" t="str">
        <f>IF(D215=0,"NA",SUMIFS(AN_TME_BY[[#All],[Claims: Pharmacy]],AN_TME_BY[[#All],[Insurance Category Code]],5,AN_TME_BY[[#All],[Advanced Network/Insurance Carrier Org ID]],B215)/D215)</f>
        <v>NA</v>
      </c>
      <c r="L215" s="108" t="str">
        <f>IF(D215=0,"NA",SUMIFS(AN_TME_BY[[#All],[Claims: Long-Term Care]],AN_TME_BY[[#All],[Insurance Category Code]],5,AN_TME_BY[[#All],[Advanced Network/Insurance Carrier Org ID]],B215)/D215)</f>
        <v>NA</v>
      </c>
      <c r="M215" s="108" t="str">
        <f>IF(D215=0,"NA",SUMIFS(AN_TME_BY[[#All],[Claims: Other]],AN_TME_BY[[#All],[Insurance Category Code]],5,AN_TME_BY[[#All],[Advanced Network/Insurance Carrier Org ID]],B215)/D215)</f>
        <v>NA</v>
      </c>
      <c r="N215" s="147" t="str">
        <f>IF(D215=0,"NA",SUMIFS(AN_TME_BY[[#All],[TOTAL Non-Truncated Unadjusted Claims Expenses]],AN_TME_BY[[#All],[Insurance Category Code]],5,AN_TME_BY[[#All],[Advanced Network/Insurance Carrier Org ID]],B215)/D215)</f>
        <v>NA</v>
      </c>
      <c r="O215" s="147" t="str">
        <f>IF(D215=0,"NA",SUMIFS(AN_TME_BY[[#All],[TOTAL Truncated Unadjusted Claims Expenses (A21 -A19)]],AN_TME_BY[[#All],[Insurance Category Code]],5,AN_TME_BY[[#All],[Advanced Network/Insurance Carrier Org ID]],B215)/D215)</f>
        <v>NA</v>
      </c>
      <c r="P215" s="147" t="str">
        <f>IF(D215=0,"NA",SUMIFS(AN_TME_BY[[#All],[TOTAL Non-Claims Expenses]],AN_TME_BY[[#All],[Insurance Category Code]],5,AN_TME_BY[[#All],[Advanced Network/Insurance Carrier Org ID]],B215)/D215)</f>
        <v>NA</v>
      </c>
      <c r="Q215" s="147" t="str">
        <f>IF(D215=0,"NA",SUMIFS(AN_TME_BY[[#All],[TOTAL Non-Truncated Unadjusted Expenses (A21 + A23)]],AN_TME_BY[[#All],[Insurance Category Code]],5,AN_TME_BY[[#All],[Advanced Network/Insurance Carrier Org ID]],B215)/D215)</f>
        <v>NA</v>
      </c>
      <c r="R215" s="147" t="str">
        <f>IF(D215=0,"NA",SUMIFS(AN_TME_BY[[#All],[TOTAL Truncated Unadjusted Expenses (A22 + A23)]],AN_TME_BY[[#All],[Insurance Category Code]],5,AN_TME_BY[[#All],[Advanced Network/Insurance Carrier Org ID]],B215)/D215)</f>
        <v>NA</v>
      </c>
      <c r="S215" s="448">
        <f>SUMIFS(AN_TME_PY[[#All],[Member Months]],AN_TME_PY[[#All],[Insurance Category Code]],5,AN_TME_PY[[#All],[Advanced Network/Insurance Carrier Org ID]],B215)</f>
        <v>0</v>
      </c>
      <c r="T215" s="137" t="str">
        <f>IF(S215=0,"NA",SUMIFS(AN_TME_PY[[#All],[Claims: Hospital Inpatient]],AN_TME_PY[[#All],[Insurance Category Code]],5,AN_TME_PY[[#All],[Advanced Network/Insurance Carrier Org ID]],B215)/S215)</f>
        <v>NA</v>
      </c>
      <c r="U215" s="108" t="str">
        <f>IF(S215=0,"NA",SUMIFS(AN_TME_PY[[#All],[Claims: Hospital Outpatient]],AN_TME_PY[[#All],[Insurance Category Code]],5,AN_TME_PY[[#All],[Advanced Network/Insurance Carrier Org ID]],B215)/S215)</f>
        <v>NA</v>
      </c>
      <c r="V215" s="108" t="str">
        <f>IF(S215=0,"NA",SUMIFS(AN_TME_PY[[#All],[Claims: Professional, Primary Care]],AN_TME_PY[[#All],[Insurance Category Code]],5,AN_TME_PY[[#All],[Advanced Network/Insurance Carrier Org ID]],B215)/S215)</f>
        <v>NA</v>
      </c>
      <c r="W215" s="108" t="str">
        <f>IF(S215=0,"NA",SUMIFS(AN_TME_PY[[#All],[Claims: Professional, Primary Care (for Monitoring Purposes)]],AN_TME_PY[[#All],[Insurance Category Code]],5,AN_TME_PY[[#All],[Advanced Network/Insurance Carrier Org ID]],B215)/S215)</f>
        <v>NA</v>
      </c>
      <c r="X215" s="108" t="str">
        <f>IF(S215=0,"NA",SUMIFS(AN_TME_PY[[#All],[Claims: Professional, Specialty]],AN_TME_PY[[#All],[Insurance Category Code]],5,AN_TME_PY[[#All],[Advanced Network/Insurance Carrier Org ID]],B215)/S215)</f>
        <v>NA</v>
      </c>
      <c r="Y215" s="108" t="str">
        <f>IF(S215=0,"NA",SUMIFS(AN_TME_PY[[#All],[Claims: Professional Other]],AN_TME_PY[[#All],[Insurance Category Code]],5,AN_TME_PY[[#All],[Advanced Network/Insurance Carrier Org ID]],B215)/S215)</f>
        <v>NA</v>
      </c>
      <c r="Z215" s="108" t="str">
        <f>IF(S215=0,"NA",SUMIFS(AN_TME_PY[[#All],[Claims: Pharmacy]],AN_TME_PY[[#All],[Insurance Category Code]],5,AN_TME_PY[[#All],[Advanced Network/Insurance Carrier Org ID]],B215)/S215)</f>
        <v>NA</v>
      </c>
      <c r="AA215" s="108" t="str">
        <f>IF(S215=0,"NA",SUMIFS(AN_TME_PY[[#All],[Claims: Long-Term Care]],AN_TME_PY[[#All],[Insurance Category Code]],5,AN_TME_PY[[#All],[Advanced Network/Insurance Carrier Org ID]],B215)/S215)</f>
        <v>NA</v>
      </c>
      <c r="AB215" s="108" t="str">
        <f>IF(S215=0,"NA",SUMIFS(AN_TME_PY[[#All],[Claims: Other]],AN_TME_PY[[#All],[Insurance Category Code]],5,AN_TME_PY[[#All],[Advanced Network/Insurance Carrier Org ID]],B215)/S215)</f>
        <v>NA</v>
      </c>
      <c r="AC215" s="147" t="str">
        <f>IF(S215=0,"NA",SUMIFS(AN_TME_PY[[#All],[TOTAL Non-Truncated Unadjusted Claims Expenses]],AN_TME_PY[[#All],[Insurance Category Code]],5,AN_TME_PY[[#All],[Advanced Network/Insurance Carrier Org ID]],B215)/S215)</f>
        <v>NA</v>
      </c>
      <c r="AD215" s="147" t="str">
        <f>IF(S215=0,"NA",SUMIFS(AN_TME_PY[[#All],[TOTAL Truncated Unadjusted Claims Expenses (A21 -A19)]],AN_TME_PY[[#All],[Insurance Category Code]],5,AN_TME_PY[[#All],[Advanced Network/Insurance Carrier Org ID]],B215)/S215)</f>
        <v>NA</v>
      </c>
      <c r="AE215" s="147" t="str">
        <f>IF(S215=0,"NA",SUMIFS(AN_TME_PY[[#All],[TOTAL Non-Claims Expenses]],AN_TME_PY[[#All],[Insurance Category Code]],5,AN_TME_PY[[#All],[Advanced Network/Insurance Carrier Org ID]],B215)/S215)</f>
        <v>NA</v>
      </c>
      <c r="AF215" s="147" t="str">
        <f>IF(S215=0,"NA",SUMIFS(AN_TME_PY[[#All],[TOTAL Non-Truncated Unadjusted Expenses (A21 + A23)]],AN_TME_PY[[#All],[Insurance Category Code]],5,AN_TME_PY[[#All],[Advanced Network/Insurance Carrier Org ID]],B215)/S215)</f>
        <v>NA</v>
      </c>
      <c r="AG215" s="138" t="str">
        <f>IF(S215=0,"NA",SUMIFS(AN_TME_PY[[#All],[TOTAL Truncated Unadjusted Expenses (A22 + A23)]],AN_TME_PY[[#All],[Insurance Category Code]],5,AN_TME_PY[[#All],[Advanced Network/Insurance Carrier Org ID]],B215)/S215)</f>
        <v>NA</v>
      </c>
      <c r="AH215" s="419" t="str">
        <f t="shared" si="291"/>
        <v>NA</v>
      </c>
      <c r="AI215" s="420" t="str">
        <f t="shared" si="292"/>
        <v>NA</v>
      </c>
      <c r="AJ215" s="421" t="str">
        <f t="shared" si="293"/>
        <v>NA</v>
      </c>
      <c r="AK215" s="421" t="str">
        <f t="shared" si="294"/>
        <v>NA</v>
      </c>
      <c r="AL215" s="421" t="str">
        <f t="shared" si="295"/>
        <v>NA</v>
      </c>
      <c r="AM215" s="421" t="str">
        <f t="shared" si="296"/>
        <v>NA</v>
      </c>
      <c r="AN215" s="421" t="str">
        <f t="shared" si="297"/>
        <v>NA</v>
      </c>
      <c r="AO215" s="421" t="str">
        <f t="shared" si="298"/>
        <v>NA</v>
      </c>
      <c r="AP215" s="421" t="str">
        <f t="shared" si="299"/>
        <v>NA</v>
      </c>
      <c r="AQ215" s="421" t="str">
        <f t="shared" si="300"/>
        <v>NA</v>
      </c>
      <c r="AR215" s="422" t="str">
        <f t="shared" si="301"/>
        <v>NA</v>
      </c>
      <c r="AS215" s="422" t="str">
        <f t="shared" si="302"/>
        <v>NA</v>
      </c>
      <c r="AT215" s="422" t="str">
        <f t="shared" si="303"/>
        <v>NA</v>
      </c>
      <c r="AU215" s="422" t="str">
        <f t="shared" si="304"/>
        <v>NA</v>
      </c>
      <c r="AV215" s="423" t="str">
        <f t="shared" si="305"/>
        <v>NA</v>
      </c>
    </row>
    <row r="216" spans="1:48" ht="15" customHeight="1" x14ac:dyDescent="0.25">
      <c r="A216" s="146"/>
      <c r="B216" s="148">
        <v>104</v>
      </c>
      <c r="C216" s="151" t="str">
        <f>_xlfn.XLOOKUP(B216, LgProvEntOrgIDs[Advanced Network/Insurer Carrier Org ID], LgProvEntOrgIDs[Advanced Network/Insurance Carrier Overall])</f>
        <v>Hartford Healthcare Integrated Care Partners</v>
      </c>
      <c r="D216" s="448">
        <f>SUMIFS(AN_TME_BY[[#All],[Member Months]],AN_TME_BY[[#All],[Insurance Category Code]],5,AN_TME_BY[[#All],[Advanced Network/Insurance Carrier Org ID]],B216)</f>
        <v>0</v>
      </c>
      <c r="E216" s="137" t="str">
        <f>IF(D216=0,"NA",SUMIFS(AN_TME_BY[[#All],[Claims: Hospital Inpatient]],AN_TME_BY[[#All],[Insurance Category Code]],5,AN_TME_BY[[#All],[Advanced Network/Insurance Carrier Org ID]],B216)/D216)</f>
        <v>NA</v>
      </c>
      <c r="F216" s="108" t="str">
        <f>IF(D216=0,"NA",SUMIFS(AN_TME_BY[[#All],[Claims: Hospital Outpatient]],AN_TME_BY[[#All],[Insurance Category Code]],5,AN_TME_BY[[#All],[Advanced Network/Insurance Carrier Org ID]],B216)/D216)</f>
        <v>NA</v>
      </c>
      <c r="G216" s="108" t="str">
        <f>IF(D216=0,"NA",SUMIFS(AN_TME_BY[[#All],[Claims: Professional, Primary Care]],AN_TME_BY[[#All],[Insurance Category Code]],5,AN_TME_BY[[#All],[Advanced Network/Insurance Carrier Org ID]],B216)/D216)</f>
        <v>NA</v>
      </c>
      <c r="H216" s="108" t="str">
        <f>IF(D216=0,"NA",SUMIFS(AN_TME_BY[[#All],[Claims: Professional, Primary Care (for Monitoring Purposes)]],AN_TME_BY[[#All],[Insurance Category Code]],5,AN_TME_BY[[#All],[Advanced Network/Insurance Carrier Org ID]],B216)/D216)</f>
        <v>NA</v>
      </c>
      <c r="I216" s="108" t="str">
        <f>IF(D216=0,"NA",SUMIFS(AN_TME_BY[[#All],[Claims: Professional, Specialty]],AN_TME_BY[[#All],[Insurance Category Code]],5,AN_TME_BY[[#All],[Advanced Network/Insurance Carrier Org ID]],B216)/D216)</f>
        <v>NA</v>
      </c>
      <c r="J216" s="108" t="str">
        <f>IF(D216=0,"NA",SUMIFS(AN_TME_BY[[#All],[Claims: Professional Other]],AN_TME_BY[[#All],[Insurance Category Code]],5,AN_TME_BY[[#All],[Advanced Network/Insurance Carrier Org ID]],B216)/D216)</f>
        <v>NA</v>
      </c>
      <c r="K216" s="108" t="str">
        <f>IF(D216=0,"NA",SUMIFS(AN_TME_BY[[#All],[Claims: Pharmacy]],AN_TME_BY[[#All],[Insurance Category Code]],5,AN_TME_BY[[#All],[Advanced Network/Insurance Carrier Org ID]],B216)/D216)</f>
        <v>NA</v>
      </c>
      <c r="L216" s="108" t="str">
        <f>IF(D216=0,"NA",SUMIFS(AN_TME_BY[[#All],[Claims: Long-Term Care]],AN_TME_BY[[#All],[Insurance Category Code]],5,AN_TME_BY[[#All],[Advanced Network/Insurance Carrier Org ID]],B216)/D216)</f>
        <v>NA</v>
      </c>
      <c r="M216" s="108" t="str">
        <f>IF(D216=0,"NA",SUMIFS(AN_TME_BY[[#All],[Claims: Other]],AN_TME_BY[[#All],[Insurance Category Code]],5,AN_TME_BY[[#All],[Advanced Network/Insurance Carrier Org ID]],B216)/D216)</f>
        <v>NA</v>
      </c>
      <c r="N216" s="147" t="str">
        <f>IF(D216=0,"NA",SUMIFS(AN_TME_BY[[#All],[TOTAL Non-Truncated Unadjusted Claims Expenses]],AN_TME_BY[[#All],[Insurance Category Code]],5,AN_TME_BY[[#All],[Advanced Network/Insurance Carrier Org ID]],B216)/D216)</f>
        <v>NA</v>
      </c>
      <c r="O216" s="147" t="str">
        <f>IF(D216=0,"NA",SUMIFS(AN_TME_BY[[#All],[TOTAL Truncated Unadjusted Claims Expenses (A21 -A19)]],AN_TME_BY[[#All],[Insurance Category Code]],5,AN_TME_BY[[#All],[Advanced Network/Insurance Carrier Org ID]],B216)/D216)</f>
        <v>NA</v>
      </c>
      <c r="P216" s="147" t="str">
        <f>IF(D216=0,"NA",SUMIFS(AN_TME_BY[[#All],[TOTAL Non-Claims Expenses]],AN_TME_BY[[#All],[Insurance Category Code]],5,AN_TME_BY[[#All],[Advanced Network/Insurance Carrier Org ID]],B216)/D216)</f>
        <v>NA</v>
      </c>
      <c r="Q216" s="147" t="str">
        <f>IF(D216=0,"NA",SUMIFS(AN_TME_BY[[#All],[TOTAL Non-Truncated Unadjusted Expenses (A21 + A23)]],AN_TME_BY[[#All],[Insurance Category Code]],5,AN_TME_BY[[#All],[Advanced Network/Insurance Carrier Org ID]],B216)/D216)</f>
        <v>NA</v>
      </c>
      <c r="R216" s="147" t="str">
        <f>IF(D216=0,"NA",SUMIFS(AN_TME_BY[[#All],[TOTAL Truncated Unadjusted Expenses (A22 + A23)]],AN_TME_BY[[#All],[Insurance Category Code]],5,AN_TME_BY[[#All],[Advanced Network/Insurance Carrier Org ID]],B216)/D216)</f>
        <v>NA</v>
      </c>
      <c r="S216" s="448">
        <f>SUMIFS(AN_TME_PY[[#All],[Member Months]],AN_TME_PY[[#All],[Insurance Category Code]],5,AN_TME_PY[[#All],[Advanced Network/Insurance Carrier Org ID]],B216)</f>
        <v>0</v>
      </c>
      <c r="T216" s="137" t="str">
        <f>IF(S216=0,"NA",SUMIFS(AN_TME_PY[[#All],[Claims: Hospital Inpatient]],AN_TME_PY[[#All],[Insurance Category Code]],5,AN_TME_PY[[#All],[Advanced Network/Insurance Carrier Org ID]],B216)/S216)</f>
        <v>NA</v>
      </c>
      <c r="U216" s="108" t="str">
        <f>IF(S216=0,"NA",SUMIFS(AN_TME_PY[[#All],[Claims: Hospital Outpatient]],AN_TME_PY[[#All],[Insurance Category Code]],5,AN_TME_PY[[#All],[Advanced Network/Insurance Carrier Org ID]],B216)/S216)</f>
        <v>NA</v>
      </c>
      <c r="V216" s="108" t="str">
        <f>IF(S216=0,"NA",SUMIFS(AN_TME_PY[[#All],[Claims: Professional, Primary Care]],AN_TME_PY[[#All],[Insurance Category Code]],5,AN_TME_PY[[#All],[Advanced Network/Insurance Carrier Org ID]],B216)/S216)</f>
        <v>NA</v>
      </c>
      <c r="W216" s="108" t="str">
        <f>IF(S216=0,"NA",SUMIFS(AN_TME_PY[[#All],[Claims: Professional, Primary Care (for Monitoring Purposes)]],AN_TME_PY[[#All],[Insurance Category Code]],5,AN_TME_PY[[#All],[Advanced Network/Insurance Carrier Org ID]],B216)/S216)</f>
        <v>NA</v>
      </c>
      <c r="X216" s="108" t="str">
        <f>IF(S216=0,"NA",SUMIFS(AN_TME_PY[[#All],[Claims: Professional, Specialty]],AN_TME_PY[[#All],[Insurance Category Code]],5,AN_TME_PY[[#All],[Advanced Network/Insurance Carrier Org ID]],B216)/S216)</f>
        <v>NA</v>
      </c>
      <c r="Y216" s="108" t="str">
        <f>IF(S216=0,"NA",SUMIFS(AN_TME_PY[[#All],[Claims: Professional Other]],AN_TME_PY[[#All],[Insurance Category Code]],5,AN_TME_PY[[#All],[Advanced Network/Insurance Carrier Org ID]],B216)/S216)</f>
        <v>NA</v>
      </c>
      <c r="Z216" s="108" t="str">
        <f>IF(S216=0,"NA",SUMIFS(AN_TME_PY[[#All],[Claims: Pharmacy]],AN_TME_PY[[#All],[Insurance Category Code]],5,AN_TME_PY[[#All],[Advanced Network/Insurance Carrier Org ID]],B216)/S216)</f>
        <v>NA</v>
      </c>
      <c r="AA216" s="108" t="str">
        <f>IF(S216=0,"NA",SUMIFS(AN_TME_PY[[#All],[Claims: Long-Term Care]],AN_TME_PY[[#All],[Insurance Category Code]],5,AN_TME_PY[[#All],[Advanced Network/Insurance Carrier Org ID]],B216)/S216)</f>
        <v>NA</v>
      </c>
      <c r="AB216" s="108" t="str">
        <f>IF(S216=0,"NA",SUMIFS(AN_TME_PY[[#All],[Claims: Other]],AN_TME_PY[[#All],[Insurance Category Code]],5,AN_TME_PY[[#All],[Advanced Network/Insurance Carrier Org ID]],B216)/S216)</f>
        <v>NA</v>
      </c>
      <c r="AC216" s="147" t="str">
        <f>IF(S216=0,"NA",SUMIFS(AN_TME_PY[[#All],[TOTAL Non-Truncated Unadjusted Claims Expenses]],AN_TME_PY[[#All],[Insurance Category Code]],5,AN_TME_PY[[#All],[Advanced Network/Insurance Carrier Org ID]],B216)/S216)</f>
        <v>NA</v>
      </c>
      <c r="AD216" s="147" t="str">
        <f>IF(S216=0,"NA",SUMIFS(AN_TME_PY[[#All],[TOTAL Truncated Unadjusted Claims Expenses (A21 -A19)]],AN_TME_PY[[#All],[Insurance Category Code]],5,AN_TME_PY[[#All],[Advanced Network/Insurance Carrier Org ID]],B216)/S216)</f>
        <v>NA</v>
      </c>
      <c r="AE216" s="147" t="str">
        <f>IF(S216=0,"NA",SUMIFS(AN_TME_PY[[#All],[TOTAL Non-Claims Expenses]],AN_TME_PY[[#All],[Insurance Category Code]],5,AN_TME_PY[[#All],[Advanced Network/Insurance Carrier Org ID]],B216)/S216)</f>
        <v>NA</v>
      </c>
      <c r="AF216" s="147" t="str">
        <f>IF(S216=0,"NA",SUMIFS(AN_TME_PY[[#All],[TOTAL Non-Truncated Unadjusted Expenses (A21 + A23)]],AN_TME_PY[[#All],[Insurance Category Code]],5,AN_TME_PY[[#All],[Advanced Network/Insurance Carrier Org ID]],B216)/S216)</f>
        <v>NA</v>
      </c>
      <c r="AG216" s="138" t="str">
        <f>IF(S216=0,"NA",SUMIFS(AN_TME_PY[[#All],[TOTAL Truncated Unadjusted Expenses (A22 + A23)]],AN_TME_PY[[#All],[Insurance Category Code]],5,AN_TME_PY[[#All],[Advanced Network/Insurance Carrier Org ID]],B216)/S216)</f>
        <v>NA</v>
      </c>
      <c r="AH216" s="419" t="str">
        <f t="shared" si="291"/>
        <v>NA</v>
      </c>
      <c r="AI216" s="420" t="str">
        <f t="shared" si="292"/>
        <v>NA</v>
      </c>
      <c r="AJ216" s="421" t="str">
        <f t="shared" si="293"/>
        <v>NA</v>
      </c>
      <c r="AK216" s="421" t="str">
        <f t="shared" si="294"/>
        <v>NA</v>
      </c>
      <c r="AL216" s="421" t="str">
        <f t="shared" si="295"/>
        <v>NA</v>
      </c>
      <c r="AM216" s="421" t="str">
        <f t="shared" si="296"/>
        <v>NA</v>
      </c>
      <c r="AN216" s="421" t="str">
        <f t="shared" si="297"/>
        <v>NA</v>
      </c>
      <c r="AO216" s="421" t="str">
        <f t="shared" si="298"/>
        <v>NA</v>
      </c>
      <c r="AP216" s="421" t="str">
        <f t="shared" si="299"/>
        <v>NA</v>
      </c>
      <c r="AQ216" s="421" t="str">
        <f t="shared" si="300"/>
        <v>NA</v>
      </c>
      <c r="AR216" s="422" t="str">
        <f t="shared" si="301"/>
        <v>NA</v>
      </c>
      <c r="AS216" s="422" t="str">
        <f t="shared" si="302"/>
        <v>NA</v>
      </c>
      <c r="AT216" s="422" t="str">
        <f t="shared" si="303"/>
        <v>NA</v>
      </c>
      <c r="AU216" s="422" t="str">
        <f t="shared" si="304"/>
        <v>NA</v>
      </c>
      <c r="AV216" s="423" t="str">
        <f t="shared" si="305"/>
        <v>NA</v>
      </c>
    </row>
    <row r="217" spans="1:48" ht="15" customHeight="1" x14ac:dyDescent="0.25">
      <c r="A217" s="146"/>
      <c r="B217" s="148">
        <v>105</v>
      </c>
      <c r="C217" s="151" t="str">
        <f>_xlfn.XLOOKUP(B217, LgProvEntOrgIDs[Advanced Network/Insurer Carrier Org ID], LgProvEntOrgIDs[Advanced Network/Insurance Carrier Overall])</f>
        <v>NA</v>
      </c>
      <c r="D217" s="448">
        <f>SUMIFS(AN_TME_BY[[#All],[Member Months]],AN_TME_BY[[#All],[Insurance Category Code]],5,AN_TME_BY[[#All],[Advanced Network/Insurance Carrier Org ID]],B217)</f>
        <v>0</v>
      </c>
      <c r="E217" s="137" t="str">
        <f>IF(D217=0,"NA",SUMIFS(AN_TME_BY[[#All],[Claims: Hospital Inpatient]],AN_TME_BY[[#All],[Insurance Category Code]],5,AN_TME_BY[[#All],[Advanced Network/Insurance Carrier Org ID]],B217)/D217)</f>
        <v>NA</v>
      </c>
      <c r="F217" s="108" t="str">
        <f>IF(D217=0,"NA",SUMIFS(AN_TME_BY[[#All],[Claims: Hospital Outpatient]],AN_TME_BY[[#All],[Insurance Category Code]],5,AN_TME_BY[[#All],[Advanced Network/Insurance Carrier Org ID]],B217)/D217)</f>
        <v>NA</v>
      </c>
      <c r="G217" s="108" t="str">
        <f>IF(D217=0,"NA",SUMIFS(AN_TME_BY[[#All],[Claims: Professional, Primary Care]],AN_TME_BY[[#All],[Insurance Category Code]],5,AN_TME_BY[[#All],[Advanced Network/Insurance Carrier Org ID]],B217)/D217)</f>
        <v>NA</v>
      </c>
      <c r="H217" s="108" t="str">
        <f>IF(D217=0,"NA",SUMIFS(AN_TME_BY[[#All],[Claims: Professional, Primary Care (for Monitoring Purposes)]],AN_TME_BY[[#All],[Insurance Category Code]],5,AN_TME_BY[[#All],[Advanced Network/Insurance Carrier Org ID]],B217)/D217)</f>
        <v>NA</v>
      </c>
      <c r="I217" s="108" t="str">
        <f>IF(D217=0,"NA",SUMIFS(AN_TME_BY[[#All],[Claims: Professional, Specialty]],AN_TME_BY[[#All],[Insurance Category Code]],5,AN_TME_BY[[#All],[Advanced Network/Insurance Carrier Org ID]],B217)/D217)</f>
        <v>NA</v>
      </c>
      <c r="J217" s="108" t="str">
        <f>IF(D217=0,"NA",SUMIFS(AN_TME_BY[[#All],[Claims: Professional Other]],AN_TME_BY[[#All],[Insurance Category Code]],5,AN_TME_BY[[#All],[Advanced Network/Insurance Carrier Org ID]],B217)/D217)</f>
        <v>NA</v>
      </c>
      <c r="K217" s="108" t="str">
        <f>IF(D217=0,"NA",SUMIFS(AN_TME_BY[[#All],[Claims: Pharmacy]],AN_TME_BY[[#All],[Insurance Category Code]],5,AN_TME_BY[[#All],[Advanced Network/Insurance Carrier Org ID]],B217)/D217)</f>
        <v>NA</v>
      </c>
      <c r="L217" s="108" t="str">
        <f>IF(D217=0,"NA",SUMIFS(AN_TME_BY[[#All],[Claims: Long-Term Care]],AN_TME_BY[[#All],[Insurance Category Code]],5,AN_TME_BY[[#All],[Advanced Network/Insurance Carrier Org ID]],B217)/D217)</f>
        <v>NA</v>
      </c>
      <c r="M217" s="108" t="str">
        <f>IF(D217=0,"NA",SUMIFS(AN_TME_BY[[#All],[Claims: Other]],AN_TME_BY[[#All],[Insurance Category Code]],5,AN_TME_BY[[#All],[Advanced Network/Insurance Carrier Org ID]],B217)/D217)</f>
        <v>NA</v>
      </c>
      <c r="N217" s="147" t="str">
        <f>IF(D217=0,"NA",SUMIFS(AN_TME_BY[[#All],[TOTAL Non-Truncated Unadjusted Claims Expenses]],AN_TME_BY[[#All],[Insurance Category Code]],5,AN_TME_BY[[#All],[Advanced Network/Insurance Carrier Org ID]],B217)/D217)</f>
        <v>NA</v>
      </c>
      <c r="O217" s="147" t="str">
        <f>IF(D217=0,"NA",SUMIFS(AN_TME_BY[[#All],[TOTAL Truncated Unadjusted Claims Expenses (A21 -A19)]],AN_TME_BY[[#All],[Insurance Category Code]],5,AN_TME_BY[[#All],[Advanced Network/Insurance Carrier Org ID]],B217)/D217)</f>
        <v>NA</v>
      </c>
      <c r="P217" s="147" t="str">
        <f>IF(D217=0,"NA",SUMIFS(AN_TME_BY[[#All],[TOTAL Non-Claims Expenses]],AN_TME_BY[[#All],[Insurance Category Code]],5,AN_TME_BY[[#All],[Advanced Network/Insurance Carrier Org ID]],B217)/D217)</f>
        <v>NA</v>
      </c>
      <c r="Q217" s="147" t="str">
        <f>IF(D217=0,"NA",SUMIFS(AN_TME_BY[[#All],[TOTAL Non-Truncated Unadjusted Expenses (A21 + A23)]],AN_TME_BY[[#All],[Insurance Category Code]],5,AN_TME_BY[[#All],[Advanced Network/Insurance Carrier Org ID]],B217)/D217)</f>
        <v>NA</v>
      </c>
      <c r="R217" s="147" t="str">
        <f>IF(D217=0,"NA",SUMIFS(AN_TME_BY[[#All],[TOTAL Truncated Unadjusted Expenses (A22 + A23)]],AN_TME_BY[[#All],[Insurance Category Code]],5,AN_TME_BY[[#All],[Advanced Network/Insurance Carrier Org ID]],B217)/D217)</f>
        <v>NA</v>
      </c>
      <c r="S217" s="448">
        <f>SUMIFS(AN_TME_PY[[#All],[Member Months]],AN_TME_PY[[#All],[Insurance Category Code]],5,AN_TME_PY[[#All],[Advanced Network/Insurance Carrier Org ID]],B217)</f>
        <v>0</v>
      </c>
      <c r="T217" s="137" t="str">
        <f>IF(S217=0,"NA",SUMIFS(AN_TME_PY[[#All],[Claims: Hospital Inpatient]],AN_TME_PY[[#All],[Insurance Category Code]],5,AN_TME_PY[[#All],[Advanced Network/Insurance Carrier Org ID]],B217)/S217)</f>
        <v>NA</v>
      </c>
      <c r="U217" s="108" t="str">
        <f>IF(S217=0,"NA",SUMIFS(AN_TME_PY[[#All],[Claims: Hospital Outpatient]],AN_TME_PY[[#All],[Insurance Category Code]],5,AN_TME_PY[[#All],[Advanced Network/Insurance Carrier Org ID]],B217)/S217)</f>
        <v>NA</v>
      </c>
      <c r="V217" s="108" t="str">
        <f>IF(S217=0,"NA",SUMIFS(AN_TME_PY[[#All],[Claims: Professional, Primary Care]],AN_TME_PY[[#All],[Insurance Category Code]],5,AN_TME_PY[[#All],[Advanced Network/Insurance Carrier Org ID]],B217)/S217)</f>
        <v>NA</v>
      </c>
      <c r="W217" s="108" t="str">
        <f>IF(S217=0,"NA",SUMIFS(AN_TME_PY[[#All],[Claims: Professional, Primary Care (for Monitoring Purposes)]],AN_TME_PY[[#All],[Insurance Category Code]],5,AN_TME_PY[[#All],[Advanced Network/Insurance Carrier Org ID]],B217)/S217)</f>
        <v>NA</v>
      </c>
      <c r="X217" s="108" t="str">
        <f>IF(S217=0,"NA",SUMIFS(AN_TME_PY[[#All],[Claims: Professional, Specialty]],AN_TME_PY[[#All],[Insurance Category Code]],5,AN_TME_PY[[#All],[Advanced Network/Insurance Carrier Org ID]],B217)/S217)</f>
        <v>NA</v>
      </c>
      <c r="Y217" s="108" t="str">
        <f>IF(S217=0,"NA",SUMIFS(AN_TME_PY[[#All],[Claims: Professional Other]],AN_TME_PY[[#All],[Insurance Category Code]],5,AN_TME_PY[[#All],[Advanced Network/Insurance Carrier Org ID]],B217)/S217)</f>
        <v>NA</v>
      </c>
      <c r="Z217" s="108" t="str">
        <f>IF(S217=0,"NA",SUMIFS(AN_TME_PY[[#All],[Claims: Pharmacy]],AN_TME_PY[[#All],[Insurance Category Code]],5,AN_TME_PY[[#All],[Advanced Network/Insurance Carrier Org ID]],B217)/S217)</f>
        <v>NA</v>
      </c>
      <c r="AA217" s="108" t="str">
        <f>IF(S217=0,"NA",SUMIFS(AN_TME_PY[[#All],[Claims: Long-Term Care]],AN_TME_PY[[#All],[Insurance Category Code]],5,AN_TME_PY[[#All],[Advanced Network/Insurance Carrier Org ID]],B217)/S217)</f>
        <v>NA</v>
      </c>
      <c r="AB217" s="108" t="str">
        <f>IF(S217=0,"NA",SUMIFS(AN_TME_PY[[#All],[Claims: Other]],AN_TME_PY[[#All],[Insurance Category Code]],5,AN_TME_PY[[#All],[Advanced Network/Insurance Carrier Org ID]],B217)/S217)</f>
        <v>NA</v>
      </c>
      <c r="AC217" s="147" t="str">
        <f>IF(S217=0,"NA",SUMIFS(AN_TME_PY[[#All],[TOTAL Non-Truncated Unadjusted Claims Expenses]],AN_TME_PY[[#All],[Insurance Category Code]],5,AN_TME_PY[[#All],[Advanced Network/Insurance Carrier Org ID]],B217)/S217)</f>
        <v>NA</v>
      </c>
      <c r="AD217" s="147" t="str">
        <f>IF(S217=0,"NA",SUMIFS(AN_TME_PY[[#All],[TOTAL Truncated Unadjusted Claims Expenses (A21 -A19)]],AN_TME_PY[[#All],[Insurance Category Code]],5,AN_TME_PY[[#All],[Advanced Network/Insurance Carrier Org ID]],B217)/S217)</f>
        <v>NA</v>
      </c>
      <c r="AE217" s="147" t="str">
        <f>IF(S217=0,"NA",SUMIFS(AN_TME_PY[[#All],[TOTAL Non-Claims Expenses]],AN_TME_PY[[#All],[Insurance Category Code]],5,AN_TME_PY[[#All],[Advanced Network/Insurance Carrier Org ID]],B217)/S217)</f>
        <v>NA</v>
      </c>
      <c r="AF217" s="147" t="str">
        <f>IF(S217=0,"NA",SUMIFS(AN_TME_PY[[#All],[TOTAL Non-Truncated Unadjusted Expenses (A21 + A23)]],AN_TME_PY[[#All],[Insurance Category Code]],5,AN_TME_PY[[#All],[Advanced Network/Insurance Carrier Org ID]],B217)/S217)</f>
        <v>NA</v>
      </c>
      <c r="AG217" s="138" t="str">
        <f>IF(S217=0,"NA",SUMIFS(AN_TME_PY[[#All],[TOTAL Truncated Unadjusted Expenses (A22 + A23)]],AN_TME_PY[[#All],[Insurance Category Code]],5,AN_TME_PY[[#All],[Advanced Network/Insurance Carrier Org ID]],B217)/S217)</f>
        <v>NA</v>
      </c>
      <c r="AH217" s="419" t="str">
        <f t="shared" si="291"/>
        <v>NA</v>
      </c>
      <c r="AI217" s="420" t="str">
        <f t="shared" si="292"/>
        <v>NA</v>
      </c>
      <c r="AJ217" s="421" t="str">
        <f t="shared" si="293"/>
        <v>NA</v>
      </c>
      <c r="AK217" s="421" t="str">
        <f t="shared" si="294"/>
        <v>NA</v>
      </c>
      <c r="AL217" s="421" t="str">
        <f t="shared" si="295"/>
        <v>NA</v>
      </c>
      <c r="AM217" s="421" t="str">
        <f t="shared" si="296"/>
        <v>NA</v>
      </c>
      <c r="AN217" s="421" t="str">
        <f t="shared" si="297"/>
        <v>NA</v>
      </c>
      <c r="AO217" s="421" t="str">
        <f t="shared" si="298"/>
        <v>NA</v>
      </c>
      <c r="AP217" s="421" t="str">
        <f t="shared" si="299"/>
        <v>NA</v>
      </c>
      <c r="AQ217" s="421" t="str">
        <f t="shared" si="300"/>
        <v>NA</v>
      </c>
      <c r="AR217" s="422" t="str">
        <f t="shared" si="301"/>
        <v>NA</v>
      </c>
      <c r="AS217" s="422" t="str">
        <f t="shared" si="302"/>
        <v>NA</v>
      </c>
      <c r="AT217" s="422" t="str">
        <f t="shared" si="303"/>
        <v>NA</v>
      </c>
      <c r="AU217" s="422" t="str">
        <f t="shared" si="304"/>
        <v>NA</v>
      </c>
      <c r="AV217" s="423" t="str">
        <f t="shared" si="305"/>
        <v>NA</v>
      </c>
    </row>
    <row r="218" spans="1:48" ht="15" customHeight="1" x14ac:dyDescent="0.25">
      <c r="A218" s="146"/>
      <c r="B218" s="148">
        <v>106</v>
      </c>
      <c r="C218" s="151" t="str">
        <f>_xlfn.XLOOKUP(B218, LgProvEntOrgIDs[Advanced Network/Insurer Carrier Org ID], LgProvEntOrgIDs[Advanced Network/Insurance Carrier Overall])</f>
        <v>Northeast Medical Group</v>
      </c>
      <c r="D218" s="448">
        <f>SUMIFS(AN_TME_BY[[#All],[Member Months]],AN_TME_BY[[#All],[Insurance Category Code]],5,AN_TME_BY[[#All],[Advanced Network/Insurance Carrier Org ID]],B218)</f>
        <v>0</v>
      </c>
      <c r="E218" s="137" t="str">
        <f>IF(D218=0,"NA",SUMIFS(AN_TME_BY[[#All],[Claims: Hospital Inpatient]],AN_TME_BY[[#All],[Insurance Category Code]],5,AN_TME_BY[[#All],[Advanced Network/Insurance Carrier Org ID]],B218)/D218)</f>
        <v>NA</v>
      </c>
      <c r="F218" s="108" t="str">
        <f>IF(D218=0,"NA",SUMIFS(AN_TME_BY[[#All],[Claims: Hospital Outpatient]],AN_TME_BY[[#All],[Insurance Category Code]],5,AN_TME_BY[[#All],[Advanced Network/Insurance Carrier Org ID]],B218)/D218)</f>
        <v>NA</v>
      </c>
      <c r="G218" s="108" t="str">
        <f>IF(D218=0,"NA",SUMIFS(AN_TME_BY[[#All],[Claims: Professional, Primary Care]],AN_TME_BY[[#All],[Insurance Category Code]],5,AN_TME_BY[[#All],[Advanced Network/Insurance Carrier Org ID]],B218)/D218)</f>
        <v>NA</v>
      </c>
      <c r="H218" s="108" t="str">
        <f>IF(D218=0,"NA",SUMIFS(AN_TME_BY[[#All],[Claims: Professional, Primary Care (for Monitoring Purposes)]],AN_TME_BY[[#All],[Insurance Category Code]],5,AN_TME_BY[[#All],[Advanced Network/Insurance Carrier Org ID]],B218)/D218)</f>
        <v>NA</v>
      </c>
      <c r="I218" s="108" t="str">
        <f>IF(D218=0,"NA",SUMIFS(AN_TME_BY[[#All],[Claims: Professional, Specialty]],AN_TME_BY[[#All],[Insurance Category Code]],5,AN_TME_BY[[#All],[Advanced Network/Insurance Carrier Org ID]],B218)/D218)</f>
        <v>NA</v>
      </c>
      <c r="J218" s="108" t="str">
        <f>IF(D218=0,"NA",SUMIFS(AN_TME_BY[[#All],[Claims: Professional Other]],AN_TME_BY[[#All],[Insurance Category Code]],5,AN_TME_BY[[#All],[Advanced Network/Insurance Carrier Org ID]],B218)/D218)</f>
        <v>NA</v>
      </c>
      <c r="K218" s="108" t="str">
        <f>IF(D218=0,"NA",SUMIFS(AN_TME_BY[[#All],[Claims: Pharmacy]],AN_TME_BY[[#All],[Insurance Category Code]],5,AN_TME_BY[[#All],[Advanced Network/Insurance Carrier Org ID]],B218)/D218)</f>
        <v>NA</v>
      </c>
      <c r="L218" s="108" t="str">
        <f>IF(D218=0,"NA",SUMIFS(AN_TME_BY[[#All],[Claims: Long-Term Care]],AN_TME_BY[[#All],[Insurance Category Code]],5,AN_TME_BY[[#All],[Advanced Network/Insurance Carrier Org ID]],B218)/D218)</f>
        <v>NA</v>
      </c>
      <c r="M218" s="108" t="str">
        <f>IF(D218=0,"NA",SUMIFS(AN_TME_BY[[#All],[Claims: Other]],AN_TME_BY[[#All],[Insurance Category Code]],5,AN_TME_BY[[#All],[Advanced Network/Insurance Carrier Org ID]],B218)/D218)</f>
        <v>NA</v>
      </c>
      <c r="N218" s="147" t="str">
        <f>IF(D218=0,"NA",SUMIFS(AN_TME_BY[[#All],[TOTAL Non-Truncated Unadjusted Claims Expenses]],AN_TME_BY[[#All],[Insurance Category Code]],5,AN_TME_BY[[#All],[Advanced Network/Insurance Carrier Org ID]],B218)/D218)</f>
        <v>NA</v>
      </c>
      <c r="O218" s="147" t="str">
        <f>IF(D218=0,"NA",SUMIFS(AN_TME_BY[[#All],[TOTAL Truncated Unadjusted Claims Expenses (A21 -A19)]],AN_TME_BY[[#All],[Insurance Category Code]],5,AN_TME_BY[[#All],[Advanced Network/Insurance Carrier Org ID]],B218)/D218)</f>
        <v>NA</v>
      </c>
      <c r="P218" s="147" t="str">
        <f>IF(D218=0,"NA",SUMIFS(AN_TME_BY[[#All],[TOTAL Non-Claims Expenses]],AN_TME_BY[[#All],[Insurance Category Code]],5,AN_TME_BY[[#All],[Advanced Network/Insurance Carrier Org ID]],B218)/D218)</f>
        <v>NA</v>
      </c>
      <c r="Q218" s="147" t="str">
        <f>IF(D218=0,"NA",SUMIFS(AN_TME_BY[[#All],[TOTAL Non-Truncated Unadjusted Expenses (A21 + A23)]],AN_TME_BY[[#All],[Insurance Category Code]],5,AN_TME_BY[[#All],[Advanced Network/Insurance Carrier Org ID]],B218)/D218)</f>
        <v>NA</v>
      </c>
      <c r="R218" s="147" t="str">
        <f>IF(D218=0,"NA",SUMIFS(AN_TME_BY[[#All],[TOTAL Truncated Unadjusted Expenses (A22 + A23)]],AN_TME_BY[[#All],[Insurance Category Code]],5,AN_TME_BY[[#All],[Advanced Network/Insurance Carrier Org ID]],B218)/D218)</f>
        <v>NA</v>
      </c>
      <c r="S218" s="448">
        <f>SUMIFS(AN_TME_PY[[#All],[Member Months]],AN_TME_PY[[#All],[Insurance Category Code]],5,AN_TME_PY[[#All],[Advanced Network/Insurance Carrier Org ID]],B218)</f>
        <v>0</v>
      </c>
      <c r="T218" s="137" t="str">
        <f>IF(S218=0,"NA",SUMIFS(AN_TME_PY[[#All],[Claims: Hospital Inpatient]],AN_TME_PY[[#All],[Insurance Category Code]],5,AN_TME_PY[[#All],[Advanced Network/Insurance Carrier Org ID]],B218)/S218)</f>
        <v>NA</v>
      </c>
      <c r="U218" s="108" t="str">
        <f>IF(S218=0,"NA",SUMIFS(AN_TME_PY[[#All],[Claims: Hospital Outpatient]],AN_TME_PY[[#All],[Insurance Category Code]],5,AN_TME_PY[[#All],[Advanced Network/Insurance Carrier Org ID]],B218)/S218)</f>
        <v>NA</v>
      </c>
      <c r="V218" s="108" t="str">
        <f>IF(S218=0,"NA",SUMIFS(AN_TME_PY[[#All],[Claims: Professional, Primary Care]],AN_TME_PY[[#All],[Insurance Category Code]],5,AN_TME_PY[[#All],[Advanced Network/Insurance Carrier Org ID]],B218)/S218)</f>
        <v>NA</v>
      </c>
      <c r="W218" s="108" t="str">
        <f>IF(S218=0,"NA",SUMIFS(AN_TME_PY[[#All],[Claims: Professional, Primary Care (for Monitoring Purposes)]],AN_TME_PY[[#All],[Insurance Category Code]],5,AN_TME_PY[[#All],[Advanced Network/Insurance Carrier Org ID]],B218)/S218)</f>
        <v>NA</v>
      </c>
      <c r="X218" s="108" t="str">
        <f>IF(S218=0,"NA",SUMIFS(AN_TME_PY[[#All],[Claims: Professional, Specialty]],AN_TME_PY[[#All],[Insurance Category Code]],5,AN_TME_PY[[#All],[Advanced Network/Insurance Carrier Org ID]],B218)/S218)</f>
        <v>NA</v>
      </c>
      <c r="Y218" s="108" t="str">
        <f>IF(S218=0,"NA",SUMIFS(AN_TME_PY[[#All],[Claims: Professional Other]],AN_TME_PY[[#All],[Insurance Category Code]],5,AN_TME_PY[[#All],[Advanced Network/Insurance Carrier Org ID]],B218)/S218)</f>
        <v>NA</v>
      </c>
      <c r="Z218" s="108" t="str">
        <f>IF(S218=0,"NA",SUMIFS(AN_TME_PY[[#All],[Claims: Pharmacy]],AN_TME_PY[[#All],[Insurance Category Code]],5,AN_TME_PY[[#All],[Advanced Network/Insurance Carrier Org ID]],B218)/S218)</f>
        <v>NA</v>
      </c>
      <c r="AA218" s="108" t="str">
        <f>IF(S218=0,"NA",SUMIFS(AN_TME_PY[[#All],[Claims: Long-Term Care]],AN_TME_PY[[#All],[Insurance Category Code]],5,AN_TME_PY[[#All],[Advanced Network/Insurance Carrier Org ID]],B218)/S218)</f>
        <v>NA</v>
      </c>
      <c r="AB218" s="108" t="str">
        <f>IF(S218=0,"NA",SUMIFS(AN_TME_PY[[#All],[Claims: Other]],AN_TME_PY[[#All],[Insurance Category Code]],5,AN_TME_PY[[#All],[Advanced Network/Insurance Carrier Org ID]],B218)/S218)</f>
        <v>NA</v>
      </c>
      <c r="AC218" s="147" t="str">
        <f>IF(S218=0,"NA",SUMIFS(AN_TME_PY[[#All],[TOTAL Non-Truncated Unadjusted Claims Expenses]],AN_TME_PY[[#All],[Insurance Category Code]],5,AN_TME_PY[[#All],[Advanced Network/Insurance Carrier Org ID]],B218)/S218)</f>
        <v>NA</v>
      </c>
      <c r="AD218" s="147" t="str">
        <f>IF(S218=0,"NA",SUMIFS(AN_TME_PY[[#All],[TOTAL Truncated Unadjusted Claims Expenses (A21 -A19)]],AN_TME_PY[[#All],[Insurance Category Code]],5,AN_TME_PY[[#All],[Advanced Network/Insurance Carrier Org ID]],B218)/S218)</f>
        <v>NA</v>
      </c>
      <c r="AE218" s="147" t="str">
        <f>IF(S218=0,"NA",SUMIFS(AN_TME_PY[[#All],[TOTAL Non-Claims Expenses]],AN_TME_PY[[#All],[Insurance Category Code]],5,AN_TME_PY[[#All],[Advanced Network/Insurance Carrier Org ID]],B218)/S218)</f>
        <v>NA</v>
      </c>
      <c r="AF218" s="147" t="str">
        <f>IF(S218=0,"NA",SUMIFS(AN_TME_PY[[#All],[TOTAL Non-Truncated Unadjusted Expenses (A21 + A23)]],AN_TME_PY[[#All],[Insurance Category Code]],5,AN_TME_PY[[#All],[Advanced Network/Insurance Carrier Org ID]],B218)/S218)</f>
        <v>NA</v>
      </c>
      <c r="AG218" s="138" t="str">
        <f>IF(S218=0,"NA",SUMIFS(AN_TME_PY[[#All],[TOTAL Truncated Unadjusted Expenses (A22 + A23)]],AN_TME_PY[[#All],[Insurance Category Code]],5,AN_TME_PY[[#All],[Advanced Network/Insurance Carrier Org ID]],B218)/S218)</f>
        <v>NA</v>
      </c>
      <c r="AH218" s="419" t="str">
        <f t="shared" si="291"/>
        <v>NA</v>
      </c>
      <c r="AI218" s="420" t="str">
        <f t="shared" si="292"/>
        <v>NA</v>
      </c>
      <c r="AJ218" s="421" t="str">
        <f t="shared" si="293"/>
        <v>NA</v>
      </c>
      <c r="AK218" s="421" t="str">
        <f t="shared" si="294"/>
        <v>NA</v>
      </c>
      <c r="AL218" s="421" t="str">
        <f t="shared" si="295"/>
        <v>NA</v>
      </c>
      <c r="AM218" s="421" t="str">
        <f t="shared" si="296"/>
        <v>NA</v>
      </c>
      <c r="AN218" s="421" t="str">
        <f t="shared" si="297"/>
        <v>NA</v>
      </c>
      <c r="AO218" s="421" t="str">
        <f t="shared" si="298"/>
        <v>NA</v>
      </c>
      <c r="AP218" s="421" t="str">
        <f t="shared" si="299"/>
        <v>NA</v>
      </c>
      <c r="AQ218" s="421" t="str">
        <f t="shared" si="300"/>
        <v>NA</v>
      </c>
      <c r="AR218" s="422" t="str">
        <f t="shared" si="301"/>
        <v>NA</v>
      </c>
      <c r="AS218" s="422" t="str">
        <f t="shared" si="302"/>
        <v>NA</v>
      </c>
      <c r="AT218" s="422" t="str">
        <f t="shared" si="303"/>
        <v>NA</v>
      </c>
      <c r="AU218" s="422" t="str">
        <f t="shared" si="304"/>
        <v>NA</v>
      </c>
      <c r="AV218" s="423" t="str">
        <f t="shared" si="305"/>
        <v>NA</v>
      </c>
    </row>
    <row r="219" spans="1:48" ht="15" customHeight="1" x14ac:dyDescent="0.25">
      <c r="A219" s="146"/>
      <c r="B219" s="148">
        <v>107</v>
      </c>
      <c r="C219" s="151" t="str">
        <f>_xlfn.XLOOKUP(B219, LgProvEntOrgIDs[Advanced Network/Insurer Carrier Org ID], LgProvEntOrgIDs[Advanced Network/Insurance Carrier Overall])</f>
        <v>Senior Care Network of CT (dba Advantage Plus Network)</v>
      </c>
      <c r="D219" s="448">
        <f>SUMIFS(AN_TME_BY[[#All],[Member Months]],AN_TME_BY[[#All],[Insurance Category Code]],5,AN_TME_BY[[#All],[Advanced Network/Insurance Carrier Org ID]],B219)</f>
        <v>0</v>
      </c>
      <c r="E219" s="137" t="str">
        <f>IF(D219=0,"NA",SUMIFS(AN_TME_BY[[#All],[Claims: Hospital Inpatient]],AN_TME_BY[[#All],[Insurance Category Code]],5,AN_TME_BY[[#All],[Advanced Network/Insurance Carrier Org ID]],B219)/D219)</f>
        <v>NA</v>
      </c>
      <c r="F219" s="108" t="str">
        <f>IF(D219=0,"NA",SUMIFS(AN_TME_BY[[#All],[Claims: Hospital Outpatient]],AN_TME_BY[[#All],[Insurance Category Code]],5,AN_TME_BY[[#All],[Advanced Network/Insurance Carrier Org ID]],B219)/D219)</f>
        <v>NA</v>
      </c>
      <c r="G219" s="108" t="str">
        <f>IF(D219=0,"NA",SUMIFS(AN_TME_BY[[#All],[Claims: Professional, Primary Care]],AN_TME_BY[[#All],[Insurance Category Code]],5,AN_TME_BY[[#All],[Advanced Network/Insurance Carrier Org ID]],B219)/D219)</f>
        <v>NA</v>
      </c>
      <c r="H219" s="108" t="str">
        <f>IF(D219=0,"NA",SUMIFS(AN_TME_BY[[#All],[Claims: Professional, Primary Care (for Monitoring Purposes)]],AN_TME_BY[[#All],[Insurance Category Code]],5,AN_TME_BY[[#All],[Advanced Network/Insurance Carrier Org ID]],B219)/D219)</f>
        <v>NA</v>
      </c>
      <c r="I219" s="108" t="str">
        <f>IF(D219=0,"NA",SUMIFS(AN_TME_BY[[#All],[Claims: Professional, Specialty]],AN_TME_BY[[#All],[Insurance Category Code]],5,AN_TME_BY[[#All],[Advanced Network/Insurance Carrier Org ID]],B219)/D219)</f>
        <v>NA</v>
      </c>
      <c r="J219" s="108" t="str">
        <f>IF(D219=0,"NA",SUMIFS(AN_TME_BY[[#All],[Claims: Professional Other]],AN_TME_BY[[#All],[Insurance Category Code]],5,AN_TME_BY[[#All],[Advanced Network/Insurance Carrier Org ID]],B219)/D219)</f>
        <v>NA</v>
      </c>
      <c r="K219" s="108" t="str">
        <f>IF(D219=0,"NA",SUMIFS(AN_TME_BY[[#All],[Claims: Pharmacy]],AN_TME_BY[[#All],[Insurance Category Code]],5,AN_TME_BY[[#All],[Advanced Network/Insurance Carrier Org ID]],B219)/D219)</f>
        <v>NA</v>
      </c>
      <c r="L219" s="108" t="str">
        <f>IF(D219=0,"NA",SUMIFS(AN_TME_BY[[#All],[Claims: Long-Term Care]],AN_TME_BY[[#All],[Insurance Category Code]],5,AN_TME_BY[[#All],[Advanced Network/Insurance Carrier Org ID]],B219)/D219)</f>
        <v>NA</v>
      </c>
      <c r="M219" s="108" t="str">
        <f>IF(D219=0,"NA",SUMIFS(AN_TME_BY[[#All],[Claims: Other]],AN_TME_BY[[#All],[Insurance Category Code]],5,AN_TME_BY[[#All],[Advanced Network/Insurance Carrier Org ID]],B219)/D219)</f>
        <v>NA</v>
      </c>
      <c r="N219" s="147" t="str">
        <f>IF(D219=0,"NA",SUMIFS(AN_TME_BY[[#All],[TOTAL Non-Truncated Unadjusted Claims Expenses]],AN_TME_BY[[#All],[Insurance Category Code]],5,AN_TME_BY[[#All],[Advanced Network/Insurance Carrier Org ID]],B219)/D219)</f>
        <v>NA</v>
      </c>
      <c r="O219" s="147" t="str">
        <f>IF(D219=0,"NA",SUMIFS(AN_TME_BY[[#All],[TOTAL Truncated Unadjusted Claims Expenses (A21 -A19)]],AN_TME_BY[[#All],[Insurance Category Code]],5,AN_TME_BY[[#All],[Advanced Network/Insurance Carrier Org ID]],B219)/D219)</f>
        <v>NA</v>
      </c>
      <c r="P219" s="147" t="str">
        <f>IF(D219=0,"NA",SUMIFS(AN_TME_BY[[#All],[TOTAL Non-Claims Expenses]],AN_TME_BY[[#All],[Insurance Category Code]],5,AN_TME_BY[[#All],[Advanced Network/Insurance Carrier Org ID]],B219)/D219)</f>
        <v>NA</v>
      </c>
      <c r="Q219" s="147" t="str">
        <f>IF(D219=0,"NA",SUMIFS(AN_TME_BY[[#All],[TOTAL Non-Truncated Unadjusted Expenses (A21 + A23)]],AN_TME_BY[[#All],[Insurance Category Code]],5,AN_TME_BY[[#All],[Advanced Network/Insurance Carrier Org ID]],B219)/D219)</f>
        <v>NA</v>
      </c>
      <c r="R219" s="147" t="str">
        <f>IF(D219=0,"NA",SUMIFS(AN_TME_BY[[#All],[TOTAL Truncated Unadjusted Expenses (A22 + A23)]],AN_TME_BY[[#All],[Insurance Category Code]],5,AN_TME_BY[[#All],[Advanced Network/Insurance Carrier Org ID]],B219)/D219)</f>
        <v>NA</v>
      </c>
      <c r="S219" s="448">
        <f>SUMIFS(AN_TME_PY[[#All],[Member Months]],AN_TME_PY[[#All],[Insurance Category Code]],5,AN_TME_PY[[#All],[Advanced Network/Insurance Carrier Org ID]],B219)</f>
        <v>0</v>
      </c>
      <c r="T219" s="137" t="str">
        <f>IF(S219=0,"NA",SUMIFS(AN_TME_PY[[#All],[Claims: Hospital Inpatient]],AN_TME_PY[[#All],[Insurance Category Code]],5,AN_TME_PY[[#All],[Advanced Network/Insurance Carrier Org ID]],B219)/S219)</f>
        <v>NA</v>
      </c>
      <c r="U219" s="108" t="str">
        <f>IF(S219=0,"NA",SUMIFS(AN_TME_PY[[#All],[Claims: Hospital Outpatient]],AN_TME_PY[[#All],[Insurance Category Code]],5,AN_TME_PY[[#All],[Advanced Network/Insurance Carrier Org ID]],B219)/S219)</f>
        <v>NA</v>
      </c>
      <c r="V219" s="108" t="str">
        <f>IF(S219=0,"NA",SUMIFS(AN_TME_PY[[#All],[Claims: Professional, Primary Care]],AN_TME_PY[[#All],[Insurance Category Code]],5,AN_TME_PY[[#All],[Advanced Network/Insurance Carrier Org ID]],B219)/S219)</f>
        <v>NA</v>
      </c>
      <c r="W219" s="108" t="str">
        <f>IF(S219=0,"NA",SUMIFS(AN_TME_PY[[#All],[Claims: Professional, Primary Care (for Monitoring Purposes)]],AN_TME_PY[[#All],[Insurance Category Code]],5,AN_TME_PY[[#All],[Advanced Network/Insurance Carrier Org ID]],B219)/S219)</f>
        <v>NA</v>
      </c>
      <c r="X219" s="108" t="str">
        <f>IF(S219=0,"NA",SUMIFS(AN_TME_PY[[#All],[Claims: Professional, Specialty]],AN_TME_PY[[#All],[Insurance Category Code]],5,AN_TME_PY[[#All],[Advanced Network/Insurance Carrier Org ID]],B219)/S219)</f>
        <v>NA</v>
      </c>
      <c r="Y219" s="108" t="str">
        <f>IF(S219=0,"NA",SUMIFS(AN_TME_PY[[#All],[Claims: Professional Other]],AN_TME_PY[[#All],[Insurance Category Code]],5,AN_TME_PY[[#All],[Advanced Network/Insurance Carrier Org ID]],B219)/S219)</f>
        <v>NA</v>
      </c>
      <c r="Z219" s="108" t="str">
        <f>IF(S219=0,"NA",SUMIFS(AN_TME_PY[[#All],[Claims: Pharmacy]],AN_TME_PY[[#All],[Insurance Category Code]],5,AN_TME_PY[[#All],[Advanced Network/Insurance Carrier Org ID]],B219)/S219)</f>
        <v>NA</v>
      </c>
      <c r="AA219" s="108" t="str">
        <f>IF(S219=0,"NA",SUMIFS(AN_TME_PY[[#All],[Claims: Long-Term Care]],AN_TME_PY[[#All],[Insurance Category Code]],5,AN_TME_PY[[#All],[Advanced Network/Insurance Carrier Org ID]],B219)/S219)</f>
        <v>NA</v>
      </c>
      <c r="AB219" s="108" t="str">
        <f>IF(S219=0,"NA",SUMIFS(AN_TME_PY[[#All],[Claims: Other]],AN_TME_PY[[#All],[Insurance Category Code]],5,AN_TME_PY[[#All],[Advanced Network/Insurance Carrier Org ID]],B219)/S219)</f>
        <v>NA</v>
      </c>
      <c r="AC219" s="147" t="str">
        <f>IF(S219=0,"NA",SUMIFS(AN_TME_PY[[#All],[TOTAL Non-Truncated Unadjusted Claims Expenses]],AN_TME_PY[[#All],[Insurance Category Code]],5,AN_TME_PY[[#All],[Advanced Network/Insurance Carrier Org ID]],B219)/S219)</f>
        <v>NA</v>
      </c>
      <c r="AD219" s="147" t="str">
        <f>IF(S219=0,"NA",SUMIFS(AN_TME_PY[[#All],[TOTAL Truncated Unadjusted Claims Expenses (A21 -A19)]],AN_TME_PY[[#All],[Insurance Category Code]],5,AN_TME_PY[[#All],[Advanced Network/Insurance Carrier Org ID]],B219)/S219)</f>
        <v>NA</v>
      </c>
      <c r="AE219" s="147" t="str">
        <f>IF(S219=0,"NA",SUMIFS(AN_TME_PY[[#All],[TOTAL Non-Claims Expenses]],AN_TME_PY[[#All],[Insurance Category Code]],5,AN_TME_PY[[#All],[Advanced Network/Insurance Carrier Org ID]],B219)/S219)</f>
        <v>NA</v>
      </c>
      <c r="AF219" s="147" t="str">
        <f>IF(S219=0,"NA",SUMIFS(AN_TME_PY[[#All],[TOTAL Non-Truncated Unadjusted Expenses (A21 + A23)]],AN_TME_PY[[#All],[Insurance Category Code]],5,AN_TME_PY[[#All],[Advanced Network/Insurance Carrier Org ID]],B219)/S219)</f>
        <v>NA</v>
      </c>
      <c r="AG219" s="138" t="str">
        <f>IF(S219=0,"NA",SUMIFS(AN_TME_PY[[#All],[TOTAL Truncated Unadjusted Expenses (A22 + A23)]],AN_TME_PY[[#All],[Insurance Category Code]],5,AN_TME_PY[[#All],[Advanced Network/Insurance Carrier Org ID]],B219)/S219)</f>
        <v>NA</v>
      </c>
      <c r="AH219" s="419" t="str">
        <f t="shared" si="291"/>
        <v>NA</v>
      </c>
      <c r="AI219" s="420" t="str">
        <f t="shared" si="292"/>
        <v>NA</v>
      </c>
      <c r="AJ219" s="421" t="str">
        <f t="shared" si="293"/>
        <v>NA</v>
      </c>
      <c r="AK219" s="421" t="str">
        <f t="shared" si="294"/>
        <v>NA</v>
      </c>
      <c r="AL219" s="421" t="str">
        <f t="shared" si="295"/>
        <v>NA</v>
      </c>
      <c r="AM219" s="421" t="str">
        <f t="shared" si="296"/>
        <v>NA</v>
      </c>
      <c r="AN219" s="421" t="str">
        <f t="shared" si="297"/>
        <v>NA</v>
      </c>
      <c r="AO219" s="421" t="str">
        <f t="shared" si="298"/>
        <v>NA</v>
      </c>
      <c r="AP219" s="421" t="str">
        <f t="shared" si="299"/>
        <v>NA</v>
      </c>
      <c r="AQ219" s="421" t="str">
        <f t="shared" si="300"/>
        <v>NA</v>
      </c>
      <c r="AR219" s="422" t="str">
        <f t="shared" si="301"/>
        <v>NA</v>
      </c>
      <c r="AS219" s="422" t="str">
        <f t="shared" si="302"/>
        <v>NA</v>
      </c>
      <c r="AT219" s="422" t="str">
        <f t="shared" si="303"/>
        <v>NA</v>
      </c>
      <c r="AU219" s="422" t="str">
        <f t="shared" si="304"/>
        <v>NA</v>
      </c>
      <c r="AV219" s="423" t="str">
        <f t="shared" si="305"/>
        <v>NA</v>
      </c>
    </row>
    <row r="220" spans="1:48" ht="45" customHeight="1" x14ac:dyDescent="0.25">
      <c r="A220" s="146"/>
      <c r="B220" s="148">
        <v>108</v>
      </c>
      <c r="C220" s="151" t="str">
        <f>_xlfn.XLOOKUP(B220, LgProvEntOrgIDs[Advanced Network/Insurer Carrier Org ID], LgProvEntOrgIDs[Advanced Network/Insurance Carrier Overall])</f>
        <v>Prospect Connecticut Medical Foundation Inc. (dba Prospect Medical, Prospect Health Services, Prospect Holdings)</v>
      </c>
      <c r="D220" s="448">
        <f>SUMIFS(AN_TME_BY[[#All],[Member Months]],AN_TME_BY[[#All],[Insurance Category Code]],5,AN_TME_BY[[#All],[Advanced Network/Insurance Carrier Org ID]],B220)</f>
        <v>0</v>
      </c>
      <c r="E220" s="137" t="str">
        <f>IF(D220=0,"NA",SUMIFS(AN_TME_BY[[#All],[Claims: Hospital Inpatient]],AN_TME_BY[[#All],[Insurance Category Code]],5,AN_TME_BY[[#All],[Advanced Network/Insurance Carrier Org ID]],B220)/D220)</f>
        <v>NA</v>
      </c>
      <c r="F220" s="108" t="str">
        <f>IF(D220=0,"NA",SUMIFS(AN_TME_BY[[#All],[Claims: Hospital Outpatient]],AN_TME_BY[[#All],[Insurance Category Code]],5,AN_TME_BY[[#All],[Advanced Network/Insurance Carrier Org ID]],B220)/D220)</f>
        <v>NA</v>
      </c>
      <c r="G220" s="108" t="str">
        <f>IF(D220=0,"NA",SUMIFS(AN_TME_BY[[#All],[Claims: Professional, Primary Care]],AN_TME_BY[[#All],[Insurance Category Code]],5,AN_TME_BY[[#All],[Advanced Network/Insurance Carrier Org ID]],B220)/D220)</f>
        <v>NA</v>
      </c>
      <c r="H220" s="108" t="str">
        <f>IF(D220=0,"NA",SUMIFS(AN_TME_BY[[#All],[Claims: Professional, Primary Care (for Monitoring Purposes)]],AN_TME_BY[[#All],[Insurance Category Code]],5,AN_TME_BY[[#All],[Advanced Network/Insurance Carrier Org ID]],B220)/D220)</f>
        <v>NA</v>
      </c>
      <c r="I220" s="108" t="str">
        <f>IF(D220=0,"NA",SUMIFS(AN_TME_BY[[#All],[Claims: Professional, Specialty]],AN_TME_BY[[#All],[Insurance Category Code]],5,AN_TME_BY[[#All],[Advanced Network/Insurance Carrier Org ID]],B220)/D220)</f>
        <v>NA</v>
      </c>
      <c r="J220" s="108" t="str">
        <f>IF(D220=0,"NA",SUMIFS(AN_TME_BY[[#All],[Claims: Professional Other]],AN_TME_BY[[#All],[Insurance Category Code]],5,AN_TME_BY[[#All],[Advanced Network/Insurance Carrier Org ID]],B220)/D220)</f>
        <v>NA</v>
      </c>
      <c r="K220" s="108" t="str">
        <f>IF(D220=0,"NA",SUMIFS(AN_TME_BY[[#All],[Claims: Pharmacy]],AN_TME_BY[[#All],[Insurance Category Code]],5,AN_TME_BY[[#All],[Advanced Network/Insurance Carrier Org ID]],B220)/D220)</f>
        <v>NA</v>
      </c>
      <c r="L220" s="108" t="str">
        <f>IF(D220=0,"NA",SUMIFS(AN_TME_BY[[#All],[Claims: Long-Term Care]],AN_TME_BY[[#All],[Insurance Category Code]],5,AN_TME_BY[[#All],[Advanced Network/Insurance Carrier Org ID]],B220)/D220)</f>
        <v>NA</v>
      </c>
      <c r="M220" s="108" t="str">
        <f>IF(D220=0,"NA",SUMIFS(AN_TME_BY[[#All],[Claims: Other]],AN_TME_BY[[#All],[Insurance Category Code]],5,AN_TME_BY[[#All],[Advanced Network/Insurance Carrier Org ID]],B220)/D220)</f>
        <v>NA</v>
      </c>
      <c r="N220" s="147" t="str">
        <f>IF(D220=0,"NA",SUMIFS(AN_TME_BY[[#All],[TOTAL Non-Truncated Unadjusted Claims Expenses]],AN_TME_BY[[#All],[Insurance Category Code]],5,AN_TME_BY[[#All],[Advanced Network/Insurance Carrier Org ID]],B220)/D220)</f>
        <v>NA</v>
      </c>
      <c r="O220" s="147" t="str">
        <f>IF(D220=0,"NA",SUMIFS(AN_TME_BY[[#All],[TOTAL Truncated Unadjusted Claims Expenses (A21 -A19)]],AN_TME_BY[[#All],[Insurance Category Code]],5,AN_TME_BY[[#All],[Advanced Network/Insurance Carrier Org ID]],B220)/D220)</f>
        <v>NA</v>
      </c>
      <c r="P220" s="147" t="str">
        <f>IF(D220=0,"NA",SUMIFS(AN_TME_BY[[#All],[TOTAL Non-Claims Expenses]],AN_TME_BY[[#All],[Insurance Category Code]],5,AN_TME_BY[[#All],[Advanced Network/Insurance Carrier Org ID]],B220)/D220)</f>
        <v>NA</v>
      </c>
      <c r="Q220" s="147" t="str">
        <f>IF(D220=0,"NA",SUMIFS(AN_TME_BY[[#All],[TOTAL Non-Truncated Unadjusted Expenses (A21 + A23)]],AN_TME_BY[[#All],[Insurance Category Code]],5,AN_TME_BY[[#All],[Advanced Network/Insurance Carrier Org ID]],B220)/D220)</f>
        <v>NA</v>
      </c>
      <c r="R220" s="147" t="str">
        <f>IF(D220=0,"NA",SUMIFS(AN_TME_BY[[#All],[TOTAL Truncated Unadjusted Expenses (A22 + A23)]],AN_TME_BY[[#All],[Insurance Category Code]],5,AN_TME_BY[[#All],[Advanced Network/Insurance Carrier Org ID]],B220)/D220)</f>
        <v>NA</v>
      </c>
      <c r="S220" s="448">
        <f>SUMIFS(AN_TME_PY[[#All],[Member Months]],AN_TME_PY[[#All],[Insurance Category Code]],5,AN_TME_PY[[#All],[Advanced Network/Insurance Carrier Org ID]],B220)</f>
        <v>0</v>
      </c>
      <c r="T220" s="137" t="str">
        <f>IF(S220=0,"NA",SUMIFS(AN_TME_PY[[#All],[Claims: Hospital Inpatient]],AN_TME_PY[[#All],[Insurance Category Code]],5,AN_TME_PY[[#All],[Advanced Network/Insurance Carrier Org ID]],B220)/S220)</f>
        <v>NA</v>
      </c>
      <c r="U220" s="108" t="str">
        <f>IF(S220=0,"NA",SUMIFS(AN_TME_PY[[#All],[Claims: Hospital Outpatient]],AN_TME_PY[[#All],[Insurance Category Code]],5,AN_TME_PY[[#All],[Advanced Network/Insurance Carrier Org ID]],B220)/S220)</f>
        <v>NA</v>
      </c>
      <c r="V220" s="108" t="str">
        <f>IF(S220=0,"NA",SUMIFS(AN_TME_PY[[#All],[Claims: Professional, Primary Care]],AN_TME_PY[[#All],[Insurance Category Code]],5,AN_TME_PY[[#All],[Advanced Network/Insurance Carrier Org ID]],B220)/S220)</f>
        <v>NA</v>
      </c>
      <c r="W220" s="108" t="str">
        <f>IF(S220=0,"NA",SUMIFS(AN_TME_PY[[#All],[Claims: Professional, Primary Care (for Monitoring Purposes)]],AN_TME_PY[[#All],[Insurance Category Code]],5,AN_TME_PY[[#All],[Advanced Network/Insurance Carrier Org ID]],B220)/S220)</f>
        <v>NA</v>
      </c>
      <c r="X220" s="108" t="str">
        <f>IF(S220=0,"NA",SUMIFS(AN_TME_PY[[#All],[Claims: Professional, Specialty]],AN_TME_PY[[#All],[Insurance Category Code]],5,AN_TME_PY[[#All],[Advanced Network/Insurance Carrier Org ID]],B220)/S220)</f>
        <v>NA</v>
      </c>
      <c r="Y220" s="108" t="str">
        <f>IF(S220=0,"NA",SUMIFS(AN_TME_PY[[#All],[Claims: Professional Other]],AN_TME_PY[[#All],[Insurance Category Code]],5,AN_TME_PY[[#All],[Advanced Network/Insurance Carrier Org ID]],B220)/S220)</f>
        <v>NA</v>
      </c>
      <c r="Z220" s="108" t="str">
        <f>IF(S220=0,"NA",SUMIFS(AN_TME_PY[[#All],[Claims: Pharmacy]],AN_TME_PY[[#All],[Insurance Category Code]],5,AN_TME_PY[[#All],[Advanced Network/Insurance Carrier Org ID]],B220)/S220)</f>
        <v>NA</v>
      </c>
      <c r="AA220" s="108" t="str">
        <f>IF(S220=0,"NA",SUMIFS(AN_TME_PY[[#All],[Claims: Long-Term Care]],AN_TME_PY[[#All],[Insurance Category Code]],5,AN_TME_PY[[#All],[Advanced Network/Insurance Carrier Org ID]],B220)/S220)</f>
        <v>NA</v>
      </c>
      <c r="AB220" s="108" t="str">
        <f>IF(S220=0,"NA",SUMIFS(AN_TME_PY[[#All],[Claims: Other]],AN_TME_PY[[#All],[Insurance Category Code]],5,AN_TME_PY[[#All],[Advanced Network/Insurance Carrier Org ID]],B220)/S220)</f>
        <v>NA</v>
      </c>
      <c r="AC220" s="147" t="str">
        <f>IF(S220=0,"NA",SUMIFS(AN_TME_PY[[#All],[TOTAL Non-Truncated Unadjusted Claims Expenses]],AN_TME_PY[[#All],[Insurance Category Code]],5,AN_TME_PY[[#All],[Advanced Network/Insurance Carrier Org ID]],B220)/S220)</f>
        <v>NA</v>
      </c>
      <c r="AD220" s="147" t="str">
        <f>IF(S220=0,"NA",SUMIFS(AN_TME_PY[[#All],[TOTAL Truncated Unadjusted Claims Expenses (A21 -A19)]],AN_TME_PY[[#All],[Insurance Category Code]],5,AN_TME_PY[[#All],[Advanced Network/Insurance Carrier Org ID]],B220)/S220)</f>
        <v>NA</v>
      </c>
      <c r="AE220" s="147" t="str">
        <f>IF(S220=0,"NA",SUMIFS(AN_TME_PY[[#All],[TOTAL Non-Claims Expenses]],AN_TME_PY[[#All],[Insurance Category Code]],5,AN_TME_PY[[#All],[Advanced Network/Insurance Carrier Org ID]],B220)/S220)</f>
        <v>NA</v>
      </c>
      <c r="AF220" s="147" t="str">
        <f>IF(S220=0,"NA",SUMIFS(AN_TME_PY[[#All],[TOTAL Non-Truncated Unadjusted Expenses (A21 + A23)]],AN_TME_PY[[#All],[Insurance Category Code]],5,AN_TME_PY[[#All],[Advanced Network/Insurance Carrier Org ID]],B220)/S220)</f>
        <v>NA</v>
      </c>
      <c r="AG220" s="138" t="str">
        <f>IF(S220=0,"NA",SUMIFS(AN_TME_PY[[#All],[TOTAL Truncated Unadjusted Expenses (A22 + A23)]],AN_TME_PY[[#All],[Insurance Category Code]],5,AN_TME_PY[[#All],[Advanced Network/Insurance Carrier Org ID]],B220)/S220)</f>
        <v>NA</v>
      </c>
      <c r="AH220" s="419" t="str">
        <f t="shared" si="291"/>
        <v>NA</v>
      </c>
      <c r="AI220" s="420" t="str">
        <f t="shared" si="292"/>
        <v>NA</v>
      </c>
      <c r="AJ220" s="421" t="str">
        <f t="shared" si="293"/>
        <v>NA</v>
      </c>
      <c r="AK220" s="421" t="str">
        <f t="shared" si="294"/>
        <v>NA</v>
      </c>
      <c r="AL220" s="421" t="str">
        <f t="shared" si="295"/>
        <v>NA</v>
      </c>
      <c r="AM220" s="421" t="str">
        <f t="shared" si="296"/>
        <v>NA</v>
      </c>
      <c r="AN220" s="421" t="str">
        <f t="shared" si="297"/>
        <v>NA</v>
      </c>
      <c r="AO220" s="421" t="str">
        <f t="shared" si="298"/>
        <v>NA</v>
      </c>
      <c r="AP220" s="421" t="str">
        <f t="shared" si="299"/>
        <v>NA</v>
      </c>
      <c r="AQ220" s="421" t="str">
        <f t="shared" si="300"/>
        <v>NA</v>
      </c>
      <c r="AR220" s="422" t="str">
        <f t="shared" si="301"/>
        <v>NA</v>
      </c>
      <c r="AS220" s="422" t="str">
        <f t="shared" si="302"/>
        <v>NA</v>
      </c>
      <c r="AT220" s="422" t="str">
        <f t="shared" si="303"/>
        <v>NA</v>
      </c>
      <c r="AU220" s="422" t="str">
        <f t="shared" si="304"/>
        <v>NA</v>
      </c>
      <c r="AV220" s="423" t="str">
        <f t="shared" si="305"/>
        <v>NA</v>
      </c>
    </row>
    <row r="221" spans="1:48" ht="45" customHeight="1" x14ac:dyDescent="0.25">
      <c r="A221" s="146"/>
      <c r="B221" s="148">
        <v>109</v>
      </c>
      <c r="C221" s="151" t="str">
        <f>_xlfn.XLOOKUP(B221, LgProvEntOrgIDs[Advanced Network/Insurer Carrier Org ID], LgProvEntOrgIDs[Advanced Network/Insurance Carrier Overall])</f>
        <v>Southern New England Health Care Organization (aka SoNE Health)</v>
      </c>
      <c r="D221" s="448">
        <f>SUMIFS(AN_TME_BY[[#All],[Member Months]],AN_TME_BY[[#All],[Insurance Category Code]],5,AN_TME_BY[[#All],[Advanced Network/Insurance Carrier Org ID]],B221)</f>
        <v>0</v>
      </c>
      <c r="E221" s="137" t="str">
        <f>IF(D221=0,"NA",SUMIFS(AN_TME_BY[[#All],[Claims: Hospital Inpatient]],AN_TME_BY[[#All],[Insurance Category Code]],5,AN_TME_BY[[#All],[Advanced Network/Insurance Carrier Org ID]],B221)/D221)</f>
        <v>NA</v>
      </c>
      <c r="F221" s="108" t="str">
        <f>IF(D221=0,"NA",SUMIFS(AN_TME_BY[[#All],[Claims: Hospital Outpatient]],AN_TME_BY[[#All],[Insurance Category Code]],5,AN_TME_BY[[#All],[Advanced Network/Insurance Carrier Org ID]],B221)/D221)</f>
        <v>NA</v>
      </c>
      <c r="G221" s="108" t="str">
        <f>IF(D221=0,"NA",SUMIFS(AN_TME_BY[[#All],[Claims: Professional, Primary Care]],AN_TME_BY[[#All],[Insurance Category Code]],5,AN_TME_BY[[#All],[Advanced Network/Insurance Carrier Org ID]],B221)/D221)</f>
        <v>NA</v>
      </c>
      <c r="H221" s="108" t="str">
        <f>IF(D221=0,"NA",SUMIFS(AN_TME_BY[[#All],[Claims: Professional, Primary Care (for Monitoring Purposes)]],AN_TME_BY[[#All],[Insurance Category Code]],5,AN_TME_BY[[#All],[Advanced Network/Insurance Carrier Org ID]],B221)/D221)</f>
        <v>NA</v>
      </c>
      <c r="I221" s="108" t="str">
        <f>IF(D221=0,"NA",SUMIFS(AN_TME_BY[[#All],[Claims: Professional, Specialty]],AN_TME_BY[[#All],[Insurance Category Code]],5,AN_TME_BY[[#All],[Advanced Network/Insurance Carrier Org ID]],B221)/D221)</f>
        <v>NA</v>
      </c>
      <c r="J221" s="108" t="str">
        <f>IF(D221=0,"NA",SUMIFS(AN_TME_BY[[#All],[Claims: Professional Other]],AN_TME_BY[[#All],[Insurance Category Code]],5,AN_TME_BY[[#All],[Advanced Network/Insurance Carrier Org ID]],B221)/D221)</f>
        <v>NA</v>
      </c>
      <c r="K221" s="108" t="str">
        <f>IF(D221=0,"NA",SUMIFS(AN_TME_BY[[#All],[Claims: Pharmacy]],AN_TME_BY[[#All],[Insurance Category Code]],5,AN_TME_BY[[#All],[Advanced Network/Insurance Carrier Org ID]],B221)/D221)</f>
        <v>NA</v>
      </c>
      <c r="L221" s="108" t="str">
        <f>IF(D221=0,"NA",SUMIFS(AN_TME_BY[[#All],[Claims: Long-Term Care]],AN_TME_BY[[#All],[Insurance Category Code]],5,AN_TME_BY[[#All],[Advanced Network/Insurance Carrier Org ID]],B221)/D221)</f>
        <v>NA</v>
      </c>
      <c r="M221" s="108" t="str">
        <f>IF(D221=0,"NA",SUMIFS(AN_TME_BY[[#All],[Claims: Other]],AN_TME_BY[[#All],[Insurance Category Code]],5,AN_TME_BY[[#All],[Advanced Network/Insurance Carrier Org ID]],B221)/D221)</f>
        <v>NA</v>
      </c>
      <c r="N221" s="147" t="str">
        <f>IF(D221=0,"NA",SUMIFS(AN_TME_BY[[#All],[TOTAL Non-Truncated Unadjusted Claims Expenses]],AN_TME_BY[[#All],[Insurance Category Code]],5,AN_TME_BY[[#All],[Advanced Network/Insurance Carrier Org ID]],B221)/D221)</f>
        <v>NA</v>
      </c>
      <c r="O221" s="147" t="str">
        <f>IF(D221=0,"NA",SUMIFS(AN_TME_BY[[#All],[TOTAL Truncated Unadjusted Claims Expenses (A21 -A19)]],AN_TME_BY[[#All],[Insurance Category Code]],5,AN_TME_BY[[#All],[Advanced Network/Insurance Carrier Org ID]],B221)/D221)</f>
        <v>NA</v>
      </c>
      <c r="P221" s="147" t="str">
        <f>IF(D221=0,"NA",SUMIFS(AN_TME_BY[[#All],[TOTAL Non-Claims Expenses]],AN_TME_BY[[#All],[Insurance Category Code]],5,AN_TME_BY[[#All],[Advanced Network/Insurance Carrier Org ID]],B221)/D221)</f>
        <v>NA</v>
      </c>
      <c r="Q221" s="147" t="str">
        <f>IF(D221=0,"NA",SUMIFS(AN_TME_BY[[#All],[TOTAL Non-Truncated Unadjusted Expenses (A21 + A23)]],AN_TME_BY[[#All],[Insurance Category Code]],5,AN_TME_BY[[#All],[Advanced Network/Insurance Carrier Org ID]],B221)/D221)</f>
        <v>NA</v>
      </c>
      <c r="R221" s="147" t="str">
        <f>IF(D221=0,"NA",SUMIFS(AN_TME_BY[[#All],[TOTAL Truncated Unadjusted Expenses (A22 + A23)]],AN_TME_BY[[#All],[Insurance Category Code]],5,AN_TME_BY[[#All],[Advanced Network/Insurance Carrier Org ID]],B221)/D221)</f>
        <v>NA</v>
      </c>
      <c r="S221" s="448">
        <f>SUMIFS(AN_TME_PY[[#All],[Member Months]],AN_TME_PY[[#All],[Insurance Category Code]],5,AN_TME_PY[[#All],[Advanced Network/Insurance Carrier Org ID]],B221)</f>
        <v>0</v>
      </c>
      <c r="T221" s="137" t="str">
        <f>IF(S221=0,"NA",SUMIFS(AN_TME_PY[[#All],[Claims: Hospital Inpatient]],AN_TME_PY[[#All],[Insurance Category Code]],5,AN_TME_PY[[#All],[Advanced Network/Insurance Carrier Org ID]],B221)/S221)</f>
        <v>NA</v>
      </c>
      <c r="U221" s="108" t="str">
        <f>IF(S221=0,"NA",SUMIFS(AN_TME_PY[[#All],[Claims: Hospital Outpatient]],AN_TME_PY[[#All],[Insurance Category Code]],5,AN_TME_PY[[#All],[Advanced Network/Insurance Carrier Org ID]],B221)/S221)</f>
        <v>NA</v>
      </c>
      <c r="V221" s="108" t="str">
        <f>IF(S221=0,"NA",SUMIFS(AN_TME_PY[[#All],[Claims: Professional, Primary Care]],AN_TME_PY[[#All],[Insurance Category Code]],5,AN_TME_PY[[#All],[Advanced Network/Insurance Carrier Org ID]],B221)/S221)</f>
        <v>NA</v>
      </c>
      <c r="W221" s="108" t="str">
        <f>IF(S221=0,"NA",SUMIFS(AN_TME_PY[[#All],[Claims: Professional, Primary Care (for Monitoring Purposes)]],AN_TME_PY[[#All],[Insurance Category Code]],5,AN_TME_PY[[#All],[Advanced Network/Insurance Carrier Org ID]],B221)/S221)</f>
        <v>NA</v>
      </c>
      <c r="X221" s="108" t="str">
        <f>IF(S221=0,"NA",SUMIFS(AN_TME_PY[[#All],[Claims: Professional, Specialty]],AN_TME_PY[[#All],[Insurance Category Code]],5,AN_TME_PY[[#All],[Advanced Network/Insurance Carrier Org ID]],B221)/S221)</f>
        <v>NA</v>
      </c>
      <c r="Y221" s="108" t="str">
        <f>IF(S221=0,"NA",SUMIFS(AN_TME_PY[[#All],[Claims: Professional Other]],AN_TME_PY[[#All],[Insurance Category Code]],5,AN_TME_PY[[#All],[Advanced Network/Insurance Carrier Org ID]],B221)/S221)</f>
        <v>NA</v>
      </c>
      <c r="Z221" s="108" t="str">
        <f>IF(S221=0,"NA",SUMIFS(AN_TME_PY[[#All],[Claims: Pharmacy]],AN_TME_PY[[#All],[Insurance Category Code]],5,AN_TME_PY[[#All],[Advanced Network/Insurance Carrier Org ID]],B221)/S221)</f>
        <v>NA</v>
      </c>
      <c r="AA221" s="108" t="str">
        <f>IF(S221=0,"NA",SUMIFS(AN_TME_PY[[#All],[Claims: Long-Term Care]],AN_TME_PY[[#All],[Insurance Category Code]],5,AN_TME_PY[[#All],[Advanced Network/Insurance Carrier Org ID]],B221)/S221)</f>
        <v>NA</v>
      </c>
      <c r="AB221" s="108" t="str">
        <f>IF(S221=0,"NA",SUMIFS(AN_TME_PY[[#All],[Claims: Other]],AN_TME_PY[[#All],[Insurance Category Code]],5,AN_TME_PY[[#All],[Advanced Network/Insurance Carrier Org ID]],B221)/S221)</f>
        <v>NA</v>
      </c>
      <c r="AC221" s="147" t="str">
        <f>IF(S221=0,"NA",SUMIFS(AN_TME_PY[[#All],[TOTAL Non-Truncated Unadjusted Claims Expenses]],AN_TME_PY[[#All],[Insurance Category Code]],5,AN_TME_PY[[#All],[Advanced Network/Insurance Carrier Org ID]],B221)/S221)</f>
        <v>NA</v>
      </c>
      <c r="AD221" s="147" t="str">
        <f>IF(S221=0,"NA",SUMIFS(AN_TME_PY[[#All],[TOTAL Truncated Unadjusted Claims Expenses (A21 -A19)]],AN_TME_PY[[#All],[Insurance Category Code]],5,AN_TME_PY[[#All],[Advanced Network/Insurance Carrier Org ID]],B221)/S221)</f>
        <v>NA</v>
      </c>
      <c r="AE221" s="147" t="str">
        <f>IF(S221=0,"NA",SUMIFS(AN_TME_PY[[#All],[TOTAL Non-Claims Expenses]],AN_TME_PY[[#All],[Insurance Category Code]],5,AN_TME_PY[[#All],[Advanced Network/Insurance Carrier Org ID]],B221)/S221)</f>
        <v>NA</v>
      </c>
      <c r="AF221" s="147" t="str">
        <f>IF(S221=0,"NA",SUMIFS(AN_TME_PY[[#All],[TOTAL Non-Truncated Unadjusted Expenses (A21 + A23)]],AN_TME_PY[[#All],[Insurance Category Code]],5,AN_TME_PY[[#All],[Advanced Network/Insurance Carrier Org ID]],B221)/S221)</f>
        <v>NA</v>
      </c>
      <c r="AG221" s="138" t="str">
        <f>IF(S221=0,"NA",SUMIFS(AN_TME_PY[[#All],[TOTAL Truncated Unadjusted Expenses (A22 + A23)]],AN_TME_PY[[#All],[Insurance Category Code]],5,AN_TME_PY[[#All],[Advanced Network/Insurance Carrier Org ID]],B221)/S221)</f>
        <v>NA</v>
      </c>
      <c r="AH221" s="419" t="str">
        <f t="shared" si="291"/>
        <v>NA</v>
      </c>
      <c r="AI221" s="420" t="str">
        <f t="shared" si="292"/>
        <v>NA</v>
      </c>
      <c r="AJ221" s="421" t="str">
        <f t="shared" si="293"/>
        <v>NA</v>
      </c>
      <c r="AK221" s="421" t="str">
        <f>IF(D221=0,"NA",#REF!/G221-1)</f>
        <v>NA</v>
      </c>
      <c r="AL221" s="421" t="str">
        <f t="shared" si="295"/>
        <v>NA</v>
      </c>
      <c r="AM221" s="421" t="str">
        <f t="shared" si="296"/>
        <v>NA</v>
      </c>
      <c r="AN221" s="421" t="str">
        <f t="shared" si="297"/>
        <v>NA</v>
      </c>
      <c r="AO221" s="421" t="str">
        <f t="shared" si="298"/>
        <v>NA</v>
      </c>
      <c r="AP221" s="421" t="str">
        <f t="shared" si="299"/>
        <v>NA</v>
      </c>
      <c r="AQ221" s="421" t="str">
        <f t="shared" si="300"/>
        <v>NA</v>
      </c>
      <c r="AR221" s="422" t="str">
        <f t="shared" si="301"/>
        <v>NA</v>
      </c>
      <c r="AS221" s="422" t="str">
        <f t="shared" si="302"/>
        <v>NA</v>
      </c>
      <c r="AT221" s="422" t="str">
        <f t="shared" si="303"/>
        <v>NA</v>
      </c>
      <c r="AU221" s="422" t="str">
        <f t="shared" si="304"/>
        <v>NA</v>
      </c>
      <c r="AV221" s="423" t="str">
        <f t="shared" si="305"/>
        <v>NA</v>
      </c>
    </row>
    <row r="222" spans="1:48" ht="15" customHeight="1" x14ac:dyDescent="0.25">
      <c r="A222" s="146"/>
      <c r="B222" s="148">
        <v>110</v>
      </c>
      <c r="C222" s="151" t="str">
        <f>_xlfn.XLOOKUP(B222, LgProvEntOrgIDs[Advanced Network/Insurer Carrier Org ID], LgProvEntOrgIDs[Advanced Network/Insurance Carrier Overall])</f>
        <v>Value Care Alliance</v>
      </c>
      <c r="D222" s="448">
        <f>SUMIFS(AN_TME_BY[[#All],[Member Months]],AN_TME_BY[[#All],[Insurance Category Code]],5,AN_TME_BY[[#All],[Advanced Network/Insurance Carrier Org ID]],B222)</f>
        <v>0</v>
      </c>
      <c r="E222" s="137" t="str">
        <f>IF(D222=0,"NA",SUMIFS(AN_TME_BY[[#All],[Claims: Hospital Inpatient]],AN_TME_BY[[#All],[Insurance Category Code]],5,AN_TME_BY[[#All],[Advanced Network/Insurance Carrier Org ID]],B222)/D222)</f>
        <v>NA</v>
      </c>
      <c r="F222" s="108" t="str">
        <f>IF(D222=0,"NA",SUMIFS(AN_TME_BY[[#All],[Claims: Hospital Outpatient]],AN_TME_BY[[#All],[Insurance Category Code]],5,AN_TME_BY[[#All],[Advanced Network/Insurance Carrier Org ID]],B222)/D222)</f>
        <v>NA</v>
      </c>
      <c r="G222" s="108" t="str">
        <f>IF(D222=0,"NA",SUMIFS(AN_TME_BY[[#All],[Claims: Professional, Primary Care]],AN_TME_BY[[#All],[Insurance Category Code]],5,AN_TME_BY[[#All],[Advanced Network/Insurance Carrier Org ID]],B222)/D222)</f>
        <v>NA</v>
      </c>
      <c r="H222" s="108" t="str">
        <f>IF(D222=0,"NA",SUMIFS(AN_TME_BY[[#All],[Claims: Professional, Primary Care (for Monitoring Purposes)]],AN_TME_BY[[#All],[Insurance Category Code]],5,AN_TME_BY[[#All],[Advanced Network/Insurance Carrier Org ID]],B222)/D222)</f>
        <v>NA</v>
      </c>
      <c r="I222" s="108" t="str">
        <f>IF(D222=0,"NA",SUMIFS(AN_TME_BY[[#All],[Claims: Professional, Specialty]],AN_TME_BY[[#All],[Insurance Category Code]],5,AN_TME_BY[[#All],[Advanced Network/Insurance Carrier Org ID]],B222)/D222)</f>
        <v>NA</v>
      </c>
      <c r="J222" s="108" t="str">
        <f>IF(D222=0,"NA",SUMIFS(AN_TME_BY[[#All],[Claims: Professional Other]],AN_TME_BY[[#All],[Insurance Category Code]],5,AN_TME_BY[[#All],[Advanced Network/Insurance Carrier Org ID]],B222)/D222)</f>
        <v>NA</v>
      </c>
      <c r="K222" s="108" t="str">
        <f>IF(D222=0,"NA",SUMIFS(AN_TME_BY[[#All],[Claims: Pharmacy]],AN_TME_BY[[#All],[Insurance Category Code]],5,AN_TME_BY[[#All],[Advanced Network/Insurance Carrier Org ID]],B222)/D222)</f>
        <v>NA</v>
      </c>
      <c r="L222" s="108" t="str">
        <f>IF(D222=0,"NA",SUMIFS(AN_TME_BY[[#All],[Claims: Long-Term Care]],AN_TME_BY[[#All],[Insurance Category Code]],5,AN_TME_BY[[#All],[Advanced Network/Insurance Carrier Org ID]],B222)/D222)</f>
        <v>NA</v>
      </c>
      <c r="M222" s="108" t="str">
        <f>IF(D222=0,"NA",SUMIFS(AN_TME_BY[[#All],[Claims: Other]],AN_TME_BY[[#All],[Insurance Category Code]],5,AN_TME_BY[[#All],[Advanced Network/Insurance Carrier Org ID]],B222)/D222)</f>
        <v>NA</v>
      </c>
      <c r="N222" s="147" t="str">
        <f>IF(D222=0,"NA",SUMIFS(AN_TME_BY[[#All],[TOTAL Non-Truncated Unadjusted Claims Expenses]],AN_TME_BY[[#All],[Insurance Category Code]],5,AN_TME_BY[[#All],[Advanced Network/Insurance Carrier Org ID]],B222)/D222)</f>
        <v>NA</v>
      </c>
      <c r="O222" s="147" t="str">
        <f>IF(D222=0,"NA",SUMIFS(AN_TME_BY[[#All],[TOTAL Truncated Unadjusted Claims Expenses (A21 -A19)]],AN_TME_BY[[#All],[Insurance Category Code]],5,AN_TME_BY[[#All],[Advanced Network/Insurance Carrier Org ID]],B222)/D222)</f>
        <v>NA</v>
      </c>
      <c r="P222" s="147" t="str">
        <f>IF(D222=0,"NA",SUMIFS(AN_TME_BY[[#All],[TOTAL Non-Claims Expenses]],AN_TME_BY[[#All],[Insurance Category Code]],5,AN_TME_BY[[#All],[Advanced Network/Insurance Carrier Org ID]],B222)/D222)</f>
        <v>NA</v>
      </c>
      <c r="Q222" s="147" t="str">
        <f>IF(D222=0,"NA",SUMIFS(AN_TME_BY[[#All],[TOTAL Non-Truncated Unadjusted Expenses (A21 + A23)]],AN_TME_BY[[#All],[Insurance Category Code]],5,AN_TME_BY[[#All],[Advanced Network/Insurance Carrier Org ID]],B222)/D222)</f>
        <v>NA</v>
      </c>
      <c r="R222" s="147" t="str">
        <f>IF(D222=0,"NA",SUMIFS(AN_TME_BY[[#All],[TOTAL Truncated Unadjusted Expenses (A22 + A23)]],AN_TME_BY[[#All],[Insurance Category Code]],5,AN_TME_BY[[#All],[Advanced Network/Insurance Carrier Org ID]],B222)/D222)</f>
        <v>NA</v>
      </c>
      <c r="S222" s="448">
        <f>SUMIFS(AN_TME_PY[[#All],[Member Months]],AN_TME_PY[[#All],[Insurance Category Code]],5,AN_TME_PY[[#All],[Advanced Network/Insurance Carrier Org ID]],B222)</f>
        <v>0</v>
      </c>
      <c r="T222" s="137" t="str">
        <f>IF(S222=0,"NA",SUMIFS(AN_TME_PY[[#All],[Claims: Hospital Inpatient]],AN_TME_PY[[#All],[Insurance Category Code]],5,AN_TME_PY[[#All],[Advanced Network/Insurance Carrier Org ID]],B222)/S222)</f>
        <v>NA</v>
      </c>
      <c r="U222" s="108" t="str">
        <f>IF(S222=0,"NA",SUMIFS(AN_TME_PY[[#All],[Claims: Hospital Outpatient]],AN_TME_PY[[#All],[Insurance Category Code]],5,AN_TME_PY[[#All],[Advanced Network/Insurance Carrier Org ID]],B222)/S222)</f>
        <v>NA</v>
      </c>
      <c r="V222" s="108" t="str">
        <f>IF(S222=0,"NA",SUMIFS(AN_TME_PY[[#All],[Claims: Professional, Primary Care]],AN_TME_PY[[#All],[Insurance Category Code]],5,AN_TME_PY[[#All],[Advanced Network/Insurance Carrier Org ID]],B222)/S222)</f>
        <v>NA</v>
      </c>
      <c r="W222" s="108" t="str">
        <f>IF(S222=0,"NA",SUMIFS(AN_TME_PY[[#All],[Claims: Professional, Primary Care (for Monitoring Purposes)]],AN_TME_PY[[#All],[Insurance Category Code]],5,AN_TME_PY[[#All],[Advanced Network/Insurance Carrier Org ID]],B222)/S222)</f>
        <v>NA</v>
      </c>
      <c r="X222" s="108" t="str">
        <f>IF(S222=0,"NA",SUMIFS(AN_TME_PY[[#All],[Claims: Professional, Specialty]],AN_TME_PY[[#All],[Insurance Category Code]],5,AN_TME_PY[[#All],[Advanced Network/Insurance Carrier Org ID]],B222)/S222)</f>
        <v>NA</v>
      </c>
      <c r="Y222" s="108" t="str">
        <f>IF(S222=0,"NA",SUMIFS(AN_TME_PY[[#All],[Claims: Professional Other]],AN_TME_PY[[#All],[Insurance Category Code]],5,AN_TME_PY[[#All],[Advanced Network/Insurance Carrier Org ID]],B222)/S222)</f>
        <v>NA</v>
      </c>
      <c r="Z222" s="108" t="str">
        <f>IF(S222=0,"NA",SUMIFS(AN_TME_PY[[#All],[Claims: Pharmacy]],AN_TME_PY[[#All],[Insurance Category Code]],5,AN_TME_PY[[#All],[Advanced Network/Insurance Carrier Org ID]],B222)/S222)</f>
        <v>NA</v>
      </c>
      <c r="AA222" s="108" t="str">
        <f>IF(S222=0,"NA",SUMIFS(AN_TME_PY[[#All],[Claims: Long-Term Care]],AN_TME_PY[[#All],[Insurance Category Code]],5,AN_TME_PY[[#All],[Advanced Network/Insurance Carrier Org ID]],B222)/S222)</f>
        <v>NA</v>
      </c>
      <c r="AB222" s="108" t="str">
        <f>IF(S222=0,"NA",SUMIFS(AN_TME_PY[[#All],[Claims: Other]],AN_TME_PY[[#All],[Insurance Category Code]],5,AN_TME_PY[[#All],[Advanced Network/Insurance Carrier Org ID]],B222)/S222)</f>
        <v>NA</v>
      </c>
      <c r="AC222" s="147" t="str">
        <f>IF(S222=0,"NA",SUMIFS(AN_TME_PY[[#All],[TOTAL Non-Truncated Unadjusted Claims Expenses]],AN_TME_PY[[#All],[Insurance Category Code]],5,AN_TME_PY[[#All],[Advanced Network/Insurance Carrier Org ID]],B222)/S222)</f>
        <v>NA</v>
      </c>
      <c r="AD222" s="147" t="str">
        <f>IF(S222=0,"NA",SUMIFS(AN_TME_PY[[#All],[TOTAL Truncated Unadjusted Claims Expenses (A21 -A19)]],AN_TME_PY[[#All],[Insurance Category Code]],5,AN_TME_PY[[#All],[Advanced Network/Insurance Carrier Org ID]],B222)/S222)</f>
        <v>NA</v>
      </c>
      <c r="AE222" s="147" t="str">
        <f>IF(S222=0,"NA",SUMIFS(AN_TME_PY[[#All],[TOTAL Non-Claims Expenses]],AN_TME_PY[[#All],[Insurance Category Code]],5,AN_TME_PY[[#All],[Advanced Network/Insurance Carrier Org ID]],B222)/S222)</f>
        <v>NA</v>
      </c>
      <c r="AF222" s="147" t="str">
        <f>IF(S222=0,"NA",SUMIFS(AN_TME_PY[[#All],[TOTAL Non-Truncated Unadjusted Expenses (A21 + A23)]],AN_TME_PY[[#All],[Insurance Category Code]],5,AN_TME_PY[[#All],[Advanced Network/Insurance Carrier Org ID]],B222)/S222)</f>
        <v>NA</v>
      </c>
      <c r="AG222" s="138" t="str">
        <f>IF(S222=0,"NA",SUMIFS(AN_TME_PY[[#All],[TOTAL Truncated Unadjusted Expenses (A22 + A23)]],AN_TME_PY[[#All],[Insurance Category Code]],5,AN_TME_PY[[#All],[Advanced Network/Insurance Carrier Org ID]],B222)/S222)</f>
        <v>NA</v>
      </c>
      <c r="AH222" s="419" t="str">
        <f t="shared" si="291"/>
        <v>NA</v>
      </c>
      <c r="AI222" s="420" t="str">
        <f t="shared" si="292"/>
        <v>NA</v>
      </c>
      <c r="AJ222" s="421" t="str">
        <f t="shared" si="293"/>
        <v>NA</v>
      </c>
      <c r="AK222" s="421" t="str">
        <f t="shared" si="294"/>
        <v>NA</v>
      </c>
      <c r="AL222" s="421" t="str">
        <f t="shared" si="295"/>
        <v>NA</v>
      </c>
      <c r="AM222" s="421" t="str">
        <f t="shared" si="296"/>
        <v>NA</v>
      </c>
      <c r="AN222" s="421" t="str">
        <f t="shared" si="297"/>
        <v>NA</v>
      </c>
      <c r="AO222" s="421" t="str">
        <f t="shared" si="298"/>
        <v>NA</v>
      </c>
      <c r="AP222" s="421" t="str">
        <f t="shared" si="299"/>
        <v>NA</v>
      </c>
      <c r="AQ222" s="421" t="str">
        <f t="shared" si="300"/>
        <v>NA</v>
      </c>
      <c r="AR222" s="422" t="str">
        <f t="shared" si="301"/>
        <v>NA</v>
      </c>
      <c r="AS222" s="422" t="str">
        <f t="shared" si="302"/>
        <v>NA</v>
      </c>
      <c r="AT222" s="422" t="str">
        <f t="shared" si="303"/>
        <v>NA</v>
      </c>
      <c r="AU222" s="422" t="str">
        <f t="shared" si="304"/>
        <v>NA</v>
      </c>
      <c r="AV222" s="423" t="str">
        <f t="shared" si="305"/>
        <v>NA</v>
      </c>
    </row>
    <row r="223" spans="1:48" ht="15" customHeight="1" x14ac:dyDescent="0.25">
      <c r="A223" s="146"/>
      <c r="B223" s="148">
        <v>111</v>
      </c>
      <c r="C223" s="151" t="str">
        <f>_xlfn.XLOOKUP(B223, LgProvEntOrgIDs[Advanced Network/Insurer Carrier Org ID], LgProvEntOrgIDs[Advanced Network/Insurance Carrier Overall])</f>
        <v>NA</v>
      </c>
      <c r="D223" s="448">
        <f>SUMIFS(AN_TME_BY[[#All],[Member Months]],AN_TME_BY[[#All],[Insurance Category Code]],5,AN_TME_BY[[#All],[Advanced Network/Insurance Carrier Org ID]],B223)</f>
        <v>0</v>
      </c>
      <c r="E223" s="137" t="str">
        <f>IF(D223=0,"NA",SUMIFS(AN_TME_BY[[#All],[Claims: Hospital Inpatient]],AN_TME_BY[[#All],[Insurance Category Code]],5,AN_TME_BY[[#All],[Advanced Network/Insurance Carrier Org ID]],B223)/D223)</f>
        <v>NA</v>
      </c>
      <c r="F223" s="108" t="str">
        <f>IF(D223=0,"NA",SUMIFS(AN_TME_BY[[#All],[Claims: Hospital Outpatient]],AN_TME_BY[[#All],[Insurance Category Code]],5,AN_TME_BY[[#All],[Advanced Network/Insurance Carrier Org ID]],B223)/D223)</f>
        <v>NA</v>
      </c>
      <c r="G223" s="108" t="str">
        <f>IF(D223=0,"NA",SUMIFS(AN_TME_BY[[#All],[Claims: Professional, Primary Care]],AN_TME_BY[[#All],[Insurance Category Code]],5,AN_TME_BY[[#All],[Advanced Network/Insurance Carrier Org ID]],B223)/D223)</f>
        <v>NA</v>
      </c>
      <c r="H223" s="108" t="str">
        <f>IF(D223=0,"NA",SUMIFS(AN_TME_BY[[#All],[Claims: Professional, Primary Care (for Monitoring Purposes)]],AN_TME_BY[[#All],[Insurance Category Code]],5,AN_TME_BY[[#All],[Advanced Network/Insurance Carrier Org ID]],B223)/D223)</f>
        <v>NA</v>
      </c>
      <c r="I223" s="108" t="str">
        <f>IF(D223=0,"NA",SUMIFS(AN_TME_BY[[#All],[Claims: Professional, Specialty]],AN_TME_BY[[#All],[Insurance Category Code]],5,AN_TME_BY[[#All],[Advanced Network/Insurance Carrier Org ID]],B223)/D223)</f>
        <v>NA</v>
      </c>
      <c r="J223" s="108" t="str">
        <f>IF(D223=0,"NA",SUMIFS(AN_TME_BY[[#All],[Claims: Professional Other]],AN_TME_BY[[#All],[Insurance Category Code]],5,AN_TME_BY[[#All],[Advanced Network/Insurance Carrier Org ID]],B223)/D223)</f>
        <v>NA</v>
      </c>
      <c r="K223" s="108" t="str">
        <f>IF(D223=0,"NA",SUMIFS(AN_TME_BY[[#All],[Claims: Pharmacy]],AN_TME_BY[[#All],[Insurance Category Code]],5,AN_TME_BY[[#All],[Advanced Network/Insurance Carrier Org ID]],B223)/D223)</f>
        <v>NA</v>
      </c>
      <c r="L223" s="108" t="str">
        <f>IF(D223=0,"NA",SUMIFS(AN_TME_BY[[#All],[Claims: Long-Term Care]],AN_TME_BY[[#All],[Insurance Category Code]],5,AN_TME_BY[[#All],[Advanced Network/Insurance Carrier Org ID]],B223)/D223)</f>
        <v>NA</v>
      </c>
      <c r="M223" s="108" t="str">
        <f>IF(D223=0,"NA",SUMIFS(AN_TME_BY[[#All],[Claims: Other]],AN_TME_BY[[#All],[Insurance Category Code]],5,AN_TME_BY[[#All],[Advanced Network/Insurance Carrier Org ID]],B223)/D223)</f>
        <v>NA</v>
      </c>
      <c r="N223" s="147" t="str">
        <f>IF(D223=0,"NA",SUMIFS(AN_TME_BY[[#All],[TOTAL Non-Truncated Unadjusted Claims Expenses]],AN_TME_BY[[#All],[Insurance Category Code]],5,AN_TME_BY[[#All],[Advanced Network/Insurance Carrier Org ID]],B223)/D223)</f>
        <v>NA</v>
      </c>
      <c r="O223" s="147" t="str">
        <f>IF(D223=0,"NA",SUMIFS(AN_TME_BY[[#All],[TOTAL Truncated Unadjusted Claims Expenses (A21 -A19)]],AN_TME_BY[[#All],[Insurance Category Code]],5,AN_TME_BY[[#All],[Advanced Network/Insurance Carrier Org ID]],B223)/D223)</f>
        <v>NA</v>
      </c>
      <c r="P223" s="147" t="str">
        <f>IF(D223=0,"NA",SUMIFS(AN_TME_BY[[#All],[TOTAL Non-Claims Expenses]],AN_TME_BY[[#All],[Insurance Category Code]],5,AN_TME_BY[[#All],[Advanced Network/Insurance Carrier Org ID]],B223)/D223)</f>
        <v>NA</v>
      </c>
      <c r="Q223" s="147" t="str">
        <f>IF(D223=0,"NA",SUMIFS(AN_TME_BY[[#All],[TOTAL Non-Truncated Unadjusted Expenses (A21 + A23)]],AN_TME_BY[[#All],[Insurance Category Code]],5,AN_TME_BY[[#All],[Advanced Network/Insurance Carrier Org ID]],B223)/D223)</f>
        <v>NA</v>
      </c>
      <c r="R223" s="147" t="str">
        <f>IF(D223=0,"NA",SUMIFS(AN_TME_BY[[#All],[TOTAL Truncated Unadjusted Expenses (A22 + A23)]],AN_TME_BY[[#All],[Insurance Category Code]],5,AN_TME_BY[[#All],[Advanced Network/Insurance Carrier Org ID]],B223)/D223)</f>
        <v>NA</v>
      </c>
      <c r="S223" s="448">
        <f>SUMIFS(AN_TME_PY[[#All],[Member Months]],AN_TME_PY[[#All],[Insurance Category Code]],5,AN_TME_PY[[#All],[Advanced Network/Insurance Carrier Org ID]],B223)</f>
        <v>0</v>
      </c>
      <c r="T223" s="137" t="str">
        <f>IF(S223=0,"NA",SUMIFS(AN_TME_PY[[#All],[Claims: Hospital Inpatient]],AN_TME_PY[[#All],[Insurance Category Code]],5,AN_TME_PY[[#All],[Advanced Network/Insurance Carrier Org ID]],B223)/S223)</f>
        <v>NA</v>
      </c>
      <c r="U223" s="108" t="str">
        <f>IF(S223=0,"NA",SUMIFS(AN_TME_PY[[#All],[Claims: Hospital Outpatient]],AN_TME_PY[[#All],[Insurance Category Code]],5,AN_TME_PY[[#All],[Advanced Network/Insurance Carrier Org ID]],B223)/S223)</f>
        <v>NA</v>
      </c>
      <c r="V223" s="108" t="str">
        <f>IF(S223=0,"NA",SUMIFS(AN_TME_PY[[#All],[Claims: Professional, Primary Care]],AN_TME_PY[[#All],[Insurance Category Code]],5,AN_TME_PY[[#All],[Advanced Network/Insurance Carrier Org ID]],B223)/S223)</f>
        <v>NA</v>
      </c>
      <c r="W223" s="108" t="str">
        <f>IF(S223=0,"NA",SUMIFS(AN_TME_PY[[#All],[Claims: Professional, Primary Care (for Monitoring Purposes)]],AN_TME_PY[[#All],[Insurance Category Code]],5,AN_TME_PY[[#All],[Advanced Network/Insurance Carrier Org ID]],B223)/S223)</f>
        <v>NA</v>
      </c>
      <c r="X223" s="108" t="str">
        <f>IF(S223=0,"NA",SUMIFS(AN_TME_PY[[#All],[Claims: Professional, Specialty]],AN_TME_PY[[#All],[Insurance Category Code]],5,AN_TME_PY[[#All],[Advanced Network/Insurance Carrier Org ID]],B223)/S223)</f>
        <v>NA</v>
      </c>
      <c r="Y223" s="108" t="str">
        <f>IF(S223=0,"NA",SUMIFS(AN_TME_PY[[#All],[Claims: Professional Other]],AN_TME_PY[[#All],[Insurance Category Code]],5,AN_TME_PY[[#All],[Advanced Network/Insurance Carrier Org ID]],B223)/S223)</f>
        <v>NA</v>
      </c>
      <c r="Z223" s="108" t="str">
        <f>IF(S223=0,"NA",SUMIFS(AN_TME_PY[[#All],[Claims: Pharmacy]],AN_TME_PY[[#All],[Insurance Category Code]],5,AN_TME_PY[[#All],[Advanced Network/Insurance Carrier Org ID]],B223)/S223)</f>
        <v>NA</v>
      </c>
      <c r="AA223" s="108" t="str">
        <f>IF(S223=0,"NA",SUMIFS(AN_TME_PY[[#All],[Claims: Long-Term Care]],AN_TME_PY[[#All],[Insurance Category Code]],5,AN_TME_PY[[#All],[Advanced Network/Insurance Carrier Org ID]],B223)/S223)</f>
        <v>NA</v>
      </c>
      <c r="AB223" s="108" t="str">
        <f>IF(S223=0,"NA",SUMIFS(AN_TME_PY[[#All],[Claims: Other]],AN_TME_PY[[#All],[Insurance Category Code]],5,AN_TME_PY[[#All],[Advanced Network/Insurance Carrier Org ID]],B223)/S223)</f>
        <v>NA</v>
      </c>
      <c r="AC223" s="147" t="str">
        <f>IF(S223=0,"NA",SUMIFS(AN_TME_PY[[#All],[TOTAL Non-Truncated Unadjusted Claims Expenses]],AN_TME_PY[[#All],[Insurance Category Code]],5,AN_TME_PY[[#All],[Advanced Network/Insurance Carrier Org ID]],B223)/S223)</f>
        <v>NA</v>
      </c>
      <c r="AD223" s="147" t="str">
        <f>IF(S223=0,"NA",SUMIFS(AN_TME_PY[[#All],[TOTAL Truncated Unadjusted Claims Expenses (A21 -A19)]],AN_TME_PY[[#All],[Insurance Category Code]],5,AN_TME_PY[[#All],[Advanced Network/Insurance Carrier Org ID]],B223)/S223)</f>
        <v>NA</v>
      </c>
      <c r="AE223" s="147" t="str">
        <f>IF(S223=0,"NA",SUMIFS(AN_TME_PY[[#All],[TOTAL Non-Claims Expenses]],AN_TME_PY[[#All],[Insurance Category Code]],5,AN_TME_PY[[#All],[Advanced Network/Insurance Carrier Org ID]],B223)/S223)</f>
        <v>NA</v>
      </c>
      <c r="AF223" s="147" t="str">
        <f>IF(S223=0,"NA",SUMIFS(AN_TME_PY[[#All],[TOTAL Non-Truncated Unadjusted Expenses (A21 + A23)]],AN_TME_PY[[#All],[Insurance Category Code]],5,AN_TME_PY[[#All],[Advanced Network/Insurance Carrier Org ID]],B223)/S223)</f>
        <v>NA</v>
      </c>
      <c r="AG223" s="138" t="str">
        <f>IF(S223=0,"NA",SUMIFS(AN_TME_PY[[#All],[TOTAL Truncated Unadjusted Expenses (A22 + A23)]],AN_TME_PY[[#All],[Insurance Category Code]],5,AN_TME_PY[[#All],[Advanced Network/Insurance Carrier Org ID]],B223)/S223)</f>
        <v>NA</v>
      </c>
      <c r="AH223" s="419" t="str">
        <f>IF(D223=0,"NA",S223/D223-1)</f>
        <v>NA</v>
      </c>
      <c r="AI223" s="420" t="str">
        <f>IF(D223=0,"NA",T223/E223-1)</f>
        <v>NA</v>
      </c>
      <c r="AJ223" s="421" t="str">
        <f>IF(D223=0,"NA",U223/F223-1)</f>
        <v>NA</v>
      </c>
      <c r="AK223" s="421" t="str">
        <f>IF(D223=0,"NA",V223/G223-1)</f>
        <v>NA</v>
      </c>
      <c r="AL223" s="421" t="str">
        <f>IF(D223=0,"NA",W223/H223-1)</f>
        <v>NA</v>
      </c>
      <c r="AM223" s="421" t="str">
        <f>IF(D223=0,"NA",X223/I223-1)</f>
        <v>NA</v>
      </c>
      <c r="AN223" s="421" t="str">
        <f>IF(D223=0,"NA",Y223/J223-1)</f>
        <v>NA</v>
      </c>
      <c r="AO223" s="421" t="str">
        <f>IF(D223=0,"NA",Z223/K223-1)</f>
        <v>NA</v>
      </c>
      <c r="AP223" s="421" t="str">
        <f>IF(D223=0,"NA",AA223/L223-1)</f>
        <v>NA</v>
      </c>
      <c r="AQ223" s="421" t="str">
        <f>IF(D223=0,"NA",AB223/M223-1)</f>
        <v>NA</v>
      </c>
      <c r="AR223" s="422" t="str">
        <f>IF(D223=0,"NA",AC223/N223-1)</f>
        <v>NA</v>
      </c>
      <c r="AS223" s="422" t="str">
        <f>IF(D223=0,"NA",AD223/O223-1)</f>
        <v>NA</v>
      </c>
      <c r="AT223" s="422" t="str">
        <f>IF(D223=0,"NA",AE223/P223-1)</f>
        <v>NA</v>
      </c>
      <c r="AU223" s="422" t="str">
        <f>IF(D223=0,"NA",AF223/Q223-1)</f>
        <v>NA</v>
      </c>
      <c r="AV223" s="423" t="str">
        <f>IF(D223=0,"NA",AG223/R223-1)</f>
        <v>NA</v>
      </c>
    </row>
    <row r="224" spans="1:48" ht="15" customHeight="1" x14ac:dyDescent="0.25">
      <c r="A224" s="146"/>
      <c r="B224" s="148">
        <v>112</v>
      </c>
      <c r="C224" s="151" t="str">
        <f>_xlfn.XLOOKUP(B224, LgProvEntOrgIDs[Advanced Network/Insurer Carrier Org ID], LgProvEntOrgIDs[Advanced Network/Insurance Carrier Overall])</f>
        <v>Charter Oak Health Center</v>
      </c>
      <c r="D224" s="448">
        <f>SUMIFS(AN_TME_BY[[#All],[Member Months]],AN_TME_BY[[#All],[Insurance Category Code]],5,AN_TME_BY[[#All],[Advanced Network/Insurance Carrier Org ID]],B224)</f>
        <v>0</v>
      </c>
      <c r="E224" s="137" t="str">
        <f>IF(D224=0,"NA",SUMIFS(AN_TME_BY[[#All],[Claims: Hospital Inpatient]],AN_TME_BY[[#All],[Insurance Category Code]],5,AN_TME_BY[[#All],[Advanced Network/Insurance Carrier Org ID]],B224)/D224)</f>
        <v>NA</v>
      </c>
      <c r="F224" s="108" t="str">
        <f>IF(D224=0,"NA",SUMIFS(AN_TME_BY[[#All],[Claims: Hospital Outpatient]],AN_TME_BY[[#All],[Insurance Category Code]],5,AN_TME_BY[[#All],[Advanced Network/Insurance Carrier Org ID]],B224)/D224)</f>
        <v>NA</v>
      </c>
      <c r="G224" s="108" t="str">
        <f>IF(D224=0,"NA",SUMIFS(AN_TME_BY[[#All],[Claims: Professional, Primary Care]],AN_TME_BY[[#All],[Insurance Category Code]],5,AN_TME_BY[[#All],[Advanced Network/Insurance Carrier Org ID]],B224)/D224)</f>
        <v>NA</v>
      </c>
      <c r="H224" s="108" t="str">
        <f>IF(D224=0,"NA",SUMIFS(AN_TME_BY[[#All],[Claims: Professional, Primary Care (for Monitoring Purposes)]],AN_TME_BY[[#All],[Insurance Category Code]],5,AN_TME_BY[[#All],[Advanced Network/Insurance Carrier Org ID]],B224)/D224)</f>
        <v>NA</v>
      </c>
      <c r="I224" s="108" t="str">
        <f>IF(D224=0,"NA",SUMIFS(AN_TME_BY[[#All],[Claims: Professional, Specialty]],AN_TME_BY[[#All],[Insurance Category Code]],5,AN_TME_BY[[#All],[Advanced Network/Insurance Carrier Org ID]],B224)/D224)</f>
        <v>NA</v>
      </c>
      <c r="J224" s="108" t="str">
        <f>IF(D224=0,"NA",SUMIFS(AN_TME_BY[[#All],[Claims: Professional Other]],AN_TME_BY[[#All],[Insurance Category Code]],5,AN_TME_BY[[#All],[Advanced Network/Insurance Carrier Org ID]],B224)/D224)</f>
        <v>NA</v>
      </c>
      <c r="K224" s="108" t="str">
        <f>IF(D224=0,"NA",SUMIFS(AN_TME_BY[[#All],[Claims: Pharmacy]],AN_TME_BY[[#All],[Insurance Category Code]],5,AN_TME_BY[[#All],[Advanced Network/Insurance Carrier Org ID]],B224)/D224)</f>
        <v>NA</v>
      </c>
      <c r="L224" s="108" t="str">
        <f>IF(D224=0,"NA",SUMIFS(AN_TME_BY[[#All],[Claims: Long-Term Care]],AN_TME_BY[[#All],[Insurance Category Code]],5,AN_TME_BY[[#All],[Advanced Network/Insurance Carrier Org ID]],B224)/D224)</f>
        <v>NA</v>
      </c>
      <c r="M224" s="108" t="str">
        <f>IF(D224=0,"NA",SUMIFS(AN_TME_BY[[#All],[Claims: Other]],AN_TME_BY[[#All],[Insurance Category Code]],5,AN_TME_BY[[#All],[Advanced Network/Insurance Carrier Org ID]],B224)/D224)</f>
        <v>NA</v>
      </c>
      <c r="N224" s="147" t="str">
        <f>IF(D224=0,"NA",SUMIFS(AN_TME_BY[[#All],[TOTAL Non-Truncated Unadjusted Claims Expenses]],AN_TME_BY[[#All],[Insurance Category Code]],5,AN_TME_BY[[#All],[Advanced Network/Insurance Carrier Org ID]],B224)/D224)</f>
        <v>NA</v>
      </c>
      <c r="O224" s="147" t="str">
        <f>IF(D224=0,"NA",SUMIFS(AN_TME_BY[[#All],[TOTAL Truncated Unadjusted Claims Expenses (A21 -A19)]],AN_TME_BY[[#All],[Insurance Category Code]],5,AN_TME_BY[[#All],[Advanced Network/Insurance Carrier Org ID]],B224)/D224)</f>
        <v>NA</v>
      </c>
      <c r="P224" s="147" t="str">
        <f>IF(D224=0,"NA",SUMIFS(AN_TME_BY[[#All],[TOTAL Non-Claims Expenses]],AN_TME_BY[[#All],[Insurance Category Code]],5,AN_TME_BY[[#All],[Advanced Network/Insurance Carrier Org ID]],B224)/D224)</f>
        <v>NA</v>
      </c>
      <c r="Q224" s="147" t="str">
        <f>IF(D224=0,"NA",SUMIFS(AN_TME_BY[[#All],[TOTAL Non-Truncated Unadjusted Expenses (A21 + A23)]],AN_TME_BY[[#All],[Insurance Category Code]],5,AN_TME_BY[[#All],[Advanced Network/Insurance Carrier Org ID]],B224)/D224)</f>
        <v>NA</v>
      </c>
      <c r="R224" s="147" t="str">
        <f>IF(D224=0,"NA",SUMIFS(AN_TME_BY[[#All],[TOTAL Truncated Unadjusted Expenses (A22 + A23)]],AN_TME_BY[[#All],[Insurance Category Code]],5,AN_TME_BY[[#All],[Advanced Network/Insurance Carrier Org ID]],B224)/D224)</f>
        <v>NA</v>
      </c>
      <c r="S224" s="448">
        <f>SUMIFS(AN_TME_PY[[#All],[Member Months]],AN_TME_PY[[#All],[Insurance Category Code]],5,AN_TME_PY[[#All],[Advanced Network/Insurance Carrier Org ID]],B224)</f>
        <v>0</v>
      </c>
      <c r="T224" s="137" t="str">
        <f>IF(S224=0,"NA",SUMIFS(AN_TME_PY[[#All],[Claims: Hospital Inpatient]],AN_TME_PY[[#All],[Insurance Category Code]],5,AN_TME_PY[[#All],[Advanced Network/Insurance Carrier Org ID]],B224)/S224)</f>
        <v>NA</v>
      </c>
      <c r="U224" s="108" t="str">
        <f>IF(S224=0,"NA",SUMIFS(AN_TME_PY[[#All],[Claims: Hospital Outpatient]],AN_TME_PY[[#All],[Insurance Category Code]],5,AN_TME_PY[[#All],[Advanced Network/Insurance Carrier Org ID]],B224)/S224)</f>
        <v>NA</v>
      </c>
      <c r="V224" s="108" t="str">
        <f>IF(S224=0,"NA",SUMIFS(AN_TME_PY[[#All],[Claims: Professional, Primary Care]],AN_TME_PY[[#All],[Insurance Category Code]],5,AN_TME_PY[[#All],[Advanced Network/Insurance Carrier Org ID]],B224)/S224)</f>
        <v>NA</v>
      </c>
      <c r="W224" s="108" t="str">
        <f>IF(S224=0,"NA",SUMIFS(AN_TME_PY[[#All],[Claims: Professional, Primary Care (for Monitoring Purposes)]],AN_TME_PY[[#All],[Insurance Category Code]],5,AN_TME_PY[[#All],[Advanced Network/Insurance Carrier Org ID]],B224)/S224)</f>
        <v>NA</v>
      </c>
      <c r="X224" s="108" t="str">
        <f>IF(S224=0,"NA",SUMIFS(AN_TME_PY[[#All],[Claims: Professional, Specialty]],AN_TME_PY[[#All],[Insurance Category Code]],5,AN_TME_PY[[#All],[Advanced Network/Insurance Carrier Org ID]],B224)/S224)</f>
        <v>NA</v>
      </c>
      <c r="Y224" s="108" t="str">
        <f>IF(S224=0,"NA",SUMIFS(AN_TME_PY[[#All],[Claims: Professional Other]],AN_TME_PY[[#All],[Insurance Category Code]],5,AN_TME_PY[[#All],[Advanced Network/Insurance Carrier Org ID]],B224)/S224)</f>
        <v>NA</v>
      </c>
      <c r="Z224" s="108" t="str">
        <f>IF(S224=0,"NA",SUMIFS(AN_TME_PY[[#All],[Claims: Pharmacy]],AN_TME_PY[[#All],[Insurance Category Code]],5,AN_TME_PY[[#All],[Advanced Network/Insurance Carrier Org ID]],B224)/S224)</f>
        <v>NA</v>
      </c>
      <c r="AA224" s="108" t="str">
        <f>IF(S224=0,"NA",SUMIFS(AN_TME_PY[[#All],[Claims: Long-Term Care]],AN_TME_PY[[#All],[Insurance Category Code]],5,AN_TME_PY[[#All],[Advanced Network/Insurance Carrier Org ID]],B224)/S224)</f>
        <v>NA</v>
      </c>
      <c r="AB224" s="108" t="str">
        <f>IF(S224=0,"NA",SUMIFS(AN_TME_PY[[#All],[Claims: Other]],AN_TME_PY[[#All],[Insurance Category Code]],5,AN_TME_PY[[#All],[Advanced Network/Insurance Carrier Org ID]],B224)/S224)</f>
        <v>NA</v>
      </c>
      <c r="AC224" s="147" t="str">
        <f>IF(S224=0,"NA",SUMIFS(AN_TME_PY[[#All],[TOTAL Non-Truncated Unadjusted Claims Expenses]],AN_TME_PY[[#All],[Insurance Category Code]],5,AN_TME_PY[[#All],[Advanced Network/Insurance Carrier Org ID]],B224)/S224)</f>
        <v>NA</v>
      </c>
      <c r="AD224" s="147" t="str">
        <f>IF(S224=0,"NA",SUMIFS(AN_TME_PY[[#All],[TOTAL Truncated Unadjusted Claims Expenses (A21 -A19)]],AN_TME_PY[[#All],[Insurance Category Code]],5,AN_TME_PY[[#All],[Advanced Network/Insurance Carrier Org ID]],B224)/S224)</f>
        <v>NA</v>
      </c>
      <c r="AE224" s="147" t="str">
        <f>IF(S224=0,"NA",SUMIFS(AN_TME_PY[[#All],[TOTAL Non-Claims Expenses]],AN_TME_PY[[#All],[Insurance Category Code]],5,AN_TME_PY[[#All],[Advanced Network/Insurance Carrier Org ID]],B224)/S224)</f>
        <v>NA</v>
      </c>
      <c r="AF224" s="147" t="str">
        <f>IF(S224=0,"NA",SUMIFS(AN_TME_PY[[#All],[TOTAL Non-Truncated Unadjusted Expenses (A21 + A23)]],AN_TME_PY[[#All],[Insurance Category Code]],5,AN_TME_PY[[#All],[Advanced Network/Insurance Carrier Org ID]],B224)/S224)</f>
        <v>NA</v>
      </c>
      <c r="AG224" s="138" t="str">
        <f>IF(S224=0,"NA",SUMIFS(AN_TME_PY[[#All],[TOTAL Truncated Unadjusted Expenses (A22 + A23)]],AN_TME_PY[[#All],[Insurance Category Code]],5,AN_TME_PY[[#All],[Advanced Network/Insurance Carrier Org ID]],B224)/S224)</f>
        <v>NA</v>
      </c>
      <c r="AH224" s="419" t="str">
        <f t="shared" ref="AH224:AH243" si="306">IF(D224=0,"NA",S224/D224-1)</f>
        <v>NA</v>
      </c>
      <c r="AI224" s="420" t="str">
        <f t="shared" ref="AI224:AI243" si="307">IF(D224=0,"NA",T224/E224-1)</f>
        <v>NA</v>
      </c>
      <c r="AJ224" s="421" t="str">
        <f t="shared" ref="AJ224:AJ243" si="308">IF(D224=0,"NA",U224/F224-1)</f>
        <v>NA</v>
      </c>
      <c r="AK224" s="421" t="str">
        <f t="shared" ref="AK224:AK243" si="309">IF(D224=0,"NA",V224/G224-1)</f>
        <v>NA</v>
      </c>
      <c r="AL224" s="421" t="str">
        <f t="shared" ref="AL224:AL243" si="310">IF(D224=0,"NA",W224/H224-1)</f>
        <v>NA</v>
      </c>
      <c r="AM224" s="421" t="str">
        <f t="shared" ref="AM224:AM243" si="311">IF(D224=0,"NA",X224/I224-1)</f>
        <v>NA</v>
      </c>
      <c r="AN224" s="421" t="str">
        <f t="shared" ref="AN224:AN243" si="312">IF(D224=0,"NA",Y224/J224-1)</f>
        <v>NA</v>
      </c>
      <c r="AO224" s="421" t="str">
        <f t="shared" ref="AO224:AO243" si="313">IF(D224=0,"NA",Z224/K224-1)</f>
        <v>NA</v>
      </c>
      <c r="AP224" s="421" t="str">
        <f t="shared" ref="AP224:AP243" si="314">IF(D224=0,"NA",AA224/L224-1)</f>
        <v>NA</v>
      </c>
      <c r="AQ224" s="421" t="str">
        <f t="shared" ref="AQ224:AQ243" si="315">IF(D224=0,"NA",AB224/M224-1)</f>
        <v>NA</v>
      </c>
      <c r="AR224" s="422" t="str">
        <f t="shared" ref="AR224:AR243" si="316">IF(D224=0,"NA",AC224/N224-1)</f>
        <v>NA</v>
      </c>
      <c r="AS224" s="422" t="str">
        <f t="shared" ref="AS224:AS243" si="317">IF(D224=0,"NA",AD224/O224-1)</f>
        <v>NA</v>
      </c>
      <c r="AT224" s="422" t="str">
        <f t="shared" ref="AT224:AT243" si="318">IF(D224=0,"NA",AE224/P224-1)</f>
        <v>NA</v>
      </c>
      <c r="AU224" s="422" t="str">
        <f t="shared" ref="AU224:AU243" si="319">IF(D224=0,"NA",AF224/Q224-1)</f>
        <v>NA</v>
      </c>
      <c r="AV224" s="423" t="str">
        <f t="shared" ref="AV224:AV243" si="320">IF(D224=0,"NA",AG224/R224-1)</f>
        <v>NA</v>
      </c>
    </row>
    <row r="225" spans="1:48" ht="15" customHeight="1" x14ac:dyDescent="0.25">
      <c r="A225" s="146"/>
      <c r="B225" s="148">
        <v>113</v>
      </c>
      <c r="C225" s="151" t="str">
        <f>_xlfn.XLOOKUP(B225, LgProvEntOrgIDs[Advanced Network/Insurer Carrier Org ID], LgProvEntOrgIDs[Advanced Network/Insurance Carrier Overall])</f>
        <v>CIFC Greater Danbury Community Health Center</v>
      </c>
      <c r="D225" s="448">
        <f>SUMIFS(AN_TME_BY[[#All],[Member Months]],AN_TME_BY[[#All],[Insurance Category Code]],5,AN_TME_BY[[#All],[Advanced Network/Insurance Carrier Org ID]],B225)</f>
        <v>0</v>
      </c>
      <c r="E225" s="137" t="str">
        <f>IF(D225=0,"NA",SUMIFS(AN_TME_BY[[#All],[Claims: Hospital Inpatient]],AN_TME_BY[[#All],[Insurance Category Code]],5,AN_TME_BY[[#All],[Advanced Network/Insurance Carrier Org ID]],B225)/D225)</f>
        <v>NA</v>
      </c>
      <c r="F225" s="108" t="str">
        <f>IF(D225=0,"NA",SUMIFS(AN_TME_BY[[#All],[Claims: Hospital Outpatient]],AN_TME_BY[[#All],[Insurance Category Code]],5,AN_TME_BY[[#All],[Advanced Network/Insurance Carrier Org ID]],B225)/D225)</f>
        <v>NA</v>
      </c>
      <c r="G225" s="108" t="str">
        <f>IF(D225=0,"NA",SUMIFS(AN_TME_BY[[#All],[Claims: Professional, Primary Care]],AN_TME_BY[[#All],[Insurance Category Code]],5,AN_TME_BY[[#All],[Advanced Network/Insurance Carrier Org ID]],B225)/D225)</f>
        <v>NA</v>
      </c>
      <c r="H225" s="108" t="str">
        <f>IF(D225=0,"NA",SUMIFS(AN_TME_BY[[#All],[Claims: Professional, Primary Care (for Monitoring Purposes)]],AN_TME_BY[[#All],[Insurance Category Code]],5,AN_TME_BY[[#All],[Advanced Network/Insurance Carrier Org ID]],B225)/D225)</f>
        <v>NA</v>
      </c>
      <c r="I225" s="108" t="str">
        <f>IF(D225=0,"NA",SUMIFS(AN_TME_BY[[#All],[Claims: Professional, Specialty]],AN_TME_BY[[#All],[Insurance Category Code]],5,AN_TME_BY[[#All],[Advanced Network/Insurance Carrier Org ID]],B225)/D225)</f>
        <v>NA</v>
      </c>
      <c r="J225" s="108" t="str">
        <f>IF(D225=0,"NA",SUMIFS(AN_TME_BY[[#All],[Claims: Professional Other]],AN_TME_BY[[#All],[Insurance Category Code]],5,AN_TME_BY[[#All],[Advanced Network/Insurance Carrier Org ID]],B225)/D225)</f>
        <v>NA</v>
      </c>
      <c r="K225" s="108" t="str">
        <f>IF(D225=0,"NA",SUMIFS(AN_TME_BY[[#All],[Claims: Pharmacy]],AN_TME_BY[[#All],[Insurance Category Code]],5,AN_TME_BY[[#All],[Advanced Network/Insurance Carrier Org ID]],B225)/D225)</f>
        <v>NA</v>
      </c>
      <c r="L225" s="108" t="str">
        <f>IF(D225=0,"NA",SUMIFS(AN_TME_BY[[#All],[Claims: Long-Term Care]],AN_TME_BY[[#All],[Insurance Category Code]],5,AN_TME_BY[[#All],[Advanced Network/Insurance Carrier Org ID]],B225)/D225)</f>
        <v>NA</v>
      </c>
      <c r="M225" s="108" t="str">
        <f>IF(D225=0,"NA",SUMIFS(AN_TME_BY[[#All],[Claims: Other]],AN_TME_BY[[#All],[Insurance Category Code]],5,AN_TME_BY[[#All],[Advanced Network/Insurance Carrier Org ID]],B225)/D225)</f>
        <v>NA</v>
      </c>
      <c r="N225" s="147" t="str">
        <f>IF(D225=0,"NA",SUMIFS(AN_TME_BY[[#All],[TOTAL Non-Truncated Unadjusted Claims Expenses]],AN_TME_BY[[#All],[Insurance Category Code]],5,AN_TME_BY[[#All],[Advanced Network/Insurance Carrier Org ID]],B225)/D225)</f>
        <v>NA</v>
      </c>
      <c r="O225" s="147" t="str">
        <f>IF(D225=0,"NA",SUMIFS(AN_TME_BY[[#All],[TOTAL Truncated Unadjusted Claims Expenses (A21 -A19)]],AN_TME_BY[[#All],[Insurance Category Code]],5,AN_TME_BY[[#All],[Advanced Network/Insurance Carrier Org ID]],B225)/D225)</f>
        <v>NA</v>
      </c>
      <c r="P225" s="147" t="str">
        <f>IF(D225=0,"NA",SUMIFS(AN_TME_BY[[#All],[TOTAL Non-Claims Expenses]],AN_TME_BY[[#All],[Insurance Category Code]],5,AN_TME_BY[[#All],[Advanced Network/Insurance Carrier Org ID]],B225)/D225)</f>
        <v>NA</v>
      </c>
      <c r="Q225" s="147" t="str">
        <f>IF(D225=0,"NA",SUMIFS(AN_TME_BY[[#All],[TOTAL Non-Truncated Unadjusted Expenses (A21 + A23)]],AN_TME_BY[[#All],[Insurance Category Code]],5,AN_TME_BY[[#All],[Advanced Network/Insurance Carrier Org ID]],B225)/D225)</f>
        <v>NA</v>
      </c>
      <c r="R225" s="147" t="str">
        <f>IF(D225=0,"NA",SUMIFS(AN_TME_BY[[#All],[TOTAL Truncated Unadjusted Expenses (A22 + A23)]],AN_TME_BY[[#All],[Insurance Category Code]],5,AN_TME_BY[[#All],[Advanced Network/Insurance Carrier Org ID]],B225)/D225)</f>
        <v>NA</v>
      </c>
      <c r="S225" s="448">
        <f>SUMIFS(AN_TME_PY[[#All],[Member Months]],AN_TME_PY[[#All],[Insurance Category Code]],5,AN_TME_PY[[#All],[Advanced Network/Insurance Carrier Org ID]],B225)</f>
        <v>0</v>
      </c>
      <c r="T225" s="137" t="str">
        <f>IF(S225=0,"NA",SUMIFS(AN_TME_PY[[#All],[Claims: Hospital Inpatient]],AN_TME_PY[[#All],[Insurance Category Code]],5,AN_TME_PY[[#All],[Advanced Network/Insurance Carrier Org ID]],B225)/S225)</f>
        <v>NA</v>
      </c>
      <c r="U225" s="108" t="str">
        <f>IF(S225=0,"NA",SUMIFS(AN_TME_PY[[#All],[Claims: Hospital Outpatient]],AN_TME_PY[[#All],[Insurance Category Code]],5,AN_TME_PY[[#All],[Advanced Network/Insurance Carrier Org ID]],B225)/S225)</f>
        <v>NA</v>
      </c>
      <c r="V225" s="108" t="str">
        <f>IF(S225=0,"NA",SUMIFS(AN_TME_PY[[#All],[Claims: Professional, Primary Care]],AN_TME_PY[[#All],[Insurance Category Code]],5,AN_TME_PY[[#All],[Advanced Network/Insurance Carrier Org ID]],B225)/S225)</f>
        <v>NA</v>
      </c>
      <c r="W225" s="108" t="str">
        <f>IF(S225=0,"NA",SUMIFS(AN_TME_PY[[#All],[Claims: Professional, Primary Care (for Monitoring Purposes)]],AN_TME_PY[[#All],[Insurance Category Code]],5,AN_TME_PY[[#All],[Advanced Network/Insurance Carrier Org ID]],B225)/S225)</f>
        <v>NA</v>
      </c>
      <c r="X225" s="108" t="str">
        <f>IF(S225=0,"NA",SUMIFS(AN_TME_PY[[#All],[Claims: Professional, Specialty]],AN_TME_PY[[#All],[Insurance Category Code]],5,AN_TME_PY[[#All],[Advanced Network/Insurance Carrier Org ID]],B225)/S225)</f>
        <v>NA</v>
      </c>
      <c r="Y225" s="108" t="str">
        <f>IF(S225=0,"NA",SUMIFS(AN_TME_PY[[#All],[Claims: Professional Other]],AN_TME_PY[[#All],[Insurance Category Code]],5,AN_TME_PY[[#All],[Advanced Network/Insurance Carrier Org ID]],B225)/S225)</f>
        <v>NA</v>
      </c>
      <c r="Z225" s="108" t="str">
        <f>IF(S225=0,"NA",SUMIFS(AN_TME_PY[[#All],[Claims: Pharmacy]],AN_TME_PY[[#All],[Insurance Category Code]],5,AN_TME_PY[[#All],[Advanced Network/Insurance Carrier Org ID]],B225)/S225)</f>
        <v>NA</v>
      </c>
      <c r="AA225" s="108" t="str">
        <f>IF(S225=0,"NA",SUMIFS(AN_TME_PY[[#All],[Claims: Long-Term Care]],AN_TME_PY[[#All],[Insurance Category Code]],5,AN_TME_PY[[#All],[Advanced Network/Insurance Carrier Org ID]],B225)/S225)</f>
        <v>NA</v>
      </c>
      <c r="AB225" s="108" t="str">
        <f>IF(S225=0,"NA",SUMIFS(AN_TME_PY[[#All],[Claims: Other]],AN_TME_PY[[#All],[Insurance Category Code]],5,AN_TME_PY[[#All],[Advanced Network/Insurance Carrier Org ID]],B225)/S225)</f>
        <v>NA</v>
      </c>
      <c r="AC225" s="147" t="str">
        <f>IF(S225=0,"NA",SUMIFS(AN_TME_PY[[#All],[TOTAL Non-Truncated Unadjusted Claims Expenses]],AN_TME_PY[[#All],[Insurance Category Code]],5,AN_TME_PY[[#All],[Advanced Network/Insurance Carrier Org ID]],B225)/S225)</f>
        <v>NA</v>
      </c>
      <c r="AD225" s="147" t="str">
        <f>IF(S225=0,"NA",SUMIFS(AN_TME_PY[[#All],[TOTAL Truncated Unadjusted Claims Expenses (A21 -A19)]],AN_TME_PY[[#All],[Insurance Category Code]],5,AN_TME_PY[[#All],[Advanced Network/Insurance Carrier Org ID]],B225)/S225)</f>
        <v>NA</v>
      </c>
      <c r="AE225" s="147" t="str">
        <f>IF(S225=0,"NA",SUMIFS(AN_TME_PY[[#All],[TOTAL Non-Claims Expenses]],AN_TME_PY[[#All],[Insurance Category Code]],5,AN_TME_PY[[#All],[Advanced Network/Insurance Carrier Org ID]],B225)/S225)</f>
        <v>NA</v>
      </c>
      <c r="AF225" s="147" t="str">
        <f>IF(S225=0,"NA",SUMIFS(AN_TME_PY[[#All],[TOTAL Non-Truncated Unadjusted Expenses (A21 + A23)]],AN_TME_PY[[#All],[Insurance Category Code]],5,AN_TME_PY[[#All],[Advanced Network/Insurance Carrier Org ID]],B225)/S225)</f>
        <v>NA</v>
      </c>
      <c r="AG225" s="138" t="str">
        <f>IF(S225=0,"NA",SUMIFS(AN_TME_PY[[#All],[TOTAL Truncated Unadjusted Expenses (A22 + A23)]],AN_TME_PY[[#All],[Insurance Category Code]],5,AN_TME_PY[[#All],[Advanced Network/Insurance Carrier Org ID]],B225)/S225)</f>
        <v>NA</v>
      </c>
      <c r="AH225" s="419" t="str">
        <f t="shared" si="306"/>
        <v>NA</v>
      </c>
      <c r="AI225" s="420" t="str">
        <f t="shared" si="307"/>
        <v>NA</v>
      </c>
      <c r="AJ225" s="421" t="str">
        <f t="shared" si="308"/>
        <v>NA</v>
      </c>
      <c r="AK225" s="421" t="str">
        <f t="shared" si="309"/>
        <v>NA</v>
      </c>
      <c r="AL225" s="421" t="str">
        <f t="shared" si="310"/>
        <v>NA</v>
      </c>
      <c r="AM225" s="421" t="str">
        <f t="shared" si="311"/>
        <v>NA</v>
      </c>
      <c r="AN225" s="421" t="str">
        <f t="shared" si="312"/>
        <v>NA</v>
      </c>
      <c r="AO225" s="421" t="str">
        <f t="shared" si="313"/>
        <v>NA</v>
      </c>
      <c r="AP225" s="421" t="str">
        <f t="shared" si="314"/>
        <v>NA</v>
      </c>
      <c r="AQ225" s="421" t="str">
        <f t="shared" si="315"/>
        <v>NA</v>
      </c>
      <c r="AR225" s="422" t="str">
        <f t="shared" si="316"/>
        <v>NA</v>
      </c>
      <c r="AS225" s="422" t="str">
        <f t="shared" si="317"/>
        <v>NA</v>
      </c>
      <c r="AT225" s="422" t="str">
        <f t="shared" si="318"/>
        <v>NA</v>
      </c>
      <c r="AU225" s="422" t="str">
        <f t="shared" si="319"/>
        <v>NA</v>
      </c>
      <c r="AV225" s="423" t="str">
        <f t="shared" si="320"/>
        <v>NA</v>
      </c>
    </row>
    <row r="226" spans="1:48" ht="15" customHeight="1" x14ac:dyDescent="0.25">
      <c r="A226" s="146"/>
      <c r="B226" s="148">
        <v>114</v>
      </c>
      <c r="C226" s="151" t="str">
        <f>_xlfn.XLOOKUP(B226, LgProvEntOrgIDs[Advanced Network/Insurer Carrier Org ID], LgProvEntOrgIDs[Advanced Network/Insurance Carrier Overall])</f>
        <v>Community Health and Wellness Center of Greater Torrington</v>
      </c>
      <c r="D226" s="448">
        <f>SUMIFS(AN_TME_BY[[#All],[Member Months]],AN_TME_BY[[#All],[Insurance Category Code]],5,AN_TME_BY[[#All],[Advanced Network/Insurance Carrier Org ID]],B226)</f>
        <v>0</v>
      </c>
      <c r="E226" s="137" t="str">
        <f>IF(D226=0,"NA",SUMIFS(AN_TME_BY[[#All],[Claims: Hospital Inpatient]],AN_TME_BY[[#All],[Insurance Category Code]],5,AN_TME_BY[[#All],[Advanced Network/Insurance Carrier Org ID]],B226)/D226)</f>
        <v>NA</v>
      </c>
      <c r="F226" s="108" t="str">
        <f>IF(D226=0,"NA",SUMIFS(AN_TME_BY[[#All],[Claims: Hospital Outpatient]],AN_TME_BY[[#All],[Insurance Category Code]],5,AN_TME_BY[[#All],[Advanced Network/Insurance Carrier Org ID]],B226)/D226)</f>
        <v>NA</v>
      </c>
      <c r="G226" s="108" t="str">
        <f>IF(D226=0,"NA",SUMIFS(AN_TME_BY[[#All],[Claims: Professional, Primary Care]],AN_TME_BY[[#All],[Insurance Category Code]],5,AN_TME_BY[[#All],[Advanced Network/Insurance Carrier Org ID]],B226)/D226)</f>
        <v>NA</v>
      </c>
      <c r="H226" s="108" t="str">
        <f>IF(D226=0,"NA",SUMIFS(AN_TME_BY[[#All],[Claims: Professional, Primary Care (for Monitoring Purposes)]],AN_TME_BY[[#All],[Insurance Category Code]],5,AN_TME_BY[[#All],[Advanced Network/Insurance Carrier Org ID]],B226)/D226)</f>
        <v>NA</v>
      </c>
      <c r="I226" s="108" t="str">
        <f>IF(D226=0,"NA",SUMIFS(AN_TME_BY[[#All],[Claims: Professional, Specialty]],AN_TME_BY[[#All],[Insurance Category Code]],5,AN_TME_BY[[#All],[Advanced Network/Insurance Carrier Org ID]],B226)/D226)</f>
        <v>NA</v>
      </c>
      <c r="J226" s="108" t="str">
        <f>IF(D226=0,"NA",SUMIFS(AN_TME_BY[[#All],[Claims: Professional Other]],AN_TME_BY[[#All],[Insurance Category Code]],5,AN_TME_BY[[#All],[Advanced Network/Insurance Carrier Org ID]],B226)/D226)</f>
        <v>NA</v>
      </c>
      <c r="K226" s="108" t="str">
        <f>IF(D226=0,"NA",SUMIFS(AN_TME_BY[[#All],[Claims: Pharmacy]],AN_TME_BY[[#All],[Insurance Category Code]],5,AN_TME_BY[[#All],[Advanced Network/Insurance Carrier Org ID]],B226)/D226)</f>
        <v>NA</v>
      </c>
      <c r="L226" s="108" t="str">
        <f>IF(D226=0,"NA",SUMIFS(AN_TME_BY[[#All],[Claims: Long-Term Care]],AN_TME_BY[[#All],[Insurance Category Code]],5,AN_TME_BY[[#All],[Advanced Network/Insurance Carrier Org ID]],B226)/D226)</f>
        <v>NA</v>
      </c>
      <c r="M226" s="108" t="str">
        <f>IF(D226=0,"NA",SUMIFS(AN_TME_BY[[#All],[Claims: Other]],AN_TME_BY[[#All],[Insurance Category Code]],5,AN_TME_BY[[#All],[Advanced Network/Insurance Carrier Org ID]],B226)/D226)</f>
        <v>NA</v>
      </c>
      <c r="N226" s="147" t="str">
        <f>IF(D226=0,"NA",SUMIFS(AN_TME_BY[[#All],[TOTAL Non-Truncated Unadjusted Claims Expenses]],AN_TME_BY[[#All],[Insurance Category Code]],5,AN_TME_BY[[#All],[Advanced Network/Insurance Carrier Org ID]],B226)/D226)</f>
        <v>NA</v>
      </c>
      <c r="O226" s="147" t="str">
        <f>IF(D226=0,"NA",SUMIFS(AN_TME_BY[[#All],[TOTAL Truncated Unadjusted Claims Expenses (A21 -A19)]],AN_TME_BY[[#All],[Insurance Category Code]],5,AN_TME_BY[[#All],[Advanced Network/Insurance Carrier Org ID]],B226)/D226)</f>
        <v>NA</v>
      </c>
      <c r="P226" s="147" t="str">
        <f>IF(D226=0,"NA",SUMIFS(AN_TME_BY[[#All],[TOTAL Non-Claims Expenses]],AN_TME_BY[[#All],[Insurance Category Code]],5,AN_TME_BY[[#All],[Advanced Network/Insurance Carrier Org ID]],B226)/D226)</f>
        <v>NA</v>
      </c>
      <c r="Q226" s="147" t="str">
        <f>IF(D226=0,"NA",SUMIFS(AN_TME_BY[[#All],[TOTAL Non-Truncated Unadjusted Expenses (A21 + A23)]],AN_TME_BY[[#All],[Insurance Category Code]],5,AN_TME_BY[[#All],[Advanced Network/Insurance Carrier Org ID]],B226)/D226)</f>
        <v>NA</v>
      </c>
      <c r="R226" s="147" t="str">
        <f>IF(D226=0,"NA",SUMIFS(AN_TME_BY[[#All],[TOTAL Truncated Unadjusted Expenses (A22 + A23)]],AN_TME_BY[[#All],[Insurance Category Code]],5,AN_TME_BY[[#All],[Advanced Network/Insurance Carrier Org ID]],B226)/D226)</f>
        <v>NA</v>
      </c>
      <c r="S226" s="448">
        <f>SUMIFS(AN_TME_PY[[#All],[Member Months]],AN_TME_PY[[#All],[Insurance Category Code]],5,AN_TME_PY[[#All],[Advanced Network/Insurance Carrier Org ID]],B226)</f>
        <v>0</v>
      </c>
      <c r="T226" s="137" t="str">
        <f>IF(S226=0,"NA",SUMIFS(AN_TME_PY[[#All],[Claims: Hospital Inpatient]],AN_TME_PY[[#All],[Insurance Category Code]],5,AN_TME_PY[[#All],[Advanced Network/Insurance Carrier Org ID]],B226)/S226)</f>
        <v>NA</v>
      </c>
      <c r="U226" s="108" t="str">
        <f>IF(S226=0,"NA",SUMIFS(AN_TME_PY[[#All],[Claims: Hospital Outpatient]],AN_TME_PY[[#All],[Insurance Category Code]],5,AN_TME_PY[[#All],[Advanced Network/Insurance Carrier Org ID]],B226)/S226)</f>
        <v>NA</v>
      </c>
      <c r="V226" s="108" t="str">
        <f>IF(S226=0,"NA",SUMIFS(AN_TME_PY[[#All],[Claims: Professional, Primary Care]],AN_TME_PY[[#All],[Insurance Category Code]],5,AN_TME_PY[[#All],[Advanced Network/Insurance Carrier Org ID]],B226)/S226)</f>
        <v>NA</v>
      </c>
      <c r="W226" s="108" t="str">
        <f>IF(S226=0,"NA",SUMIFS(AN_TME_PY[[#All],[Claims: Professional, Primary Care (for Monitoring Purposes)]],AN_TME_PY[[#All],[Insurance Category Code]],5,AN_TME_PY[[#All],[Advanced Network/Insurance Carrier Org ID]],B226)/S226)</f>
        <v>NA</v>
      </c>
      <c r="X226" s="108" t="str">
        <f>IF(S226=0,"NA",SUMIFS(AN_TME_PY[[#All],[Claims: Professional, Specialty]],AN_TME_PY[[#All],[Insurance Category Code]],5,AN_TME_PY[[#All],[Advanced Network/Insurance Carrier Org ID]],B226)/S226)</f>
        <v>NA</v>
      </c>
      <c r="Y226" s="108" t="str">
        <f>IF(S226=0,"NA",SUMIFS(AN_TME_PY[[#All],[Claims: Professional Other]],AN_TME_PY[[#All],[Insurance Category Code]],5,AN_TME_PY[[#All],[Advanced Network/Insurance Carrier Org ID]],B226)/S226)</f>
        <v>NA</v>
      </c>
      <c r="Z226" s="108" t="str">
        <f>IF(S226=0,"NA",SUMIFS(AN_TME_PY[[#All],[Claims: Pharmacy]],AN_TME_PY[[#All],[Insurance Category Code]],5,AN_TME_PY[[#All],[Advanced Network/Insurance Carrier Org ID]],B226)/S226)</f>
        <v>NA</v>
      </c>
      <c r="AA226" s="108" t="str">
        <f>IF(S226=0,"NA",SUMIFS(AN_TME_PY[[#All],[Claims: Long-Term Care]],AN_TME_PY[[#All],[Insurance Category Code]],5,AN_TME_PY[[#All],[Advanced Network/Insurance Carrier Org ID]],B226)/S226)</f>
        <v>NA</v>
      </c>
      <c r="AB226" s="108" t="str">
        <f>IF(S226=0,"NA",SUMIFS(AN_TME_PY[[#All],[Claims: Other]],AN_TME_PY[[#All],[Insurance Category Code]],5,AN_TME_PY[[#All],[Advanced Network/Insurance Carrier Org ID]],B226)/S226)</f>
        <v>NA</v>
      </c>
      <c r="AC226" s="147" t="str">
        <f>IF(S226=0,"NA",SUMIFS(AN_TME_PY[[#All],[TOTAL Non-Truncated Unadjusted Claims Expenses]],AN_TME_PY[[#All],[Insurance Category Code]],5,AN_TME_PY[[#All],[Advanced Network/Insurance Carrier Org ID]],B226)/S226)</f>
        <v>NA</v>
      </c>
      <c r="AD226" s="147" t="str">
        <f>IF(S226=0,"NA",SUMIFS(AN_TME_PY[[#All],[TOTAL Truncated Unadjusted Claims Expenses (A21 -A19)]],AN_TME_PY[[#All],[Insurance Category Code]],5,AN_TME_PY[[#All],[Advanced Network/Insurance Carrier Org ID]],B226)/S226)</f>
        <v>NA</v>
      </c>
      <c r="AE226" s="147" t="str">
        <f>IF(S226=0,"NA",SUMIFS(AN_TME_PY[[#All],[TOTAL Non-Claims Expenses]],AN_TME_PY[[#All],[Insurance Category Code]],5,AN_TME_PY[[#All],[Advanced Network/Insurance Carrier Org ID]],B226)/S226)</f>
        <v>NA</v>
      </c>
      <c r="AF226" s="147" t="str">
        <f>IF(S226=0,"NA",SUMIFS(AN_TME_PY[[#All],[TOTAL Non-Truncated Unadjusted Expenses (A21 + A23)]],AN_TME_PY[[#All],[Insurance Category Code]],5,AN_TME_PY[[#All],[Advanced Network/Insurance Carrier Org ID]],B226)/S226)</f>
        <v>NA</v>
      </c>
      <c r="AG226" s="138" t="str">
        <f>IF(S226=0,"NA",SUMIFS(AN_TME_PY[[#All],[TOTAL Truncated Unadjusted Expenses (A22 + A23)]],AN_TME_PY[[#All],[Insurance Category Code]],5,AN_TME_PY[[#All],[Advanced Network/Insurance Carrier Org ID]],B226)/S226)</f>
        <v>NA</v>
      </c>
      <c r="AH226" s="419" t="str">
        <f t="shared" si="306"/>
        <v>NA</v>
      </c>
      <c r="AI226" s="420" t="str">
        <f t="shared" si="307"/>
        <v>NA</v>
      </c>
      <c r="AJ226" s="421" t="str">
        <f t="shared" si="308"/>
        <v>NA</v>
      </c>
      <c r="AK226" s="421" t="str">
        <f t="shared" si="309"/>
        <v>NA</v>
      </c>
      <c r="AL226" s="421" t="str">
        <f t="shared" si="310"/>
        <v>NA</v>
      </c>
      <c r="AM226" s="421" t="str">
        <f t="shared" si="311"/>
        <v>NA</v>
      </c>
      <c r="AN226" s="421" t="str">
        <f t="shared" si="312"/>
        <v>NA</v>
      </c>
      <c r="AO226" s="421" t="str">
        <f t="shared" si="313"/>
        <v>NA</v>
      </c>
      <c r="AP226" s="421" t="str">
        <f t="shared" si="314"/>
        <v>NA</v>
      </c>
      <c r="AQ226" s="421" t="str">
        <f t="shared" si="315"/>
        <v>NA</v>
      </c>
      <c r="AR226" s="422" t="str">
        <f t="shared" si="316"/>
        <v>NA</v>
      </c>
      <c r="AS226" s="422" t="str">
        <f t="shared" si="317"/>
        <v>NA</v>
      </c>
      <c r="AT226" s="422" t="str">
        <f t="shared" si="318"/>
        <v>NA</v>
      </c>
      <c r="AU226" s="422" t="str">
        <f t="shared" si="319"/>
        <v>NA</v>
      </c>
      <c r="AV226" s="423" t="str">
        <f t="shared" si="320"/>
        <v>NA</v>
      </c>
    </row>
    <row r="227" spans="1:48" ht="15" customHeight="1" x14ac:dyDescent="0.25">
      <c r="A227" s="146"/>
      <c r="B227" s="148">
        <v>115</v>
      </c>
      <c r="C227" s="151" t="str">
        <f>_xlfn.XLOOKUP(B227, LgProvEntOrgIDs[Advanced Network/Insurer Carrier Org ID], LgProvEntOrgIDs[Advanced Network/Insurance Carrier Overall])</f>
        <v>Community Health Center</v>
      </c>
      <c r="D227" s="448">
        <f>SUMIFS(AN_TME_BY[[#All],[Member Months]],AN_TME_BY[[#All],[Insurance Category Code]],5,AN_TME_BY[[#All],[Advanced Network/Insurance Carrier Org ID]],B227)</f>
        <v>0</v>
      </c>
      <c r="E227" s="137" t="str">
        <f>IF(D227=0,"NA",SUMIFS(AN_TME_BY[[#All],[Claims: Hospital Inpatient]],AN_TME_BY[[#All],[Insurance Category Code]],5,AN_TME_BY[[#All],[Advanced Network/Insurance Carrier Org ID]],B227)/D227)</f>
        <v>NA</v>
      </c>
      <c r="F227" s="108" t="str">
        <f>IF(D227=0,"NA",SUMIFS(AN_TME_BY[[#All],[Claims: Hospital Outpatient]],AN_TME_BY[[#All],[Insurance Category Code]],5,AN_TME_BY[[#All],[Advanced Network/Insurance Carrier Org ID]],B227)/D227)</f>
        <v>NA</v>
      </c>
      <c r="G227" s="108" t="str">
        <f>IF(D227=0,"NA",SUMIFS(AN_TME_BY[[#All],[Claims: Professional, Primary Care]],AN_TME_BY[[#All],[Insurance Category Code]],5,AN_TME_BY[[#All],[Advanced Network/Insurance Carrier Org ID]],B227)/D227)</f>
        <v>NA</v>
      </c>
      <c r="H227" s="108" t="str">
        <f>IF(D227=0,"NA",SUMIFS(AN_TME_BY[[#All],[Claims: Professional, Primary Care (for Monitoring Purposes)]],AN_TME_BY[[#All],[Insurance Category Code]],5,AN_TME_BY[[#All],[Advanced Network/Insurance Carrier Org ID]],B227)/D227)</f>
        <v>NA</v>
      </c>
      <c r="I227" s="108" t="str">
        <f>IF(D227=0,"NA",SUMIFS(AN_TME_BY[[#All],[Claims: Professional, Specialty]],AN_TME_BY[[#All],[Insurance Category Code]],5,AN_TME_BY[[#All],[Advanced Network/Insurance Carrier Org ID]],B227)/D227)</f>
        <v>NA</v>
      </c>
      <c r="J227" s="108" t="str">
        <f>IF(D227=0,"NA",SUMIFS(AN_TME_BY[[#All],[Claims: Professional Other]],AN_TME_BY[[#All],[Insurance Category Code]],5,AN_TME_BY[[#All],[Advanced Network/Insurance Carrier Org ID]],B227)/D227)</f>
        <v>NA</v>
      </c>
      <c r="K227" s="108" t="str">
        <f>IF(D227=0,"NA",SUMIFS(AN_TME_BY[[#All],[Claims: Pharmacy]],AN_TME_BY[[#All],[Insurance Category Code]],5,AN_TME_BY[[#All],[Advanced Network/Insurance Carrier Org ID]],B227)/D227)</f>
        <v>NA</v>
      </c>
      <c r="L227" s="108" t="str">
        <f>IF(D227=0,"NA",SUMIFS(AN_TME_BY[[#All],[Claims: Long-Term Care]],AN_TME_BY[[#All],[Insurance Category Code]],5,AN_TME_BY[[#All],[Advanced Network/Insurance Carrier Org ID]],B227)/D227)</f>
        <v>NA</v>
      </c>
      <c r="M227" s="108" t="str">
        <f>IF(D227=0,"NA",SUMIFS(AN_TME_BY[[#All],[Claims: Other]],AN_TME_BY[[#All],[Insurance Category Code]],5,AN_TME_BY[[#All],[Advanced Network/Insurance Carrier Org ID]],B227)/D227)</f>
        <v>NA</v>
      </c>
      <c r="N227" s="147" t="str">
        <f>IF(D227=0,"NA",SUMIFS(AN_TME_BY[[#All],[TOTAL Non-Truncated Unadjusted Claims Expenses]],AN_TME_BY[[#All],[Insurance Category Code]],5,AN_TME_BY[[#All],[Advanced Network/Insurance Carrier Org ID]],B227)/D227)</f>
        <v>NA</v>
      </c>
      <c r="O227" s="147" t="str">
        <f>IF(D227=0,"NA",SUMIFS(AN_TME_BY[[#All],[TOTAL Truncated Unadjusted Claims Expenses (A21 -A19)]],AN_TME_BY[[#All],[Insurance Category Code]],5,AN_TME_BY[[#All],[Advanced Network/Insurance Carrier Org ID]],B227)/D227)</f>
        <v>NA</v>
      </c>
      <c r="P227" s="147" t="str">
        <f>IF(D227=0,"NA",SUMIFS(AN_TME_BY[[#All],[TOTAL Non-Claims Expenses]],AN_TME_BY[[#All],[Insurance Category Code]],5,AN_TME_BY[[#All],[Advanced Network/Insurance Carrier Org ID]],B227)/D227)</f>
        <v>NA</v>
      </c>
      <c r="Q227" s="147" t="str">
        <f>IF(D227=0,"NA",SUMIFS(AN_TME_BY[[#All],[TOTAL Non-Truncated Unadjusted Expenses (A21 + A23)]],AN_TME_BY[[#All],[Insurance Category Code]],5,AN_TME_BY[[#All],[Advanced Network/Insurance Carrier Org ID]],B227)/D227)</f>
        <v>NA</v>
      </c>
      <c r="R227" s="147" t="str">
        <f>IF(D227=0,"NA",SUMIFS(AN_TME_BY[[#All],[TOTAL Truncated Unadjusted Expenses (A22 + A23)]],AN_TME_BY[[#All],[Insurance Category Code]],5,AN_TME_BY[[#All],[Advanced Network/Insurance Carrier Org ID]],B227)/D227)</f>
        <v>NA</v>
      </c>
      <c r="S227" s="448">
        <f>SUMIFS(AN_TME_PY[[#All],[Member Months]],AN_TME_PY[[#All],[Insurance Category Code]],5,AN_TME_PY[[#All],[Advanced Network/Insurance Carrier Org ID]],B227)</f>
        <v>0</v>
      </c>
      <c r="T227" s="137" t="str">
        <f>IF(S227=0,"NA",SUMIFS(AN_TME_PY[[#All],[Claims: Hospital Inpatient]],AN_TME_PY[[#All],[Insurance Category Code]],5,AN_TME_PY[[#All],[Advanced Network/Insurance Carrier Org ID]],B227)/S227)</f>
        <v>NA</v>
      </c>
      <c r="U227" s="108" t="str">
        <f>IF(S227=0,"NA",SUMIFS(AN_TME_PY[[#All],[Claims: Hospital Outpatient]],AN_TME_PY[[#All],[Insurance Category Code]],5,AN_TME_PY[[#All],[Advanced Network/Insurance Carrier Org ID]],B227)/S227)</f>
        <v>NA</v>
      </c>
      <c r="V227" s="108" t="str">
        <f>IF(S227=0,"NA",SUMIFS(AN_TME_PY[[#All],[Claims: Professional, Primary Care]],AN_TME_PY[[#All],[Insurance Category Code]],5,AN_TME_PY[[#All],[Advanced Network/Insurance Carrier Org ID]],B227)/S227)</f>
        <v>NA</v>
      </c>
      <c r="W227" s="108" t="str">
        <f>IF(S227=0,"NA",SUMIFS(AN_TME_PY[[#All],[Claims: Professional, Primary Care (for Monitoring Purposes)]],AN_TME_PY[[#All],[Insurance Category Code]],5,AN_TME_PY[[#All],[Advanced Network/Insurance Carrier Org ID]],B227)/S227)</f>
        <v>NA</v>
      </c>
      <c r="X227" s="108" t="str">
        <f>IF(S227=0,"NA",SUMIFS(AN_TME_PY[[#All],[Claims: Professional, Specialty]],AN_TME_PY[[#All],[Insurance Category Code]],5,AN_TME_PY[[#All],[Advanced Network/Insurance Carrier Org ID]],B227)/S227)</f>
        <v>NA</v>
      </c>
      <c r="Y227" s="108" t="str">
        <f>IF(S227=0,"NA",SUMIFS(AN_TME_PY[[#All],[Claims: Professional Other]],AN_TME_PY[[#All],[Insurance Category Code]],5,AN_TME_PY[[#All],[Advanced Network/Insurance Carrier Org ID]],B227)/S227)</f>
        <v>NA</v>
      </c>
      <c r="Z227" s="108" t="str">
        <f>IF(S227=0,"NA",SUMIFS(AN_TME_PY[[#All],[Claims: Pharmacy]],AN_TME_PY[[#All],[Insurance Category Code]],5,AN_TME_PY[[#All],[Advanced Network/Insurance Carrier Org ID]],B227)/S227)</f>
        <v>NA</v>
      </c>
      <c r="AA227" s="108" t="str">
        <f>IF(S227=0,"NA",SUMIFS(AN_TME_PY[[#All],[Claims: Long-Term Care]],AN_TME_PY[[#All],[Insurance Category Code]],5,AN_TME_PY[[#All],[Advanced Network/Insurance Carrier Org ID]],B227)/S227)</f>
        <v>NA</v>
      </c>
      <c r="AB227" s="108" t="str">
        <f>IF(S227=0,"NA",SUMIFS(AN_TME_PY[[#All],[Claims: Other]],AN_TME_PY[[#All],[Insurance Category Code]],5,AN_TME_PY[[#All],[Advanced Network/Insurance Carrier Org ID]],B227)/S227)</f>
        <v>NA</v>
      </c>
      <c r="AC227" s="147" t="str">
        <f>IF(S227=0,"NA",SUMIFS(AN_TME_PY[[#All],[TOTAL Non-Truncated Unadjusted Claims Expenses]],AN_TME_PY[[#All],[Insurance Category Code]],5,AN_TME_PY[[#All],[Advanced Network/Insurance Carrier Org ID]],B227)/S227)</f>
        <v>NA</v>
      </c>
      <c r="AD227" s="147" t="str">
        <f>IF(S227=0,"NA",SUMIFS(AN_TME_PY[[#All],[TOTAL Truncated Unadjusted Claims Expenses (A21 -A19)]],AN_TME_PY[[#All],[Insurance Category Code]],5,AN_TME_PY[[#All],[Advanced Network/Insurance Carrier Org ID]],B227)/S227)</f>
        <v>NA</v>
      </c>
      <c r="AE227" s="147" t="str">
        <f>IF(S227=0,"NA",SUMIFS(AN_TME_PY[[#All],[TOTAL Non-Claims Expenses]],AN_TME_PY[[#All],[Insurance Category Code]],5,AN_TME_PY[[#All],[Advanced Network/Insurance Carrier Org ID]],B227)/S227)</f>
        <v>NA</v>
      </c>
      <c r="AF227" s="147" t="str">
        <f>IF(S227=0,"NA",SUMIFS(AN_TME_PY[[#All],[TOTAL Non-Truncated Unadjusted Expenses (A21 + A23)]],AN_TME_PY[[#All],[Insurance Category Code]],5,AN_TME_PY[[#All],[Advanced Network/Insurance Carrier Org ID]],B227)/S227)</f>
        <v>NA</v>
      </c>
      <c r="AG227" s="138" t="str">
        <f>IF(S227=0,"NA",SUMIFS(AN_TME_PY[[#All],[TOTAL Truncated Unadjusted Expenses (A22 + A23)]],AN_TME_PY[[#All],[Insurance Category Code]],5,AN_TME_PY[[#All],[Advanced Network/Insurance Carrier Org ID]],B227)/S227)</f>
        <v>NA</v>
      </c>
      <c r="AH227" s="419" t="str">
        <f t="shared" si="306"/>
        <v>NA</v>
      </c>
      <c r="AI227" s="420" t="str">
        <f t="shared" si="307"/>
        <v>NA</v>
      </c>
      <c r="AJ227" s="421" t="str">
        <f t="shared" si="308"/>
        <v>NA</v>
      </c>
      <c r="AK227" s="421" t="str">
        <f t="shared" si="309"/>
        <v>NA</v>
      </c>
      <c r="AL227" s="421" t="str">
        <f t="shared" si="310"/>
        <v>NA</v>
      </c>
      <c r="AM227" s="421" t="str">
        <f t="shared" si="311"/>
        <v>NA</v>
      </c>
      <c r="AN227" s="421" t="str">
        <f t="shared" si="312"/>
        <v>NA</v>
      </c>
      <c r="AO227" s="421" t="str">
        <f t="shared" si="313"/>
        <v>NA</v>
      </c>
      <c r="AP227" s="421" t="str">
        <f t="shared" si="314"/>
        <v>NA</v>
      </c>
      <c r="AQ227" s="421" t="str">
        <f t="shared" si="315"/>
        <v>NA</v>
      </c>
      <c r="AR227" s="422" t="str">
        <f t="shared" si="316"/>
        <v>NA</v>
      </c>
      <c r="AS227" s="422" t="str">
        <f t="shared" si="317"/>
        <v>NA</v>
      </c>
      <c r="AT227" s="422" t="str">
        <f t="shared" si="318"/>
        <v>NA</v>
      </c>
      <c r="AU227" s="422" t="str">
        <f t="shared" si="319"/>
        <v>NA</v>
      </c>
      <c r="AV227" s="423" t="str">
        <f t="shared" si="320"/>
        <v>NA</v>
      </c>
    </row>
    <row r="228" spans="1:48" ht="15" customHeight="1" x14ac:dyDescent="0.25">
      <c r="A228" s="146"/>
      <c r="B228" s="148">
        <v>116</v>
      </c>
      <c r="C228" s="151" t="str">
        <f>_xlfn.XLOOKUP(B228, LgProvEntOrgIDs[Advanced Network/Insurer Carrier Org ID], LgProvEntOrgIDs[Advanced Network/Insurance Carrier Overall])</f>
        <v>Community Health Services</v>
      </c>
      <c r="D228" s="448">
        <f>SUMIFS(AN_TME_BY[[#All],[Member Months]],AN_TME_BY[[#All],[Insurance Category Code]],5,AN_TME_BY[[#All],[Advanced Network/Insurance Carrier Org ID]],B228)</f>
        <v>0</v>
      </c>
      <c r="E228" s="137" t="str">
        <f>IF(D228=0,"NA",SUMIFS(AN_TME_BY[[#All],[Claims: Hospital Inpatient]],AN_TME_BY[[#All],[Insurance Category Code]],5,AN_TME_BY[[#All],[Advanced Network/Insurance Carrier Org ID]],B228)/D228)</f>
        <v>NA</v>
      </c>
      <c r="F228" s="108" t="str">
        <f>IF(D228=0,"NA",SUMIFS(AN_TME_BY[[#All],[Claims: Hospital Outpatient]],AN_TME_BY[[#All],[Insurance Category Code]],5,AN_TME_BY[[#All],[Advanced Network/Insurance Carrier Org ID]],B228)/D228)</f>
        <v>NA</v>
      </c>
      <c r="G228" s="108" t="str">
        <f>IF(D228=0,"NA",SUMIFS(AN_TME_BY[[#All],[Claims: Professional, Primary Care]],AN_TME_BY[[#All],[Insurance Category Code]],5,AN_TME_BY[[#All],[Advanced Network/Insurance Carrier Org ID]],B228)/D228)</f>
        <v>NA</v>
      </c>
      <c r="H228" s="108" t="str">
        <f>IF(D228=0,"NA",SUMIFS(AN_TME_BY[[#All],[Claims: Professional, Primary Care (for Monitoring Purposes)]],AN_TME_BY[[#All],[Insurance Category Code]],5,AN_TME_BY[[#All],[Advanced Network/Insurance Carrier Org ID]],B228)/D228)</f>
        <v>NA</v>
      </c>
      <c r="I228" s="108" t="str">
        <f>IF(D228=0,"NA",SUMIFS(AN_TME_BY[[#All],[Claims: Professional, Specialty]],AN_TME_BY[[#All],[Insurance Category Code]],5,AN_TME_BY[[#All],[Advanced Network/Insurance Carrier Org ID]],B228)/D228)</f>
        <v>NA</v>
      </c>
      <c r="J228" s="108" t="str">
        <f>IF(D228=0,"NA",SUMIFS(AN_TME_BY[[#All],[Claims: Professional Other]],AN_TME_BY[[#All],[Insurance Category Code]],5,AN_TME_BY[[#All],[Advanced Network/Insurance Carrier Org ID]],B228)/D228)</f>
        <v>NA</v>
      </c>
      <c r="K228" s="108" t="str">
        <f>IF(D228=0,"NA",SUMIFS(AN_TME_BY[[#All],[Claims: Pharmacy]],AN_TME_BY[[#All],[Insurance Category Code]],5,AN_TME_BY[[#All],[Advanced Network/Insurance Carrier Org ID]],B228)/D228)</f>
        <v>NA</v>
      </c>
      <c r="L228" s="108" t="str">
        <f>IF(D228=0,"NA",SUMIFS(AN_TME_BY[[#All],[Claims: Long-Term Care]],AN_TME_BY[[#All],[Insurance Category Code]],5,AN_TME_BY[[#All],[Advanced Network/Insurance Carrier Org ID]],B228)/D228)</f>
        <v>NA</v>
      </c>
      <c r="M228" s="108" t="str">
        <f>IF(D228=0,"NA",SUMIFS(AN_TME_BY[[#All],[Claims: Other]],AN_TME_BY[[#All],[Insurance Category Code]],5,AN_TME_BY[[#All],[Advanced Network/Insurance Carrier Org ID]],B228)/D228)</f>
        <v>NA</v>
      </c>
      <c r="N228" s="147" t="str">
        <f>IF(D228=0,"NA",SUMIFS(AN_TME_BY[[#All],[TOTAL Non-Truncated Unadjusted Claims Expenses]],AN_TME_BY[[#All],[Insurance Category Code]],5,AN_TME_BY[[#All],[Advanced Network/Insurance Carrier Org ID]],B228)/D228)</f>
        <v>NA</v>
      </c>
      <c r="O228" s="147" t="str">
        <f>IF(D228=0,"NA",SUMIFS(AN_TME_BY[[#All],[TOTAL Truncated Unadjusted Claims Expenses (A21 -A19)]],AN_TME_BY[[#All],[Insurance Category Code]],5,AN_TME_BY[[#All],[Advanced Network/Insurance Carrier Org ID]],B228)/D228)</f>
        <v>NA</v>
      </c>
      <c r="P228" s="147" t="str">
        <f>IF(D228=0,"NA",SUMIFS(AN_TME_BY[[#All],[TOTAL Non-Claims Expenses]],AN_TME_BY[[#All],[Insurance Category Code]],5,AN_TME_BY[[#All],[Advanced Network/Insurance Carrier Org ID]],B228)/D228)</f>
        <v>NA</v>
      </c>
      <c r="Q228" s="147" t="str">
        <f>IF(D228=0,"NA",SUMIFS(AN_TME_BY[[#All],[TOTAL Non-Truncated Unadjusted Expenses (A21 + A23)]],AN_TME_BY[[#All],[Insurance Category Code]],5,AN_TME_BY[[#All],[Advanced Network/Insurance Carrier Org ID]],B228)/D228)</f>
        <v>NA</v>
      </c>
      <c r="R228" s="147" t="str">
        <f>IF(D228=0,"NA",SUMIFS(AN_TME_BY[[#All],[TOTAL Truncated Unadjusted Expenses (A22 + A23)]],AN_TME_BY[[#All],[Insurance Category Code]],5,AN_TME_BY[[#All],[Advanced Network/Insurance Carrier Org ID]],B228)/D228)</f>
        <v>NA</v>
      </c>
      <c r="S228" s="448">
        <f>SUMIFS(AN_TME_PY[[#All],[Member Months]],AN_TME_PY[[#All],[Insurance Category Code]],5,AN_TME_PY[[#All],[Advanced Network/Insurance Carrier Org ID]],B228)</f>
        <v>0</v>
      </c>
      <c r="T228" s="137" t="str">
        <f>IF(S228=0,"NA",SUMIFS(AN_TME_PY[[#All],[Claims: Hospital Inpatient]],AN_TME_PY[[#All],[Insurance Category Code]],5,AN_TME_PY[[#All],[Advanced Network/Insurance Carrier Org ID]],B228)/S228)</f>
        <v>NA</v>
      </c>
      <c r="U228" s="108" t="str">
        <f>IF(S228=0,"NA",SUMIFS(AN_TME_PY[[#All],[Claims: Hospital Outpatient]],AN_TME_PY[[#All],[Insurance Category Code]],5,AN_TME_PY[[#All],[Advanced Network/Insurance Carrier Org ID]],B228)/S228)</f>
        <v>NA</v>
      </c>
      <c r="V228" s="108" t="str">
        <f>IF(S228=0,"NA",SUMIFS(AN_TME_PY[[#All],[Claims: Professional, Primary Care]],AN_TME_PY[[#All],[Insurance Category Code]],5,AN_TME_PY[[#All],[Advanced Network/Insurance Carrier Org ID]],B228)/S228)</f>
        <v>NA</v>
      </c>
      <c r="W228" s="108" t="str">
        <f>IF(S228=0,"NA",SUMIFS(AN_TME_PY[[#All],[Claims: Professional, Primary Care (for Monitoring Purposes)]],AN_TME_PY[[#All],[Insurance Category Code]],5,AN_TME_PY[[#All],[Advanced Network/Insurance Carrier Org ID]],B228)/S228)</f>
        <v>NA</v>
      </c>
      <c r="X228" s="108" t="str">
        <f>IF(S228=0,"NA",SUMIFS(AN_TME_PY[[#All],[Claims: Professional, Specialty]],AN_TME_PY[[#All],[Insurance Category Code]],5,AN_TME_PY[[#All],[Advanced Network/Insurance Carrier Org ID]],B228)/S228)</f>
        <v>NA</v>
      </c>
      <c r="Y228" s="108" t="str">
        <f>IF(S228=0,"NA",SUMIFS(AN_TME_PY[[#All],[Claims: Professional Other]],AN_TME_PY[[#All],[Insurance Category Code]],5,AN_TME_PY[[#All],[Advanced Network/Insurance Carrier Org ID]],B228)/S228)</f>
        <v>NA</v>
      </c>
      <c r="Z228" s="108" t="str">
        <f>IF(S228=0,"NA",SUMIFS(AN_TME_PY[[#All],[Claims: Pharmacy]],AN_TME_PY[[#All],[Insurance Category Code]],5,AN_TME_PY[[#All],[Advanced Network/Insurance Carrier Org ID]],B228)/S228)</f>
        <v>NA</v>
      </c>
      <c r="AA228" s="108" t="str">
        <f>IF(S228=0,"NA",SUMIFS(AN_TME_PY[[#All],[Claims: Long-Term Care]],AN_TME_PY[[#All],[Insurance Category Code]],5,AN_TME_PY[[#All],[Advanced Network/Insurance Carrier Org ID]],B228)/S228)</f>
        <v>NA</v>
      </c>
      <c r="AB228" s="108" t="str">
        <f>IF(S228=0,"NA",SUMIFS(AN_TME_PY[[#All],[Claims: Other]],AN_TME_PY[[#All],[Insurance Category Code]],5,AN_TME_PY[[#All],[Advanced Network/Insurance Carrier Org ID]],B228)/S228)</f>
        <v>NA</v>
      </c>
      <c r="AC228" s="147" t="str">
        <f>IF(S228=0,"NA",SUMIFS(AN_TME_PY[[#All],[TOTAL Non-Truncated Unadjusted Claims Expenses]],AN_TME_PY[[#All],[Insurance Category Code]],5,AN_TME_PY[[#All],[Advanced Network/Insurance Carrier Org ID]],B228)/S228)</f>
        <v>NA</v>
      </c>
      <c r="AD228" s="147" t="str">
        <f>IF(S228=0,"NA",SUMIFS(AN_TME_PY[[#All],[TOTAL Truncated Unadjusted Claims Expenses (A21 -A19)]],AN_TME_PY[[#All],[Insurance Category Code]],5,AN_TME_PY[[#All],[Advanced Network/Insurance Carrier Org ID]],B228)/S228)</f>
        <v>NA</v>
      </c>
      <c r="AE228" s="147" t="str">
        <f>IF(S228=0,"NA",SUMIFS(AN_TME_PY[[#All],[TOTAL Non-Claims Expenses]],AN_TME_PY[[#All],[Insurance Category Code]],5,AN_TME_PY[[#All],[Advanced Network/Insurance Carrier Org ID]],B228)/S228)</f>
        <v>NA</v>
      </c>
      <c r="AF228" s="147" t="str">
        <f>IF(S228=0,"NA",SUMIFS(AN_TME_PY[[#All],[TOTAL Non-Truncated Unadjusted Expenses (A21 + A23)]],AN_TME_PY[[#All],[Insurance Category Code]],5,AN_TME_PY[[#All],[Advanced Network/Insurance Carrier Org ID]],B228)/S228)</f>
        <v>NA</v>
      </c>
      <c r="AG228" s="138" t="str">
        <f>IF(S228=0,"NA",SUMIFS(AN_TME_PY[[#All],[TOTAL Truncated Unadjusted Expenses (A22 + A23)]],AN_TME_PY[[#All],[Insurance Category Code]],5,AN_TME_PY[[#All],[Advanced Network/Insurance Carrier Org ID]],B228)/S228)</f>
        <v>NA</v>
      </c>
      <c r="AH228" s="419" t="str">
        <f t="shared" si="306"/>
        <v>NA</v>
      </c>
      <c r="AI228" s="420" t="str">
        <f t="shared" si="307"/>
        <v>NA</v>
      </c>
      <c r="AJ228" s="421" t="str">
        <f t="shared" si="308"/>
        <v>NA</v>
      </c>
      <c r="AK228" s="421" t="str">
        <f t="shared" si="309"/>
        <v>NA</v>
      </c>
      <c r="AL228" s="421" t="str">
        <f t="shared" si="310"/>
        <v>NA</v>
      </c>
      <c r="AM228" s="421" t="str">
        <f t="shared" si="311"/>
        <v>NA</v>
      </c>
      <c r="AN228" s="421" t="str">
        <f t="shared" si="312"/>
        <v>NA</v>
      </c>
      <c r="AO228" s="421" t="str">
        <f t="shared" si="313"/>
        <v>NA</v>
      </c>
      <c r="AP228" s="421" t="str">
        <f t="shared" si="314"/>
        <v>NA</v>
      </c>
      <c r="AQ228" s="421" t="str">
        <f t="shared" si="315"/>
        <v>NA</v>
      </c>
      <c r="AR228" s="422" t="str">
        <f t="shared" si="316"/>
        <v>NA</v>
      </c>
      <c r="AS228" s="422" t="str">
        <f t="shared" si="317"/>
        <v>NA</v>
      </c>
      <c r="AT228" s="422" t="str">
        <f t="shared" si="318"/>
        <v>NA</v>
      </c>
      <c r="AU228" s="422" t="str">
        <f t="shared" si="319"/>
        <v>NA</v>
      </c>
      <c r="AV228" s="423" t="str">
        <f t="shared" si="320"/>
        <v>NA</v>
      </c>
    </row>
    <row r="229" spans="1:48" ht="15" customHeight="1" x14ac:dyDescent="0.25">
      <c r="A229" s="146"/>
      <c r="B229" s="148">
        <v>117</v>
      </c>
      <c r="C229" s="151" t="str">
        <f>_xlfn.XLOOKUP(B229, LgProvEntOrgIDs[Advanced Network/Insurer Carrier Org ID], LgProvEntOrgIDs[Advanced Network/Insurance Carrier Overall])</f>
        <v>Cornell Scott Hill Health Center</v>
      </c>
      <c r="D229" s="448">
        <f>SUMIFS(AN_TME_BY[[#All],[Member Months]],AN_TME_BY[[#All],[Insurance Category Code]],5,AN_TME_BY[[#All],[Advanced Network/Insurance Carrier Org ID]],B229)</f>
        <v>0</v>
      </c>
      <c r="E229" s="137" t="str">
        <f>IF(D229=0,"NA",SUMIFS(AN_TME_BY[[#All],[Claims: Hospital Inpatient]],AN_TME_BY[[#All],[Insurance Category Code]],5,AN_TME_BY[[#All],[Advanced Network/Insurance Carrier Org ID]],B229)/D229)</f>
        <v>NA</v>
      </c>
      <c r="F229" s="108" t="str">
        <f>IF(D229=0,"NA",SUMIFS(AN_TME_BY[[#All],[Claims: Hospital Outpatient]],AN_TME_BY[[#All],[Insurance Category Code]],5,AN_TME_BY[[#All],[Advanced Network/Insurance Carrier Org ID]],B229)/D229)</f>
        <v>NA</v>
      </c>
      <c r="G229" s="108" t="str">
        <f>IF(D229=0,"NA",SUMIFS(AN_TME_BY[[#All],[Claims: Professional, Primary Care]],AN_TME_BY[[#All],[Insurance Category Code]],5,AN_TME_BY[[#All],[Advanced Network/Insurance Carrier Org ID]],B229)/D229)</f>
        <v>NA</v>
      </c>
      <c r="H229" s="108" t="str">
        <f>IF(D229=0,"NA",SUMIFS(AN_TME_BY[[#All],[Claims: Professional, Primary Care (for Monitoring Purposes)]],AN_TME_BY[[#All],[Insurance Category Code]],5,AN_TME_BY[[#All],[Advanced Network/Insurance Carrier Org ID]],B229)/D229)</f>
        <v>NA</v>
      </c>
      <c r="I229" s="108" t="str">
        <f>IF(D229=0,"NA",SUMIFS(AN_TME_BY[[#All],[Claims: Professional, Specialty]],AN_TME_BY[[#All],[Insurance Category Code]],5,AN_TME_BY[[#All],[Advanced Network/Insurance Carrier Org ID]],B229)/D229)</f>
        <v>NA</v>
      </c>
      <c r="J229" s="108" t="str">
        <f>IF(D229=0,"NA",SUMIFS(AN_TME_BY[[#All],[Claims: Professional Other]],AN_TME_BY[[#All],[Insurance Category Code]],5,AN_TME_BY[[#All],[Advanced Network/Insurance Carrier Org ID]],B229)/D229)</f>
        <v>NA</v>
      </c>
      <c r="K229" s="108" t="str">
        <f>IF(D229=0,"NA",SUMIFS(AN_TME_BY[[#All],[Claims: Pharmacy]],AN_TME_BY[[#All],[Insurance Category Code]],5,AN_TME_BY[[#All],[Advanced Network/Insurance Carrier Org ID]],B229)/D229)</f>
        <v>NA</v>
      </c>
      <c r="L229" s="108" t="str">
        <f>IF(D229=0,"NA",SUMIFS(AN_TME_BY[[#All],[Claims: Long-Term Care]],AN_TME_BY[[#All],[Insurance Category Code]],5,AN_TME_BY[[#All],[Advanced Network/Insurance Carrier Org ID]],B229)/D229)</f>
        <v>NA</v>
      </c>
      <c r="M229" s="108" t="str">
        <f>IF(D229=0,"NA",SUMIFS(AN_TME_BY[[#All],[Claims: Other]],AN_TME_BY[[#All],[Insurance Category Code]],5,AN_TME_BY[[#All],[Advanced Network/Insurance Carrier Org ID]],B229)/D229)</f>
        <v>NA</v>
      </c>
      <c r="N229" s="147" t="str">
        <f>IF(D229=0,"NA",SUMIFS(AN_TME_BY[[#All],[TOTAL Non-Truncated Unadjusted Claims Expenses]],AN_TME_BY[[#All],[Insurance Category Code]],5,AN_TME_BY[[#All],[Advanced Network/Insurance Carrier Org ID]],B229)/D229)</f>
        <v>NA</v>
      </c>
      <c r="O229" s="147" t="str">
        <f>IF(D229=0,"NA",SUMIFS(AN_TME_BY[[#All],[TOTAL Truncated Unadjusted Claims Expenses (A21 -A19)]],AN_TME_BY[[#All],[Insurance Category Code]],5,AN_TME_BY[[#All],[Advanced Network/Insurance Carrier Org ID]],B229)/D229)</f>
        <v>NA</v>
      </c>
      <c r="P229" s="147" t="str">
        <f>IF(D229=0,"NA",SUMIFS(AN_TME_BY[[#All],[TOTAL Non-Claims Expenses]],AN_TME_BY[[#All],[Insurance Category Code]],5,AN_TME_BY[[#All],[Advanced Network/Insurance Carrier Org ID]],B229)/D229)</f>
        <v>NA</v>
      </c>
      <c r="Q229" s="147" t="str">
        <f>IF(D229=0,"NA",SUMIFS(AN_TME_BY[[#All],[TOTAL Non-Truncated Unadjusted Expenses (A21 + A23)]],AN_TME_BY[[#All],[Insurance Category Code]],5,AN_TME_BY[[#All],[Advanced Network/Insurance Carrier Org ID]],B229)/D229)</f>
        <v>NA</v>
      </c>
      <c r="R229" s="147" t="str">
        <f>IF(D229=0,"NA",SUMIFS(AN_TME_BY[[#All],[TOTAL Truncated Unadjusted Expenses (A22 + A23)]],AN_TME_BY[[#All],[Insurance Category Code]],5,AN_TME_BY[[#All],[Advanced Network/Insurance Carrier Org ID]],B229)/D229)</f>
        <v>NA</v>
      </c>
      <c r="S229" s="448">
        <f>SUMIFS(AN_TME_PY[[#All],[Member Months]],AN_TME_PY[[#All],[Insurance Category Code]],5,AN_TME_PY[[#All],[Advanced Network/Insurance Carrier Org ID]],B229)</f>
        <v>0</v>
      </c>
      <c r="T229" s="137" t="str">
        <f>IF(S229=0,"NA",SUMIFS(AN_TME_PY[[#All],[Claims: Hospital Inpatient]],AN_TME_PY[[#All],[Insurance Category Code]],5,AN_TME_PY[[#All],[Advanced Network/Insurance Carrier Org ID]],B229)/S229)</f>
        <v>NA</v>
      </c>
      <c r="U229" s="108" t="str">
        <f>IF(S229=0,"NA",SUMIFS(AN_TME_PY[[#All],[Claims: Hospital Outpatient]],AN_TME_PY[[#All],[Insurance Category Code]],5,AN_TME_PY[[#All],[Advanced Network/Insurance Carrier Org ID]],B229)/S229)</f>
        <v>NA</v>
      </c>
      <c r="V229" s="108" t="str">
        <f>IF(S229=0,"NA",SUMIFS(AN_TME_PY[[#All],[Claims: Professional, Primary Care]],AN_TME_PY[[#All],[Insurance Category Code]],5,AN_TME_PY[[#All],[Advanced Network/Insurance Carrier Org ID]],B229)/S229)</f>
        <v>NA</v>
      </c>
      <c r="W229" s="108" t="str">
        <f>IF(S229=0,"NA",SUMIFS(AN_TME_PY[[#All],[Claims: Professional, Primary Care (for Monitoring Purposes)]],AN_TME_PY[[#All],[Insurance Category Code]],5,AN_TME_PY[[#All],[Advanced Network/Insurance Carrier Org ID]],B229)/S229)</f>
        <v>NA</v>
      </c>
      <c r="X229" s="108" t="str">
        <f>IF(S229=0,"NA",SUMIFS(AN_TME_PY[[#All],[Claims: Professional, Specialty]],AN_TME_PY[[#All],[Insurance Category Code]],5,AN_TME_PY[[#All],[Advanced Network/Insurance Carrier Org ID]],B229)/S229)</f>
        <v>NA</v>
      </c>
      <c r="Y229" s="108" t="str">
        <f>IF(S229=0,"NA",SUMIFS(AN_TME_PY[[#All],[Claims: Professional Other]],AN_TME_PY[[#All],[Insurance Category Code]],5,AN_TME_PY[[#All],[Advanced Network/Insurance Carrier Org ID]],B229)/S229)</f>
        <v>NA</v>
      </c>
      <c r="Z229" s="108" t="str">
        <f>IF(S229=0,"NA",SUMIFS(AN_TME_PY[[#All],[Claims: Pharmacy]],AN_TME_PY[[#All],[Insurance Category Code]],5,AN_TME_PY[[#All],[Advanced Network/Insurance Carrier Org ID]],B229)/S229)</f>
        <v>NA</v>
      </c>
      <c r="AA229" s="108" t="str">
        <f>IF(S229=0,"NA",SUMIFS(AN_TME_PY[[#All],[Claims: Long-Term Care]],AN_TME_PY[[#All],[Insurance Category Code]],5,AN_TME_PY[[#All],[Advanced Network/Insurance Carrier Org ID]],B229)/S229)</f>
        <v>NA</v>
      </c>
      <c r="AB229" s="108" t="str">
        <f>IF(S229=0,"NA",SUMIFS(AN_TME_PY[[#All],[Claims: Other]],AN_TME_PY[[#All],[Insurance Category Code]],5,AN_TME_PY[[#All],[Advanced Network/Insurance Carrier Org ID]],B229)/S229)</f>
        <v>NA</v>
      </c>
      <c r="AC229" s="147" t="str">
        <f>IF(S229=0,"NA",SUMIFS(AN_TME_PY[[#All],[TOTAL Non-Truncated Unadjusted Claims Expenses]],AN_TME_PY[[#All],[Insurance Category Code]],5,AN_TME_PY[[#All],[Advanced Network/Insurance Carrier Org ID]],B229)/S229)</f>
        <v>NA</v>
      </c>
      <c r="AD229" s="147" t="str">
        <f>IF(S229=0,"NA",SUMIFS(AN_TME_PY[[#All],[TOTAL Truncated Unadjusted Claims Expenses (A21 -A19)]],AN_TME_PY[[#All],[Insurance Category Code]],5,AN_TME_PY[[#All],[Advanced Network/Insurance Carrier Org ID]],B229)/S229)</f>
        <v>NA</v>
      </c>
      <c r="AE229" s="147" t="str">
        <f>IF(S229=0,"NA",SUMIFS(AN_TME_PY[[#All],[TOTAL Non-Claims Expenses]],AN_TME_PY[[#All],[Insurance Category Code]],5,AN_TME_PY[[#All],[Advanced Network/Insurance Carrier Org ID]],B229)/S229)</f>
        <v>NA</v>
      </c>
      <c r="AF229" s="147" t="str">
        <f>IF(S229=0,"NA",SUMIFS(AN_TME_PY[[#All],[TOTAL Non-Truncated Unadjusted Expenses (A21 + A23)]],AN_TME_PY[[#All],[Insurance Category Code]],5,AN_TME_PY[[#All],[Advanced Network/Insurance Carrier Org ID]],B229)/S229)</f>
        <v>NA</v>
      </c>
      <c r="AG229" s="138" t="str">
        <f>IF(S229=0,"NA",SUMIFS(AN_TME_PY[[#All],[TOTAL Truncated Unadjusted Expenses (A22 + A23)]],AN_TME_PY[[#All],[Insurance Category Code]],5,AN_TME_PY[[#All],[Advanced Network/Insurance Carrier Org ID]],B229)/S229)</f>
        <v>NA</v>
      </c>
      <c r="AH229" s="419" t="str">
        <f t="shared" si="306"/>
        <v>NA</v>
      </c>
      <c r="AI229" s="420" t="str">
        <f t="shared" si="307"/>
        <v>NA</v>
      </c>
      <c r="AJ229" s="421" t="str">
        <f t="shared" si="308"/>
        <v>NA</v>
      </c>
      <c r="AK229" s="421" t="str">
        <f t="shared" si="309"/>
        <v>NA</v>
      </c>
      <c r="AL229" s="421" t="str">
        <f t="shared" si="310"/>
        <v>NA</v>
      </c>
      <c r="AM229" s="421" t="str">
        <f t="shared" si="311"/>
        <v>NA</v>
      </c>
      <c r="AN229" s="421" t="str">
        <f t="shared" si="312"/>
        <v>NA</v>
      </c>
      <c r="AO229" s="421" t="str">
        <f t="shared" si="313"/>
        <v>NA</v>
      </c>
      <c r="AP229" s="421" t="str">
        <f t="shared" si="314"/>
        <v>NA</v>
      </c>
      <c r="AQ229" s="421" t="str">
        <f t="shared" si="315"/>
        <v>NA</v>
      </c>
      <c r="AR229" s="422" t="str">
        <f t="shared" si="316"/>
        <v>NA</v>
      </c>
      <c r="AS229" s="422" t="str">
        <f t="shared" si="317"/>
        <v>NA</v>
      </c>
      <c r="AT229" s="422" t="str">
        <f t="shared" si="318"/>
        <v>NA</v>
      </c>
      <c r="AU229" s="422" t="str">
        <f t="shared" si="319"/>
        <v>NA</v>
      </c>
      <c r="AV229" s="423" t="str">
        <f t="shared" si="320"/>
        <v>NA</v>
      </c>
    </row>
    <row r="230" spans="1:48" ht="15" customHeight="1" x14ac:dyDescent="0.25">
      <c r="A230" s="146"/>
      <c r="B230" s="148">
        <v>118</v>
      </c>
      <c r="C230" s="151" t="str">
        <f>_xlfn.XLOOKUP(B230, LgProvEntOrgIDs[Advanced Network/Insurer Carrier Org ID], LgProvEntOrgIDs[Advanced Network/Insurance Carrier Overall])</f>
        <v>Fair Haven Community Health Center</v>
      </c>
      <c r="D230" s="448">
        <f>SUMIFS(AN_TME_BY[[#All],[Member Months]],AN_TME_BY[[#All],[Insurance Category Code]],5,AN_TME_BY[[#All],[Advanced Network/Insurance Carrier Org ID]],B230)</f>
        <v>0</v>
      </c>
      <c r="E230" s="137" t="str">
        <f>IF(D230=0,"NA",SUMIFS(AN_TME_BY[[#All],[Claims: Hospital Inpatient]],AN_TME_BY[[#All],[Insurance Category Code]],5,AN_TME_BY[[#All],[Advanced Network/Insurance Carrier Org ID]],B230)/D230)</f>
        <v>NA</v>
      </c>
      <c r="F230" s="108" t="str">
        <f>IF(D230=0,"NA",SUMIFS(AN_TME_BY[[#All],[Claims: Hospital Outpatient]],AN_TME_BY[[#All],[Insurance Category Code]],5,AN_TME_BY[[#All],[Advanced Network/Insurance Carrier Org ID]],B230)/D230)</f>
        <v>NA</v>
      </c>
      <c r="G230" s="108" t="str">
        <f>IF(D230=0,"NA",SUMIFS(AN_TME_BY[[#All],[Claims: Professional, Primary Care]],AN_TME_BY[[#All],[Insurance Category Code]],5,AN_TME_BY[[#All],[Advanced Network/Insurance Carrier Org ID]],B230)/D230)</f>
        <v>NA</v>
      </c>
      <c r="H230" s="108" t="str">
        <f>IF(D230=0,"NA",SUMIFS(AN_TME_BY[[#All],[Claims: Professional, Primary Care (for Monitoring Purposes)]],AN_TME_BY[[#All],[Insurance Category Code]],5,AN_TME_BY[[#All],[Advanced Network/Insurance Carrier Org ID]],B230)/D230)</f>
        <v>NA</v>
      </c>
      <c r="I230" s="108" t="str">
        <f>IF(D230=0,"NA",SUMIFS(AN_TME_BY[[#All],[Claims: Professional, Specialty]],AN_TME_BY[[#All],[Insurance Category Code]],5,AN_TME_BY[[#All],[Advanced Network/Insurance Carrier Org ID]],B230)/D230)</f>
        <v>NA</v>
      </c>
      <c r="J230" s="108" t="str">
        <f>IF(D230=0,"NA",SUMIFS(AN_TME_BY[[#All],[Claims: Professional Other]],AN_TME_BY[[#All],[Insurance Category Code]],5,AN_TME_BY[[#All],[Advanced Network/Insurance Carrier Org ID]],B230)/D230)</f>
        <v>NA</v>
      </c>
      <c r="K230" s="108" t="str">
        <f>IF(D230=0,"NA",SUMIFS(AN_TME_BY[[#All],[Claims: Pharmacy]],AN_TME_BY[[#All],[Insurance Category Code]],5,AN_TME_BY[[#All],[Advanced Network/Insurance Carrier Org ID]],B230)/D230)</f>
        <v>NA</v>
      </c>
      <c r="L230" s="108" t="str">
        <f>IF(D230=0,"NA",SUMIFS(AN_TME_BY[[#All],[Claims: Long-Term Care]],AN_TME_BY[[#All],[Insurance Category Code]],5,AN_TME_BY[[#All],[Advanced Network/Insurance Carrier Org ID]],B230)/D230)</f>
        <v>NA</v>
      </c>
      <c r="M230" s="108" t="str">
        <f>IF(D230=0,"NA",SUMIFS(AN_TME_BY[[#All],[Claims: Other]],AN_TME_BY[[#All],[Insurance Category Code]],5,AN_TME_BY[[#All],[Advanced Network/Insurance Carrier Org ID]],B230)/D230)</f>
        <v>NA</v>
      </c>
      <c r="N230" s="147" t="str">
        <f>IF(D230=0,"NA",SUMIFS(AN_TME_BY[[#All],[TOTAL Non-Truncated Unadjusted Claims Expenses]],AN_TME_BY[[#All],[Insurance Category Code]],5,AN_TME_BY[[#All],[Advanced Network/Insurance Carrier Org ID]],B230)/D230)</f>
        <v>NA</v>
      </c>
      <c r="O230" s="147" t="str">
        <f>IF(D230=0,"NA",SUMIFS(AN_TME_BY[[#All],[TOTAL Truncated Unadjusted Claims Expenses (A21 -A19)]],AN_TME_BY[[#All],[Insurance Category Code]],5,AN_TME_BY[[#All],[Advanced Network/Insurance Carrier Org ID]],B230)/D230)</f>
        <v>NA</v>
      </c>
      <c r="P230" s="147" t="str">
        <f>IF(D230=0,"NA",SUMIFS(AN_TME_BY[[#All],[TOTAL Non-Claims Expenses]],AN_TME_BY[[#All],[Insurance Category Code]],5,AN_TME_BY[[#All],[Advanced Network/Insurance Carrier Org ID]],B230)/D230)</f>
        <v>NA</v>
      </c>
      <c r="Q230" s="147" t="str">
        <f>IF(D230=0,"NA",SUMIFS(AN_TME_BY[[#All],[TOTAL Non-Truncated Unadjusted Expenses (A21 + A23)]],AN_TME_BY[[#All],[Insurance Category Code]],5,AN_TME_BY[[#All],[Advanced Network/Insurance Carrier Org ID]],B230)/D230)</f>
        <v>NA</v>
      </c>
      <c r="R230" s="147" t="str">
        <f>IF(D230=0,"NA",SUMIFS(AN_TME_BY[[#All],[TOTAL Truncated Unadjusted Expenses (A22 + A23)]],AN_TME_BY[[#All],[Insurance Category Code]],5,AN_TME_BY[[#All],[Advanced Network/Insurance Carrier Org ID]],B230)/D230)</f>
        <v>NA</v>
      </c>
      <c r="S230" s="448">
        <f>SUMIFS(AN_TME_PY[[#All],[Member Months]],AN_TME_PY[[#All],[Insurance Category Code]],5,AN_TME_PY[[#All],[Advanced Network/Insurance Carrier Org ID]],B230)</f>
        <v>0</v>
      </c>
      <c r="T230" s="137" t="str">
        <f>IF(S230=0,"NA",SUMIFS(AN_TME_PY[[#All],[Claims: Hospital Inpatient]],AN_TME_PY[[#All],[Insurance Category Code]],5,AN_TME_PY[[#All],[Advanced Network/Insurance Carrier Org ID]],B230)/S230)</f>
        <v>NA</v>
      </c>
      <c r="U230" s="108" t="str">
        <f>IF(S230=0,"NA",SUMIFS(AN_TME_PY[[#All],[Claims: Hospital Outpatient]],AN_TME_PY[[#All],[Insurance Category Code]],5,AN_TME_PY[[#All],[Advanced Network/Insurance Carrier Org ID]],B230)/S230)</f>
        <v>NA</v>
      </c>
      <c r="V230" s="108" t="str">
        <f>IF(S230=0,"NA",SUMIFS(AN_TME_PY[[#All],[Claims: Professional, Primary Care]],AN_TME_PY[[#All],[Insurance Category Code]],5,AN_TME_PY[[#All],[Advanced Network/Insurance Carrier Org ID]],B230)/S230)</f>
        <v>NA</v>
      </c>
      <c r="W230" s="108" t="str">
        <f>IF(S230=0,"NA",SUMIFS(AN_TME_PY[[#All],[Claims: Professional, Primary Care (for Monitoring Purposes)]],AN_TME_PY[[#All],[Insurance Category Code]],5,AN_TME_PY[[#All],[Advanced Network/Insurance Carrier Org ID]],B230)/S230)</f>
        <v>NA</v>
      </c>
      <c r="X230" s="108" t="str">
        <f>IF(S230=0,"NA",SUMIFS(AN_TME_PY[[#All],[Claims: Professional, Specialty]],AN_TME_PY[[#All],[Insurance Category Code]],5,AN_TME_PY[[#All],[Advanced Network/Insurance Carrier Org ID]],B230)/S230)</f>
        <v>NA</v>
      </c>
      <c r="Y230" s="108" t="str">
        <f>IF(S230=0,"NA",SUMIFS(AN_TME_PY[[#All],[Claims: Professional Other]],AN_TME_PY[[#All],[Insurance Category Code]],5,AN_TME_PY[[#All],[Advanced Network/Insurance Carrier Org ID]],B230)/S230)</f>
        <v>NA</v>
      </c>
      <c r="Z230" s="108" t="str">
        <f>IF(S230=0,"NA",SUMIFS(AN_TME_PY[[#All],[Claims: Pharmacy]],AN_TME_PY[[#All],[Insurance Category Code]],5,AN_TME_PY[[#All],[Advanced Network/Insurance Carrier Org ID]],B230)/S230)</f>
        <v>NA</v>
      </c>
      <c r="AA230" s="108" t="str">
        <f>IF(S230=0,"NA",SUMIFS(AN_TME_PY[[#All],[Claims: Long-Term Care]],AN_TME_PY[[#All],[Insurance Category Code]],5,AN_TME_PY[[#All],[Advanced Network/Insurance Carrier Org ID]],B230)/S230)</f>
        <v>NA</v>
      </c>
      <c r="AB230" s="108" t="str">
        <f>IF(S230=0,"NA",SUMIFS(AN_TME_PY[[#All],[Claims: Other]],AN_TME_PY[[#All],[Insurance Category Code]],5,AN_TME_PY[[#All],[Advanced Network/Insurance Carrier Org ID]],B230)/S230)</f>
        <v>NA</v>
      </c>
      <c r="AC230" s="147" t="str">
        <f>IF(S230=0,"NA",SUMIFS(AN_TME_PY[[#All],[TOTAL Non-Truncated Unadjusted Claims Expenses]],AN_TME_PY[[#All],[Insurance Category Code]],5,AN_TME_PY[[#All],[Advanced Network/Insurance Carrier Org ID]],B230)/S230)</f>
        <v>NA</v>
      </c>
      <c r="AD230" s="147" t="str">
        <f>IF(S230=0,"NA",SUMIFS(AN_TME_PY[[#All],[TOTAL Truncated Unadjusted Claims Expenses (A21 -A19)]],AN_TME_PY[[#All],[Insurance Category Code]],5,AN_TME_PY[[#All],[Advanced Network/Insurance Carrier Org ID]],B230)/S230)</f>
        <v>NA</v>
      </c>
      <c r="AE230" s="147" t="str">
        <f>IF(S230=0,"NA",SUMIFS(AN_TME_PY[[#All],[TOTAL Non-Claims Expenses]],AN_TME_PY[[#All],[Insurance Category Code]],5,AN_TME_PY[[#All],[Advanced Network/Insurance Carrier Org ID]],B230)/S230)</f>
        <v>NA</v>
      </c>
      <c r="AF230" s="147" t="str">
        <f>IF(S230=0,"NA",SUMIFS(AN_TME_PY[[#All],[TOTAL Non-Truncated Unadjusted Expenses (A21 + A23)]],AN_TME_PY[[#All],[Insurance Category Code]],5,AN_TME_PY[[#All],[Advanced Network/Insurance Carrier Org ID]],B230)/S230)</f>
        <v>NA</v>
      </c>
      <c r="AG230" s="138" t="str">
        <f>IF(S230=0,"NA",SUMIFS(AN_TME_PY[[#All],[TOTAL Truncated Unadjusted Expenses (A22 + A23)]],AN_TME_PY[[#All],[Insurance Category Code]],5,AN_TME_PY[[#All],[Advanced Network/Insurance Carrier Org ID]],B230)/S230)</f>
        <v>NA</v>
      </c>
      <c r="AH230" s="419" t="str">
        <f t="shared" si="306"/>
        <v>NA</v>
      </c>
      <c r="AI230" s="420" t="str">
        <f t="shared" si="307"/>
        <v>NA</v>
      </c>
      <c r="AJ230" s="421" t="str">
        <f t="shared" si="308"/>
        <v>NA</v>
      </c>
      <c r="AK230" s="421" t="str">
        <f t="shared" si="309"/>
        <v>NA</v>
      </c>
      <c r="AL230" s="421" t="str">
        <f t="shared" si="310"/>
        <v>NA</v>
      </c>
      <c r="AM230" s="421" t="str">
        <f t="shared" si="311"/>
        <v>NA</v>
      </c>
      <c r="AN230" s="421" t="str">
        <f t="shared" si="312"/>
        <v>NA</v>
      </c>
      <c r="AO230" s="421" t="str">
        <f t="shared" si="313"/>
        <v>NA</v>
      </c>
      <c r="AP230" s="421" t="str">
        <f t="shared" si="314"/>
        <v>NA</v>
      </c>
      <c r="AQ230" s="421" t="str">
        <f t="shared" si="315"/>
        <v>NA</v>
      </c>
      <c r="AR230" s="422" t="str">
        <f t="shared" si="316"/>
        <v>NA</v>
      </c>
      <c r="AS230" s="422" t="str">
        <f t="shared" si="317"/>
        <v>NA</v>
      </c>
      <c r="AT230" s="422" t="str">
        <f t="shared" si="318"/>
        <v>NA</v>
      </c>
      <c r="AU230" s="422" t="str">
        <f t="shared" si="319"/>
        <v>NA</v>
      </c>
      <c r="AV230" s="423" t="str">
        <f t="shared" si="320"/>
        <v>NA</v>
      </c>
    </row>
    <row r="231" spans="1:48" ht="15" customHeight="1" x14ac:dyDescent="0.25">
      <c r="A231" s="146"/>
      <c r="B231" s="148">
        <v>119</v>
      </c>
      <c r="C231" s="151" t="str">
        <f>_xlfn.XLOOKUP(B231, LgProvEntOrgIDs[Advanced Network/Insurer Carrier Org ID], LgProvEntOrgIDs[Advanced Network/Insurance Carrier Overall])</f>
        <v>Family Centers</v>
      </c>
      <c r="D231" s="448">
        <f>SUMIFS(AN_TME_BY[[#All],[Member Months]],AN_TME_BY[[#All],[Insurance Category Code]],5,AN_TME_BY[[#All],[Advanced Network/Insurance Carrier Org ID]],B231)</f>
        <v>0</v>
      </c>
      <c r="E231" s="137" t="str">
        <f>IF(D231=0,"NA",SUMIFS(AN_TME_BY[[#All],[Claims: Hospital Inpatient]],AN_TME_BY[[#All],[Insurance Category Code]],5,AN_TME_BY[[#All],[Advanced Network/Insurance Carrier Org ID]],B231)/D231)</f>
        <v>NA</v>
      </c>
      <c r="F231" s="108" t="str">
        <f>IF(D231=0,"NA",SUMIFS(AN_TME_BY[[#All],[Claims: Hospital Outpatient]],AN_TME_BY[[#All],[Insurance Category Code]],5,AN_TME_BY[[#All],[Advanced Network/Insurance Carrier Org ID]],B231)/D231)</f>
        <v>NA</v>
      </c>
      <c r="G231" s="108" t="str">
        <f>IF(D231=0,"NA",SUMIFS(AN_TME_BY[[#All],[Claims: Professional, Primary Care]],AN_TME_BY[[#All],[Insurance Category Code]],5,AN_TME_BY[[#All],[Advanced Network/Insurance Carrier Org ID]],B231)/D231)</f>
        <v>NA</v>
      </c>
      <c r="H231" s="108" t="str">
        <f>IF(D231=0,"NA",SUMIFS(AN_TME_BY[[#All],[Claims: Professional, Primary Care (for Monitoring Purposes)]],AN_TME_BY[[#All],[Insurance Category Code]],5,AN_TME_BY[[#All],[Advanced Network/Insurance Carrier Org ID]],B231)/D231)</f>
        <v>NA</v>
      </c>
      <c r="I231" s="108" t="str">
        <f>IF(D231=0,"NA",SUMIFS(AN_TME_BY[[#All],[Claims: Professional, Specialty]],AN_TME_BY[[#All],[Insurance Category Code]],5,AN_TME_BY[[#All],[Advanced Network/Insurance Carrier Org ID]],B231)/D231)</f>
        <v>NA</v>
      </c>
      <c r="J231" s="108" t="str">
        <f>IF(D231=0,"NA",SUMIFS(AN_TME_BY[[#All],[Claims: Professional Other]],AN_TME_BY[[#All],[Insurance Category Code]],5,AN_TME_BY[[#All],[Advanced Network/Insurance Carrier Org ID]],B231)/D231)</f>
        <v>NA</v>
      </c>
      <c r="K231" s="108" t="str">
        <f>IF(D231=0,"NA",SUMIFS(AN_TME_BY[[#All],[Claims: Pharmacy]],AN_TME_BY[[#All],[Insurance Category Code]],5,AN_TME_BY[[#All],[Advanced Network/Insurance Carrier Org ID]],B231)/D231)</f>
        <v>NA</v>
      </c>
      <c r="L231" s="108" t="str">
        <f>IF(D231=0,"NA",SUMIFS(AN_TME_BY[[#All],[Claims: Long-Term Care]],AN_TME_BY[[#All],[Insurance Category Code]],5,AN_TME_BY[[#All],[Advanced Network/Insurance Carrier Org ID]],B231)/D231)</f>
        <v>NA</v>
      </c>
      <c r="M231" s="108" t="str">
        <f>IF(D231=0,"NA",SUMIFS(AN_TME_BY[[#All],[Claims: Other]],AN_TME_BY[[#All],[Insurance Category Code]],5,AN_TME_BY[[#All],[Advanced Network/Insurance Carrier Org ID]],B231)/D231)</f>
        <v>NA</v>
      </c>
      <c r="N231" s="147" t="str">
        <f>IF(D231=0,"NA",SUMIFS(AN_TME_BY[[#All],[TOTAL Non-Truncated Unadjusted Claims Expenses]],AN_TME_BY[[#All],[Insurance Category Code]],5,AN_TME_BY[[#All],[Advanced Network/Insurance Carrier Org ID]],B231)/D231)</f>
        <v>NA</v>
      </c>
      <c r="O231" s="147" t="str">
        <f>IF(D231=0,"NA",SUMIFS(AN_TME_BY[[#All],[TOTAL Truncated Unadjusted Claims Expenses (A21 -A19)]],AN_TME_BY[[#All],[Insurance Category Code]],5,AN_TME_BY[[#All],[Advanced Network/Insurance Carrier Org ID]],B231)/D231)</f>
        <v>NA</v>
      </c>
      <c r="P231" s="147" t="str">
        <f>IF(D231=0,"NA",SUMIFS(AN_TME_BY[[#All],[TOTAL Non-Claims Expenses]],AN_TME_BY[[#All],[Insurance Category Code]],5,AN_TME_BY[[#All],[Advanced Network/Insurance Carrier Org ID]],B231)/D231)</f>
        <v>NA</v>
      </c>
      <c r="Q231" s="147" t="str">
        <f>IF(D231=0,"NA",SUMIFS(AN_TME_BY[[#All],[TOTAL Non-Truncated Unadjusted Expenses (A21 + A23)]],AN_TME_BY[[#All],[Insurance Category Code]],5,AN_TME_BY[[#All],[Advanced Network/Insurance Carrier Org ID]],B231)/D231)</f>
        <v>NA</v>
      </c>
      <c r="R231" s="147" t="str">
        <f>IF(D231=0,"NA",SUMIFS(AN_TME_BY[[#All],[TOTAL Truncated Unadjusted Expenses (A22 + A23)]],AN_TME_BY[[#All],[Insurance Category Code]],5,AN_TME_BY[[#All],[Advanced Network/Insurance Carrier Org ID]],B231)/D231)</f>
        <v>NA</v>
      </c>
      <c r="S231" s="448">
        <f>SUMIFS(AN_TME_PY[[#All],[Member Months]],AN_TME_PY[[#All],[Insurance Category Code]],5,AN_TME_PY[[#All],[Advanced Network/Insurance Carrier Org ID]],B231)</f>
        <v>0</v>
      </c>
      <c r="T231" s="137" t="str">
        <f>IF(S231=0,"NA",SUMIFS(AN_TME_PY[[#All],[Claims: Hospital Inpatient]],AN_TME_PY[[#All],[Insurance Category Code]],5,AN_TME_PY[[#All],[Advanced Network/Insurance Carrier Org ID]],B231)/S231)</f>
        <v>NA</v>
      </c>
      <c r="U231" s="108" t="str">
        <f>IF(S231=0,"NA",SUMIFS(AN_TME_PY[[#All],[Claims: Hospital Outpatient]],AN_TME_PY[[#All],[Insurance Category Code]],5,AN_TME_PY[[#All],[Advanced Network/Insurance Carrier Org ID]],B231)/S231)</f>
        <v>NA</v>
      </c>
      <c r="V231" s="108" t="str">
        <f>IF(S231=0,"NA",SUMIFS(AN_TME_PY[[#All],[Claims: Professional, Primary Care]],AN_TME_PY[[#All],[Insurance Category Code]],5,AN_TME_PY[[#All],[Advanced Network/Insurance Carrier Org ID]],B231)/S231)</f>
        <v>NA</v>
      </c>
      <c r="W231" s="108" t="str">
        <f>IF(S231=0,"NA",SUMIFS(AN_TME_PY[[#All],[Claims: Professional, Primary Care (for Monitoring Purposes)]],AN_TME_PY[[#All],[Insurance Category Code]],5,AN_TME_PY[[#All],[Advanced Network/Insurance Carrier Org ID]],B231)/S231)</f>
        <v>NA</v>
      </c>
      <c r="X231" s="108" t="str">
        <f>IF(S231=0,"NA",SUMIFS(AN_TME_PY[[#All],[Claims: Professional, Specialty]],AN_TME_PY[[#All],[Insurance Category Code]],5,AN_TME_PY[[#All],[Advanced Network/Insurance Carrier Org ID]],B231)/S231)</f>
        <v>NA</v>
      </c>
      <c r="Y231" s="108" t="str">
        <f>IF(S231=0,"NA",SUMIFS(AN_TME_PY[[#All],[Claims: Professional Other]],AN_TME_PY[[#All],[Insurance Category Code]],5,AN_TME_PY[[#All],[Advanced Network/Insurance Carrier Org ID]],B231)/S231)</f>
        <v>NA</v>
      </c>
      <c r="Z231" s="108" t="str">
        <f>IF(S231=0,"NA",SUMIFS(AN_TME_PY[[#All],[Claims: Pharmacy]],AN_TME_PY[[#All],[Insurance Category Code]],5,AN_TME_PY[[#All],[Advanced Network/Insurance Carrier Org ID]],B231)/S231)</f>
        <v>NA</v>
      </c>
      <c r="AA231" s="108" t="str">
        <f>IF(S231=0,"NA",SUMIFS(AN_TME_PY[[#All],[Claims: Long-Term Care]],AN_TME_PY[[#All],[Insurance Category Code]],5,AN_TME_PY[[#All],[Advanced Network/Insurance Carrier Org ID]],B231)/S231)</f>
        <v>NA</v>
      </c>
      <c r="AB231" s="108" t="str">
        <f>IF(S231=0,"NA",SUMIFS(AN_TME_PY[[#All],[Claims: Other]],AN_TME_PY[[#All],[Insurance Category Code]],5,AN_TME_PY[[#All],[Advanced Network/Insurance Carrier Org ID]],B231)/S231)</f>
        <v>NA</v>
      </c>
      <c r="AC231" s="147" t="str">
        <f>IF(S231=0,"NA",SUMIFS(AN_TME_PY[[#All],[TOTAL Non-Truncated Unadjusted Claims Expenses]],AN_TME_PY[[#All],[Insurance Category Code]],5,AN_TME_PY[[#All],[Advanced Network/Insurance Carrier Org ID]],B231)/S231)</f>
        <v>NA</v>
      </c>
      <c r="AD231" s="147" t="str">
        <f>IF(S231=0,"NA",SUMIFS(AN_TME_PY[[#All],[TOTAL Truncated Unadjusted Claims Expenses (A21 -A19)]],AN_TME_PY[[#All],[Insurance Category Code]],5,AN_TME_PY[[#All],[Advanced Network/Insurance Carrier Org ID]],B231)/S231)</f>
        <v>NA</v>
      </c>
      <c r="AE231" s="147" t="str">
        <f>IF(S231=0,"NA",SUMIFS(AN_TME_PY[[#All],[TOTAL Non-Claims Expenses]],AN_TME_PY[[#All],[Insurance Category Code]],5,AN_TME_PY[[#All],[Advanced Network/Insurance Carrier Org ID]],B231)/S231)</f>
        <v>NA</v>
      </c>
      <c r="AF231" s="147" t="str">
        <f>IF(S231=0,"NA",SUMIFS(AN_TME_PY[[#All],[TOTAL Non-Truncated Unadjusted Expenses (A21 + A23)]],AN_TME_PY[[#All],[Insurance Category Code]],5,AN_TME_PY[[#All],[Advanced Network/Insurance Carrier Org ID]],B231)/S231)</f>
        <v>NA</v>
      </c>
      <c r="AG231" s="138" t="str">
        <f>IF(S231=0,"NA",SUMIFS(AN_TME_PY[[#All],[TOTAL Truncated Unadjusted Expenses (A22 + A23)]],AN_TME_PY[[#All],[Insurance Category Code]],5,AN_TME_PY[[#All],[Advanced Network/Insurance Carrier Org ID]],B231)/S231)</f>
        <v>NA</v>
      </c>
      <c r="AH231" s="419" t="str">
        <f t="shared" si="306"/>
        <v>NA</v>
      </c>
      <c r="AI231" s="420" t="str">
        <f t="shared" si="307"/>
        <v>NA</v>
      </c>
      <c r="AJ231" s="421" t="str">
        <f t="shared" si="308"/>
        <v>NA</v>
      </c>
      <c r="AK231" s="421" t="str">
        <f t="shared" si="309"/>
        <v>NA</v>
      </c>
      <c r="AL231" s="421" t="str">
        <f t="shared" si="310"/>
        <v>NA</v>
      </c>
      <c r="AM231" s="421" t="str">
        <f t="shared" si="311"/>
        <v>NA</v>
      </c>
      <c r="AN231" s="421" t="str">
        <f t="shared" si="312"/>
        <v>NA</v>
      </c>
      <c r="AO231" s="421" t="str">
        <f t="shared" si="313"/>
        <v>NA</v>
      </c>
      <c r="AP231" s="421" t="str">
        <f t="shared" si="314"/>
        <v>NA</v>
      </c>
      <c r="AQ231" s="421" t="str">
        <f t="shared" si="315"/>
        <v>NA</v>
      </c>
      <c r="AR231" s="422" t="str">
        <f t="shared" si="316"/>
        <v>NA</v>
      </c>
      <c r="AS231" s="422" t="str">
        <f t="shared" si="317"/>
        <v>NA</v>
      </c>
      <c r="AT231" s="422" t="str">
        <f t="shared" si="318"/>
        <v>NA</v>
      </c>
      <c r="AU231" s="422" t="str">
        <f t="shared" si="319"/>
        <v>NA</v>
      </c>
      <c r="AV231" s="423" t="str">
        <f t="shared" si="320"/>
        <v>NA</v>
      </c>
    </row>
    <row r="232" spans="1:48" ht="15" customHeight="1" x14ac:dyDescent="0.25">
      <c r="A232" s="146"/>
      <c r="B232" s="148">
        <v>120</v>
      </c>
      <c r="C232" s="151" t="str">
        <f>_xlfn.XLOOKUP(B232, LgProvEntOrgIDs[Advanced Network/Insurer Carrier Org ID], LgProvEntOrgIDs[Advanced Network/Insurance Carrier Overall])</f>
        <v>First Choice Community Health Centers</v>
      </c>
      <c r="D232" s="448">
        <f>SUMIFS(AN_TME_BY[[#All],[Member Months]],AN_TME_BY[[#All],[Insurance Category Code]],5,AN_TME_BY[[#All],[Advanced Network/Insurance Carrier Org ID]],B232)</f>
        <v>0</v>
      </c>
      <c r="E232" s="137" t="str">
        <f>IF(D232=0,"NA",SUMIFS(AN_TME_BY[[#All],[Claims: Hospital Inpatient]],AN_TME_BY[[#All],[Insurance Category Code]],5,AN_TME_BY[[#All],[Advanced Network/Insurance Carrier Org ID]],B232)/D232)</f>
        <v>NA</v>
      </c>
      <c r="F232" s="108" t="str">
        <f>IF(D232=0,"NA",SUMIFS(AN_TME_BY[[#All],[Claims: Hospital Outpatient]],AN_TME_BY[[#All],[Insurance Category Code]],5,AN_TME_BY[[#All],[Advanced Network/Insurance Carrier Org ID]],B232)/D232)</f>
        <v>NA</v>
      </c>
      <c r="G232" s="108" t="str">
        <f>IF(D232=0,"NA",SUMIFS(AN_TME_BY[[#All],[Claims: Professional, Primary Care]],AN_TME_BY[[#All],[Insurance Category Code]],5,AN_TME_BY[[#All],[Advanced Network/Insurance Carrier Org ID]],B232)/D232)</f>
        <v>NA</v>
      </c>
      <c r="H232" s="108" t="str">
        <f>IF(D232=0,"NA",SUMIFS(AN_TME_BY[[#All],[Claims: Professional, Primary Care (for Monitoring Purposes)]],AN_TME_BY[[#All],[Insurance Category Code]],5,AN_TME_BY[[#All],[Advanced Network/Insurance Carrier Org ID]],B232)/D232)</f>
        <v>NA</v>
      </c>
      <c r="I232" s="108" t="str">
        <f>IF(D232=0,"NA",SUMIFS(AN_TME_BY[[#All],[Claims: Professional, Specialty]],AN_TME_BY[[#All],[Insurance Category Code]],5,AN_TME_BY[[#All],[Advanced Network/Insurance Carrier Org ID]],B232)/D232)</f>
        <v>NA</v>
      </c>
      <c r="J232" s="108" t="str">
        <f>IF(D232=0,"NA",SUMIFS(AN_TME_BY[[#All],[Claims: Professional Other]],AN_TME_BY[[#All],[Insurance Category Code]],5,AN_TME_BY[[#All],[Advanced Network/Insurance Carrier Org ID]],B232)/D232)</f>
        <v>NA</v>
      </c>
      <c r="K232" s="108" t="str">
        <f>IF(D232=0,"NA",SUMIFS(AN_TME_BY[[#All],[Claims: Pharmacy]],AN_TME_BY[[#All],[Insurance Category Code]],5,AN_TME_BY[[#All],[Advanced Network/Insurance Carrier Org ID]],B232)/D232)</f>
        <v>NA</v>
      </c>
      <c r="L232" s="108" t="str">
        <f>IF(D232=0,"NA",SUMIFS(AN_TME_BY[[#All],[Claims: Long-Term Care]],AN_TME_BY[[#All],[Insurance Category Code]],5,AN_TME_BY[[#All],[Advanced Network/Insurance Carrier Org ID]],B232)/D232)</f>
        <v>NA</v>
      </c>
      <c r="M232" s="108" t="str">
        <f>IF(D232=0,"NA",SUMIFS(AN_TME_BY[[#All],[Claims: Other]],AN_TME_BY[[#All],[Insurance Category Code]],5,AN_TME_BY[[#All],[Advanced Network/Insurance Carrier Org ID]],B232)/D232)</f>
        <v>NA</v>
      </c>
      <c r="N232" s="147" t="str">
        <f>IF(D232=0,"NA",SUMIFS(AN_TME_BY[[#All],[TOTAL Non-Truncated Unadjusted Claims Expenses]],AN_TME_BY[[#All],[Insurance Category Code]],5,AN_TME_BY[[#All],[Advanced Network/Insurance Carrier Org ID]],B232)/D232)</f>
        <v>NA</v>
      </c>
      <c r="O232" s="147" t="str">
        <f>IF(D232=0,"NA",SUMIFS(AN_TME_BY[[#All],[TOTAL Truncated Unadjusted Claims Expenses (A21 -A19)]],AN_TME_BY[[#All],[Insurance Category Code]],5,AN_TME_BY[[#All],[Advanced Network/Insurance Carrier Org ID]],B232)/D232)</f>
        <v>NA</v>
      </c>
      <c r="P232" s="147" t="str">
        <f>IF(D232=0,"NA",SUMIFS(AN_TME_BY[[#All],[TOTAL Non-Claims Expenses]],AN_TME_BY[[#All],[Insurance Category Code]],5,AN_TME_BY[[#All],[Advanced Network/Insurance Carrier Org ID]],B232)/D232)</f>
        <v>NA</v>
      </c>
      <c r="Q232" s="147" t="str">
        <f>IF(D232=0,"NA",SUMIFS(AN_TME_BY[[#All],[TOTAL Non-Truncated Unadjusted Expenses (A21 + A23)]],AN_TME_BY[[#All],[Insurance Category Code]],5,AN_TME_BY[[#All],[Advanced Network/Insurance Carrier Org ID]],B232)/D232)</f>
        <v>NA</v>
      </c>
      <c r="R232" s="147" t="str">
        <f>IF(D232=0,"NA",SUMIFS(AN_TME_BY[[#All],[TOTAL Truncated Unadjusted Expenses (A22 + A23)]],AN_TME_BY[[#All],[Insurance Category Code]],5,AN_TME_BY[[#All],[Advanced Network/Insurance Carrier Org ID]],B232)/D232)</f>
        <v>NA</v>
      </c>
      <c r="S232" s="448">
        <f>SUMIFS(AN_TME_PY[[#All],[Member Months]],AN_TME_PY[[#All],[Insurance Category Code]],5,AN_TME_PY[[#All],[Advanced Network/Insurance Carrier Org ID]],B232)</f>
        <v>0</v>
      </c>
      <c r="T232" s="137" t="str">
        <f>IF(S232=0,"NA",SUMIFS(AN_TME_PY[[#All],[Claims: Hospital Inpatient]],AN_TME_PY[[#All],[Insurance Category Code]],5,AN_TME_PY[[#All],[Advanced Network/Insurance Carrier Org ID]],B232)/S232)</f>
        <v>NA</v>
      </c>
      <c r="U232" s="108" t="str">
        <f>IF(S232=0,"NA",SUMIFS(AN_TME_PY[[#All],[Claims: Hospital Outpatient]],AN_TME_PY[[#All],[Insurance Category Code]],5,AN_TME_PY[[#All],[Advanced Network/Insurance Carrier Org ID]],B232)/S232)</f>
        <v>NA</v>
      </c>
      <c r="V232" s="108" t="str">
        <f>IF(S232=0,"NA",SUMIFS(AN_TME_PY[[#All],[Claims: Professional, Primary Care]],AN_TME_PY[[#All],[Insurance Category Code]],5,AN_TME_PY[[#All],[Advanced Network/Insurance Carrier Org ID]],B232)/S232)</f>
        <v>NA</v>
      </c>
      <c r="W232" s="108" t="str">
        <f>IF(S232=0,"NA",SUMIFS(AN_TME_PY[[#All],[Claims: Professional, Primary Care (for Monitoring Purposes)]],AN_TME_PY[[#All],[Insurance Category Code]],5,AN_TME_PY[[#All],[Advanced Network/Insurance Carrier Org ID]],B232)/S232)</f>
        <v>NA</v>
      </c>
      <c r="X232" s="108" t="str">
        <f>IF(S232=0,"NA",SUMIFS(AN_TME_PY[[#All],[Claims: Professional, Specialty]],AN_TME_PY[[#All],[Insurance Category Code]],5,AN_TME_PY[[#All],[Advanced Network/Insurance Carrier Org ID]],B232)/S232)</f>
        <v>NA</v>
      </c>
      <c r="Y232" s="108" t="str">
        <f>IF(S232=0,"NA",SUMIFS(AN_TME_PY[[#All],[Claims: Professional Other]],AN_TME_PY[[#All],[Insurance Category Code]],5,AN_TME_PY[[#All],[Advanced Network/Insurance Carrier Org ID]],B232)/S232)</f>
        <v>NA</v>
      </c>
      <c r="Z232" s="108" t="str">
        <f>IF(S232=0,"NA",SUMIFS(AN_TME_PY[[#All],[Claims: Pharmacy]],AN_TME_PY[[#All],[Insurance Category Code]],5,AN_TME_PY[[#All],[Advanced Network/Insurance Carrier Org ID]],B232)/S232)</f>
        <v>NA</v>
      </c>
      <c r="AA232" s="108" t="str">
        <f>IF(S232=0,"NA",SUMIFS(AN_TME_PY[[#All],[Claims: Long-Term Care]],AN_TME_PY[[#All],[Insurance Category Code]],5,AN_TME_PY[[#All],[Advanced Network/Insurance Carrier Org ID]],B232)/S232)</f>
        <v>NA</v>
      </c>
      <c r="AB232" s="108" t="str">
        <f>IF(S232=0,"NA",SUMIFS(AN_TME_PY[[#All],[Claims: Other]],AN_TME_PY[[#All],[Insurance Category Code]],5,AN_TME_PY[[#All],[Advanced Network/Insurance Carrier Org ID]],B232)/S232)</f>
        <v>NA</v>
      </c>
      <c r="AC232" s="147" t="str">
        <f>IF(S232=0,"NA",SUMIFS(AN_TME_PY[[#All],[TOTAL Non-Truncated Unadjusted Claims Expenses]],AN_TME_PY[[#All],[Insurance Category Code]],5,AN_TME_PY[[#All],[Advanced Network/Insurance Carrier Org ID]],B232)/S232)</f>
        <v>NA</v>
      </c>
      <c r="AD232" s="147" t="str">
        <f>IF(S232=0,"NA",SUMIFS(AN_TME_PY[[#All],[TOTAL Truncated Unadjusted Claims Expenses (A21 -A19)]],AN_TME_PY[[#All],[Insurance Category Code]],5,AN_TME_PY[[#All],[Advanced Network/Insurance Carrier Org ID]],B232)/S232)</f>
        <v>NA</v>
      </c>
      <c r="AE232" s="147" t="str">
        <f>IF(S232=0,"NA",SUMIFS(AN_TME_PY[[#All],[TOTAL Non-Claims Expenses]],AN_TME_PY[[#All],[Insurance Category Code]],5,AN_TME_PY[[#All],[Advanced Network/Insurance Carrier Org ID]],B232)/S232)</f>
        <v>NA</v>
      </c>
      <c r="AF232" s="147" t="str">
        <f>IF(S232=0,"NA",SUMIFS(AN_TME_PY[[#All],[TOTAL Non-Truncated Unadjusted Expenses (A21 + A23)]],AN_TME_PY[[#All],[Insurance Category Code]],5,AN_TME_PY[[#All],[Advanced Network/Insurance Carrier Org ID]],B232)/S232)</f>
        <v>NA</v>
      </c>
      <c r="AG232" s="138" t="str">
        <f>IF(S232=0,"NA",SUMIFS(AN_TME_PY[[#All],[TOTAL Truncated Unadjusted Expenses (A22 + A23)]],AN_TME_PY[[#All],[Insurance Category Code]],5,AN_TME_PY[[#All],[Advanced Network/Insurance Carrier Org ID]],B232)/S232)</f>
        <v>NA</v>
      </c>
      <c r="AH232" s="419" t="str">
        <f t="shared" si="306"/>
        <v>NA</v>
      </c>
      <c r="AI232" s="420" t="str">
        <f t="shared" si="307"/>
        <v>NA</v>
      </c>
      <c r="AJ232" s="421" t="str">
        <f t="shared" si="308"/>
        <v>NA</v>
      </c>
      <c r="AK232" s="421" t="str">
        <f t="shared" si="309"/>
        <v>NA</v>
      </c>
      <c r="AL232" s="421" t="str">
        <f t="shared" si="310"/>
        <v>NA</v>
      </c>
      <c r="AM232" s="421" t="str">
        <f t="shared" si="311"/>
        <v>NA</v>
      </c>
      <c r="AN232" s="421" t="str">
        <f t="shared" si="312"/>
        <v>NA</v>
      </c>
      <c r="AO232" s="421" t="str">
        <f t="shared" si="313"/>
        <v>NA</v>
      </c>
      <c r="AP232" s="421" t="str">
        <f t="shared" si="314"/>
        <v>NA</v>
      </c>
      <c r="AQ232" s="421" t="str">
        <f t="shared" si="315"/>
        <v>NA</v>
      </c>
      <c r="AR232" s="422" t="str">
        <f t="shared" si="316"/>
        <v>NA</v>
      </c>
      <c r="AS232" s="422" t="str">
        <f t="shared" si="317"/>
        <v>NA</v>
      </c>
      <c r="AT232" s="422" t="str">
        <f t="shared" si="318"/>
        <v>NA</v>
      </c>
      <c r="AU232" s="422" t="str">
        <f t="shared" si="319"/>
        <v>NA</v>
      </c>
      <c r="AV232" s="423" t="str">
        <f t="shared" si="320"/>
        <v>NA</v>
      </c>
    </row>
    <row r="233" spans="1:48" ht="15" customHeight="1" x14ac:dyDescent="0.25">
      <c r="A233" s="146"/>
      <c r="B233" s="148">
        <v>121</v>
      </c>
      <c r="C233" s="151" t="str">
        <f>_xlfn.XLOOKUP(B233, LgProvEntOrgIDs[Advanced Network/Insurer Carrier Org ID], LgProvEntOrgIDs[Advanced Network/Insurance Carrier Overall])</f>
        <v>Generations Family Health Center</v>
      </c>
      <c r="D233" s="448">
        <f>SUMIFS(AN_TME_BY[[#All],[Member Months]],AN_TME_BY[[#All],[Insurance Category Code]],5,AN_TME_BY[[#All],[Advanced Network/Insurance Carrier Org ID]],B233)</f>
        <v>0</v>
      </c>
      <c r="E233" s="137" t="str">
        <f>IF(D233=0,"NA",SUMIFS(AN_TME_BY[[#All],[Claims: Hospital Inpatient]],AN_TME_BY[[#All],[Insurance Category Code]],5,AN_TME_BY[[#All],[Advanced Network/Insurance Carrier Org ID]],B233)/D233)</f>
        <v>NA</v>
      </c>
      <c r="F233" s="108" t="str">
        <f>IF(D233=0,"NA",SUMIFS(AN_TME_BY[[#All],[Claims: Hospital Outpatient]],AN_TME_BY[[#All],[Insurance Category Code]],5,AN_TME_BY[[#All],[Advanced Network/Insurance Carrier Org ID]],B233)/D233)</f>
        <v>NA</v>
      </c>
      <c r="G233" s="108" t="str">
        <f>IF(D233=0,"NA",SUMIFS(AN_TME_BY[[#All],[Claims: Professional, Primary Care]],AN_TME_BY[[#All],[Insurance Category Code]],5,AN_TME_BY[[#All],[Advanced Network/Insurance Carrier Org ID]],B233)/D233)</f>
        <v>NA</v>
      </c>
      <c r="H233" s="108" t="str">
        <f>IF(D233=0,"NA",SUMIFS(AN_TME_BY[[#All],[Claims: Professional, Primary Care (for Monitoring Purposes)]],AN_TME_BY[[#All],[Insurance Category Code]],5,AN_TME_BY[[#All],[Advanced Network/Insurance Carrier Org ID]],B233)/D233)</f>
        <v>NA</v>
      </c>
      <c r="I233" s="108" t="str">
        <f>IF(D233=0,"NA",SUMIFS(AN_TME_BY[[#All],[Claims: Professional, Specialty]],AN_TME_BY[[#All],[Insurance Category Code]],5,AN_TME_BY[[#All],[Advanced Network/Insurance Carrier Org ID]],B233)/D233)</f>
        <v>NA</v>
      </c>
      <c r="J233" s="108" t="str">
        <f>IF(D233=0,"NA",SUMIFS(AN_TME_BY[[#All],[Claims: Professional Other]],AN_TME_BY[[#All],[Insurance Category Code]],5,AN_TME_BY[[#All],[Advanced Network/Insurance Carrier Org ID]],B233)/D233)</f>
        <v>NA</v>
      </c>
      <c r="K233" s="108" t="str">
        <f>IF(D233=0,"NA",SUMIFS(AN_TME_BY[[#All],[Claims: Pharmacy]],AN_TME_BY[[#All],[Insurance Category Code]],5,AN_TME_BY[[#All],[Advanced Network/Insurance Carrier Org ID]],B233)/D233)</f>
        <v>NA</v>
      </c>
      <c r="L233" s="108" t="str">
        <f>IF(D233=0,"NA",SUMIFS(AN_TME_BY[[#All],[Claims: Long-Term Care]],AN_TME_BY[[#All],[Insurance Category Code]],5,AN_TME_BY[[#All],[Advanced Network/Insurance Carrier Org ID]],B233)/D233)</f>
        <v>NA</v>
      </c>
      <c r="M233" s="108" t="str">
        <f>IF(D233=0,"NA",SUMIFS(AN_TME_BY[[#All],[Claims: Other]],AN_TME_BY[[#All],[Insurance Category Code]],5,AN_TME_BY[[#All],[Advanced Network/Insurance Carrier Org ID]],B233)/D233)</f>
        <v>NA</v>
      </c>
      <c r="N233" s="147" t="str">
        <f>IF(D233=0,"NA",SUMIFS(AN_TME_BY[[#All],[TOTAL Non-Truncated Unadjusted Claims Expenses]],AN_TME_BY[[#All],[Insurance Category Code]],5,AN_TME_BY[[#All],[Advanced Network/Insurance Carrier Org ID]],B233)/D233)</f>
        <v>NA</v>
      </c>
      <c r="O233" s="147" t="str">
        <f>IF(D233=0,"NA",SUMIFS(AN_TME_BY[[#All],[TOTAL Truncated Unadjusted Claims Expenses (A21 -A19)]],AN_TME_BY[[#All],[Insurance Category Code]],5,AN_TME_BY[[#All],[Advanced Network/Insurance Carrier Org ID]],B233)/D233)</f>
        <v>NA</v>
      </c>
      <c r="P233" s="147" t="str">
        <f>IF(D233=0,"NA",SUMIFS(AN_TME_BY[[#All],[TOTAL Non-Claims Expenses]],AN_TME_BY[[#All],[Insurance Category Code]],5,AN_TME_BY[[#All],[Advanced Network/Insurance Carrier Org ID]],B233)/D233)</f>
        <v>NA</v>
      </c>
      <c r="Q233" s="147" t="str">
        <f>IF(D233=0,"NA",SUMIFS(AN_TME_BY[[#All],[TOTAL Non-Truncated Unadjusted Expenses (A21 + A23)]],AN_TME_BY[[#All],[Insurance Category Code]],5,AN_TME_BY[[#All],[Advanced Network/Insurance Carrier Org ID]],B233)/D233)</f>
        <v>NA</v>
      </c>
      <c r="R233" s="147" t="str">
        <f>IF(D233=0,"NA",SUMIFS(AN_TME_BY[[#All],[TOTAL Truncated Unadjusted Expenses (A22 + A23)]],AN_TME_BY[[#All],[Insurance Category Code]],5,AN_TME_BY[[#All],[Advanced Network/Insurance Carrier Org ID]],B233)/D233)</f>
        <v>NA</v>
      </c>
      <c r="S233" s="448">
        <f>SUMIFS(AN_TME_PY[[#All],[Member Months]],AN_TME_PY[[#All],[Insurance Category Code]],5,AN_TME_PY[[#All],[Advanced Network/Insurance Carrier Org ID]],B233)</f>
        <v>0</v>
      </c>
      <c r="T233" s="137" t="str">
        <f>IF(S233=0,"NA",SUMIFS(AN_TME_PY[[#All],[Claims: Hospital Inpatient]],AN_TME_PY[[#All],[Insurance Category Code]],5,AN_TME_PY[[#All],[Advanced Network/Insurance Carrier Org ID]],B233)/S233)</f>
        <v>NA</v>
      </c>
      <c r="U233" s="108" t="str">
        <f>IF(S233=0,"NA",SUMIFS(AN_TME_PY[[#All],[Claims: Hospital Outpatient]],AN_TME_PY[[#All],[Insurance Category Code]],5,AN_TME_PY[[#All],[Advanced Network/Insurance Carrier Org ID]],B233)/S233)</f>
        <v>NA</v>
      </c>
      <c r="V233" s="108" t="str">
        <f>IF(S233=0,"NA",SUMIFS(AN_TME_PY[[#All],[Claims: Professional, Primary Care]],AN_TME_PY[[#All],[Insurance Category Code]],5,AN_TME_PY[[#All],[Advanced Network/Insurance Carrier Org ID]],B233)/S233)</f>
        <v>NA</v>
      </c>
      <c r="W233" s="108" t="str">
        <f>IF(S233=0,"NA",SUMIFS(AN_TME_PY[[#All],[Claims: Professional, Primary Care (for Monitoring Purposes)]],AN_TME_PY[[#All],[Insurance Category Code]],5,AN_TME_PY[[#All],[Advanced Network/Insurance Carrier Org ID]],B233)/S233)</f>
        <v>NA</v>
      </c>
      <c r="X233" s="108" t="str">
        <f>IF(S233=0,"NA",SUMIFS(AN_TME_PY[[#All],[Claims: Professional, Specialty]],AN_TME_PY[[#All],[Insurance Category Code]],5,AN_TME_PY[[#All],[Advanced Network/Insurance Carrier Org ID]],B233)/S233)</f>
        <v>NA</v>
      </c>
      <c r="Y233" s="108" t="str">
        <f>IF(S233=0,"NA",SUMIFS(AN_TME_PY[[#All],[Claims: Professional Other]],AN_TME_PY[[#All],[Insurance Category Code]],5,AN_TME_PY[[#All],[Advanced Network/Insurance Carrier Org ID]],B233)/S233)</f>
        <v>NA</v>
      </c>
      <c r="Z233" s="108" t="str">
        <f>IF(S233=0,"NA",SUMIFS(AN_TME_PY[[#All],[Claims: Pharmacy]],AN_TME_PY[[#All],[Insurance Category Code]],5,AN_TME_PY[[#All],[Advanced Network/Insurance Carrier Org ID]],B233)/S233)</f>
        <v>NA</v>
      </c>
      <c r="AA233" s="108" t="str">
        <f>IF(S233=0,"NA",SUMIFS(AN_TME_PY[[#All],[Claims: Long-Term Care]],AN_TME_PY[[#All],[Insurance Category Code]],5,AN_TME_PY[[#All],[Advanced Network/Insurance Carrier Org ID]],B233)/S233)</f>
        <v>NA</v>
      </c>
      <c r="AB233" s="108" t="str">
        <f>IF(S233=0,"NA",SUMIFS(AN_TME_PY[[#All],[Claims: Other]],AN_TME_PY[[#All],[Insurance Category Code]],5,AN_TME_PY[[#All],[Advanced Network/Insurance Carrier Org ID]],B233)/S233)</f>
        <v>NA</v>
      </c>
      <c r="AC233" s="147" t="str">
        <f>IF(S233=0,"NA",SUMIFS(AN_TME_PY[[#All],[TOTAL Non-Truncated Unadjusted Claims Expenses]],AN_TME_PY[[#All],[Insurance Category Code]],5,AN_TME_PY[[#All],[Advanced Network/Insurance Carrier Org ID]],B233)/S233)</f>
        <v>NA</v>
      </c>
      <c r="AD233" s="147" t="str">
        <f>IF(S233=0,"NA",SUMIFS(AN_TME_PY[[#All],[TOTAL Truncated Unadjusted Claims Expenses (A21 -A19)]],AN_TME_PY[[#All],[Insurance Category Code]],5,AN_TME_PY[[#All],[Advanced Network/Insurance Carrier Org ID]],B233)/S233)</f>
        <v>NA</v>
      </c>
      <c r="AE233" s="147" t="str">
        <f>IF(S233=0,"NA",SUMIFS(AN_TME_PY[[#All],[TOTAL Non-Claims Expenses]],AN_TME_PY[[#All],[Insurance Category Code]],5,AN_TME_PY[[#All],[Advanced Network/Insurance Carrier Org ID]],B233)/S233)</f>
        <v>NA</v>
      </c>
      <c r="AF233" s="147" t="str">
        <f>IF(S233=0,"NA",SUMIFS(AN_TME_PY[[#All],[TOTAL Non-Truncated Unadjusted Expenses (A21 + A23)]],AN_TME_PY[[#All],[Insurance Category Code]],5,AN_TME_PY[[#All],[Advanced Network/Insurance Carrier Org ID]],B233)/S233)</f>
        <v>NA</v>
      </c>
      <c r="AG233" s="138" t="str">
        <f>IF(S233=0,"NA",SUMIFS(AN_TME_PY[[#All],[TOTAL Truncated Unadjusted Expenses (A22 + A23)]],AN_TME_PY[[#All],[Insurance Category Code]],5,AN_TME_PY[[#All],[Advanced Network/Insurance Carrier Org ID]],B233)/S233)</f>
        <v>NA</v>
      </c>
      <c r="AH233" s="419" t="str">
        <f t="shared" si="306"/>
        <v>NA</v>
      </c>
      <c r="AI233" s="420" t="str">
        <f t="shared" si="307"/>
        <v>NA</v>
      </c>
      <c r="AJ233" s="421" t="str">
        <f t="shared" si="308"/>
        <v>NA</v>
      </c>
      <c r="AK233" s="421" t="str">
        <f t="shared" si="309"/>
        <v>NA</v>
      </c>
      <c r="AL233" s="421" t="str">
        <f t="shared" si="310"/>
        <v>NA</v>
      </c>
      <c r="AM233" s="421" t="str">
        <f t="shared" si="311"/>
        <v>NA</v>
      </c>
      <c r="AN233" s="421" t="str">
        <f t="shared" si="312"/>
        <v>NA</v>
      </c>
      <c r="AO233" s="421" t="str">
        <f t="shared" si="313"/>
        <v>NA</v>
      </c>
      <c r="AP233" s="421" t="str">
        <f t="shared" si="314"/>
        <v>NA</v>
      </c>
      <c r="AQ233" s="421" t="str">
        <f t="shared" si="315"/>
        <v>NA</v>
      </c>
      <c r="AR233" s="422" t="str">
        <f t="shared" si="316"/>
        <v>NA</v>
      </c>
      <c r="AS233" s="422" t="str">
        <f t="shared" si="317"/>
        <v>NA</v>
      </c>
      <c r="AT233" s="422" t="str">
        <f t="shared" si="318"/>
        <v>NA</v>
      </c>
      <c r="AU233" s="422" t="str">
        <f t="shared" si="319"/>
        <v>NA</v>
      </c>
      <c r="AV233" s="423" t="str">
        <f t="shared" si="320"/>
        <v>NA</v>
      </c>
    </row>
    <row r="234" spans="1:48" ht="15" customHeight="1" x14ac:dyDescent="0.25">
      <c r="A234" s="146"/>
      <c r="B234" s="148">
        <v>122</v>
      </c>
      <c r="C234" s="151" t="str">
        <f>_xlfn.XLOOKUP(B234, LgProvEntOrgIDs[Advanced Network/Insurer Carrier Org ID], LgProvEntOrgIDs[Advanced Network/Insurance Carrier Overall])</f>
        <v>Norwalk Community Health Center</v>
      </c>
      <c r="D234" s="448">
        <f>SUMIFS(AN_TME_BY[[#All],[Member Months]],AN_TME_BY[[#All],[Insurance Category Code]],5,AN_TME_BY[[#All],[Advanced Network/Insurance Carrier Org ID]],B234)</f>
        <v>0</v>
      </c>
      <c r="E234" s="137" t="str">
        <f>IF(D234=0,"NA",SUMIFS(AN_TME_BY[[#All],[Claims: Hospital Inpatient]],AN_TME_BY[[#All],[Insurance Category Code]],5,AN_TME_BY[[#All],[Advanced Network/Insurance Carrier Org ID]],B234)/D234)</f>
        <v>NA</v>
      </c>
      <c r="F234" s="108" t="str">
        <f>IF(D234=0,"NA",SUMIFS(AN_TME_BY[[#All],[Claims: Hospital Outpatient]],AN_TME_BY[[#All],[Insurance Category Code]],5,AN_TME_BY[[#All],[Advanced Network/Insurance Carrier Org ID]],B234)/D234)</f>
        <v>NA</v>
      </c>
      <c r="G234" s="108" t="str">
        <f>IF(D234=0,"NA",SUMIFS(AN_TME_BY[[#All],[Claims: Professional, Primary Care]],AN_TME_BY[[#All],[Insurance Category Code]],5,AN_TME_BY[[#All],[Advanced Network/Insurance Carrier Org ID]],B234)/D234)</f>
        <v>NA</v>
      </c>
      <c r="H234" s="108" t="str">
        <f>IF(D234=0,"NA",SUMIFS(AN_TME_BY[[#All],[Claims: Professional, Primary Care (for Monitoring Purposes)]],AN_TME_BY[[#All],[Insurance Category Code]],5,AN_TME_BY[[#All],[Advanced Network/Insurance Carrier Org ID]],B234)/D234)</f>
        <v>NA</v>
      </c>
      <c r="I234" s="108" t="str">
        <f>IF(D234=0,"NA",SUMIFS(AN_TME_BY[[#All],[Claims: Professional, Specialty]],AN_TME_BY[[#All],[Insurance Category Code]],5,AN_TME_BY[[#All],[Advanced Network/Insurance Carrier Org ID]],B234)/D234)</f>
        <v>NA</v>
      </c>
      <c r="J234" s="108" t="str">
        <f>IF(D234=0,"NA",SUMIFS(AN_TME_BY[[#All],[Claims: Professional Other]],AN_TME_BY[[#All],[Insurance Category Code]],5,AN_TME_BY[[#All],[Advanced Network/Insurance Carrier Org ID]],B234)/D234)</f>
        <v>NA</v>
      </c>
      <c r="K234" s="108" t="str">
        <f>IF(D234=0,"NA",SUMIFS(AN_TME_BY[[#All],[Claims: Pharmacy]],AN_TME_BY[[#All],[Insurance Category Code]],5,AN_TME_BY[[#All],[Advanced Network/Insurance Carrier Org ID]],B234)/D234)</f>
        <v>NA</v>
      </c>
      <c r="L234" s="108" t="str">
        <f>IF(D234=0,"NA",SUMIFS(AN_TME_BY[[#All],[Claims: Long-Term Care]],AN_TME_BY[[#All],[Insurance Category Code]],5,AN_TME_BY[[#All],[Advanced Network/Insurance Carrier Org ID]],B234)/D234)</f>
        <v>NA</v>
      </c>
      <c r="M234" s="108" t="str">
        <f>IF(D234=0,"NA",SUMIFS(AN_TME_BY[[#All],[Claims: Other]],AN_TME_BY[[#All],[Insurance Category Code]],5,AN_TME_BY[[#All],[Advanced Network/Insurance Carrier Org ID]],B234)/D234)</f>
        <v>NA</v>
      </c>
      <c r="N234" s="147" t="str">
        <f>IF(D234=0,"NA",SUMIFS(AN_TME_BY[[#All],[TOTAL Non-Truncated Unadjusted Claims Expenses]],AN_TME_BY[[#All],[Insurance Category Code]],5,AN_TME_BY[[#All],[Advanced Network/Insurance Carrier Org ID]],B234)/D234)</f>
        <v>NA</v>
      </c>
      <c r="O234" s="147" t="str">
        <f>IF(D234=0,"NA",SUMIFS(AN_TME_BY[[#All],[TOTAL Truncated Unadjusted Claims Expenses (A21 -A19)]],AN_TME_BY[[#All],[Insurance Category Code]],5,AN_TME_BY[[#All],[Advanced Network/Insurance Carrier Org ID]],B234)/D234)</f>
        <v>NA</v>
      </c>
      <c r="P234" s="147" t="str">
        <f>IF(D234=0,"NA",SUMIFS(AN_TME_BY[[#All],[TOTAL Non-Claims Expenses]],AN_TME_BY[[#All],[Insurance Category Code]],5,AN_TME_BY[[#All],[Advanced Network/Insurance Carrier Org ID]],B234)/D234)</f>
        <v>NA</v>
      </c>
      <c r="Q234" s="147" t="str">
        <f>IF(D234=0,"NA",SUMIFS(AN_TME_BY[[#All],[TOTAL Non-Truncated Unadjusted Expenses (A21 + A23)]],AN_TME_BY[[#All],[Insurance Category Code]],5,AN_TME_BY[[#All],[Advanced Network/Insurance Carrier Org ID]],B234)/D234)</f>
        <v>NA</v>
      </c>
      <c r="R234" s="147" t="str">
        <f>IF(D234=0,"NA",SUMIFS(AN_TME_BY[[#All],[TOTAL Truncated Unadjusted Expenses (A22 + A23)]],AN_TME_BY[[#All],[Insurance Category Code]],5,AN_TME_BY[[#All],[Advanced Network/Insurance Carrier Org ID]],B234)/D234)</f>
        <v>NA</v>
      </c>
      <c r="S234" s="448">
        <f>SUMIFS(AN_TME_PY[[#All],[Member Months]],AN_TME_PY[[#All],[Insurance Category Code]],5,AN_TME_PY[[#All],[Advanced Network/Insurance Carrier Org ID]],B234)</f>
        <v>0</v>
      </c>
      <c r="T234" s="137" t="str">
        <f>IF(S234=0,"NA",SUMIFS(AN_TME_PY[[#All],[Claims: Hospital Inpatient]],AN_TME_PY[[#All],[Insurance Category Code]],5,AN_TME_PY[[#All],[Advanced Network/Insurance Carrier Org ID]],B234)/S234)</f>
        <v>NA</v>
      </c>
      <c r="U234" s="108" t="str">
        <f>IF(S234=0,"NA",SUMIFS(AN_TME_PY[[#All],[Claims: Hospital Outpatient]],AN_TME_PY[[#All],[Insurance Category Code]],5,AN_TME_PY[[#All],[Advanced Network/Insurance Carrier Org ID]],B234)/S234)</f>
        <v>NA</v>
      </c>
      <c r="V234" s="108" t="str">
        <f>IF(S234=0,"NA",SUMIFS(AN_TME_PY[[#All],[Claims: Professional, Primary Care]],AN_TME_PY[[#All],[Insurance Category Code]],5,AN_TME_PY[[#All],[Advanced Network/Insurance Carrier Org ID]],B234)/S234)</f>
        <v>NA</v>
      </c>
      <c r="W234" s="108" t="str">
        <f>IF(S234=0,"NA",SUMIFS(AN_TME_PY[[#All],[Claims: Professional, Primary Care (for Monitoring Purposes)]],AN_TME_PY[[#All],[Insurance Category Code]],5,AN_TME_PY[[#All],[Advanced Network/Insurance Carrier Org ID]],B234)/S234)</f>
        <v>NA</v>
      </c>
      <c r="X234" s="108" t="str">
        <f>IF(S234=0,"NA",SUMIFS(AN_TME_PY[[#All],[Claims: Professional, Specialty]],AN_TME_PY[[#All],[Insurance Category Code]],5,AN_TME_PY[[#All],[Advanced Network/Insurance Carrier Org ID]],B234)/S234)</f>
        <v>NA</v>
      </c>
      <c r="Y234" s="108" t="str">
        <f>IF(S234=0,"NA",SUMIFS(AN_TME_PY[[#All],[Claims: Professional Other]],AN_TME_PY[[#All],[Insurance Category Code]],5,AN_TME_PY[[#All],[Advanced Network/Insurance Carrier Org ID]],B234)/S234)</f>
        <v>NA</v>
      </c>
      <c r="Z234" s="108" t="str">
        <f>IF(S234=0,"NA",SUMIFS(AN_TME_PY[[#All],[Claims: Pharmacy]],AN_TME_PY[[#All],[Insurance Category Code]],5,AN_TME_PY[[#All],[Advanced Network/Insurance Carrier Org ID]],B234)/S234)</f>
        <v>NA</v>
      </c>
      <c r="AA234" s="108" t="str">
        <f>IF(S234=0,"NA",SUMIFS(AN_TME_PY[[#All],[Claims: Long-Term Care]],AN_TME_PY[[#All],[Insurance Category Code]],5,AN_TME_PY[[#All],[Advanced Network/Insurance Carrier Org ID]],B234)/S234)</f>
        <v>NA</v>
      </c>
      <c r="AB234" s="108" t="str">
        <f>IF(S234=0,"NA",SUMIFS(AN_TME_PY[[#All],[Claims: Other]],AN_TME_PY[[#All],[Insurance Category Code]],5,AN_TME_PY[[#All],[Advanced Network/Insurance Carrier Org ID]],B234)/S234)</f>
        <v>NA</v>
      </c>
      <c r="AC234" s="147" t="str">
        <f>IF(S234=0,"NA",SUMIFS(AN_TME_PY[[#All],[TOTAL Non-Truncated Unadjusted Claims Expenses]],AN_TME_PY[[#All],[Insurance Category Code]],5,AN_TME_PY[[#All],[Advanced Network/Insurance Carrier Org ID]],B234)/S234)</f>
        <v>NA</v>
      </c>
      <c r="AD234" s="147" t="str">
        <f>IF(S234=0,"NA",SUMIFS(AN_TME_PY[[#All],[TOTAL Truncated Unadjusted Claims Expenses (A21 -A19)]],AN_TME_PY[[#All],[Insurance Category Code]],5,AN_TME_PY[[#All],[Advanced Network/Insurance Carrier Org ID]],B234)/S234)</f>
        <v>NA</v>
      </c>
      <c r="AE234" s="147" t="str">
        <f>IF(S234=0,"NA",SUMIFS(AN_TME_PY[[#All],[TOTAL Non-Claims Expenses]],AN_TME_PY[[#All],[Insurance Category Code]],5,AN_TME_PY[[#All],[Advanced Network/Insurance Carrier Org ID]],B234)/S234)</f>
        <v>NA</v>
      </c>
      <c r="AF234" s="147" t="str">
        <f>IF(S234=0,"NA",SUMIFS(AN_TME_PY[[#All],[TOTAL Non-Truncated Unadjusted Expenses (A21 + A23)]],AN_TME_PY[[#All],[Insurance Category Code]],5,AN_TME_PY[[#All],[Advanced Network/Insurance Carrier Org ID]],B234)/S234)</f>
        <v>NA</v>
      </c>
      <c r="AG234" s="138" t="str">
        <f>IF(S234=0,"NA",SUMIFS(AN_TME_PY[[#All],[TOTAL Truncated Unadjusted Expenses (A22 + A23)]],AN_TME_PY[[#All],[Insurance Category Code]],5,AN_TME_PY[[#All],[Advanced Network/Insurance Carrier Org ID]],B234)/S234)</f>
        <v>NA</v>
      </c>
      <c r="AH234" s="419" t="str">
        <f t="shared" si="306"/>
        <v>NA</v>
      </c>
      <c r="AI234" s="420" t="str">
        <f t="shared" si="307"/>
        <v>NA</v>
      </c>
      <c r="AJ234" s="421" t="str">
        <f t="shared" si="308"/>
        <v>NA</v>
      </c>
      <c r="AK234" s="421" t="str">
        <f t="shared" si="309"/>
        <v>NA</v>
      </c>
      <c r="AL234" s="421" t="str">
        <f t="shared" si="310"/>
        <v>NA</v>
      </c>
      <c r="AM234" s="421" t="str">
        <f t="shared" si="311"/>
        <v>NA</v>
      </c>
      <c r="AN234" s="421" t="str">
        <f t="shared" si="312"/>
        <v>NA</v>
      </c>
      <c r="AO234" s="421" t="str">
        <f t="shared" si="313"/>
        <v>NA</v>
      </c>
      <c r="AP234" s="421" t="str">
        <f t="shared" si="314"/>
        <v>NA</v>
      </c>
      <c r="AQ234" s="421" t="str">
        <f t="shared" si="315"/>
        <v>NA</v>
      </c>
      <c r="AR234" s="422" t="str">
        <f t="shared" si="316"/>
        <v>NA</v>
      </c>
      <c r="AS234" s="422" t="str">
        <f t="shared" si="317"/>
        <v>NA</v>
      </c>
      <c r="AT234" s="422" t="str">
        <f t="shared" si="318"/>
        <v>NA</v>
      </c>
      <c r="AU234" s="422" t="str">
        <f t="shared" si="319"/>
        <v>NA</v>
      </c>
      <c r="AV234" s="423" t="str">
        <f t="shared" si="320"/>
        <v>NA</v>
      </c>
    </row>
    <row r="235" spans="1:48" ht="15" customHeight="1" x14ac:dyDescent="0.25">
      <c r="A235" s="146"/>
      <c r="B235" s="148">
        <v>123</v>
      </c>
      <c r="C235" s="151" t="str">
        <f>_xlfn.XLOOKUP(B235, LgProvEntOrgIDs[Advanced Network/Insurer Carrier Org ID], LgProvEntOrgIDs[Advanced Network/Insurance Carrier Overall])</f>
        <v>Optimus Health Care, Inc.</v>
      </c>
      <c r="D235" s="448">
        <f>SUMIFS(AN_TME_BY[[#All],[Member Months]],AN_TME_BY[[#All],[Insurance Category Code]],5,AN_TME_BY[[#All],[Advanced Network/Insurance Carrier Org ID]],B235)</f>
        <v>0</v>
      </c>
      <c r="E235" s="137" t="str">
        <f>IF(D235=0,"NA",SUMIFS(AN_TME_BY[[#All],[Claims: Hospital Inpatient]],AN_TME_BY[[#All],[Insurance Category Code]],5,AN_TME_BY[[#All],[Advanced Network/Insurance Carrier Org ID]],B235)/D235)</f>
        <v>NA</v>
      </c>
      <c r="F235" s="108" t="str">
        <f>IF(D235=0,"NA",SUMIFS(AN_TME_BY[[#All],[Claims: Hospital Outpatient]],AN_TME_BY[[#All],[Insurance Category Code]],5,AN_TME_BY[[#All],[Advanced Network/Insurance Carrier Org ID]],B235)/D235)</f>
        <v>NA</v>
      </c>
      <c r="G235" s="108" t="str">
        <f>IF(D235=0,"NA",SUMIFS(AN_TME_BY[[#All],[Claims: Professional, Primary Care]],AN_TME_BY[[#All],[Insurance Category Code]],5,AN_TME_BY[[#All],[Advanced Network/Insurance Carrier Org ID]],B235)/D235)</f>
        <v>NA</v>
      </c>
      <c r="H235" s="108" t="str">
        <f>IF(D235=0,"NA",SUMIFS(AN_TME_BY[[#All],[Claims: Professional, Primary Care (for Monitoring Purposes)]],AN_TME_BY[[#All],[Insurance Category Code]],5,AN_TME_BY[[#All],[Advanced Network/Insurance Carrier Org ID]],B235)/D235)</f>
        <v>NA</v>
      </c>
      <c r="I235" s="108" t="str">
        <f>IF(D235=0,"NA",SUMIFS(AN_TME_BY[[#All],[Claims: Professional, Specialty]],AN_TME_BY[[#All],[Insurance Category Code]],5,AN_TME_BY[[#All],[Advanced Network/Insurance Carrier Org ID]],B235)/D235)</f>
        <v>NA</v>
      </c>
      <c r="J235" s="108" t="str">
        <f>IF(D235=0,"NA",SUMIFS(AN_TME_BY[[#All],[Claims: Professional Other]],AN_TME_BY[[#All],[Insurance Category Code]],5,AN_TME_BY[[#All],[Advanced Network/Insurance Carrier Org ID]],B235)/D235)</f>
        <v>NA</v>
      </c>
      <c r="K235" s="108" t="str">
        <f>IF(D235=0,"NA",SUMIFS(AN_TME_BY[[#All],[Claims: Pharmacy]],AN_TME_BY[[#All],[Insurance Category Code]],5,AN_TME_BY[[#All],[Advanced Network/Insurance Carrier Org ID]],B235)/D235)</f>
        <v>NA</v>
      </c>
      <c r="L235" s="108" t="str">
        <f>IF(D235=0,"NA",SUMIFS(AN_TME_BY[[#All],[Claims: Long-Term Care]],AN_TME_BY[[#All],[Insurance Category Code]],5,AN_TME_BY[[#All],[Advanced Network/Insurance Carrier Org ID]],B235)/D235)</f>
        <v>NA</v>
      </c>
      <c r="M235" s="108" t="str">
        <f>IF(D235=0,"NA",SUMIFS(AN_TME_BY[[#All],[Claims: Other]],AN_TME_BY[[#All],[Insurance Category Code]],5,AN_TME_BY[[#All],[Advanced Network/Insurance Carrier Org ID]],B235)/D235)</f>
        <v>NA</v>
      </c>
      <c r="N235" s="147" t="str">
        <f>IF(D235=0,"NA",SUMIFS(AN_TME_BY[[#All],[TOTAL Non-Truncated Unadjusted Claims Expenses]],AN_TME_BY[[#All],[Insurance Category Code]],5,AN_TME_BY[[#All],[Advanced Network/Insurance Carrier Org ID]],B235)/D235)</f>
        <v>NA</v>
      </c>
      <c r="O235" s="147" t="str">
        <f>IF(D235=0,"NA",SUMIFS(AN_TME_BY[[#All],[TOTAL Truncated Unadjusted Claims Expenses (A21 -A19)]],AN_TME_BY[[#All],[Insurance Category Code]],5,AN_TME_BY[[#All],[Advanced Network/Insurance Carrier Org ID]],B235)/D235)</f>
        <v>NA</v>
      </c>
      <c r="P235" s="147" t="str">
        <f>IF(D235=0,"NA",SUMIFS(AN_TME_BY[[#All],[TOTAL Non-Claims Expenses]],AN_TME_BY[[#All],[Insurance Category Code]],5,AN_TME_BY[[#All],[Advanced Network/Insurance Carrier Org ID]],B235)/D235)</f>
        <v>NA</v>
      </c>
      <c r="Q235" s="147" t="str">
        <f>IF(D235=0,"NA",SUMIFS(AN_TME_BY[[#All],[TOTAL Non-Truncated Unadjusted Expenses (A21 + A23)]],AN_TME_BY[[#All],[Insurance Category Code]],5,AN_TME_BY[[#All],[Advanced Network/Insurance Carrier Org ID]],B235)/D235)</f>
        <v>NA</v>
      </c>
      <c r="R235" s="147" t="str">
        <f>IF(D235=0,"NA",SUMIFS(AN_TME_BY[[#All],[TOTAL Truncated Unadjusted Expenses (A22 + A23)]],AN_TME_BY[[#All],[Insurance Category Code]],5,AN_TME_BY[[#All],[Advanced Network/Insurance Carrier Org ID]],B235)/D235)</f>
        <v>NA</v>
      </c>
      <c r="S235" s="448">
        <f>SUMIFS(AN_TME_PY[[#All],[Member Months]],AN_TME_PY[[#All],[Insurance Category Code]],5,AN_TME_PY[[#All],[Advanced Network/Insurance Carrier Org ID]],B235)</f>
        <v>0</v>
      </c>
      <c r="T235" s="137" t="str">
        <f>IF(S235=0,"NA",SUMIFS(AN_TME_PY[[#All],[Claims: Hospital Inpatient]],AN_TME_PY[[#All],[Insurance Category Code]],5,AN_TME_PY[[#All],[Advanced Network/Insurance Carrier Org ID]],B235)/S235)</f>
        <v>NA</v>
      </c>
      <c r="U235" s="108" t="str">
        <f>IF(S235=0,"NA",SUMIFS(AN_TME_PY[[#All],[Claims: Hospital Outpatient]],AN_TME_PY[[#All],[Insurance Category Code]],5,AN_TME_PY[[#All],[Advanced Network/Insurance Carrier Org ID]],B235)/S235)</f>
        <v>NA</v>
      </c>
      <c r="V235" s="108" t="str">
        <f>IF(S235=0,"NA",SUMIFS(AN_TME_PY[[#All],[Claims: Professional, Primary Care]],AN_TME_PY[[#All],[Insurance Category Code]],5,AN_TME_PY[[#All],[Advanced Network/Insurance Carrier Org ID]],B235)/S235)</f>
        <v>NA</v>
      </c>
      <c r="W235" s="108" t="str">
        <f>IF(S235=0,"NA",SUMIFS(AN_TME_PY[[#All],[Claims: Professional, Primary Care (for Monitoring Purposes)]],AN_TME_PY[[#All],[Insurance Category Code]],5,AN_TME_PY[[#All],[Advanced Network/Insurance Carrier Org ID]],B235)/S235)</f>
        <v>NA</v>
      </c>
      <c r="X235" s="108" t="str">
        <f>IF(S235=0,"NA",SUMIFS(AN_TME_PY[[#All],[Claims: Professional, Specialty]],AN_TME_PY[[#All],[Insurance Category Code]],5,AN_TME_PY[[#All],[Advanced Network/Insurance Carrier Org ID]],B235)/S235)</f>
        <v>NA</v>
      </c>
      <c r="Y235" s="108" t="str">
        <f>IF(S235=0,"NA",SUMIFS(AN_TME_PY[[#All],[Claims: Professional Other]],AN_TME_PY[[#All],[Insurance Category Code]],5,AN_TME_PY[[#All],[Advanced Network/Insurance Carrier Org ID]],B235)/S235)</f>
        <v>NA</v>
      </c>
      <c r="Z235" s="108" t="str">
        <f>IF(S235=0,"NA",SUMIFS(AN_TME_PY[[#All],[Claims: Pharmacy]],AN_TME_PY[[#All],[Insurance Category Code]],5,AN_TME_PY[[#All],[Advanced Network/Insurance Carrier Org ID]],B235)/S235)</f>
        <v>NA</v>
      </c>
      <c r="AA235" s="108" t="str">
        <f>IF(S235=0,"NA",SUMIFS(AN_TME_PY[[#All],[Claims: Long-Term Care]],AN_TME_PY[[#All],[Insurance Category Code]],5,AN_TME_PY[[#All],[Advanced Network/Insurance Carrier Org ID]],B235)/S235)</f>
        <v>NA</v>
      </c>
      <c r="AB235" s="108" t="str">
        <f>IF(S235=0,"NA",SUMIFS(AN_TME_PY[[#All],[Claims: Other]],AN_TME_PY[[#All],[Insurance Category Code]],5,AN_TME_PY[[#All],[Advanced Network/Insurance Carrier Org ID]],B235)/S235)</f>
        <v>NA</v>
      </c>
      <c r="AC235" s="147" t="str">
        <f>IF(S235=0,"NA",SUMIFS(AN_TME_PY[[#All],[TOTAL Non-Truncated Unadjusted Claims Expenses]],AN_TME_PY[[#All],[Insurance Category Code]],5,AN_TME_PY[[#All],[Advanced Network/Insurance Carrier Org ID]],B235)/S235)</f>
        <v>NA</v>
      </c>
      <c r="AD235" s="147" t="str">
        <f>IF(S235=0,"NA",SUMIFS(AN_TME_PY[[#All],[TOTAL Truncated Unadjusted Claims Expenses (A21 -A19)]],AN_TME_PY[[#All],[Insurance Category Code]],5,AN_TME_PY[[#All],[Advanced Network/Insurance Carrier Org ID]],B235)/S235)</f>
        <v>NA</v>
      </c>
      <c r="AE235" s="147" t="str">
        <f>IF(S235=0,"NA",SUMIFS(AN_TME_PY[[#All],[TOTAL Non-Claims Expenses]],AN_TME_PY[[#All],[Insurance Category Code]],5,AN_TME_PY[[#All],[Advanced Network/Insurance Carrier Org ID]],B235)/S235)</f>
        <v>NA</v>
      </c>
      <c r="AF235" s="147" t="str">
        <f>IF(S235=0,"NA",SUMIFS(AN_TME_PY[[#All],[TOTAL Non-Truncated Unadjusted Expenses (A21 + A23)]],AN_TME_PY[[#All],[Insurance Category Code]],5,AN_TME_PY[[#All],[Advanced Network/Insurance Carrier Org ID]],B235)/S235)</f>
        <v>NA</v>
      </c>
      <c r="AG235" s="138" t="str">
        <f>IF(S235=0,"NA",SUMIFS(AN_TME_PY[[#All],[TOTAL Truncated Unadjusted Expenses (A22 + A23)]],AN_TME_PY[[#All],[Insurance Category Code]],5,AN_TME_PY[[#All],[Advanced Network/Insurance Carrier Org ID]],B235)/S235)</f>
        <v>NA</v>
      </c>
      <c r="AH235" s="419" t="str">
        <f t="shared" si="306"/>
        <v>NA</v>
      </c>
      <c r="AI235" s="420" t="str">
        <f t="shared" si="307"/>
        <v>NA</v>
      </c>
      <c r="AJ235" s="421" t="str">
        <f t="shared" si="308"/>
        <v>NA</v>
      </c>
      <c r="AK235" s="421" t="str">
        <f t="shared" si="309"/>
        <v>NA</v>
      </c>
      <c r="AL235" s="421" t="str">
        <f t="shared" si="310"/>
        <v>NA</v>
      </c>
      <c r="AM235" s="421" t="str">
        <f t="shared" si="311"/>
        <v>NA</v>
      </c>
      <c r="AN235" s="421" t="str">
        <f t="shared" si="312"/>
        <v>NA</v>
      </c>
      <c r="AO235" s="421" t="str">
        <f t="shared" si="313"/>
        <v>NA</v>
      </c>
      <c r="AP235" s="421" t="str">
        <f t="shared" si="314"/>
        <v>NA</v>
      </c>
      <c r="AQ235" s="421" t="str">
        <f t="shared" si="315"/>
        <v>NA</v>
      </c>
      <c r="AR235" s="422" t="str">
        <f t="shared" si="316"/>
        <v>NA</v>
      </c>
      <c r="AS235" s="422" t="str">
        <f t="shared" si="317"/>
        <v>NA</v>
      </c>
      <c r="AT235" s="422" t="str">
        <f t="shared" si="318"/>
        <v>NA</v>
      </c>
      <c r="AU235" s="422" t="str">
        <f t="shared" si="319"/>
        <v>NA</v>
      </c>
      <c r="AV235" s="423" t="str">
        <f t="shared" si="320"/>
        <v>NA</v>
      </c>
    </row>
    <row r="236" spans="1:48" ht="15" customHeight="1" x14ac:dyDescent="0.25">
      <c r="A236" s="146"/>
      <c r="B236" s="148">
        <v>124</v>
      </c>
      <c r="C236" s="151" t="str">
        <f>_xlfn.XLOOKUP(B236, LgProvEntOrgIDs[Advanced Network/Insurer Carrier Org ID], LgProvEntOrgIDs[Advanced Network/Insurance Carrier Overall])</f>
        <v>Southwest Community Health Center, Inc.</v>
      </c>
      <c r="D236" s="448">
        <f>SUMIFS(AN_TME_BY[[#All],[Member Months]],AN_TME_BY[[#All],[Insurance Category Code]],5,AN_TME_BY[[#All],[Advanced Network/Insurance Carrier Org ID]],B236)</f>
        <v>0</v>
      </c>
      <c r="E236" s="137" t="str">
        <f>IF(D236=0,"NA",SUMIFS(AN_TME_BY[[#All],[Claims: Hospital Inpatient]],AN_TME_BY[[#All],[Insurance Category Code]],5,AN_TME_BY[[#All],[Advanced Network/Insurance Carrier Org ID]],B236)/D236)</f>
        <v>NA</v>
      </c>
      <c r="F236" s="108" t="str">
        <f>IF(D236=0,"NA",SUMIFS(AN_TME_BY[[#All],[Claims: Hospital Outpatient]],AN_TME_BY[[#All],[Insurance Category Code]],5,AN_TME_BY[[#All],[Advanced Network/Insurance Carrier Org ID]],B236)/D236)</f>
        <v>NA</v>
      </c>
      <c r="G236" s="108" t="str">
        <f>IF(D236=0,"NA",SUMIFS(AN_TME_BY[[#All],[Claims: Professional, Primary Care]],AN_TME_BY[[#All],[Insurance Category Code]],5,AN_TME_BY[[#All],[Advanced Network/Insurance Carrier Org ID]],B236)/D236)</f>
        <v>NA</v>
      </c>
      <c r="H236" s="108" t="str">
        <f>IF(D236=0,"NA",SUMIFS(AN_TME_BY[[#All],[Claims: Professional, Primary Care (for Monitoring Purposes)]],AN_TME_BY[[#All],[Insurance Category Code]],5,AN_TME_BY[[#All],[Advanced Network/Insurance Carrier Org ID]],B236)/D236)</f>
        <v>NA</v>
      </c>
      <c r="I236" s="108" t="str">
        <f>IF(D236=0,"NA",SUMIFS(AN_TME_BY[[#All],[Claims: Professional, Specialty]],AN_TME_BY[[#All],[Insurance Category Code]],5,AN_TME_BY[[#All],[Advanced Network/Insurance Carrier Org ID]],B236)/D236)</f>
        <v>NA</v>
      </c>
      <c r="J236" s="108" t="str">
        <f>IF(D236=0,"NA",SUMIFS(AN_TME_BY[[#All],[Claims: Professional Other]],AN_TME_BY[[#All],[Insurance Category Code]],5,AN_TME_BY[[#All],[Advanced Network/Insurance Carrier Org ID]],B236)/D236)</f>
        <v>NA</v>
      </c>
      <c r="K236" s="108" t="str">
        <f>IF(D236=0,"NA",SUMIFS(AN_TME_BY[[#All],[Claims: Pharmacy]],AN_TME_BY[[#All],[Insurance Category Code]],5,AN_TME_BY[[#All],[Advanced Network/Insurance Carrier Org ID]],B236)/D236)</f>
        <v>NA</v>
      </c>
      <c r="L236" s="108" t="str">
        <f>IF(D236=0,"NA",SUMIFS(AN_TME_BY[[#All],[Claims: Long-Term Care]],AN_TME_BY[[#All],[Insurance Category Code]],5,AN_TME_BY[[#All],[Advanced Network/Insurance Carrier Org ID]],B236)/D236)</f>
        <v>NA</v>
      </c>
      <c r="M236" s="108" t="str">
        <f>IF(D236=0,"NA",SUMIFS(AN_TME_BY[[#All],[Claims: Other]],AN_TME_BY[[#All],[Insurance Category Code]],5,AN_TME_BY[[#All],[Advanced Network/Insurance Carrier Org ID]],B236)/D236)</f>
        <v>NA</v>
      </c>
      <c r="N236" s="147" t="str">
        <f>IF(D236=0,"NA",SUMIFS(AN_TME_BY[[#All],[TOTAL Non-Truncated Unadjusted Claims Expenses]],AN_TME_BY[[#All],[Insurance Category Code]],5,AN_TME_BY[[#All],[Advanced Network/Insurance Carrier Org ID]],B236)/D236)</f>
        <v>NA</v>
      </c>
      <c r="O236" s="147" t="str">
        <f>IF(D236=0,"NA",SUMIFS(AN_TME_BY[[#All],[TOTAL Truncated Unadjusted Claims Expenses (A21 -A19)]],AN_TME_BY[[#All],[Insurance Category Code]],5,AN_TME_BY[[#All],[Advanced Network/Insurance Carrier Org ID]],B236)/D236)</f>
        <v>NA</v>
      </c>
      <c r="P236" s="147" t="str">
        <f>IF(D236=0,"NA",SUMIFS(AN_TME_BY[[#All],[TOTAL Non-Claims Expenses]],AN_TME_BY[[#All],[Insurance Category Code]],5,AN_TME_BY[[#All],[Advanced Network/Insurance Carrier Org ID]],B236)/D236)</f>
        <v>NA</v>
      </c>
      <c r="Q236" s="147" t="str">
        <f>IF(D236=0,"NA",SUMIFS(AN_TME_BY[[#All],[TOTAL Non-Truncated Unadjusted Expenses (A21 + A23)]],AN_TME_BY[[#All],[Insurance Category Code]],5,AN_TME_BY[[#All],[Advanced Network/Insurance Carrier Org ID]],B236)/D236)</f>
        <v>NA</v>
      </c>
      <c r="R236" s="147" t="str">
        <f>IF(D236=0,"NA",SUMIFS(AN_TME_BY[[#All],[TOTAL Truncated Unadjusted Expenses (A22 + A23)]],AN_TME_BY[[#All],[Insurance Category Code]],5,AN_TME_BY[[#All],[Advanced Network/Insurance Carrier Org ID]],B236)/D236)</f>
        <v>NA</v>
      </c>
      <c r="S236" s="448">
        <f>SUMIFS(AN_TME_PY[[#All],[Member Months]],AN_TME_PY[[#All],[Insurance Category Code]],5,AN_TME_PY[[#All],[Advanced Network/Insurance Carrier Org ID]],B236)</f>
        <v>0</v>
      </c>
      <c r="T236" s="137" t="str">
        <f>IF(S236=0,"NA",SUMIFS(AN_TME_PY[[#All],[Claims: Hospital Inpatient]],AN_TME_PY[[#All],[Insurance Category Code]],5,AN_TME_PY[[#All],[Advanced Network/Insurance Carrier Org ID]],B236)/S236)</f>
        <v>NA</v>
      </c>
      <c r="U236" s="108" t="str">
        <f>IF(S236=0,"NA",SUMIFS(AN_TME_PY[[#All],[Claims: Hospital Outpatient]],AN_TME_PY[[#All],[Insurance Category Code]],5,AN_TME_PY[[#All],[Advanced Network/Insurance Carrier Org ID]],B236)/S236)</f>
        <v>NA</v>
      </c>
      <c r="V236" s="108" t="str">
        <f>IF(S236=0,"NA",SUMIFS(AN_TME_PY[[#All],[Claims: Professional, Primary Care]],AN_TME_PY[[#All],[Insurance Category Code]],5,AN_TME_PY[[#All],[Advanced Network/Insurance Carrier Org ID]],B236)/S236)</f>
        <v>NA</v>
      </c>
      <c r="W236" s="108" t="str">
        <f>IF(S236=0,"NA",SUMIFS(AN_TME_PY[[#All],[Claims: Professional, Primary Care (for Monitoring Purposes)]],AN_TME_PY[[#All],[Insurance Category Code]],5,AN_TME_PY[[#All],[Advanced Network/Insurance Carrier Org ID]],B236)/S236)</f>
        <v>NA</v>
      </c>
      <c r="X236" s="108" t="str">
        <f>IF(S236=0,"NA",SUMIFS(AN_TME_PY[[#All],[Claims: Professional, Specialty]],AN_TME_PY[[#All],[Insurance Category Code]],5,AN_TME_PY[[#All],[Advanced Network/Insurance Carrier Org ID]],B236)/S236)</f>
        <v>NA</v>
      </c>
      <c r="Y236" s="108" t="str">
        <f>IF(S236=0,"NA",SUMIFS(AN_TME_PY[[#All],[Claims: Professional Other]],AN_TME_PY[[#All],[Insurance Category Code]],5,AN_TME_PY[[#All],[Advanced Network/Insurance Carrier Org ID]],B236)/S236)</f>
        <v>NA</v>
      </c>
      <c r="Z236" s="108" t="str">
        <f>IF(S236=0,"NA",SUMIFS(AN_TME_PY[[#All],[Claims: Pharmacy]],AN_TME_PY[[#All],[Insurance Category Code]],5,AN_TME_PY[[#All],[Advanced Network/Insurance Carrier Org ID]],B236)/S236)</f>
        <v>NA</v>
      </c>
      <c r="AA236" s="108" t="str">
        <f>IF(S236=0,"NA",SUMIFS(AN_TME_PY[[#All],[Claims: Long-Term Care]],AN_TME_PY[[#All],[Insurance Category Code]],5,AN_TME_PY[[#All],[Advanced Network/Insurance Carrier Org ID]],B236)/S236)</f>
        <v>NA</v>
      </c>
      <c r="AB236" s="108" t="str">
        <f>IF(S236=0,"NA",SUMIFS(AN_TME_PY[[#All],[Claims: Other]],AN_TME_PY[[#All],[Insurance Category Code]],5,AN_TME_PY[[#All],[Advanced Network/Insurance Carrier Org ID]],B236)/S236)</f>
        <v>NA</v>
      </c>
      <c r="AC236" s="147" t="str">
        <f>IF(S236=0,"NA",SUMIFS(AN_TME_PY[[#All],[TOTAL Non-Truncated Unadjusted Claims Expenses]],AN_TME_PY[[#All],[Insurance Category Code]],5,AN_TME_PY[[#All],[Advanced Network/Insurance Carrier Org ID]],B236)/S236)</f>
        <v>NA</v>
      </c>
      <c r="AD236" s="147" t="str">
        <f>IF(S236=0,"NA",SUMIFS(AN_TME_PY[[#All],[TOTAL Truncated Unadjusted Claims Expenses (A21 -A19)]],AN_TME_PY[[#All],[Insurance Category Code]],5,AN_TME_PY[[#All],[Advanced Network/Insurance Carrier Org ID]],B236)/S236)</f>
        <v>NA</v>
      </c>
      <c r="AE236" s="147" t="str">
        <f>IF(S236=0,"NA",SUMIFS(AN_TME_PY[[#All],[TOTAL Non-Claims Expenses]],AN_TME_PY[[#All],[Insurance Category Code]],5,AN_TME_PY[[#All],[Advanced Network/Insurance Carrier Org ID]],B236)/S236)</f>
        <v>NA</v>
      </c>
      <c r="AF236" s="147" t="str">
        <f>IF(S236=0,"NA",SUMIFS(AN_TME_PY[[#All],[TOTAL Non-Truncated Unadjusted Expenses (A21 + A23)]],AN_TME_PY[[#All],[Insurance Category Code]],5,AN_TME_PY[[#All],[Advanced Network/Insurance Carrier Org ID]],B236)/S236)</f>
        <v>NA</v>
      </c>
      <c r="AG236" s="138" t="str">
        <f>IF(S236=0,"NA",SUMIFS(AN_TME_PY[[#All],[TOTAL Truncated Unadjusted Expenses (A22 + A23)]],AN_TME_PY[[#All],[Insurance Category Code]],5,AN_TME_PY[[#All],[Advanced Network/Insurance Carrier Org ID]],B236)/S236)</f>
        <v>NA</v>
      </c>
      <c r="AH236" s="419" t="str">
        <f t="shared" si="306"/>
        <v>NA</v>
      </c>
      <c r="AI236" s="420" t="str">
        <f t="shared" si="307"/>
        <v>NA</v>
      </c>
      <c r="AJ236" s="421" t="str">
        <f t="shared" si="308"/>
        <v>NA</v>
      </c>
      <c r="AK236" s="421" t="str">
        <f t="shared" si="309"/>
        <v>NA</v>
      </c>
      <c r="AL236" s="421" t="str">
        <f t="shared" si="310"/>
        <v>NA</v>
      </c>
      <c r="AM236" s="421" t="str">
        <f t="shared" si="311"/>
        <v>NA</v>
      </c>
      <c r="AN236" s="421" t="str">
        <f t="shared" si="312"/>
        <v>NA</v>
      </c>
      <c r="AO236" s="421" t="str">
        <f t="shared" si="313"/>
        <v>NA</v>
      </c>
      <c r="AP236" s="421" t="str">
        <f t="shared" si="314"/>
        <v>NA</v>
      </c>
      <c r="AQ236" s="421" t="str">
        <f t="shared" si="315"/>
        <v>NA</v>
      </c>
      <c r="AR236" s="422" t="str">
        <f t="shared" si="316"/>
        <v>NA</v>
      </c>
      <c r="AS236" s="422" t="str">
        <f t="shared" si="317"/>
        <v>NA</v>
      </c>
      <c r="AT236" s="422" t="str">
        <f t="shared" si="318"/>
        <v>NA</v>
      </c>
      <c r="AU236" s="422" t="str">
        <f t="shared" si="319"/>
        <v>NA</v>
      </c>
      <c r="AV236" s="423" t="str">
        <f t="shared" si="320"/>
        <v>NA</v>
      </c>
    </row>
    <row r="237" spans="1:48" ht="15" customHeight="1" x14ac:dyDescent="0.25">
      <c r="A237" s="146"/>
      <c r="B237" s="148">
        <v>125</v>
      </c>
      <c r="C237" s="151" t="str">
        <f>_xlfn.XLOOKUP(B237, LgProvEntOrgIDs[Advanced Network/Insurer Carrier Org ID], LgProvEntOrgIDs[Advanced Network/Insurance Carrier Overall])</f>
        <v>Stamford Health Medical Group</v>
      </c>
      <c r="D237" s="448">
        <f>SUMIFS(AN_TME_BY[[#All],[Member Months]],AN_TME_BY[[#All],[Insurance Category Code]],5,AN_TME_BY[[#All],[Advanced Network/Insurance Carrier Org ID]],B237)</f>
        <v>0</v>
      </c>
      <c r="E237" s="137" t="str">
        <f>IF(D237=0,"NA",SUMIFS(AN_TME_BY[[#All],[Claims: Hospital Inpatient]],AN_TME_BY[[#All],[Insurance Category Code]],5,AN_TME_BY[[#All],[Advanced Network/Insurance Carrier Org ID]],B237)/D237)</f>
        <v>NA</v>
      </c>
      <c r="F237" s="108" t="str">
        <f>IF(D237=0,"NA",SUMIFS(AN_TME_BY[[#All],[Claims: Hospital Outpatient]],AN_TME_BY[[#All],[Insurance Category Code]],5,AN_TME_BY[[#All],[Advanced Network/Insurance Carrier Org ID]],B237)/D237)</f>
        <v>NA</v>
      </c>
      <c r="G237" s="108" t="str">
        <f>IF(D237=0,"NA",SUMIFS(AN_TME_BY[[#All],[Claims: Professional, Primary Care]],AN_TME_BY[[#All],[Insurance Category Code]],5,AN_TME_BY[[#All],[Advanced Network/Insurance Carrier Org ID]],B237)/D237)</f>
        <v>NA</v>
      </c>
      <c r="H237" s="108" t="str">
        <f>IF(D237=0,"NA",SUMIFS(AN_TME_BY[[#All],[Claims: Professional, Primary Care (for Monitoring Purposes)]],AN_TME_BY[[#All],[Insurance Category Code]],5,AN_TME_BY[[#All],[Advanced Network/Insurance Carrier Org ID]],B237)/D237)</f>
        <v>NA</v>
      </c>
      <c r="I237" s="108" t="str">
        <f>IF(D237=0,"NA",SUMIFS(AN_TME_BY[[#All],[Claims: Professional, Specialty]],AN_TME_BY[[#All],[Insurance Category Code]],5,AN_TME_BY[[#All],[Advanced Network/Insurance Carrier Org ID]],B237)/D237)</f>
        <v>NA</v>
      </c>
      <c r="J237" s="108" t="str">
        <f>IF(D237=0,"NA",SUMIFS(AN_TME_BY[[#All],[Claims: Professional Other]],AN_TME_BY[[#All],[Insurance Category Code]],5,AN_TME_BY[[#All],[Advanced Network/Insurance Carrier Org ID]],B237)/D237)</f>
        <v>NA</v>
      </c>
      <c r="K237" s="108" t="str">
        <f>IF(D237=0,"NA",SUMIFS(AN_TME_BY[[#All],[Claims: Pharmacy]],AN_TME_BY[[#All],[Insurance Category Code]],5,AN_TME_BY[[#All],[Advanced Network/Insurance Carrier Org ID]],B237)/D237)</f>
        <v>NA</v>
      </c>
      <c r="L237" s="108" t="str">
        <f>IF(D237=0,"NA",SUMIFS(AN_TME_BY[[#All],[Claims: Long-Term Care]],AN_TME_BY[[#All],[Insurance Category Code]],5,AN_TME_BY[[#All],[Advanced Network/Insurance Carrier Org ID]],B237)/D237)</f>
        <v>NA</v>
      </c>
      <c r="M237" s="108" t="str">
        <f>IF(D237=0,"NA",SUMIFS(AN_TME_BY[[#All],[Claims: Other]],AN_TME_BY[[#All],[Insurance Category Code]],5,AN_TME_BY[[#All],[Advanced Network/Insurance Carrier Org ID]],B237)/D237)</f>
        <v>NA</v>
      </c>
      <c r="N237" s="147" t="str">
        <f>IF(D237=0,"NA",SUMIFS(AN_TME_BY[[#All],[TOTAL Non-Truncated Unadjusted Claims Expenses]],AN_TME_BY[[#All],[Insurance Category Code]],5,AN_TME_BY[[#All],[Advanced Network/Insurance Carrier Org ID]],B237)/D237)</f>
        <v>NA</v>
      </c>
      <c r="O237" s="147" t="str">
        <f>IF(D237=0,"NA",SUMIFS(AN_TME_BY[[#All],[TOTAL Truncated Unadjusted Claims Expenses (A21 -A19)]],AN_TME_BY[[#All],[Insurance Category Code]],5,AN_TME_BY[[#All],[Advanced Network/Insurance Carrier Org ID]],B237)/D237)</f>
        <v>NA</v>
      </c>
      <c r="P237" s="147" t="str">
        <f>IF(D237=0,"NA",SUMIFS(AN_TME_BY[[#All],[TOTAL Non-Claims Expenses]],AN_TME_BY[[#All],[Insurance Category Code]],5,AN_TME_BY[[#All],[Advanced Network/Insurance Carrier Org ID]],B237)/D237)</f>
        <v>NA</v>
      </c>
      <c r="Q237" s="147" t="str">
        <f>IF(D237=0,"NA",SUMIFS(AN_TME_BY[[#All],[TOTAL Non-Truncated Unadjusted Expenses (A21 + A23)]],AN_TME_BY[[#All],[Insurance Category Code]],5,AN_TME_BY[[#All],[Advanced Network/Insurance Carrier Org ID]],B237)/D237)</f>
        <v>NA</v>
      </c>
      <c r="R237" s="147" t="str">
        <f>IF(D237=0,"NA",SUMIFS(AN_TME_BY[[#All],[TOTAL Truncated Unadjusted Expenses (A22 + A23)]],AN_TME_BY[[#All],[Insurance Category Code]],5,AN_TME_BY[[#All],[Advanced Network/Insurance Carrier Org ID]],B237)/D237)</f>
        <v>NA</v>
      </c>
      <c r="S237" s="448">
        <f>SUMIFS(AN_TME_PY[[#All],[Member Months]],AN_TME_PY[[#All],[Insurance Category Code]],5,AN_TME_PY[[#All],[Advanced Network/Insurance Carrier Org ID]],B237)</f>
        <v>0</v>
      </c>
      <c r="T237" s="137" t="str">
        <f>IF(S237=0,"NA",SUMIFS(AN_TME_PY[[#All],[Claims: Hospital Inpatient]],AN_TME_PY[[#All],[Insurance Category Code]],5,AN_TME_PY[[#All],[Advanced Network/Insurance Carrier Org ID]],B237)/S237)</f>
        <v>NA</v>
      </c>
      <c r="U237" s="108" t="str">
        <f>IF(S237=0,"NA",SUMIFS(AN_TME_PY[[#All],[Claims: Hospital Outpatient]],AN_TME_PY[[#All],[Insurance Category Code]],5,AN_TME_PY[[#All],[Advanced Network/Insurance Carrier Org ID]],B237)/S237)</f>
        <v>NA</v>
      </c>
      <c r="V237" s="108" t="str">
        <f>IF(S237=0,"NA",SUMIFS(AN_TME_PY[[#All],[Claims: Professional, Primary Care]],AN_TME_PY[[#All],[Insurance Category Code]],5,AN_TME_PY[[#All],[Advanced Network/Insurance Carrier Org ID]],B237)/S237)</f>
        <v>NA</v>
      </c>
      <c r="W237" s="108" t="str">
        <f>IF(S237=0,"NA",SUMIFS(AN_TME_PY[[#All],[Claims: Professional, Primary Care (for Monitoring Purposes)]],AN_TME_PY[[#All],[Insurance Category Code]],5,AN_TME_PY[[#All],[Advanced Network/Insurance Carrier Org ID]],B237)/S237)</f>
        <v>NA</v>
      </c>
      <c r="X237" s="108" t="str">
        <f>IF(S237=0,"NA",SUMIFS(AN_TME_PY[[#All],[Claims: Professional, Specialty]],AN_TME_PY[[#All],[Insurance Category Code]],5,AN_TME_PY[[#All],[Advanced Network/Insurance Carrier Org ID]],B237)/S237)</f>
        <v>NA</v>
      </c>
      <c r="Y237" s="108" t="str">
        <f>IF(S237=0,"NA",SUMIFS(AN_TME_PY[[#All],[Claims: Professional Other]],AN_TME_PY[[#All],[Insurance Category Code]],5,AN_TME_PY[[#All],[Advanced Network/Insurance Carrier Org ID]],B237)/S237)</f>
        <v>NA</v>
      </c>
      <c r="Z237" s="108" t="str">
        <f>IF(S237=0,"NA",SUMIFS(AN_TME_PY[[#All],[Claims: Pharmacy]],AN_TME_PY[[#All],[Insurance Category Code]],5,AN_TME_PY[[#All],[Advanced Network/Insurance Carrier Org ID]],B237)/S237)</f>
        <v>NA</v>
      </c>
      <c r="AA237" s="108" t="str">
        <f>IF(S237=0,"NA",SUMIFS(AN_TME_PY[[#All],[Claims: Long-Term Care]],AN_TME_PY[[#All],[Insurance Category Code]],5,AN_TME_PY[[#All],[Advanced Network/Insurance Carrier Org ID]],B237)/S237)</f>
        <v>NA</v>
      </c>
      <c r="AB237" s="108" t="str">
        <f>IF(S237=0,"NA",SUMIFS(AN_TME_PY[[#All],[Claims: Other]],AN_TME_PY[[#All],[Insurance Category Code]],5,AN_TME_PY[[#All],[Advanced Network/Insurance Carrier Org ID]],B237)/S237)</f>
        <v>NA</v>
      </c>
      <c r="AC237" s="147" t="str">
        <f>IF(S237=0,"NA",SUMIFS(AN_TME_PY[[#All],[TOTAL Non-Truncated Unadjusted Claims Expenses]],AN_TME_PY[[#All],[Insurance Category Code]],5,AN_TME_PY[[#All],[Advanced Network/Insurance Carrier Org ID]],B237)/S237)</f>
        <v>NA</v>
      </c>
      <c r="AD237" s="147" t="str">
        <f>IF(S237=0,"NA",SUMIFS(AN_TME_PY[[#All],[TOTAL Truncated Unadjusted Claims Expenses (A21 -A19)]],AN_TME_PY[[#All],[Insurance Category Code]],5,AN_TME_PY[[#All],[Advanced Network/Insurance Carrier Org ID]],B237)/S237)</f>
        <v>NA</v>
      </c>
      <c r="AE237" s="147" t="str">
        <f>IF(S237=0,"NA",SUMIFS(AN_TME_PY[[#All],[TOTAL Non-Claims Expenses]],AN_TME_PY[[#All],[Insurance Category Code]],5,AN_TME_PY[[#All],[Advanced Network/Insurance Carrier Org ID]],B237)/S237)</f>
        <v>NA</v>
      </c>
      <c r="AF237" s="147" t="str">
        <f>IF(S237=0,"NA",SUMIFS(AN_TME_PY[[#All],[TOTAL Non-Truncated Unadjusted Expenses (A21 + A23)]],AN_TME_PY[[#All],[Insurance Category Code]],5,AN_TME_PY[[#All],[Advanced Network/Insurance Carrier Org ID]],B237)/S237)</f>
        <v>NA</v>
      </c>
      <c r="AG237" s="138" t="str">
        <f>IF(S237=0,"NA",SUMIFS(AN_TME_PY[[#All],[TOTAL Truncated Unadjusted Expenses (A22 + A23)]],AN_TME_PY[[#All],[Insurance Category Code]],5,AN_TME_PY[[#All],[Advanced Network/Insurance Carrier Org ID]],B237)/S237)</f>
        <v>NA</v>
      </c>
      <c r="AH237" s="419" t="str">
        <f t="shared" si="306"/>
        <v>NA</v>
      </c>
      <c r="AI237" s="420" t="str">
        <f t="shared" si="307"/>
        <v>NA</v>
      </c>
      <c r="AJ237" s="421" t="str">
        <f t="shared" si="308"/>
        <v>NA</v>
      </c>
      <c r="AK237" s="421" t="str">
        <f t="shared" si="309"/>
        <v>NA</v>
      </c>
      <c r="AL237" s="421" t="str">
        <f t="shared" si="310"/>
        <v>NA</v>
      </c>
      <c r="AM237" s="421" t="str">
        <f t="shared" si="311"/>
        <v>NA</v>
      </c>
      <c r="AN237" s="421" t="str">
        <f t="shared" si="312"/>
        <v>NA</v>
      </c>
      <c r="AO237" s="421" t="str">
        <f t="shared" si="313"/>
        <v>NA</v>
      </c>
      <c r="AP237" s="421" t="str">
        <f t="shared" si="314"/>
        <v>NA</v>
      </c>
      <c r="AQ237" s="421" t="str">
        <f t="shared" si="315"/>
        <v>NA</v>
      </c>
      <c r="AR237" s="422" t="str">
        <f t="shared" si="316"/>
        <v>NA</v>
      </c>
      <c r="AS237" s="422" t="str">
        <f t="shared" si="317"/>
        <v>NA</v>
      </c>
      <c r="AT237" s="422" t="str">
        <f t="shared" si="318"/>
        <v>NA</v>
      </c>
      <c r="AU237" s="422" t="str">
        <f t="shared" si="319"/>
        <v>NA</v>
      </c>
      <c r="AV237" s="423" t="str">
        <f t="shared" si="320"/>
        <v>NA</v>
      </c>
    </row>
    <row r="238" spans="1:48" ht="15" customHeight="1" x14ac:dyDescent="0.25">
      <c r="A238" s="146"/>
      <c r="B238" s="148">
        <v>126</v>
      </c>
      <c r="C238" s="151" t="str">
        <f>_xlfn.XLOOKUP(B238, LgProvEntOrgIDs[Advanced Network/Insurer Carrier Org ID], LgProvEntOrgIDs[Advanced Network/Insurance Carrier Overall])</f>
        <v>Starling Physicians</v>
      </c>
      <c r="D238" s="448">
        <f>SUMIFS(AN_TME_BY[[#All],[Member Months]],AN_TME_BY[[#All],[Insurance Category Code]],5,AN_TME_BY[[#All],[Advanced Network/Insurance Carrier Org ID]],B238)</f>
        <v>0</v>
      </c>
      <c r="E238" s="137" t="str">
        <f>IF(D238=0,"NA",SUMIFS(AN_TME_BY[[#All],[Claims: Hospital Inpatient]],AN_TME_BY[[#All],[Insurance Category Code]],5,AN_TME_BY[[#All],[Advanced Network/Insurance Carrier Org ID]],B238)/D238)</f>
        <v>NA</v>
      </c>
      <c r="F238" s="108" t="str">
        <f>IF(D238=0,"NA",SUMIFS(AN_TME_BY[[#All],[Claims: Hospital Outpatient]],AN_TME_BY[[#All],[Insurance Category Code]],5,AN_TME_BY[[#All],[Advanced Network/Insurance Carrier Org ID]],B238)/D238)</f>
        <v>NA</v>
      </c>
      <c r="G238" s="108" t="str">
        <f>IF(D238=0,"NA",SUMIFS(AN_TME_BY[[#All],[Claims: Professional, Primary Care]],AN_TME_BY[[#All],[Insurance Category Code]],5,AN_TME_BY[[#All],[Advanced Network/Insurance Carrier Org ID]],B238)/D238)</f>
        <v>NA</v>
      </c>
      <c r="H238" s="108" t="str">
        <f>IF(D238=0,"NA",SUMIFS(AN_TME_BY[[#All],[Claims: Professional, Primary Care (for Monitoring Purposes)]],AN_TME_BY[[#All],[Insurance Category Code]],5,AN_TME_BY[[#All],[Advanced Network/Insurance Carrier Org ID]],B238)/D238)</f>
        <v>NA</v>
      </c>
      <c r="I238" s="108" t="str">
        <f>IF(D238=0,"NA",SUMIFS(AN_TME_BY[[#All],[Claims: Professional, Specialty]],AN_TME_BY[[#All],[Insurance Category Code]],5,AN_TME_BY[[#All],[Advanced Network/Insurance Carrier Org ID]],B238)/D238)</f>
        <v>NA</v>
      </c>
      <c r="J238" s="108" t="str">
        <f>IF(D238=0,"NA",SUMIFS(AN_TME_BY[[#All],[Claims: Professional Other]],AN_TME_BY[[#All],[Insurance Category Code]],5,AN_TME_BY[[#All],[Advanced Network/Insurance Carrier Org ID]],B238)/D238)</f>
        <v>NA</v>
      </c>
      <c r="K238" s="108" t="str">
        <f>IF(D238=0,"NA",SUMIFS(AN_TME_BY[[#All],[Claims: Pharmacy]],AN_TME_BY[[#All],[Insurance Category Code]],5,AN_TME_BY[[#All],[Advanced Network/Insurance Carrier Org ID]],B238)/D238)</f>
        <v>NA</v>
      </c>
      <c r="L238" s="108" t="str">
        <f>IF(D238=0,"NA",SUMIFS(AN_TME_BY[[#All],[Claims: Long-Term Care]],AN_TME_BY[[#All],[Insurance Category Code]],5,AN_TME_BY[[#All],[Advanced Network/Insurance Carrier Org ID]],B238)/D238)</f>
        <v>NA</v>
      </c>
      <c r="M238" s="108" t="str">
        <f>IF(D238=0,"NA",SUMIFS(AN_TME_BY[[#All],[Claims: Other]],AN_TME_BY[[#All],[Insurance Category Code]],5,AN_TME_BY[[#All],[Advanced Network/Insurance Carrier Org ID]],B238)/D238)</f>
        <v>NA</v>
      </c>
      <c r="N238" s="147" t="str">
        <f>IF(D238=0,"NA",SUMIFS(AN_TME_BY[[#All],[TOTAL Non-Truncated Unadjusted Claims Expenses]],AN_TME_BY[[#All],[Insurance Category Code]],5,AN_TME_BY[[#All],[Advanced Network/Insurance Carrier Org ID]],B238)/D238)</f>
        <v>NA</v>
      </c>
      <c r="O238" s="147" t="str">
        <f>IF(D238=0,"NA",SUMIFS(AN_TME_BY[[#All],[TOTAL Truncated Unadjusted Claims Expenses (A21 -A19)]],AN_TME_BY[[#All],[Insurance Category Code]],5,AN_TME_BY[[#All],[Advanced Network/Insurance Carrier Org ID]],B238)/D238)</f>
        <v>NA</v>
      </c>
      <c r="P238" s="147" t="str">
        <f>IF(D238=0,"NA",SUMIFS(AN_TME_BY[[#All],[TOTAL Non-Claims Expenses]],AN_TME_BY[[#All],[Insurance Category Code]],5,AN_TME_BY[[#All],[Advanced Network/Insurance Carrier Org ID]],B238)/D238)</f>
        <v>NA</v>
      </c>
      <c r="Q238" s="147" t="str">
        <f>IF(D238=0,"NA",SUMIFS(AN_TME_BY[[#All],[TOTAL Non-Truncated Unadjusted Expenses (A21 + A23)]],AN_TME_BY[[#All],[Insurance Category Code]],5,AN_TME_BY[[#All],[Advanced Network/Insurance Carrier Org ID]],B238)/D238)</f>
        <v>NA</v>
      </c>
      <c r="R238" s="147" t="str">
        <f>IF(D238=0,"NA",SUMIFS(AN_TME_BY[[#All],[TOTAL Truncated Unadjusted Expenses (A22 + A23)]],AN_TME_BY[[#All],[Insurance Category Code]],5,AN_TME_BY[[#All],[Advanced Network/Insurance Carrier Org ID]],B238)/D238)</f>
        <v>NA</v>
      </c>
      <c r="S238" s="448">
        <f>SUMIFS(AN_TME_PY[[#All],[Member Months]],AN_TME_PY[[#All],[Insurance Category Code]],5,AN_TME_PY[[#All],[Advanced Network/Insurance Carrier Org ID]],B238)</f>
        <v>0</v>
      </c>
      <c r="T238" s="137" t="str">
        <f>IF(S238=0,"NA",SUMIFS(AN_TME_PY[[#All],[Claims: Hospital Inpatient]],AN_TME_PY[[#All],[Insurance Category Code]],5,AN_TME_PY[[#All],[Advanced Network/Insurance Carrier Org ID]],B238)/S238)</f>
        <v>NA</v>
      </c>
      <c r="U238" s="108" t="str">
        <f>IF(S238=0,"NA",SUMIFS(AN_TME_PY[[#All],[Claims: Hospital Outpatient]],AN_TME_PY[[#All],[Insurance Category Code]],5,AN_TME_PY[[#All],[Advanced Network/Insurance Carrier Org ID]],B238)/S238)</f>
        <v>NA</v>
      </c>
      <c r="V238" s="108" t="str">
        <f>IF(S238=0,"NA",SUMIFS(AN_TME_PY[[#All],[Claims: Professional, Primary Care]],AN_TME_PY[[#All],[Insurance Category Code]],5,AN_TME_PY[[#All],[Advanced Network/Insurance Carrier Org ID]],B238)/S238)</f>
        <v>NA</v>
      </c>
      <c r="W238" s="108" t="str">
        <f>IF(S238=0,"NA",SUMIFS(AN_TME_PY[[#All],[Claims: Professional, Primary Care (for Monitoring Purposes)]],AN_TME_PY[[#All],[Insurance Category Code]],5,AN_TME_PY[[#All],[Advanced Network/Insurance Carrier Org ID]],B238)/S238)</f>
        <v>NA</v>
      </c>
      <c r="X238" s="108" t="str">
        <f>IF(S238=0,"NA",SUMIFS(AN_TME_PY[[#All],[Claims: Professional, Specialty]],AN_TME_PY[[#All],[Insurance Category Code]],5,AN_TME_PY[[#All],[Advanced Network/Insurance Carrier Org ID]],B238)/S238)</f>
        <v>NA</v>
      </c>
      <c r="Y238" s="108" t="str">
        <f>IF(S238=0,"NA",SUMIFS(AN_TME_PY[[#All],[Claims: Professional Other]],AN_TME_PY[[#All],[Insurance Category Code]],5,AN_TME_PY[[#All],[Advanced Network/Insurance Carrier Org ID]],B238)/S238)</f>
        <v>NA</v>
      </c>
      <c r="Z238" s="108" t="str">
        <f>IF(S238=0,"NA",SUMIFS(AN_TME_PY[[#All],[Claims: Pharmacy]],AN_TME_PY[[#All],[Insurance Category Code]],5,AN_TME_PY[[#All],[Advanced Network/Insurance Carrier Org ID]],B238)/S238)</f>
        <v>NA</v>
      </c>
      <c r="AA238" s="108" t="str">
        <f>IF(S238=0,"NA",SUMIFS(AN_TME_PY[[#All],[Claims: Long-Term Care]],AN_TME_PY[[#All],[Insurance Category Code]],5,AN_TME_PY[[#All],[Advanced Network/Insurance Carrier Org ID]],B238)/S238)</f>
        <v>NA</v>
      </c>
      <c r="AB238" s="108" t="str">
        <f>IF(S238=0,"NA",SUMIFS(AN_TME_PY[[#All],[Claims: Other]],AN_TME_PY[[#All],[Insurance Category Code]],5,AN_TME_PY[[#All],[Advanced Network/Insurance Carrier Org ID]],B238)/S238)</f>
        <v>NA</v>
      </c>
      <c r="AC238" s="147" t="str">
        <f>IF(S238=0,"NA",SUMIFS(AN_TME_PY[[#All],[TOTAL Non-Truncated Unadjusted Claims Expenses]],AN_TME_PY[[#All],[Insurance Category Code]],5,AN_TME_PY[[#All],[Advanced Network/Insurance Carrier Org ID]],B238)/S238)</f>
        <v>NA</v>
      </c>
      <c r="AD238" s="147" t="str">
        <f>IF(S238=0,"NA",SUMIFS(AN_TME_PY[[#All],[TOTAL Truncated Unadjusted Claims Expenses (A21 -A19)]],AN_TME_PY[[#All],[Insurance Category Code]],5,AN_TME_PY[[#All],[Advanced Network/Insurance Carrier Org ID]],B238)/S238)</f>
        <v>NA</v>
      </c>
      <c r="AE238" s="147" t="str">
        <f>IF(S238=0,"NA",SUMIFS(AN_TME_PY[[#All],[TOTAL Non-Claims Expenses]],AN_TME_PY[[#All],[Insurance Category Code]],5,AN_TME_PY[[#All],[Advanced Network/Insurance Carrier Org ID]],B238)/S238)</f>
        <v>NA</v>
      </c>
      <c r="AF238" s="147" t="str">
        <f>IF(S238=0,"NA",SUMIFS(AN_TME_PY[[#All],[TOTAL Non-Truncated Unadjusted Expenses (A21 + A23)]],AN_TME_PY[[#All],[Insurance Category Code]],5,AN_TME_PY[[#All],[Advanced Network/Insurance Carrier Org ID]],B238)/S238)</f>
        <v>NA</v>
      </c>
      <c r="AG238" s="138" t="str">
        <f>IF(S238=0,"NA",SUMIFS(AN_TME_PY[[#All],[TOTAL Truncated Unadjusted Expenses (A22 + A23)]],AN_TME_PY[[#All],[Insurance Category Code]],5,AN_TME_PY[[#All],[Advanced Network/Insurance Carrier Org ID]],B238)/S238)</f>
        <v>NA</v>
      </c>
      <c r="AH238" s="419" t="str">
        <f t="shared" si="306"/>
        <v>NA</v>
      </c>
      <c r="AI238" s="420" t="str">
        <f t="shared" si="307"/>
        <v>NA</v>
      </c>
      <c r="AJ238" s="421" t="str">
        <f t="shared" si="308"/>
        <v>NA</v>
      </c>
      <c r="AK238" s="421" t="str">
        <f t="shared" si="309"/>
        <v>NA</v>
      </c>
      <c r="AL238" s="421" t="str">
        <f t="shared" si="310"/>
        <v>NA</v>
      </c>
      <c r="AM238" s="421" t="str">
        <f t="shared" si="311"/>
        <v>NA</v>
      </c>
      <c r="AN238" s="421" t="str">
        <f t="shared" si="312"/>
        <v>NA</v>
      </c>
      <c r="AO238" s="421" t="str">
        <f t="shared" si="313"/>
        <v>NA</v>
      </c>
      <c r="AP238" s="421" t="str">
        <f t="shared" si="314"/>
        <v>NA</v>
      </c>
      <c r="AQ238" s="421" t="str">
        <f t="shared" si="315"/>
        <v>NA</v>
      </c>
      <c r="AR238" s="422" t="str">
        <f t="shared" si="316"/>
        <v>NA</v>
      </c>
      <c r="AS238" s="422" t="str">
        <f t="shared" si="317"/>
        <v>NA</v>
      </c>
      <c r="AT238" s="422" t="str">
        <f t="shared" si="318"/>
        <v>NA</v>
      </c>
      <c r="AU238" s="422" t="str">
        <f t="shared" si="319"/>
        <v>NA</v>
      </c>
      <c r="AV238" s="423" t="str">
        <f t="shared" si="320"/>
        <v>NA</v>
      </c>
    </row>
    <row r="239" spans="1:48" ht="15" customHeight="1" x14ac:dyDescent="0.25">
      <c r="A239" s="146"/>
      <c r="B239" s="148">
        <v>127</v>
      </c>
      <c r="C239" s="151" t="str">
        <f>_xlfn.XLOOKUP(B239, LgProvEntOrgIDs[Advanced Network/Insurer Carrier Org ID], LgProvEntOrgIDs[Advanced Network/Insurance Carrier Overall])</f>
        <v>UConn Medical Group</v>
      </c>
      <c r="D239" s="448">
        <f>SUMIFS(AN_TME_BY[[#All],[Member Months]],AN_TME_BY[[#All],[Insurance Category Code]],5,AN_TME_BY[[#All],[Advanced Network/Insurance Carrier Org ID]],B239)</f>
        <v>0</v>
      </c>
      <c r="E239" s="137" t="str">
        <f>IF(D239=0,"NA",SUMIFS(AN_TME_BY[[#All],[Claims: Hospital Inpatient]],AN_TME_BY[[#All],[Insurance Category Code]],5,AN_TME_BY[[#All],[Advanced Network/Insurance Carrier Org ID]],B239)/D239)</f>
        <v>NA</v>
      </c>
      <c r="F239" s="108" t="str">
        <f>IF(D239=0,"NA",SUMIFS(AN_TME_BY[[#All],[Claims: Hospital Outpatient]],AN_TME_BY[[#All],[Insurance Category Code]],5,AN_TME_BY[[#All],[Advanced Network/Insurance Carrier Org ID]],B239)/D239)</f>
        <v>NA</v>
      </c>
      <c r="G239" s="108" t="str">
        <f>IF(D239=0,"NA",SUMIFS(AN_TME_BY[[#All],[Claims: Professional, Primary Care]],AN_TME_BY[[#All],[Insurance Category Code]],5,AN_TME_BY[[#All],[Advanced Network/Insurance Carrier Org ID]],B239)/D239)</f>
        <v>NA</v>
      </c>
      <c r="H239" s="108" t="str">
        <f>IF(D239=0,"NA",SUMIFS(AN_TME_BY[[#All],[Claims: Professional, Primary Care (for Monitoring Purposes)]],AN_TME_BY[[#All],[Insurance Category Code]],5,AN_TME_BY[[#All],[Advanced Network/Insurance Carrier Org ID]],B239)/D239)</f>
        <v>NA</v>
      </c>
      <c r="I239" s="108" t="str">
        <f>IF(D239=0,"NA",SUMIFS(AN_TME_BY[[#All],[Claims: Professional, Specialty]],AN_TME_BY[[#All],[Insurance Category Code]],5,AN_TME_BY[[#All],[Advanced Network/Insurance Carrier Org ID]],B239)/D239)</f>
        <v>NA</v>
      </c>
      <c r="J239" s="108" t="str">
        <f>IF(D239=0,"NA",SUMIFS(AN_TME_BY[[#All],[Claims: Professional Other]],AN_TME_BY[[#All],[Insurance Category Code]],5,AN_TME_BY[[#All],[Advanced Network/Insurance Carrier Org ID]],B239)/D239)</f>
        <v>NA</v>
      </c>
      <c r="K239" s="108" t="str">
        <f>IF(D239=0,"NA",SUMIFS(AN_TME_BY[[#All],[Claims: Pharmacy]],AN_TME_BY[[#All],[Insurance Category Code]],5,AN_TME_BY[[#All],[Advanced Network/Insurance Carrier Org ID]],B239)/D239)</f>
        <v>NA</v>
      </c>
      <c r="L239" s="108" t="str">
        <f>IF(D239=0,"NA",SUMIFS(AN_TME_BY[[#All],[Claims: Long-Term Care]],AN_TME_BY[[#All],[Insurance Category Code]],5,AN_TME_BY[[#All],[Advanced Network/Insurance Carrier Org ID]],B239)/D239)</f>
        <v>NA</v>
      </c>
      <c r="M239" s="108" t="str">
        <f>IF(D239=0,"NA",SUMIFS(AN_TME_BY[[#All],[Claims: Other]],AN_TME_BY[[#All],[Insurance Category Code]],5,AN_TME_BY[[#All],[Advanced Network/Insurance Carrier Org ID]],B239)/D239)</f>
        <v>NA</v>
      </c>
      <c r="N239" s="147" t="str">
        <f>IF(D239=0,"NA",SUMIFS(AN_TME_BY[[#All],[TOTAL Non-Truncated Unadjusted Claims Expenses]],AN_TME_BY[[#All],[Insurance Category Code]],5,AN_TME_BY[[#All],[Advanced Network/Insurance Carrier Org ID]],B239)/D239)</f>
        <v>NA</v>
      </c>
      <c r="O239" s="147" t="str">
        <f>IF(D239=0,"NA",SUMIFS(AN_TME_BY[[#All],[TOTAL Truncated Unadjusted Claims Expenses (A21 -A19)]],AN_TME_BY[[#All],[Insurance Category Code]],5,AN_TME_BY[[#All],[Advanced Network/Insurance Carrier Org ID]],B239)/D239)</f>
        <v>NA</v>
      </c>
      <c r="P239" s="147" t="str">
        <f>IF(D239=0,"NA",SUMIFS(AN_TME_BY[[#All],[TOTAL Non-Claims Expenses]],AN_TME_BY[[#All],[Insurance Category Code]],5,AN_TME_BY[[#All],[Advanced Network/Insurance Carrier Org ID]],B239)/D239)</f>
        <v>NA</v>
      </c>
      <c r="Q239" s="147" t="str">
        <f>IF(D239=0,"NA",SUMIFS(AN_TME_BY[[#All],[TOTAL Non-Truncated Unadjusted Expenses (A21 + A23)]],AN_TME_BY[[#All],[Insurance Category Code]],5,AN_TME_BY[[#All],[Advanced Network/Insurance Carrier Org ID]],B239)/D239)</f>
        <v>NA</v>
      </c>
      <c r="R239" s="147" t="str">
        <f>IF(D239=0,"NA",SUMIFS(AN_TME_BY[[#All],[TOTAL Truncated Unadjusted Expenses (A22 + A23)]],AN_TME_BY[[#All],[Insurance Category Code]],5,AN_TME_BY[[#All],[Advanced Network/Insurance Carrier Org ID]],B239)/D239)</f>
        <v>NA</v>
      </c>
      <c r="S239" s="448">
        <f>SUMIFS(AN_TME_PY[[#All],[Member Months]],AN_TME_PY[[#All],[Insurance Category Code]],5,AN_TME_PY[[#All],[Advanced Network/Insurance Carrier Org ID]],B239)</f>
        <v>0</v>
      </c>
      <c r="T239" s="137" t="str">
        <f>IF(S239=0,"NA",SUMIFS(AN_TME_PY[[#All],[Claims: Hospital Inpatient]],AN_TME_PY[[#All],[Insurance Category Code]],5,AN_TME_PY[[#All],[Advanced Network/Insurance Carrier Org ID]],B239)/S239)</f>
        <v>NA</v>
      </c>
      <c r="U239" s="108" t="str">
        <f>IF(S239=0,"NA",SUMIFS(AN_TME_PY[[#All],[Claims: Hospital Outpatient]],AN_TME_PY[[#All],[Insurance Category Code]],5,AN_TME_PY[[#All],[Advanced Network/Insurance Carrier Org ID]],B239)/S239)</f>
        <v>NA</v>
      </c>
      <c r="V239" s="108" t="str">
        <f>IF(S239=0,"NA",SUMIFS(AN_TME_PY[[#All],[Claims: Professional, Primary Care]],AN_TME_PY[[#All],[Insurance Category Code]],5,AN_TME_PY[[#All],[Advanced Network/Insurance Carrier Org ID]],B239)/S239)</f>
        <v>NA</v>
      </c>
      <c r="W239" s="108" t="str">
        <f>IF(S239=0,"NA",SUMIFS(AN_TME_PY[[#All],[Claims: Professional, Primary Care (for Monitoring Purposes)]],AN_TME_PY[[#All],[Insurance Category Code]],5,AN_TME_PY[[#All],[Advanced Network/Insurance Carrier Org ID]],B239)/S239)</f>
        <v>NA</v>
      </c>
      <c r="X239" s="108" t="str">
        <f>IF(S239=0,"NA",SUMIFS(AN_TME_PY[[#All],[Claims: Professional, Specialty]],AN_TME_PY[[#All],[Insurance Category Code]],5,AN_TME_PY[[#All],[Advanced Network/Insurance Carrier Org ID]],B239)/S239)</f>
        <v>NA</v>
      </c>
      <c r="Y239" s="108" t="str">
        <f>IF(S239=0,"NA",SUMIFS(AN_TME_PY[[#All],[Claims: Professional Other]],AN_TME_PY[[#All],[Insurance Category Code]],5,AN_TME_PY[[#All],[Advanced Network/Insurance Carrier Org ID]],B239)/S239)</f>
        <v>NA</v>
      </c>
      <c r="Z239" s="108" t="str">
        <f>IF(S239=0,"NA",SUMIFS(AN_TME_PY[[#All],[Claims: Pharmacy]],AN_TME_PY[[#All],[Insurance Category Code]],5,AN_TME_PY[[#All],[Advanced Network/Insurance Carrier Org ID]],B239)/S239)</f>
        <v>NA</v>
      </c>
      <c r="AA239" s="108" t="str">
        <f>IF(S239=0,"NA",SUMIFS(AN_TME_PY[[#All],[Claims: Long-Term Care]],AN_TME_PY[[#All],[Insurance Category Code]],5,AN_TME_PY[[#All],[Advanced Network/Insurance Carrier Org ID]],B239)/S239)</f>
        <v>NA</v>
      </c>
      <c r="AB239" s="108" t="str">
        <f>IF(S239=0,"NA",SUMIFS(AN_TME_PY[[#All],[Claims: Other]],AN_TME_PY[[#All],[Insurance Category Code]],5,AN_TME_PY[[#All],[Advanced Network/Insurance Carrier Org ID]],B239)/S239)</f>
        <v>NA</v>
      </c>
      <c r="AC239" s="147" t="str">
        <f>IF(S239=0,"NA",SUMIFS(AN_TME_PY[[#All],[TOTAL Non-Truncated Unadjusted Claims Expenses]],AN_TME_PY[[#All],[Insurance Category Code]],5,AN_TME_PY[[#All],[Advanced Network/Insurance Carrier Org ID]],B239)/S239)</f>
        <v>NA</v>
      </c>
      <c r="AD239" s="147" t="str">
        <f>IF(S239=0,"NA",SUMIFS(AN_TME_PY[[#All],[TOTAL Truncated Unadjusted Claims Expenses (A21 -A19)]],AN_TME_PY[[#All],[Insurance Category Code]],5,AN_TME_PY[[#All],[Advanced Network/Insurance Carrier Org ID]],B239)/S239)</f>
        <v>NA</v>
      </c>
      <c r="AE239" s="147" t="str">
        <f>IF(S239=0,"NA",SUMIFS(AN_TME_PY[[#All],[TOTAL Non-Claims Expenses]],AN_TME_PY[[#All],[Insurance Category Code]],5,AN_TME_PY[[#All],[Advanced Network/Insurance Carrier Org ID]],B239)/S239)</f>
        <v>NA</v>
      </c>
      <c r="AF239" s="147" t="str">
        <f>IF(S239=0,"NA",SUMIFS(AN_TME_PY[[#All],[TOTAL Non-Truncated Unadjusted Expenses (A21 + A23)]],AN_TME_PY[[#All],[Insurance Category Code]],5,AN_TME_PY[[#All],[Advanced Network/Insurance Carrier Org ID]],B239)/S239)</f>
        <v>NA</v>
      </c>
      <c r="AG239" s="138" t="str">
        <f>IF(S239=0,"NA",SUMIFS(AN_TME_PY[[#All],[TOTAL Truncated Unadjusted Expenses (A22 + A23)]],AN_TME_PY[[#All],[Insurance Category Code]],5,AN_TME_PY[[#All],[Advanced Network/Insurance Carrier Org ID]],B239)/S239)</f>
        <v>NA</v>
      </c>
      <c r="AH239" s="419" t="str">
        <f t="shared" si="306"/>
        <v>NA</v>
      </c>
      <c r="AI239" s="420" t="str">
        <f t="shared" si="307"/>
        <v>NA</v>
      </c>
      <c r="AJ239" s="421" t="str">
        <f t="shared" si="308"/>
        <v>NA</v>
      </c>
      <c r="AK239" s="421" t="str">
        <f t="shared" si="309"/>
        <v>NA</v>
      </c>
      <c r="AL239" s="421" t="str">
        <f t="shared" si="310"/>
        <v>NA</v>
      </c>
      <c r="AM239" s="421" t="str">
        <f t="shared" si="311"/>
        <v>NA</v>
      </c>
      <c r="AN239" s="421" t="str">
        <f t="shared" si="312"/>
        <v>NA</v>
      </c>
      <c r="AO239" s="421" t="str">
        <f t="shared" si="313"/>
        <v>NA</v>
      </c>
      <c r="AP239" s="421" t="str">
        <f t="shared" si="314"/>
        <v>NA</v>
      </c>
      <c r="AQ239" s="421" t="str">
        <f t="shared" si="315"/>
        <v>NA</v>
      </c>
      <c r="AR239" s="422" t="str">
        <f t="shared" si="316"/>
        <v>NA</v>
      </c>
      <c r="AS239" s="422" t="str">
        <f t="shared" si="317"/>
        <v>NA</v>
      </c>
      <c r="AT239" s="422" t="str">
        <f t="shared" si="318"/>
        <v>NA</v>
      </c>
      <c r="AU239" s="422" t="str">
        <f t="shared" si="319"/>
        <v>NA</v>
      </c>
      <c r="AV239" s="423" t="str">
        <f t="shared" si="320"/>
        <v>NA</v>
      </c>
    </row>
    <row r="240" spans="1:48" ht="15" customHeight="1" x14ac:dyDescent="0.25">
      <c r="A240" s="146"/>
      <c r="B240" s="148">
        <v>128</v>
      </c>
      <c r="C240" s="151" t="str">
        <f>_xlfn.XLOOKUP(B240, LgProvEntOrgIDs[Advanced Network/Insurer Carrier Org ID], LgProvEntOrgIDs[Advanced Network/Insurance Carrier Overall])</f>
        <v>United Community and Family Services</v>
      </c>
      <c r="D240" s="448">
        <f>SUMIFS(AN_TME_BY[[#All],[Member Months]],AN_TME_BY[[#All],[Insurance Category Code]],5,AN_TME_BY[[#All],[Advanced Network/Insurance Carrier Org ID]],B240)</f>
        <v>0</v>
      </c>
      <c r="E240" s="137" t="str">
        <f>IF(D240=0,"NA",SUMIFS(AN_TME_BY[[#All],[Claims: Hospital Inpatient]],AN_TME_BY[[#All],[Insurance Category Code]],5,AN_TME_BY[[#All],[Advanced Network/Insurance Carrier Org ID]],B240)/D240)</f>
        <v>NA</v>
      </c>
      <c r="F240" s="108" t="str">
        <f>IF(D240=0,"NA",SUMIFS(AN_TME_BY[[#All],[Claims: Hospital Outpatient]],AN_TME_BY[[#All],[Insurance Category Code]],5,AN_TME_BY[[#All],[Advanced Network/Insurance Carrier Org ID]],B240)/D240)</f>
        <v>NA</v>
      </c>
      <c r="G240" s="108" t="str">
        <f>IF(D240=0,"NA",SUMIFS(AN_TME_BY[[#All],[Claims: Professional, Primary Care]],AN_TME_BY[[#All],[Insurance Category Code]],5,AN_TME_BY[[#All],[Advanced Network/Insurance Carrier Org ID]],B240)/D240)</f>
        <v>NA</v>
      </c>
      <c r="H240" s="108" t="str">
        <f>IF(D240=0,"NA",SUMIFS(AN_TME_BY[[#All],[Claims: Professional, Primary Care (for Monitoring Purposes)]],AN_TME_BY[[#All],[Insurance Category Code]],5,AN_TME_BY[[#All],[Advanced Network/Insurance Carrier Org ID]],B240)/D240)</f>
        <v>NA</v>
      </c>
      <c r="I240" s="108" t="str">
        <f>IF(D240=0,"NA",SUMIFS(AN_TME_BY[[#All],[Claims: Professional, Specialty]],AN_TME_BY[[#All],[Insurance Category Code]],5,AN_TME_BY[[#All],[Advanced Network/Insurance Carrier Org ID]],B240)/D240)</f>
        <v>NA</v>
      </c>
      <c r="J240" s="108" t="str">
        <f>IF(D240=0,"NA",SUMIFS(AN_TME_BY[[#All],[Claims: Professional Other]],AN_TME_BY[[#All],[Insurance Category Code]],5,AN_TME_BY[[#All],[Advanced Network/Insurance Carrier Org ID]],B240)/D240)</f>
        <v>NA</v>
      </c>
      <c r="K240" s="108" t="str">
        <f>IF(D240=0,"NA",SUMIFS(AN_TME_BY[[#All],[Claims: Pharmacy]],AN_TME_BY[[#All],[Insurance Category Code]],5,AN_TME_BY[[#All],[Advanced Network/Insurance Carrier Org ID]],B240)/D240)</f>
        <v>NA</v>
      </c>
      <c r="L240" s="108" t="str">
        <f>IF(D240=0,"NA",SUMIFS(AN_TME_BY[[#All],[Claims: Long-Term Care]],AN_TME_BY[[#All],[Insurance Category Code]],5,AN_TME_BY[[#All],[Advanced Network/Insurance Carrier Org ID]],B240)/D240)</f>
        <v>NA</v>
      </c>
      <c r="M240" s="108" t="str">
        <f>IF(D240=0,"NA",SUMIFS(AN_TME_BY[[#All],[Claims: Other]],AN_TME_BY[[#All],[Insurance Category Code]],5,AN_TME_BY[[#All],[Advanced Network/Insurance Carrier Org ID]],B240)/D240)</f>
        <v>NA</v>
      </c>
      <c r="N240" s="147" t="str">
        <f>IF(D240=0,"NA",SUMIFS(AN_TME_BY[[#All],[TOTAL Non-Truncated Unadjusted Claims Expenses]],AN_TME_BY[[#All],[Insurance Category Code]],5,AN_TME_BY[[#All],[Advanced Network/Insurance Carrier Org ID]],B240)/D240)</f>
        <v>NA</v>
      </c>
      <c r="O240" s="147" t="str">
        <f>IF(D240=0,"NA",SUMIFS(AN_TME_BY[[#All],[TOTAL Truncated Unadjusted Claims Expenses (A21 -A19)]],AN_TME_BY[[#All],[Insurance Category Code]],5,AN_TME_BY[[#All],[Advanced Network/Insurance Carrier Org ID]],B240)/D240)</f>
        <v>NA</v>
      </c>
      <c r="P240" s="147" t="str">
        <f>IF(D240=0,"NA",SUMIFS(AN_TME_BY[[#All],[TOTAL Non-Claims Expenses]],AN_TME_BY[[#All],[Insurance Category Code]],5,AN_TME_BY[[#All],[Advanced Network/Insurance Carrier Org ID]],B240)/D240)</f>
        <v>NA</v>
      </c>
      <c r="Q240" s="147" t="str">
        <f>IF(D240=0,"NA",SUMIFS(AN_TME_BY[[#All],[TOTAL Non-Truncated Unadjusted Expenses (A21 + A23)]],AN_TME_BY[[#All],[Insurance Category Code]],5,AN_TME_BY[[#All],[Advanced Network/Insurance Carrier Org ID]],B240)/D240)</f>
        <v>NA</v>
      </c>
      <c r="R240" s="147" t="str">
        <f>IF(D240=0,"NA",SUMIFS(AN_TME_BY[[#All],[TOTAL Truncated Unadjusted Expenses (A22 + A23)]],AN_TME_BY[[#All],[Insurance Category Code]],5,AN_TME_BY[[#All],[Advanced Network/Insurance Carrier Org ID]],B240)/D240)</f>
        <v>NA</v>
      </c>
      <c r="S240" s="448">
        <f>SUMIFS(AN_TME_PY[[#All],[Member Months]],AN_TME_PY[[#All],[Insurance Category Code]],5,AN_TME_PY[[#All],[Advanced Network/Insurance Carrier Org ID]],B240)</f>
        <v>0</v>
      </c>
      <c r="T240" s="137" t="str">
        <f>IF(S240=0,"NA",SUMIFS(AN_TME_PY[[#All],[Claims: Hospital Inpatient]],AN_TME_PY[[#All],[Insurance Category Code]],5,AN_TME_PY[[#All],[Advanced Network/Insurance Carrier Org ID]],B240)/S240)</f>
        <v>NA</v>
      </c>
      <c r="U240" s="108" t="str">
        <f>IF(S240=0,"NA",SUMIFS(AN_TME_PY[[#All],[Claims: Hospital Outpatient]],AN_TME_PY[[#All],[Insurance Category Code]],5,AN_TME_PY[[#All],[Advanced Network/Insurance Carrier Org ID]],B240)/S240)</f>
        <v>NA</v>
      </c>
      <c r="V240" s="108" t="str">
        <f>IF(S240=0,"NA",SUMIFS(AN_TME_PY[[#All],[Claims: Professional, Primary Care]],AN_TME_PY[[#All],[Insurance Category Code]],5,AN_TME_PY[[#All],[Advanced Network/Insurance Carrier Org ID]],B240)/S240)</f>
        <v>NA</v>
      </c>
      <c r="W240" s="108" t="str">
        <f>IF(S240=0,"NA",SUMIFS(AN_TME_PY[[#All],[Claims: Professional, Primary Care (for Monitoring Purposes)]],AN_TME_PY[[#All],[Insurance Category Code]],5,AN_TME_PY[[#All],[Advanced Network/Insurance Carrier Org ID]],B240)/S240)</f>
        <v>NA</v>
      </c>
      <c r="X240" s="108" t="str">
        <f>IF(S240=0,"NA",SUMIFS(AN_TME_PY[[#All],[Claims: Professional, Specialty]],AN_TME_PY[[#All],[Insurance Category Code]],5,AN_TME_PY[[#All],[Advanced Network/Insurance Carrier Org ID]],B240)/S240)</f>
        <v>NA</v>
      </c>
      <c r="Y240" s="108" t="str">
        <f>IF(S240=0,"NA",SUMIFS(AN_TME_PY[[#All],[Claims: Professional Other]],AN_TME_PY[[#All],[Insurance Category Code]],5,AN_TME_PY[[#All],[Advanced Network/Insurance Carrier Org ID]],B240)/S240)</f>
        <v>NA</v>
      </c>
      <c r="Z240" s="108" t="str">
        <f>IF(S240=0,"NA",SUMIFS(AN_TME_PY[[#All],[Claims: Pharmacy]],AN_TME_PY[[#All],[Insurance Category Code]],5,AN_TME_PY[[#All],[Advanced Network/Insurance Carrier Org ID]],B240)/S240)</f>
        <v>NA</v>
      </c>
      <c r="AA240" s="108" t="str">
        <f>IF(S240=0,"NA",SUMIFS(AN_TME_PY[[#All],[Claims: Long-Term Care]],AN_TME_PY[[#All],[Insurance Category Code]],5,AN_TME_PY[[#All],[Advanced Network/Insurance Carrier Org ID]],B240)/S240)</f>
        <v>NA</v>
      </c>
      <c r="AB240" s="108" t="str">
        <f>IF(S240=0,"NA",SUMIFS(AN_TME_PY[[#All],[Claims: Other]],AN_TME_PY[[#All],[Insurance Category Code]],5,AN_TME_PY[[#All],[Advanced Network/Insurance Carrier Org ID]],B240)/S240)</f>
        <v>NA</v>
      </c>
      <c r="AC240" s="147" t="str">
        <f>IF(S240=0,"NA",SUMIFS(AN_TME_PY[[#All],[TOTAL Non-Truncated Unadjusted Claims Expenses]],AN_TME_PY[[#All],[Insurance Category Code]],5,AN_TME_PY[[#All],[Advanced Network/Insurance Carrier Org ID]],B240)/S240)</f>
        <v>NA</v>
      </c>
      <c r="AD240" s="147" t="str">
        <f>IF(S240=0,"NA",SUMIFS(AN_TME_PY[[#All],[TOTAL Truncated Unadjusted Claims Expenses (A21 -A19)]],AN_TME_PY[[#All],[Insurance Category Code]],5,AN_TME_PY[[#All],[Advanced Network/Insurance Carrier Org ID]],B240)/S240)</f>
        <v>NA</v>
      </c>
      <c r="AE240" s="147" t="str">
        <f>IF(S240=0,"NA",SUMIFS(AN_TME_PY[[#All],[TOTAL Non-Claims Expenses]],AN_TME_PY[[#All],[Insurance Category Code]],5,AN_TME_PY[[#All],[Advanced Network/Insurance Carrier Org ID]],B240)/S240)</f>
        <v>NA</v>
      </c>
      <c r="AF240" s="147" t="str">
        <f>IF(S240=0,"NA",SUMIFS(AN_TME_PY[[#All],[TOTAL Non-Truncated Unadjusted Expenses (A21 + A23)]],AN_TME_PY[[#All],[Insurance Category Code]],5,AN_TME_PY[[#All],[Advanced Network/Insurance Carrier Org ID]],B240)/S240)</f>
        <v>NA</v>
      </c>
      <c r="AG240" s="138" t="str">
        <f>IF(S240=0,"NA",SUMIFS(AN_TME_PY[[#All],[TOTAL Truncated Unadjusted Expenses (A22 + A23)]],AN_TME_PY[[#All],[Insurance Category Code]],5,AN_TME_PY[[#All],[Advanced Network/Insurance Carrier Org ID]],B240)/S240)</f>
        <v>NA</v>
      </c>
      <c r="AH240" s="419" t="str">
        <f t="shared" si="306"/>
        <v>NA</v>
      </c>
      <c r="AI240" s="420" t="str">
        <f t="shared" si="307"/>
        <v>NA</v>
      </c>
      <c r="AJ240" s="421" t="str">
        <f t="shared" si="308"/>
        <v>NA</v>
      </c>
      <c r="AK240" s="421" t="str">
        <f t="shared" si="309"/>
        <v>NA</v>
      </c>
      <c r="AL240" s="421" t="str">
        <f t="shared" si="310"/>
        <v>NA</v>
      </c>
      <c r="AM240" s="421" t="str">
        <f t="shared" si="311"/>
        <v>NA</v>
      </c>
      <c r="AN240" s="421" t="str">
        <f t="shared" si="312"/>
        <v>NA</v>
      </c>
      <c r="AO240" s="421" t="str">
        <f t="shared" si="313"/>
        <v>NA</v>
      </c>
      <c r="AP240" s="421" t="str">
        <f t="shared" si="314"/>
        <v>NA</v>
      </c>
      <c r="AQ240" s="421" t="str">
        <f t="shared" si="315"/>
        <v>NA</v>
      </c>
      <c r="AR240" s="422" t="str">
        <f t="shared" si="316"/>
        <v>NA</v>
      </c>
      <c r="AS240" s="422" t="str">
        <f t="shared" si="317"/>
        <v>NA</v>
      </c>
      <c r="AT240" s="422" t="str">
        <f t="shared" si="318"/>
        <v>NA</v>
      </c>
      <c r="AU240" s="422" t="str">
        <f t="shared" si="319"/>
        <v>NA</v>
      </c>
      <c r="AV240" s="423" t="str">
        <f t="shared" si="320"/>
        <v>NA</v>
      </c>
    </row>
    <row r="241" spans="1:48" ht="15" customHeight="1" x14ac:dyDescent="0.25">
      <c r="A241" s="146"/>
      <c r="B241" s="148">
        <v>129</v>
      </c>
      <c r="C241" s="151" t="str">
        <f>_xlfn.XLOOKUP(B241, LgProvEntOrgIDs[Advanced Network/Insurer Carrier Org ID], LgProvEntOrgIDs[Advanced Network/Insurance Carrier Overall])</f>
        <v>Westchester Medical Group PLLC (dba WestMed)</v>
      </c>
      <c r="D241" s="448">
        <f>SUMIFS(AN_TME_BY[[#All],[Member Months]],AN_TME_BY[[#All],[Insurance Category Code]],5,AN_TME_BY[[#All],[Advanced Network/Insurance Carrier Org ID]],B241)</f>
        <v>0</v>
      </c>
      <c r="E241" s="137" t="str">
        <f>IF(D241=0,"NA",SUMIFS(AN_TME_BY[[#All],[Claims: Hospital Inpatient]],AN_TME_BY[[#All],[Insurance Category Code]],5,AN_TME_BY[[#All],[Advanced Network/Insurance Carrier Org ID]],B241)/D241)</f>
        <v>NA</v>
      </c>
      <c r="F241" s="108" t="str">
        <f>IF(D241=0,"NA",SUMIFS(AN_TME_BY[[#All],[Claims: Hospital Outpatient]],AN_TME_BY[[#All],[Insurance Category Code]],5,AN_TME_BY[[#All],[Advanced Network/Insurance Carrier Org ID]],B241)/D241)</f>
        <v>NA</v>
      </c>
      <c r="G241" s="108" t="str">
        <f>IF(D241=0,"NA",SUMIFS(AN_TME_BY[[#All],[Claims: Professional, Primary Care]],AN_TME_BY[[#All],[Insurance Category Code]],5,AN_TME_BY[[#All],[Advanced Network/Insurance Carrier Org ID]],B241)/D241)</f>
        <v>NA</v>
      </c>
      <c r="H241" s="108" t="str">
        <f>IF(D241=0,"NA",SUMIFS(AN_TME_BY[[#All],[Claims: Professional, Primary Care (for Monitoring Purposes)]],AN_TME_BY[[#All],[Insurance Category Code]],5,AN_TME_BY[[#All],[Advanced Network/Insurance Carrier Org ID]],B241)/D241)</f>
        <v>NA</v>
      </c>
      <c r="I241" s="108" t="str">
        <f>IF(D241=0,"NA",SUMIFS(AN_TME_BY[[#All],[Claims: Professional, Specialty]],AN_TME_BY[[#All],[Insurance Category Code]],5,AN_TME_BY[[#All],[Advanced Network/Insurance Carrier Org ID]],B241)/D241)</f>
        <v>NA</v>
      </c>
      <c r="J241" s="108" t="str">
        <f>IF(D241=0,"NA",SUMIFS(AN_TME_BY[[#All],[Claims: Professional Other]],AN_TME_BY[[#All],[Insurance Category Code]],5,AN_TME_BY[[#All],[Advanced Network/Insurance Carrier Org ID]],B241)/D241)</f>
        <v>NA</v>
      </c>
      <c r="K241" s="108" t="str">
        <f>IF(D241=0,"NA",SUMIFS(AN_TME_BY[[#All],[Claims: Pharmacy]],AN_TME_BY[[#All],[Insurance Category Code]],5,AN_TME_BY[[#All],[Advanced Network/Insurance Carrier Org ID]],B241)/D241)</f>
        <v>NA</v>
      </c>
      <c r="L241" s="108" t="str">
        <f>IF(D241=0,"NA",SUMIFS(AN_TME_BY[[#All],[Claims: Long-Term Care]],AN_TME_BY[[#All],[Insurance Category Code]],5,AN_TME_BY[[#All],[Advanced Network/Insurance Carrier Org ID]],B241)/D241)</f>
        <v>NA</v>
      </c>
      <c r="M241" s="108" t="str">
        <f>IF(D241=0,"NA",SUMIFS(AN_TME_BY[[#All],[Claims: Other]],AN_TME_BY[[#All],[Insurance Category Code]],5,AN_TME_BY[[#All],[Advanced Network/Insurance Carrier Org ID]],B241)/D241)</f>
        <v>NA</v>
      </c>
      <c r="N241" s="147" t="str">
        <f>IF(D241=0,"NA",SUMIFS(AN_TME_BY[[#All],[TOTAL Non-Truncated Unadjusted Claims Expenses]],AN_TME_BY[[#All],[Insurance Category Code]],5,AN_TME_BY[[#All],[Advanced Network/Insurance Carrier Org ID]],B241)/D241)</f>
        <v>NA</v>
      </c>
      <c r="O241" s="147" t="str">
        <f>IF(D241=0,"NA",SUMIFS(AN_TME_BY[[#All],[TOTAL Truncated Unadjusted Claims Expenses (A21 -A19)]],AN_TME_BY[[#All],[Insurance Category Code]],5,AN_TME_BY[[#All],[Advanced Network/Insurance Carrier Org ID]],B241)/D241)</f>
        <v>NA</v>
      </c>
      <c r="P241" s="147" t="str">
        <f>IF(D241=0,"NA",SUMIFS(AN_TME_BY[[#All],[TOTAL Non-Claims Expenses]],AN_TME_BY[[#All],[Insurance Category Code]],5,AN_TME_BY[[#All],[Advanced Network/Insurance Carrier Org ID]],B241)/D241)</f>
        <v>NA</v>
      </c>
      <c r="Q241" s="147" t="str">
        <f>IF(D241=0,"NA",SUMIFS(AN_TME_BY[[#All],[TOTAL Non-Truncated Unadjusted Expenses (A21 + A23)]],AN_TME_BY[[#All],[Insurance Category Code]],5,AN_TME_BY[[#All],[Advanced Network/Insurance Carrier Org ID]],B241)/D241)</f>
        <v>NA</v>
      </c>
      <c r="R241" s="147" t="str">
        <f>IF(D241=0,"NA",SUMIFS(AN_TME_BY[[#All],[TOTAL Truncated Unadjusted Expenses (A22 + A23)]],AN_TME_BY[[#All],[Insurance Category Code]],5,AN_TME_BY[[#All],[Advanced Network/Insurance Carrier Org ID]],B241)/D241)</f>
        <v>NA</v>
      </c>
      <c r="S241" s="448">
        <f>SUMIFS(AN_TME_PY[[#All],[Member Months]],AN_TME_PY[[#All],[Insurance Category Code]],5,AN_TME_PY[[#All],[Advanced Network/Insurance Carrier Org ID]],B241)</f>
        <v>0</v>
      </c>
      <c r="T241" s="137" t="str">
        <f>IF(S241=0,"NA",SUMIFS(AN_TME_PY[[#All],[Claims: Hospital Inpatient]],AN_TME_PY[[#All],[Insurance Category Code]],5,AN_TME_PY[[#All],[Advanced Network/Insurance Carrier Org ID]],B241)/S241)</f>
        <v>NA</v>
      </c>
      <c r="U241" s="108" t="str">
        <f>IF(S241=0,"NA",SUMIFS(AN_TME_PY[[#All],[Claims: Hospital Outpatient]],AN_TME_PY[[#All],[Insurance Category Code]],5,AN_TME_PY[[#All],[Advanced Network/Insurance Carrier Org ID]],B241)/S241)</f>
        <v>NA</v>
      </c>
      <c r="V241" s="108" t="str">
        <f>IF(S241=0,"NA",SUMIFS(AN_TME_PY[[#All],[Claims: Professional, Primary Care]],AN_TME_PY[[#All],[Insurance Category Code]],5,AN_TME_PY[[#All],[Advanced Network/Insurance Carrier Org ID]],B241)/S241)</f>
        <v>NA</v>
      </c>
      <c r="W241" s="108" t="str">
        <f>IF(S241=0,"NA",SUMIFS(AN_TME_PY[[#All],[Claims: Professional, Primary Care (for Monitoring Purposes)]],AN_TME_PY[[#All],[Insurance Category Code]],5,AN_TME_PY[[#All],[Advanced Network/Insurance Carrier Org ID]],B241)/S241)</f>
        <v>NA</v>
      </c>
      <c r="X241" s="108" t="str">
        <f>IF(S241=0,"NA",SUMIFS(AN_TME_PY[[#All],[Claims: Professional, Specialty]],AN_TME_PY[[#All],[Insurance Category Code]],5,AN_TME_PY[[#All],[Advanced Network/Insurance Carrier Org ID]],B241)/S241)</f>
        <v>NA</v>
      </c>
      <c r="Y241" s="108" t="str">
        <f>IF(S241=0,"NA",SUMIFS(AN_TME_PY[[#All],[Claims: Professional Other]],AN_TME_PY[[#All],[Insurance Category Code]],5,AN_TME_PY[[#All],[Advanced Network/Insurance Carrier Org ID]],B241)/S241)</f>
        <v>NA</v>
      </c>
      <c r="Z241" s="108" t="str">
        <f>IF(S241=0,"NA",SUMIFS(AN_TME_PY[[#All],[Claims: Pharmacy]],AN_TME_PY[[#All],[Insurance Category Code]],5,AN_TME_PY[[#All],[Advanced Network/Insurance Carrier Org ID]],B241)/S241)</f>
        <v>NA</v>
      </c>
      <c r="AA241" s="108" t="str">
        <f>IF(S241=0,"NA",SUMIFS(AN_TME_PY[[#All],[Claims: Long-Term Care]],AN_TME_PY[[#All],[Insurance Category Code]],5,AN_TME_PY[[#All],[Advanced Network/Insurance Carrier Org ID]],B241)/S241)</f>
        <v>NA</v>
      </c>
      <c r="AB241" s="108" t="str">
        <f>IF(S241=0,"NA",SUMIFS(AN_TME_PY[[#All],[Claims: Other]],AN_TME_PY[[#All],[Insurance Category Code]],5,AN_TME_PY[[#All],[Advanced Network/Insurance Carrier Org ID]],B241)/S241)</f>
        <v>NA</v>
      </c>
      <c r="AC241" s="147" t="str">
        <f>IF(S241=0,"NA",SUMIFS(AN_TME_PY[[#All],[TOTAL Non-Truncated Unadjusted Claims Expenses]],AN_TME_PY[[#All],[Insurance Category Code]],5,AN_TME_PY[[#All],[Advanced Network/Insurance Carrier Org ID]],B241)/S241)</f>
        <v>NA</v>
      </c>
      <c r="AD241" s="147" t="str">
        <f>IF(S241=0,"NA",SUMIFS(AN_TME_PY[[#All],[TOTAL Truncated Unadjusted Claims Expenses (A21 -A19)]],AN_TME_PY[[#All],[Insurance Category Code]],5,AN_TME_PY[[#All],[Advanced Network/Insurance Carrier Org ID]],B241)/S241)</f>
        <v>NA</v>
      </c>
      <c r="AE241" s="147" t="str">
        <f>IF(S241=0,"NA",SUMIFS(AN_TME_PY[[#All],[TOTAL Non-Claims Expenses]],AN_TME_PY[[#All],[Insurance Category Code]],5,AN_TME_PY[[#All],[Advanced Network/Insurance Carrier Org ID]],B241)/S241)</f>
        <v>NA</v>
      </c>
      <c r="AF241" s="147" t="str">
        <f>IF(S241=0,"NA",SUMIFS(AN_TME_PY[[#All],[TOTAL Non-Truncated Unadjusted Expenses (A21 + A23)]],AN_TME_PY[[#All],[Insurance Category Code]],5,AN_TME_PY[[#All],[Advanced Network/Insurance Carrier Org ID]],B241)/S241)</f>
        <v>NA</v>
      </c>
      <c r="AG241" s="138" t="str">
        <f>IF(S241=0,"NA",SUMIFS(AN_TME_PY[[#All],[TOTAL Truncated Unadjusted Expenses (A22 + A23)]],AN_TME_PY[[#All],[Insurance Category Code]],5,AN_TME_PY[[#All],[Advanced Network/Insurance Carrier Org ID]],B241)/S241)</f>
        <v>NA</v>
      </c>
      <c r="AH241" s="419" t="str">
        <f t="shared" si="306"/>
        <v>NA</v>
      </c>
      <c r="AI241" s="420" t="str">
        <f t="shared" si="307"/>
        <v>NA</v>
      </c>
      <c r="AJ241" s="421" t="str">
        <f t="shared" si="308"/>
        <v>NA</v>
      </c>
      <c r="AK241" s="421" t="str">
        <f t="shared" si="309"/>
        <v>NA</v>
      </c>
      <c r="AL241" s="421" t="str">
        <f t="shared" si="310"/>
        <v>NA</v>
      </c>
      <c r="AM241" s="421" t="str">
        <f t="shared" si="311"/>
        <v>NA</v>
      </c>
      <c r="AN241" s="421" t="str">
        <f t="shared" si="312"/>
        <v>NA</v>
      </c>
      <c r="AO241" s="421" t="str">
        <f t="shared" si="313"/>
        <v>NA</v>
      </c>
      <c r="AP241" s="421" t="str">
        <f t="shared" si="314"/>
        <v>NA</v>
      </c>
      <c r="AQ241" s="421" t="str">
        <f t="shared" si="315"/>
        <v>NA</v>
      </c>
      <c r="AR241" s="422" t="str">
        <f t="shared" si="316"/>
        <v>NA</v>
      </c>
      <c r="AS241" s="422" t="str">
        <f t="shared" si="317"/>
        <v>NA</v>
      </c>
      <c r="AT241" s="422" t="str">
        <f t="shared" si="318"/>
        <v>NA</v>
      </c>
      <c r="AU241" s="422" t="str">
        <f t="shared" si="319"/>
        <v>NA</v>
      </c>
      <c r="AV241" s="423" t="str">
        <f t="shared" si="320"/>
        <v>NA</v>
      </c>
    </row>
    <row r="242" spans="1:48" ht="15" customHeight="1" x14ac:dyDescent="0.25">
      <c r="A242" s="146"/>
      <c r="B242" s="148">
        <v>130</v>
      </c>
      <c r="C242" s="151" t="str">
        <f>_xlfn.XLOOKUP(B242, LgProvEntOrgIDs[Advanced Network/Insurer Carrier Org ID], LgProvEntOrgIDs[Advanced Network/Insurance Carrier Overall])</f>
        <v>Wheeler Clinic</v>
      </c>
      <c r="D242" s="448">
        <f>SUMIFS(AN_TME_BY[[#All],[Member Months]],AN_TME_BY[[#All],[Insurance Category Code]],5,AN_TME_BY[[#All],[Advanced Network/Insurance Carrier Org ID]],B242)</f>
        <v>0</v>
      </c>
      <c r="E242" s="137" t="str">
        <f>IF(D242=0,"NA",SUMIFS(AN_TME_BY[[#All],[Claims: Hospital Inpatient]],AN_TME_BY[[#All],[Insurance Category Code]],5,AN_TME_BY[[#All],[Advanced Network/Insurance Carrier Org ID]],B242)/D242)</f>
        <v>NA</v>
      </c>
      <c r="F242" s="108" t="str">
        <f>IF(D242=0,"NA",SUMIFS(AN_TME_BY[[#All],[Claims: Hospital Outpatient]],AN_TME_BY[[#All],[Insurance Category Code]],5,AN_TME_BY[[#All],[Advanced Network/Insurance Carrier Org ID]],B242)/D242)</f>
        <v>NA</v>
      </c>
      <c r="G242" s="108" t="str">
        <f>IF(D242=0,"NA",SUMIFS(AN_TME_BY[[#All],[Claims: Professional, Primary Care]],AN_TME_BY[[#All],[Insurance Category Code]],5,AN_TME_BY[[#All],[Advanced Network/Insurance Carrier Org ID]],B242)/D242)</f>
        <v>NA</v>
      </c>
      <c r="H242" s="108" t="str">
        <f>IF(D242=0,"NA",SUMIFS(AN_TME_BY[[#All],[Claims: Professional, Primary Care (for Monitoring Purposes)]],AN_TME_BY[[#All],[Insurance Category Code]],5,AN_TME_BY[[#All],[Advanced Network/Insurance Carrier Org ID]],B242)/D242)</f>
        <v>NA</v>
      </c>
      <c r="I242" s="108" t="str">
        <f>IF(D242=0,"NA",SUMIFS(AN_TME_BY[[#All],[Claims: Professional, Specialty]],AN_TME_BY[[#All],[Insurance Category Code]],5,AN_TME_BY[[#All],[Advanced Network/Insurance Carrier Org ID]],B242)/D242)</f>
        <v>NA</v>
      </c>
      <c r="J242" s="108" t="str">
        <f>IF(D242=0,"NA",SUMIFS(AN_TME_BY[[#All],[Claims: Professional Other]],AN_TME_BY[[#All],[Insurance Category Code]],5,AN_TME_BY[[#All],[Advanced Network/Insurance Carrier Org ID]],B242)/D242)</f>
        <v>NA</v>
      </c>
      <c r="K242" s="108" t="str">
        <f>IF(D242=0,"NA",SUMIFS(AN_TME_BY[[#All],[Claims: Pharmacy]],AN_TME_BY[[#All],[Insurance Category Code]],5,AN_TME_BY[[#All],[Advanced Network/Insurance Carrier Org ID]],B242)/D242)</f>
        <v>NA</v>
      </c>
      <c r="L242" s="108" t="str">
        <f>IF(D242=0,"NA",SUMIFS(AN_TME_BY[[#All],[Claims: Long-Term Care]],AN_TME_BY[[#All],[Insurance Category Code]],5,AN_TME_BY[[#All],[Advanced Network/Insurance Carrier Org ID]],B242)/D242)</f>
        <v>NA</v>
      </c>
      <c r="M242" s="108" t="str">
        <f>IF(D242=0,"NA",SUMIFS(AN_TME_BY[[#All],[Claims: Other]],AN_TME_BY[[#All],[Insurance Category Code]],5,AN_TME_BY[[#All],[Advanced Network/Insurance Carrier Org ID]],B242)/D242)</f>
        <v>NA</v>
      </c>
      <c r="N242" s="147" t="str">
        <f>IF(D242=0,"NA",SUMIFS(AN_TME_BY[[#All],[TOTAL Non-Truncated Unadjusted Claims Expenses]],AN_TME_BY[[#All],[Insurance Category Code]],5,AN_TME_BY[[#All],[Advanced Network/Insurance Carrier Org ID]],B242)/D242)</f>
        <v>NA</v>
      </c>
      <c r="O242" s="147" t="str">
        <f>IF(D242=0,"NA",SUMIFS(AN_TME_BY[[#All],[TOTAL Truncated Unadjusted Claims Expenses (A21 -A19)]],AN_TME_BY[[#All],[Insurance Category Code]],5,AN_TME_BY[[#All],[Advanced Network/Insurance Carrier Org ID]],B242)/D242)</f>
        <v>NA</v>
      </c>
      <c r="P242" s="147" t="str">
        <f>IF(D242=0,"NA",SUMIFS(AN_TME_BY[[#All],[TOTAL Non-Claims Expenses]],AN_TME_BY[[#All],[Insurance Category Code]],5,AN_TME_BY[[#All],[Advanced Network/Insurance Carrier Org ID]],B242)/D242)</f>
        <v>NA</v>
      </c>
      <c r="Q242" s="147" t="str">
        <f>IF(D242=0,"NA",SUMIFS(AN_TME_BY[[#All],[TOTAL Non-Truncated Unadjusted Expenses (A21 + A23)]],AN_TME_BY[[#All],[Insurance Category Code]],5,AN_TME_BY[[#All],[Advanced Network/Insurance Carrier Org ID]],B242)/D242)</f>
        <v>NA</v>
      </c>
      <c r="R242" s="147" t="str">
        <f>IF(D242=0,"NA",SUMIFS(AN_TME_BY[[#All],[TOTAL Truncated Unadjusted Expenses (A22 + A23)]],AN_TME_BY[[#All],[Insurance Category Code]],5,AN_TME_BY[[#All],[Advanced Network/Insurance Carrier Org ID]],B242)/D242)</f>
        <v>NA</v>
      </c>
      <c r="S242" s="448">
        <f>SUMIFS(AN_TME_PY[[#All],[Member Months]],AN_TME_PY[[#All],[Insurance Category Code]],5,AN_TME_PY[[#All],[Advanced Network/Insurance Carrier Org ID]],B242)</f>
        <v>0</v>
      </c>
      <c r="T242" s="137" t="str">
        <f>IF(S242=0,"NA",SUMIFS(AN_TME_PY[[#All],[Claims: Hospital Inpatient]],AN_TME_PY[[#All],[Insurance Category Code]],5,AN_TME_PY[[#All],[Advanced Network/Insurance Carrier Org ID]],B242)/S242)</f>
        <v>NA</v>
      </c>
      <c r="U242" s="108" t="str">
        <f>IF(S242=0,"NA",SUMIFS(AN_TME_PY[[#All],[Claims: Hospital Outpatient]],AN_TME_PY[[#All],[Insurance Category Code]],5,AN_TME_PY[[#All],[Advanced Network/Insurance Carrier Org ID]],B242)/S242)</f>
        <v>NA</v>
      </c>
      <c r="V242" s="108" t="str">
        <f>IF(S242=0,"NA",SUMIFS(AN_TME_PY[[#All],[Claims: Professional, Primary Care]],AN_TME_PY[[#All],[Insurance Category Code]],5,AN_TME_PY[[#All],[Advanced Network/Insurance Carrier Org ID]],B242)/S242)</f>
        <v>NA</v>
      </c>
      <c r="W242" s="108" t="str">
        <f>IF(S242=0,"NA",SUMIFS(AN_TME_PY[[#All],[Claims: Professional, Primary Care (for Monitoring Purposes)]],AN_TME_PY[[#All],[Insurance Category Code]],5,AN_TME_PY[[#All],[Advanced Network/Insurance Carrier Org ID]],B242)/S242)</f>
        <v>NA</v>
      </c>
      <c r="X242" s="108" t="str">
        <f>IF(S242=0,"NA",SUMIFS(AN_TME_PY[[#All],[Claims: Professional, Specialty]],AN_TME_PY[[#All],[Insurance Category Code]],5,AN_TME_PY[[#All],[Advanced Network/Insurance Carrier Org ID]],B242)/S242)</f>
        <v>NA</v>
      </c>
      <c r="Y242" s="108" t="str">
        <f>IF(S242=0,"NA",SUMIFS(AN_TME_PY[[#All],[Claims: Professional Other]],AN_TME_PY[[#All],[Insurance Category Code]],5,AN_TME_PY[[#All],[Advanced Network/Insurance Carrier Org ID]],B242)/S242)</f>
        <v>NA</v>
      </c>
      <c r="Z242" s="108" t="str">
        <f>IF(S242=0,"NA",SUMIFS(AN_TME_PY[[#All],[Claims: Pharmacy]],AN_TME_PY[[#All],[Insurance Category Code]],5,AN_TME_PY[[#All],[Advanced Network/Insurance Carrier Org ID]],B242)/S242)</f>
        <v>NA</v>
      </c>
      <c r="AA242" s="108" t="str">
        <f>IF(S242=0,"NA",SUMIFS(AN_TME_PY[[#All],[Claims: Long-Term Care]],AN_TME_PY[[#All],[Insurance Category Code]],5,AN_TME_PY[[#All],[Advanced Network/Insurance Carrier Org ID]],B242)/S242)</f>
        <v>NA</v>
      </c>
      <c r="AB242" s="108" t="str">
        <f>IF(S242=0,"NA",SUMIFS(AN_TME_PY[[#All],[Claims: Other]],AN_TME_PY[[#All],[Insurance Category Code]],5,AN_TME_PY[[#All],[Advanced Network/Insurance Carrier Org ID]],B242)/S242)</f>
        <v>NA</v>
      </c>
      <c r="AC242" s="147" t="str">
        <f>IF(S242=0,"NA",SUMIFS(AN_TME_PY[[#All],[TOTAL Non-Truncated Unadjusted Claims Expenses]],AN_TME_PY[[#All],[Insurance Category Code]],5,AN_TME_PY[[#All],[Advanced Network/Insurance Carrier Org ID]],B242)/S242)</f>
        <v>NA</v>
      </c>
      <c r="AD242" s="147" t="str">
        <f>IF(S242=0,"NA",SUMIFS(AN_TME_PY[[#All],[TOTAL Truncated Unadjusted Claims Expenses (A21 -A19)]],AN_TME_PY[[#All],[Insurance Category Code]],5,AN_TME_PY[[#All],[Advanced Network/Insurance Carrier Org ID]],B242)/S242)</f>
        <v>NA</v>
      </c>
      <c r="AE242" s="147" t="str">
        <f>IF(S242=0,"NA",SUMIFS(AN_TME_PY[[#All],[TOTAL Non-Claims Expenses]],AN_TME_PY[[#All],[Insurance Category Code]],5,AN_TME_PY[[#All],[Advanced Network/Insurance Carrier Org ID]],B242)/S242)</f>
        <v>NA</v>
      </c>
      <c r="AF242" s="147" t="str">
        <f>IF(S242=0,"NA",SUMIFS(AN_TME_PY[[#All],[TOTAL Non-Truncated Unadjusted Expenses (A21 + A23)]],AN_TME_PY[[#All],[Insurance Category Code]],5,AN_TME_PY[[#All],[Advanced Network/Insurance Carrier Org ID]],B242)/S242)</f>
        <v>NA</v>
      </c>
      <c r="AG242" s="138" t="str">
        <f>IF(S242=0,"NA",SUMIFS(AN_TME_PY[[#All],[TOTAL Truncated Unadjusted Expenses (A22 + A23)]],AN_TME_PY[[#All],[Insurance Category Code]],5,AN_TME_PY[[#All],[Advanced Network/Insurance Carrier Org ID]],B242)/S242)</f>
        <v>NA</v>
      </c>
      <c r="AH242" s="419" t="str">
        <f t="shared" si="306"/>
        <v>NA</v>
      </c>
      <c r="AI242" s="420" t="str">
        <f t="shared" si="307"/>
        <v>NA</v>
      </c>
      <c r="AJ242" s="421" t="str">
        <f t="shared" si="308"/>
        <v>NA</v>
      </c>
      <c r="AK242" s="421" t="str">
        <f t="shared" si="309"/>
        <v>NA</v>
      </c>
      <c r="AL242" s="421" t="str">
        <f t="shared" si="310"/>
        <v>NA</v>
      </c>
      <c r="AM242" s="421" t="str">
        <f t="shared" si="311"/>
        <v>NA</v>
      </c>
      <c r="AN242" s="421" t="str">
        <f t="shared" si="312"/>
        <v>NA</v>
      </c>
      <c r="AO242" s="421" t="str">
        <f t="shared" si="313"/>
        <v>NA</v>
      </c>
      <c r="AP242" s="421" t="str">
        <f t="shared" si="314"/>
        <v>NA</v>
      </c>
      <c r="AQ242" s="421" t="str">
        <f t="shared" si="315"/>
        <v>NA</v>
      </c>
      <c r="AR242" s="422" t="str">
        <f t="shared" si="316"/>
        <v>NA</v>
      </c>
      <c r="AS242" s="422" t="str">
        <f t="shared" si="317"/>
        <v>NA</v>
      </c>
      <c r="AT242" s="422" t="str">
        <f t="shared" si="318"/>
        <v>NA</v>
      </c>
      <c r="AU242" s="422" t="str">
        <f t="shared" si="319"/>
        <v>NA</v>
      </c>
      <c r="AV242" s="423" t="str">
        <f t="shared" si="320"/>
        <v>NA</v>
      </c>
    </row>
    <row r="243" spans="1:48" ht="15" customHeight="1" x14ac:dyDescent="0.25">
      <c r="A243" s="146"/>
      <c r="B243" s="148">
        <v>131</v>
      </c>
      <c r="C243" s="151" t="str">
        <f>_xlfn.XLOOKUP(B243, LgProvEntOrgIDs[Advanced Network/Insurer Carrier Org ID], LgProvEntOrgIDs[Advanced Network/Insurance Carrier Overall])</f>
        <v>Yale Medicine</v>
      </c>
      <c r="D243" s="448">
        <f>SUMIFS(AN_TME_BY[[#All],[Member Months]],AN_TME_BY[[#All],[Insurance Category Code]],5,AN_TME_BY[[#All],[Advanced Network/Insurance Carrier Org ID]],B243)</f>
        <v>0</v>
      </c>
      <c r="E243" s="137" t="str">
        <f>IF(D243=0,"NA",SUMIFS(AN_TME_BY[[#All],[Claims: Hospital Inpatient]],AN_TME_BY[[#All],[Insurance Category Code]],5,AN_TME_BY[[#All],[Advanced Network/Insurance Carrier Org ID]],B243)/D243)</f>
        <v>NA</v>
      </c>
      <c r="F243" s="108" t="str">
        <f>IF(D243=0,"NA",SUMIFS(AN_TME_BY[[#All],[Claims: Hospital Outpatient]],AN_TME_BY[[#All],[Insurance Category Code]],5,AN_TME_BY[[#All],[Advanced Network/Insurance Carrier Org ID]],B243)/D243)</f>
        <v>NA</v>
      </c>
      <c r="G243" s="108" t="str">
        <f>IF(D243=0,"NA",SUMIFS(AN_TME_BY[[#All],[Claims: Professional, Primary Care]],AN_TME_BY[[#All],[Insurance Category Code]],5,AN_TME_BY[[#All],[Advanced Network/Insurance Carrier Org ID]],B243)/D243)</f>
        <v>NA</v>
      </c>
      <c r="H243" s="108" t="str">
        <f>IF(D243=0,"NA",SUMIFS(AN_TME_BY[[#All],[Claims: Professional, Primary Care (for Monitoring Purposes)]],AN_TME_BY[[#All],[Insurance Category Code]],5,AN_TME_BY[[#All],[Advanced Network/Insurance Carrier Org ID]],B243)/D243)</f>
        <v>NA</v>
      </c>
      <c r="I243" s="108" t="str">
        <f>IF(D243=0,"NA",SUMIFS(AN_TME_BY[[#All],[Claims: Professional, Specialty]],AN_TME_BY[[#All],[Insurance Category Code]],5,AN_TME_BY[[#All],[Advanced Network/Insurance Carrier Org ID]],B243)/D243)</f>
        <v>NA</v>
      </c>
      <c r="J243" s="108" t="str">
        <f>IF(D243=0,"NA",SUMIFS(AN_TME_BY[[#All],[Claims: Professional Other]],AN_TME_BY[[#All],[Insurance Category Code]],5,AN_TME_BY[[#All],[Advanced Network/Insurance Carrier Org ID]],B243)/D243)</f>
        <v>NA</v>
      </c>
      <c r="K243" s="108" t="str">
        <f>IF(D243=0,"NA",SUMIFS(AN_TME_BY[[#All],[Claims: Pharmacy]],AN_TME_BY[[#All],[Insurance Category Code]],5,AN_TME_BY[[#All],[Advanced Network/Insurance Carrier Org ID]],B243)/D243)</f>
        <v>NA</v>
      </c>
      <c r="L243" s="108" t="str">
        <f>IF(D243=0,"NA",SUMIFS(AN_TME_BY[[#All],[Claims: Long-Term Care]],AN_TME_BY[[#All],[Insurance Category Code]],5,AN_TME_BY[[#All],[Advanced Network/Insurance Carrier Org ID]],B243)/D243)</f>
        <v>NA</v>
      </c>
      <c r="M243" s="108" t="str">
        <f>IF(D243=0,"NA",SUMIFS(AN_TME_BY[[#All],[Claims: Other]],AN_TME_BY[[#All],[Insurance Category Code]],5,AN_TME_BY[[#All],[Advanced Network/Insurance Carrier Org ID]],B243)/D243)</f>
        <v>NA</v>
      </c>
      <c r="N243" s="147" t="str">
        <f>IF(D243=0,"NA",SUMIFS(AN_TME_BY[[#All],[TOTAL Non-Truncated Unadjusted Claims Expenses]],AN_TME_BY[[#All],[Insurance Category Code]],5,AN_TME_BY[[#All],[Advanced Network/Insurance Carrier Org ID]],B243)/D243)</f>
        <v>NA</v>
      </c>
      <c r="O243" s="147" t="str">
        <f>IF(D243=0,"NA",SUMIFS(AN_TME_BY[[#All],[TOTAL Truncated Unadjusted Claims Expenses (A21 -A19)]],AN_TME_BY[[#All],[Insurance Category Code]],5,AN_TME_BY[[#All],[Advanced Network/Insurance Carrier Org ID]],B243)/D243)</f>
        <v>NA</v>
      </c>
      <c r="P243" s="147" t="str">
        <f>IF(D243=0,"NA",SUMIFS(AN_TME_BY[[#All],[TOTAL Non-Claims Expenses]],AN_TME_BY[[#All],[Insurance Category Code]],5,AN_TME_BY[[#All],[Advanced Network/Insurance Carrier Org ID]],B243)/D243)</f>
        <v>NA</v>
      </c>
      <c r="Q243" s="147" t="str">
        <f>IF(D243=0,"NA",SUMIFS(AN_TME_BY[[#All],[TOTAL Non-Truncated Unadjusted Expenses (A21 + A23)]],AN_TME_BY[[#All],[Insurance Category Code]],5,AN_TME_BY[[#All],[Advanced Network/Insurance Carrier Org ID]],B243)/D243)</f>
        <v>NA</v>
      </c>
      <c r="R243" s="147" t="str">
        <f>IF(D243=0,"NA",SUMIFS(AN_TME_BY[[#All],[TOTAL Truncated Unadjusted Expenses (A22 + A23)]],AN_TME_BY[[#All],[Insurance Category Code]],5,AN_TME_BY[[#All],[Advanced Network/Insurance Carrier Org ID]],B243)/D243)</f>
        <v>NA</v>
      </c>
      <c r="S243" s="448">
        <f>SUMIFS(AN_TME_PY[[#All],[Member Months]],AN_TME_PY[[#All],[Insurance Category Code]],5,AN_TME_PY[[#All],[Advanced Network/Insurance Carrier Org ID]],B243)</f>
        <v>0</v>
      </c>
      <c r="T243" s="137" t="str">
        <f>IF(S243=0,"NA",SUMIFS(AN_TME_PY[[#All],[Claims: Hospital Inpatient]],AN_TME_PY[[#All],[Insurance Category Code]],5,AN_TME_PY[[#All],[Advanced Network/Insurance Carrier Org ID]],B243)/S243)</f>
        <v>NA</v>
      </c>
      <c r="U243" s="108" t="str">
        <f>IF(S243=0,"NA",SUMIFS(AN_TME_PY[[#All],[Claims: Hospital Outpatient]],AN_TME_PY[[#All],[Insurance Category Code]],5,AN_TME_PY[[#All],[Advanced Network/Insurance Carrier Org ID]],B243)/S243)</f>
        <v>NA</v>
      </c>
      <c r="V243" s="108" t="str">
        <f>IF(S243=0,"NA",SUMIFS(AN_TME_PY[[#All],[Claims: Professional, Primary Care]],AN_TME_PY[[#All],[Insurance Category Code]],5,AN_TME_PY[[#All],[Advanced Network/Insurance Carrier Org ID]],B243)/S243)</f>
        <v>NA</v>
      </c>
      <c r="W243" s="108" t="str">
        <f>IF(S243=0,"NA",SUMIFS(AN_TME_PY[[#All],[Claims: Professional, Primary Care (for Monitoring Purposes)]],AN_TME_PY[[#All],[Insurance Category Code]],5,AN_TME_PY[[#All],[Advanced Network/Insurance Carrier Org ID]],B243)/S243)</f>
        <v>NA</v>
      </c>
      <c r="X243" s="108" t="str">
        <f>IF(S243=0,"NA",SUMIFS(AN_TME_PY[[#All],[Claims: Professional, Specialty]],AN_TME_PY[[#All],[Insurance Category Code]],5,AN_TME_PY[[#All],[Advanced Network/Insurance Carrier Org ID]],B243)/S243)</f>
        <v>NA</v>
      </c>
      <c r="Y243" s="108" t="str">
        <f>IF(S243=0,"NA",SUMIFS(AN_TME_PY[[#All],[Claims: Professional Other]],AN_TME_PY[[#All],[Insurance Category Code]],5,AN_TME_PY[[#All],[Advanced Network/Insurance Carrier Org ID]],B243)/S243)</f>
        <v>NA</v>
      </c>
      <c r="Z243" s="108" t="str">
        <f>IF(S243=0,"NA",SUMIFS(AN_TME_PY[[#All],[Claims: Pharmacy]],AN_TME_PY[[#All],[Insurance Category Code]],5,AN_TME_PY[[#All],[Advanced Network/Insurance Carrier Org ID]],B243)/S243)</f>
        <v>NA</v>
      </c>
      <c r="AA243" s="108" t="str">
        <f>IF(S243=0,"NA",SUMIFS(AN_TME_PY[[#All],[Claims: Long-Term Care]],AN_TME_PY[[#All],[Insurance Category Code]],5,AN_TME_PY[[#All],[Advanced Network/Insurance Carrier Org ID]],B243)/S243)</f>
        <v>NA</v>
      </c>
      <c r="AB243" s="108" t="str">
        <f>IF(S243=0,"NA",SUMIFS(AN_TME_PY[[#All],[Claims: Other]],AN_TME_PY[[#All],[Insurance Category Code]],5,AN_TME_PY[[#All],[Advanced Network/Insurance Carrier Org ID]],B243)/S243)</f>
        <v>NA</v>
      </c>
      <c r="AC243" s="147" t="str">
        <f>IF(S243=0,"NA",SUMIFS(AN_TME_PY[[#All],[TOTAL Non-Truncated Unadjusted Claims Expenses]],AN_TME_PY[[#All],[Insurance Category Code]],5,AN_TME_PY[[#All],[Advanced Network/Insurance Carrier Org ID]],B243)/S243)</f>
        <v>NA</v>
      </c>
      <c r="AD243" s="147" t="str">
        <f>IF(S243=0,"NA",SUMIFS(AN_TME_PY[[#All],[TOTAL Truncated Unadjusted Claims Expenses (A21 -A19)]],AN_TME_PY[[#All],[Insurance Category Code]],5,AN_TME_PY[[#All],[Advanced Network/Insurance Carrier Org ID]],B243)/S243)</f>
        <v>NA</v>
      </c>
      <c r="AE243" s="147" t="str">
        <f>IF(S243=0,"NA",SUMIFS(AN_TME_PY[[#All],[TOTAL Non-Claims Expenses]],AN_TME_PY[[#All],[Insurance Category Code]],5,AN_TME_PY[[#All],[Advanced Network/Insurance Carrier Org ID]],B243)/S243)</f>
        <v>NA</v>
      </c>
      <c r="AF243" s="147" t="str">
        <f>IF(S243=0,"NA",SUMIFS(AN_TME_PY[[#All],[TOTAL Non-Truncated Unadjusted Expenses (A21 + A23)]],AN_TME_PY[[#All],[Insurance Category Code]],5,AN_TME_PY[[#All],[Advanced Network/Insurance Carrier Org ID]],B243)/S243)</f>
        <v>NA</v>
      </c>
      <c r="AG243" s="138" t="str">
        <f>IF(S243=0,"NA",SUMIFS(AN_TME_PY[[#All],[TOTAL Truncated Unadjusted Expenses (A22 + A23)]],AN_TME_PY[[#All],[Insurance Category Code]],5,AN_TME_PY[[#All],[Advanced Network/Insurance Carrier Org ID]],B243)/S243)</f>
        <v>NA</v>
      </c>
      <c r="AH243" s="419" t="str">
        <f t="shared" si="306"/>
        <v>NA</v>
      </c>
      <c r="AI243" s="420" t="str">
        <f t="shared" si="307"/>
        <v>NA</v>
      </c>
      <c r="AJ243" s="421" t="str">
        <f t="shared" si="308"/>
        <v>NA</v>
      </c>
      <c r="AK243" s="421" t="str">
        <f t="shared" si="309"/>
        <v>NA</v>
      </c>
      <c r="AL243" s="421" t="str">
        <f t="shared" si="310"/>
        <v>NA</v>
      </c>
      <c r="AM243" s="421" t="str">
        <f t="shared" si="311"/>
        <v>NA</v>
      </c>
      <c r="AN243" s="421" t="str">
        <f t="shared" si="312"/>
        <v>NA</v>
      </c>
      <c r="AO243" s="421" t="str">
        <f t="shared" si="313"/>
        <v>NA</v>
      </c>
      <c r="AP243" s="421" t="str">
        <f t="shared" si="314"/>
        <v>NA</v>
      </c>
      <c r="AQ243" s="421" t="str">
        <f t="shared" si="315"/>
        <v>NA</v>
      </c>
      <c r="AR243" s="422" t="str">
        <f t="shared" si="316"/>
        <v>NA</v>
      </c>
      <c r="AS243" s="422" t="str">
        <f t="shared" si="317"/>
        <v>NA</v>
      </c>
      <c r="AT243" s="422" t="str">
        <f t="shared" si="318"/>
        <v>NA</v>
      </c>
      <c r="AU243" s="422" t="str">
        <f t="shared" si="319"/>
        <v>NA</v>
      </c>
      <c r="AV243" s="423" t="str">
        <f t="shared" si="320"/>
        <v>NA</v>
      </c>
    </row>
    <row r="244" spans="1:48" ht="15" customHeight="1" x14ac:dyDescent="0.25">
      <c r="A244" s="146"/>
      <c r="B244" s="148">
        <v>132</v>
      </c>
      <c r="C244" s="151" t="str">
        <f>_xlfn.XLOOKUP(B244, LgProvEntOrgIDs[Advanced Network/Insurer Carrier Org ID], LgProvEntOrgIDs[Advanced Network/Insurance Carrier Overall])</f>
        <v>InterCommunity Health Care</v>
      </c>
      <c r="D244" s="448">
        <f>SUMIFS(AN_TME_BY[[#All],[Member Months]],AN_TME_BY[[#All],[Insurance Category Code]],5,AN_TME_BY[[#All],[Advanced Network/Insurance Carrier Org ID]],B244)</f>
        <v>0</v>
      </c>
      <c r="E244" s="137" t="str">
        <f>IF(D244=0,"NA",SUMIFS(AN_TME_BY[[#All],[Claims: Hospital Inpatient]],AN_TME_BY[[#All],[Insurance Category Code]],5,AN_TME_BY[[#All],[Advanced Network/Insurance Carrier Org ID]],B244)/D244)</f>
        <v>NA</v>
      </c>
      <c r="F244" s="108" t="str">
        <f>IF(D244=0,"NA",SUMIFS(AN_TME_BY[[#All],[Claims: Hospital Outpatient]],AN_TME_BY[[#All],[Insurance Category Code]],5,AN_TME_BY[[#All],[Advanced Network/Insurance Carrier Org ID]],B244)/D244)</f>
        <v>NA</v>
      </c>
      <c r="G244" s="108" t="str">
        <f>IF(D244=0,"NA",SUMIFS(AN_TME_BY[[#All],[Claims: Professional, Primary Care]],AN_TME_BY[[#All],[Insurance Category Code]],5,AN_TME_BY[[#All],[Advanced Network/Insurance Carrier Org ID]],B244)/D244)</f>
        <v>NA</v>
      </c>
      <c r="H244" s="108" t="str">
        <f>IF(D244=0,"NA",SUMIFS(AN_TME_BY[[#All],[Claims: Professional, Primary Care (for Monitoring Purposes)]],AN_TME_BY[[#All],[Insurance Category Code]],5,AN_TME_BY[[#All],[Advanced Network/Insurance Carrier Org ID]],B244)/D244)</f>
        <v>NA</v>
      </c>
      <c r="I244" s="108" t="str">
        <f>IF(D244=0,"NA",SUMIFS(AN_TME_BY[[#All],[Claims: Professional, Specialty]],AN_TME_BY[[#All],[Insurance Category Code]],5,AN_TME_BY[[#All],[Advanced Network/Insurance Carrier Org ID]],B244)/D244)</f>
        <v>NA</v>
      </c>
      <c r="J244" s="108" t="str">
        <f>IF(D244=0,"NA",SUMIFS(AN_TME_BY[[#All],[Claims: Professional Other]],AN_TME_BY[[#All],[Insurance Category Code]],5,AN_TME_BY[[#All],[Advanced Network/Insurance Carrier Org ID]],B244)/D244)</f>
        <v>NA</v>
      </c>
      <c r="K244" s="108" t="str">
        <f>IF(D244=0,"NA",SUMIFS(AN_TME_BY[[#All],[Claims: Pharmacy]],AN_TME_BY[[#All],[Insurance Category Code]],5,AN_TME_BY[[#All],[Advanced Network/Insurance Carrier Org ID]],B244)/D244)</f>
        <v>NA</v>
      </c>
      <c r="L244" s="108" t="str">
        <f>IF(D244=0,"NA",SUMIFS(AN_TME_BY[[#All],[Claims: Long-Term Care]],AN_TME_BY[[#All],[Insurance Category Code]],5,AN_TME_BY[[#All],[Advanced Network/Insurance Carrier Org ID]],B244)/D244)</f>
        <v>NA</v>
      </c>
      <c r="M244" s="108" t="str">
        <f>IF(D244=0,"NA",SUMIFS(AN_TME_BY[[#All],[Claims: Other]],AN_TME_BY[[#All],[Insurance Category Code]],5,AN_TME_BY[[#All],[Advanced Network/Insurance Carrier Org ID]],B244)/D244)</f>
        <v>NA</v>
      </c>
      <c r="N244" s="147" t="str">
        <f>IF(D244=0,"NA",SUMIFS(AN_TME_BY[[#All],[TOTAL Non-Truncated Unadjusted Claims Expenses]],AN_TME_BY[[#All],[Insurance Category Code]],5,AN_TME_BY[[#All],[Advanced Network/Insurance Carrier Org ID]],B244)/D244)</f>
        <v>NA</v>
      </c>
      <c r="O244" s="147" t="str">
        <f>IF(D244=0,"NA",SUMIFS(AN_TME_BY[[#All],[TOTAL Truncated Unadjusted Claims Expenses (A21 -A19)]],AN_TME_BY[[#All],[Insurance Category Code]],5,AN_TME_BY[[#All],[Advanced Network/Insurance Carrier Org ID]],B244)/D244)</f>
        <v>NA</v>
      </c>
      <c r="P244" s="147" t="str">
        <f>IF(D244=0,"NA",SUMIFS(AN_TME_BY[[#All],[TOTAL Non-Claims Expenses]],AN_TME_BY[[#All],[Insurance Category Code]],5,AN_TME_BY[[#All],[Advanced Network/Insurance Carrier Org ID]],B244)/D244)</f>
        <v>NA</v>
      </c>
      <c r="Q244" s="147" t="str">
        <f>IF(D244=0,"NA",SUMIFS(AN_TME_BY[[#All],[TOTAL Non-Truncated Unadjusted Expenses (A21 + A23)]],AN_TME_BY[[#All],[Insurance Category Code]],5,AN_TME_BY[[#All],[Advanced Network/Insurance Carrier Org ID]],B244)/D244)</f>
        <v>NA</v>
      </c>
      <c r="R244" s="147" t="str">
        <f>IF(D244=0,"NA",SUMIFS(AN_TME_BY[[#All],[TOTAL Truncated Unadjusted Expenses (A22 + A23)]],AN_TME_BY[[#All],[Insurance Category Code]],5,AN_TME_BY[[#All],[Advanced Network/Insurance Carrier Org ID]],B244)/D244)</f>
        <v>NA</v>
      </c>
      <c r="S244" s="448">
        <f>SUMIFS(AN_TME_PY[[#All],[Member Months]],AN_TME_PY[[#All],[Insurance Category Code]],5,AN_TME_PY[[#All],[Advanced Network/Insurance Carrier Org ID]],B244)</f>
        <v>0</v>
      </c>
      <c r="T244" s="137" t="str">
        <f>IF(S244=0,"NA",SUMIFS(AN_TME_PY[[#All],[Claims: Hospital Inpatient]],AN_TME_PY[[#All],[Insurance Category Code]],5,AN_TME_PY[[#All],[Advanced Network/Insurance Carrier Org ID]],B244)/S244)</f>
        <v>NA</v>
      </c>
      <c r="U244" s="108" t="str">
        <f>IF(S244=0,"NA",SUMIFS(AN_TME_PY[[#All],[Claims: Hospital Outpatient]],AN_TME_PY[[#All],[Insurance Category Code]],5,AN_TME_PY[[#All],[Advanced Network/Insurance Carrier Org ID]],B244)/S244)</f>
        <v>NA</v>
      </c>
      <c r="V244" s="108" t="str">
        <f>IF(S244=0,"NA",SUMIFS(AN_TME_PY[[#All],[Claims: Professional, Primary Care]],AN_TME_PY[[#All],[Insurance Category Code]],5,AN_TME_PY[[#All],[Advanced Network/Insurance Carrier Org ID]],B244)/S244)</f>
        <v>NA</v>
      </c>
      <c r="W244" s="108" t="str">
        <f>IF(S244=0,"NA",SUMIFS(AN_TME_PY[[#All],[Claims: Professional, Primary Care (for Monitoring Purposes)]],AN_TME_PY[[#All],[Insurance Category Code]],5,AN_TME_PY[[#All],[Advanced Network/Insurance Carrier Org ID]],B244)/S244)</f>
        <v>NA</v>
      </c>
      <c r="X244" s="108" t="str">
        <f>IF(S244=0,"NA",SUMIFS(AN_TME_PY[[#All],[Claims: Professional, Specialty]],AN_TME_PY[[#All],[Insurance Category Code]],5,AN_TME_PY[[#All],[Advanced Network/Insurance Carrier Org ID]],B244)/S244)</f>
        <v>NA</v>
      </c>
      <c r="Y244" s="108" t="str">
        <f>IF(S244=0,"NA",SUMIFS(AN_TME_PY[[#All],[Claims: Professional Other]],AN_TME_PY[[#All],[Insurance Category Code]],5,AN_TME_PY[[#All],[Advanced Network/Insurance Carrier Org ID]],B244)/S244)</f>
        <v>NA</v>
      </c>
      <c r="Z244" s="108" t="str">
        <f>IF(S244=0,"NA",SUMIFS(AN_TME_PY[[#All],[Claims: Pharmacy]],AN_TME_PY[[#All],[Insurance Category Code]],5,AN_TME_PY[[#All],[Advanced Network/Insurance Carrier Org ID]],B244)/S244)</f>
        <v>NA</v>
      </c>
      <c r="AA244" s="108" t="str">
        <f>IF(S244=0,"NA",SUMIFS(AN_TME_PY[[#All],[Claims: Long-Term Care]],AN_TME_PY[[#All],[Insurance Category Code]],5,AN_TME_PY[[#All],[Advanced Network/Insurance Carrier Org ID]],B244)/S244)</f>
        <v>NA</v>
      </c>
      <c r="AB244" s="108" t="str">
        <f>IF(S244=0,"NA",SUMIFS(AN_TME_PY[[#All],[Claims: Other]],AN_TME_PY[[#All],[Insurance Category Code]],5,AN_TME_PY[[#All],[Advanced Network/Insurance Carrier Org ID]],B244)/S244)</f>
        <v>NA</v>
      </c>
      <c r="AC244" s="147" t="str">
        <f>IF(S244=0,"NA",SUMIFS(AN_TME_PY[[#All],[TOTAL Non-Truncated Unadjusted Claims Expenses]],AN_TME_PY[[#All],[Insurance Category Code]],5,AN_TME_PY[[#All],[Advanced Network/Insurance Carrier Org ID]],B244)/S244)</f>
        <v>NA</v>
      </c>
      <c r="AD244" s="147" t="str">
        <f>IF(S244=0,"NA",SUMIFS(AN_TME_PY[[#All],[TOTAL Truncated Unadjusted Claims Expenses (A21 -A19)]],AN_TME_PY[[#All],[Insurance Category Code]],5,AN_TME_PY[[#All],[Advanced Network/Insurance Carrier Org ID]],B244)/S244)</f>
        <v>NA</v>
      </c>
      <c r="AE244" s="147" t="str">
        <f>IF(S244=0,"NA",SUMIFS(AN_TME_PY[[#All],[TOTAL Non-Claims Expenses]],AN_TME_PY[[#All],[Insurance Category Code]],5,AN_TME_PY[[#All],[Advanced Network/Insurance Carrier Org ID]],B244)/S244)</f>
        <v>NA</v>
      </c>
      <c r="AF244" s="147" t="str">
        <f>IF(S244=0,"NA",SUMIFS(AN_TME_PY[[#All],[TOTAL Non-Truncated Unadjusted Expenses (A21 + A23)]],AN_TME_PY[[#All],[Insurance Category Code]],5,AN_TME_PY[[#All],[Advanced Network/Insurance Carrier Org ID]],B244)/S244)</f>
        <v>NA</v>
      </c>
      <c r="AG244" s="138" t="str">
        <f>IF(S244=0,"NA",SUMIFS(AN_TME_PY[[#All],[TOTAL Truncated Unadjusted Expenses (A22 + A23)]],AN_TME_PY[[#All],[Insurance Category Code]],5,AN_TME_PY[[#All],[Advanced Network/Insurance Carrier Org ID]],B244)/S244)</f>
        <v>NA</v>
      </c>
      <c r="AH244" s="419" t="str">
        <f t="shared" ref="AH244:AH246" si="321">IF(D244=0,"NA",S244/D244-1)</f>
        <v>NA</v>
      </c>
      <c r="AI244" s="420" t="str">
        <f t="shared" ref="AI244:AI246" si="322">IF(D244=0,"NA",T244/E244-1)</f>
        <v>NA</v>
      </c>
      <c r="AJ244" s="421" t="str">
        <f t="shared" ref="AJ244:AJ246" si="323">IF(D244=0,"NA",U244/F244-1)</f>
        <v>NA</v>
      </c>
      <c r="AK244" s="421" t="str">
        <f t="shared" ref="AK244:AK246" si="324">IF(D244=0,"NA",V244/G244-1)</f>
        <v>NA</v>
      </c>
      <c r="AL244" s="421" t="str">
        <f t="shared" ref="AL244:AL246" si="325">IF(D244=0,"NA",W244/H244-1)</f>
        <v>NA</v>
      </c>
      <c r="AM244" s="421" t="str">
        <f t="shared" ref="AM244:AM246" si="326">IF(D244=0,"NA",X244/I244-1)</f>
        <v>NA</v>
      </c>
      <c r="AN244" s="421" t="str">
        <f t="shared" ref="AN244:AN246" si="327">IF(D244=0,"NA",Y244/J244-1)</f>
        <v>NA</v>
      </c>
      <c r="AO244" s="421" t="str">
        <f t="shared" ref="AO244:AO246" si="328">IF(D244=0,"NA",Z244/K244-1)</f>
        <v>NA</v>
      </c>
      <c r="AP244" s="421" t="str">
        <f t="shared" ref="AP244:AP246" si="329">IF(D244=0,"NA",AA244/L244-1)</f>
        <v>NA</v>
      </c>
      <c r="AQ244" s="421" t="str">
        <f t="shared" ref="AQ244:AQ246" si="330">IF(D244=0,"NA",AB244/M244-1)</f>
        <v>NA</v>
      </c>
      <c r="AR244" s="422" t="str">
        <f t="shared" ref="AR244:AR246" si="331">IF(D244=0,"NA",AC244/N244-1)</f>
        <v>NA</v>
      </c>
      <c r="AS244" s="422" t="str">
        <f t="shared" ref="AS244:AS246" si="332">IF(D244=0,"NA",AD244/O244-1)</f>
        <v>NA</v>
      </c>
      <c r="AT244" s="422" t="str">
        <f t="shared" ref="AT244:AT246" si="333">IF(D244=0,"NA",AE244/P244-1)</f>
        <v>NA</v>
      </c>
      <c r="AU244" s="422" t="str">
        <f t="shared" ref="AU244:AU246" si="334">IF(D244=0,"NA",AF244/Q244-1)</f>
        <v>NA</v>
      </c>
      <c r="AV244" s="423" t="str">
        <f t="shared" ref="AV244:AV246" si="335">IF(D244=0,"NA",AG244/R244-1)</f>
        <v>NA</v>
      </c>
    </row>
    <row r="245" spans="1:48" ht="15" customHeight="1" x14ac:dyDescent="0.25">
      <c r="A245" s="146"/>
      <c r="B245" s="148">
        <v>133</v>
      </c>
      <c r="C245" s="151" t="str">
        <f>_xlfn.XLOOKUP(B245, LgProvEntOrgIDs[Advanced Network/Insurer Carrier Org ID], LgProvEntOrgIDs[Advanced Network/Insurance Carrier Overall])</f>
        <v>Trinity Health, Inc.</v>
      </c>
      <c r="D245" s="448">
        <f>SUMIFS(AN_TME_BY[[#All],[Member Months]],AN_TME_BY[[#All],[Insurance Category Code]],5,AN_TME_BY[[#All],[Advanced Network/Insurance Carrier Org ID]],B245)</f>
        <v>0</v>
      </c>
      <c r="E245" s="137" t="str">
        <f>IF(D245=0,"NA",SUMIFS(AN_TME_BY[[#All],[Claims: Hospital Inpatient]],AN_TME_BY[[#All],[Insurance Category Code]],5,AN_TME_BY[[#All],[Advanced Network/Insurance Carrier Org ID]],B245)/D245)</f>
        <v>NA</v>
      </c>
      <c r="F245" s="108" t="str">
        <f>IF(D245=0,"NA",SUMIFS(AN_TME_BY[[#All],[Claims: Hospital Outpatient]],AN_TME_BY[[#All],[Insurance Category Code]],5,AN_TME_BY[[#All],[Advanced Network/Insurance Carrier Org ID]],B245)/D245)</f>
        <v>NA</v>
      </c>
      <c r="G245" s="108" t="str">
        <f>IF(D245=0,"NA",SUMIFS(AN_TME_BY[[#All],[Claims: Professional, Primary Care]],AN_TME_BY[[#All],[Insurance Category Code]],5,AN_TME_BY[[#All],[Advanced Network/Insurance Carrier Org ID]],B245)/D245)</f>
        <v>NA</v>
      </c>
      <c r="H245" s="108" t="str">
        <f>IF(D245=0,"NA",SUMIFS(AN_TME_BY[[#All],[Claims: Professional, Primary Care (for Monitoring Purposes)]],AN_TME_BY[[#All],[Insurance Category Code]],5,AN_TME_BY[[#All],[Advanced Network/Insurance Carrier Org ID]],B245)/D245)</f>
        <v>NA</v>
      </c>
      <c r="I245" s="108" t="str">
        <f>IF(D245=0,"NA",SUMIFS(AN_TME_BY[[#All],[Claims: Professional, Specialty]],AN_TME_BY[[#All],[Insurance Category Code]],5,AN_TME_BY[[#All],[Advanced Network/Insurance Carrier Org ID]],B245)/D245)</f>
        <v>NA</v>
      </c>
      <c r="J245" s="108" t="str">
        <f>IF(D245=0,"NA",SUMIFS(AN_TME_BY[[#All],[Claims: Professional Other]],AN_TME_BY[[#All],[Insurance Category Code]],5,AN_TME_BY[[#All],[Advanced Network/Insurance Carrier Org ID]],B245)/D245)</f>
        <v>NA</v>
      </c>
      <c r="K245" s="108" t="str">
        <f>IF(D245=0,"NA",SUMIFS(AN_TME_BY[[#All],[Claims: Pharmacy]],AN_TME_BY[[#All],[Insurance Category Code]],5,AN_TME_BY[[#All],[Advanced Network/Insurance Carrier Org ID]],B245)/D245)</f>
        <v>NA</v>
      </c>
      <c r="L245" s="108" t="str">
        <f>IF(D245=0,"NA",SUMIFS(AN_TME_BY[[#All],[Claims: Long-Term Care]],AN_TME_BY[[#All],[Insurance Category Code]],5,AN_TME_BY[[#All],[Advanced Network/Insurance Carrier Org ID]],B245)/D245)</f>
        <v>NA</v>
      </c>
      <c r="M245" s="108" t="str">
        <f>IF(D245=0,"NA",SUMIFS(AN_TME_BY[[#All],[Claims: Other]],AN_TME_BY[[#All],[Insurance Category Code]],5,AN_TME_BY[[#All],[Advanced Network/Insurance Carrier Org ID]],B245)/D245)</f>
        <v>NA</v>
      </c>
      <c r="N245" s="147" t="str">
        <f>IF(D245=0,"NA",SUMIFS(AN_TME_BY[[#All],[TOTAL Non-Truncated Unadjusted Claims Expenses]],AN_TME_BY[[#All],[Insurance Category Code]],5,AN_TME_BY[[#All],[Advanced Network/Insurance Carrier Org ID]],B245)/D245)</f>
        <v>NA</v>
      </c>
      <c r="O245" s="147" t="str">
        <f>IF(D245=0,"NA",SUMIFS(AN_TME_BY[[#All],[TOTAL Truncated Unadjusted Claims Expenses (A21 -A19)]],AN_TME_BY[[#All],[Insurance Category Code]],5,AN_TME_BY[[#All],[Advanced Network/Insurance Carrier Org ID]],B245)/D245)</f>
        <v>NA</v>
      </c>
      <c r="P245" s="147" t="str">
        <f>IF(D245=0,"NA",SUMIFS(AN_TME_BY[[#All],[TOTAL Non-Claims Expenses]],AN_TME_BY[[#All],[Insurance Category Code]],5,AN_TME_BY[[#All],[Advanced Network/Insurance Carrier Org ID]],B245)/D245)</f>
        <v>NA</v>
      </c>
      <c r="Q245" s="147" t="str">
        <f>IF(D245=0,"NA",SUMIFS(AN_TME_BY[[#All],[TOTAL Non-Truncated Unadjusted Expenses (A21 + A23)]],AN_TME_BY[[#All],[Insurance Category Code]],5,AN_TME_BY[[#All],[Advanced Network/Insurance Carrier Org ID]],B245)/D245)</f>
        <v>NA</v>
      </c>
      <c r="R245" s="147" t="str">
        <f>IF(D245=0,"NA",SUMIFS(AN_TME_BY[[#All],[TOTAL Truncated Unadjusted Expenses (A22 + A23)]],AN_TME_BY[[#All],[Insurance Category Code]],5,AN_TME_BY[[#All],[Advanced Network/Insurance Carrier Org ID]],B245)/D245)</f>
        <v>NA</v>
      </c>
      <c r="S245" s="448">
        <f>SUMIFS(AN_TME_PY[[#All],[Member Months]],AN_TME_PY[[#All],[Insurance Category Code]],5,AN_TME_PY[[#All],[Advanced Network/Insurance Carrier Org ID]],B245)</f>
        <v>0</v>
      </c>
      <c r="T245" s="137" t="str">
        <f>IF(S245=0,"NA",SUMIFS(AN_TME_PY[[#All],[Claims: Hospital Inpatient]],AN_TME_PY[[#All],[Insurance Category Code]],5,AN_TME_PY[[#All],[Advanced Network/Insurance Carrier Org ID]],B245)/S245)</f>
        <v>NA</v>
      </c>
      <c r="U245" s="108" t="str">
        <f>IF(S245=0,"NA",SUMIFS(AN_TME_PY[[#All],[Claims: Hospital Outpatient]],AN_TME_PY[[#All],[Insurance Category Code]],5,AN_TME_PY[[#All],[Advanced Network/Insurance Carrier Org ID]],B245)/S245)</f>
        <v>NA</v>
      </c>
      <c r="V245" s="108" t="str">
        <f>IF(S245=0,"NA",SUMIFS(AN_TME_PY[[#All],[Claims: Professional, Primary Care]],AN_TME_PY[[#All],[Insurance Category Code]],5,AN_TME_PY[[#All],[Advanced Network/Insurance Carrier Org ID]],B245)/S245)</f>
        <v>NA</v>
      </c>
      <c r="W245" s="108" t="str">
        <f>IF(S245=0,"NA",SUMIFS(AN_TME_PY[[#All],[Claims: Professional, Primary Care (for Monitoring Purposes)]],AN_TME_PY[[#All],[Insurance Category Code]],5,AN_TME_PY[[#All],[Advanced Network/Insurance Carrier Org ID]],B245)/S245)</f>
        <v>NA</v>
      </c>
      <c r="X245" s="108" t="str">
        <f>IF(S245=0,"NA",SUMIFS(AN_TME_PY[[#All],[Claims: Professional, Specialty]],AN_TME_PY[[#All],[Insurance Category Code]],5,AN_TME_PY[[#All],[Advanced Network/Insurance Carrier Org ID]],B245)/S245)</f>
        <v>NA</v>
      </c>
      <c r="Y245" s="108" t="str">
        <f>IF(S245=0,"NA",SUMIFS(AN_TME_PY[[#All],[Claims: Professional Other]],AN_TME_PY[[#All],[Insurance Category Code]],5,AN_TME_PY[[#All],[Advanced Network/Insurance Carrier Org ID]],B245)/S245)</f>
        <v>NA</v>
      </c>
      <c r="Z245" s="108" t="str">
        <f>IF(S245=0,"NA",SUMIFS(AN_TME_PY[[#All],[Claims: Pharmacy]],AN_TME_PY[[#All],[Insurance Category Code]],5,AN_TME_PY[[#All],[Advanced Network/Insurance Carrier Org ID]],B245)/S245)</f>
        <v>NA</v>
      </c>
      <c r="AA245" s="108" t="str">
        <f>IF(S245=0,"NA",SUMIFS(AN_TME_PY[[#All],[Claims: Long-Term Care]],AN_TME_PY[[#All],[Insurance Category Code]],5,AN_TME_PY[[#All],[Advanced Network/Insurance Carrier Org ID]],B245)/S245)</f>
        <v>NA</v>
      </c>
      <c r="AB245" s="108" t="str">
        <f>IF(S245=0,"NA",SUMIFS(AN_TME_PY[[#All],[Claims: Other]],AN_TME_PY[[#All],[Insurance Category Code]],5,AN_TME_PY[[#All],[Advanced Network/Insurance Carrier Org ID]],B245)/S245)</f>
        <v>NA</v>
      </c>
      <c r="AC245" s="147" t="str">
        <f>IF(S245=0,"NA",SUMIFS(AN_TME_PY[[#All],[TOTAL Non-Truncated Unadjusted Claims Expenses]],AN_TME_PY[[#All],[Insurance Category Code]],5,AN_TME_PY[[#All],[Advanced Network/Insurance Carrier Org ID]],B245)/S245)</f>
        <v>NA</v>
      </c>
      <c r="AD245" s="147" t="str">
        <f>IF(S245=0,"NA",SUMIFS(AN_TME_PY[[#All],[TOTAL Truncated Unadjusted Claims Expenses (A21 -A19)]],AN_TME_PY[[#All],[Insurance Category Code]],5,AN_TME_PY[[#All],[Advanced Network/Insurance Carrier Org ID]],B245)/S245)</f>
        <v>NA</v>
      </c>
      <c r="AE245" s="147" t="str">
        <f>IF(S245=0,"NA",SUMIFS(AN_TME_PY[[#All],[TOTAL Non-Claims Expenses]],AN_TME_PY[[#All],[Insurance Category Code]],5,AN_TME_PY[[#All],[Advanced Network/Insurance Carrier Org ID]],B245)/S245)</f>
        <v>NA</v>
      </c>
      <c r="AF245" s="147" t="str">
        <f>IF(S245=0,"NA",SUMIFS(AN_TME_PY[[#All],[TOTAL Non-Truncated Unadjusted Expenses (A21 + A23)]],AN_TME_PY[[#All],[Insurance Category Code]],5,AN_TME_PY[[#All],[Advanced Network/Insurance Carrier Org ID]],B245)/S245)</f>
        <v>NA</v>
      </c>
      <c r="AG245" s="138" t="str">
        <f>IF(S245=0,"NA",SUMIFS(AN_TME_PY[[#All],[TOTAL Truncated Unadjusted Expenses (A22 + A23)]],AN_TME_PY[[#All],[Insurance Category Code]],5,AN_TME_PY[[#All],[Advanced Network/Insurance Carrier Org ID]],B245)/S245)</f>
        <v>NA</v>
      </c>
      <c r="AH245" s="419" t="str">
        <f t="shared" si="321"/>
        <v>NA</v>
      </c>
      <c r="AI245" s="420" t="str">
        <f t="shared" si="322"/>
        <v>NA</v>
      </c>
      <c r="AJ245" s="421" t="str">
        <f t="shared" si="323"/>
        <v>NA</v>
      </c>
      <c r="AK245" s="421" t="str">
        <f t="shared" si="324"/>
        <v>NA</v>
      </c>
      <c r="AL245" s="421" t="str">
        <f t="shared" si="325"/>
        <v>NA</v>
      </c>
      <c r="AM245" s="421" t="str">
        <f t="shared" si="326"/>
        <v>NA</v>
      </c>
      <c r="AN245" s="421" t="str">
        <f t="shared" si="327"/>
        <v>NA</v>
      </c>
      <c r="AO245" s="421" t="str">
        <f t="shared" si="328"/>
        <v>NA</v>
      </c>
      <c r="AP245" s="421" t="str">
        <f t="shared" si="329"/>
        <v>NA</v>
      </c>
      <c r="AQ245" s="421" t="str">
        <f t="shared" si="330"/>
        <v>NA</v>
      </c>
      <c r="AR245" s="422" t="str">
        <f t="shared" si="331"/>
        <v>NA</v>
      </c>
      <c r="AS245" s="422" t="str">
        <f t="shared" si="332"/>
        <v>NA</v>
      </c>
      <c r="AT245" s="422" t="str">
        <f t="shared" si="333"/>
        <v>NA</v>
      </c>
      <c r="AU245" s="422" t="str">
        <f t="shared" si="334"/>
        <v>NA</v>
      </c>
      <c r="AV245" s="423" t="str">
        <f t="shared" si="335"/>
        <v>NA</v>
      </c>
    </row>
    <row r="246" spans="1:48" ht="15" customHeight="1" x14ac:dyDescent="0.25">
      <c r="A246" s="146"/>
      <c r="B246" s="148">
        <v>134</v>
      </c>
      <c r="C246" s="151" t="str">
        <f>_xlfn.XLOOKUP(B246, LgProvEntOrgIDs[Advanced Network/Insurer Carrier Org ID], LgProvEntOrgIDs[Advanced Network/Insurance Carrier Overall])</f>
        <v>Western Connecticut Health Network (WCHN) Physician Hospital Organization</v>
      </c>
      <c r="D246" s="448">
        <f>SUMIFS(AN_TME_BY[[#All],[Member Months]],AN_TME_BY[[#All],[Insurance Category Code]],5,AN_TME_BY[[#All],[Advanced Network/Insurance Carrier Org ID]],B246)</f>
        <v>0</v>
      </c>
      <c r="E246" s="137" t="str">
        <f>IF(D246=0,"NA",SUMIFS(AN_TME_BY[[#All],[Claims: Hospital Inpatient]],AN_TME_BY[[#All],[Insurance Category Code]],5,AN_TME_BY[[#All],[Advanced Network/Insurance Carrier Org ID]],B246)/D246)</f>
        <v>NA</v>
      </c>
      <c r="F246" s="108" t="str">
        <f>IF(D246=0,"NA",SUMIFS(AN_TME_BY[[#All],[Claims: Hospital Outpatient]],AN_TME_BY[[#All],[Insurance Category Code]],5,AN_TME_BY[[#All],[Advanced Network/Insurance Carrier Org ID]],B246)/D246)</f>
        <v>NA</v>
      </c>
      <c r="G246" s="108" t="str">
        <f>IF(D246=0,"NA",SUMIFS(AN_TME_BY[[#All],[Claims: Professional, Primary Care]],AN_TME_BY[[#All],[Insurance Category Code]],5,AN_TME_BY[[#All],[Advanced Network/Insurance Carrier Org ID]],B246)/D246)</f>
        <v>NA</v>
      </c>
      <c r="H246" s="108" t="str">
        <f>IF(D246=0,"NA",SUMIFS(AN_TME_BY[[#All],[Claims: Professional, Primary Care (for Monitoring Purposes)]],AN_TME_BY[[#All],[Insurance Category Code]],5,AN_TME_BY[[#All],[Advanced Network/Insurance Carrier Org ID]],B246)/D246)</f>
        <v>NA</v>
      </c>
      <c r="I246" s="108" t="str">
        <f>IF(D246=0,"NA",SUMIFS(AN_TME_BY[[#All],[Claims: Professional, Specialty]],AN_TME_BY[[#All],[Insurance Category Code]],5,AN_TME_BY[[#All],[Advanced Network/Insurance Carrier Org ID]],B246)/D246)</f>
        <v>NA</v>
      </c>
      <c r="J246" s="108" t="str">
        <f>IF(D246=0,"NA",SUMIFS(AN_TME_BY[[#All],[Claims: Professional Other]],AN_TME_BY[[#All],[Insurance Category Code]],5,AN_TME_BY[[#All],[Advanced Network/Insurance Carrier Org ID]],B246)/D246)</f>
        <v>NA</v>
      </c>
      <c r="K246" s="108" t="str">
        <f>IF(D246=0,"NA",SUMIFS(AN_TME_BY[[#All],[Claims: Pharmacy]],AN_TME_BY[[#All],[Insurance Category Code]],5,AN_TME_BY[[#All],[Advanced Network/Insurance Carrier Org ID]],B246)/D246)</f>
        <v>NA</v>
      </c>
      <c r="L246" s="108" t="str">
        <f>IF(D246=0,"NA",SUMIFS(AN_TME_BY[[#All],[Claims: Long-Term Care]],AN_TME_BY[[#All],[Insurance Category Code]],5,AN_TME_BY[[#All],[Advanced Network/Insurance Carrier Org ID]],B246)/D246)</f>
        <v>NA</v>
      </c>
      <c r="M246" s="108" t="str">
        <f>IF(D246=0,"NA",SUMIFS(AN_TME_BY[[#All],[Claims: Other]],AN_TME_BY[[#All],[Insurance Category Code]],5,AN_TME_BY[[#All],[Advanced Network/Insurance Carrier Org ID]],B246)/D246)</f>
        <v>NA</v>
      </c>
      <c r="N246" s="147" t="str">
        <f>IF(D246=0,"NA",SUMIFS(AN_TME_BY[[#All],[TOTAL Non-Truncated Unadjusted Claims Expenses]],AN_TME_BY[[#All],[Insurance Category Code]],5,AN_TME_BY[[#All],[Advanced Network/Insurance Carrier Org ID]],B246)/D246)</f>
        <v>NA</v>
      </c>
      <c r="O246" s="147" t="str">
        <f>IF(D246=0,"NA",SUMIFS(AN_TME_BY[[#All],[TOTAL Truncated Unadjusted Claims Expenses (A21 -A19)]],AN_TME_BY[[#All],[Insurance Category Code]],5,AN_TME_BY[[#All],[Advanced Network/Insurance Carrier Org ID]],B246)/D246)</f>
        <v>NA</v>
      </c>
      <c r="P246" s="147" t="str">
        <f>IF(D246=0,"NA",SUMIFS(AN_TME_BY[[#All],[TOTAL Non-Claims Expenses]],AN_TME_BY[[#All],[Insurance Category Code]],5,AN_TME_BY[[#All],[Advanced Network/Insurance Carrier Org ID]],B246)/D246)</f>
        <v>NA</v>
      </c>
      <c r="Q246" s="147" t="str">
        <f>IF(D246=0,"NA",SUMIFS(AN_TME_BY[[#All],[TOTAL Non-Truncated Unadjusted Expenses (A21 + A23)]],AN_TME_BY[[#All],[Insurance Category Code]],5,AN_TME_BY[[#All],[Advanced Network/Insurance Carrier Org ID]],B246)/D246)</f>
        <v>NA</v>
      </c>
      <c r="R246" s="147" t="str">
        <f>IF(D246=0,"NA",SUMIFS(AN_TME_BY[[#All],[TOTAL Truncated Unadjusted Expenses (A22 + A23)]],AN_TME_BY[[#All],[Insurance Category Code]],5,AN_TME_BY[[#All],[Advanced Network/Insurance Carrier Org ID]],B246)/D246)</f>
        <v>NA</v>
      </c>
      <c r="S246" s="448">
        <f>SUMIFS(AN_TME_PY[[#All],[Member Months]],AN_TME_PY[[#All],[Insurance Category Code]],5,AN_TME_PY[[#All],[Advanced Network/Insurance Carrier Org ID]],B246)</f>
        <v>0</v>
      </c>
      <c r="T246" s="137" t="str">
        <f>IF(S246=0,"NA",SUMIFS(AN_TME_PY[[#All],[Claims: Hospital Inpatient]],AN_TME_PY[[#All],[Insurance Category Code]],5,AN_TME_PY[[#All],[Advanced Network/Insurance Carrier Org ID]],B246)/S246)</f>
        <v>NA</v>
      </c>
      <c r="U246" s="108" t="str">
        <f>IF(S246=0,"NA",SUMIFS(AN_TME_PY[[#All],[Claims: Hospital Outpatient]],AN_TME_PY[[#All],[Insurance Category Code]],5,AN_TME_PY[[#All],[Advanced Network/Insurance Carrier Org ID]],B246)/S246)</f>
        <v>NA</v>
      </c>
      <c r="V246" s="108" t="str">
        <f>IF(S246=0,"NA",SUMIFS(AN_TME_PY[[#All],[Claims: Professional, Primary Care]],AN_TME_PY[[#All],[Insurance Category Code]],5,AN_TME_PY[[#All],[Advanced Network/Insurance Carrier Org ID]],B246)/S246)</f>
        <v>NA</v>
      </c>
      <c r="W246" s="108" t="str">
        <f>IF(S246=0,"NA",SUMIFS(AN_TME_PY[[#All],[Claims: Professional, Primary Care (for Monitoring Purposes)]],AN_TME_PY[[#All],[Insurance Category Code]],5,AN_TME_PY[[#All],[Advanced Network/Insurance Carrier Org ID]],B246)/S246)</f>
        <v>NA</v>
      </c>
      <c r="X246" s="108" t="str">
        <f>IF(S246=0,"NA",SUMIFS(AN_TME_PY[[#All],[Claims: Professional, Specialty]],AN_TME_PY[[#All],[Insurance Category Code]],5,AN_TME_PY[[#All],[Advanced Network/Insurance Carrier Org ID]],B246)/S246)</f>
        <v>NA</v>
      </c>
      <c r="Y246" s="108" t="str">
        <f>IF(S246=0,"NA",SUMIFS(AN_TME_PY[[#All],[Claims: Professional Other]],AN_TME_PY[[#All],[Insurance Category Code]],5,AN_TME_PY[[#All],[Advanced Network/Insurance Carrier Org ID]],B246)/S246)</f>
        <v>NA</v>
      </c>
      <c r="Z246" s="108" t="str">
        <f>IF(S246=0,"NA",SUMIFS(AN_TME_PY[[#All],[Claims: Pharmacy]],AN_TME_PY[[#All],[Insurance Category Code]],5,AN_TME_PY[[#All],[Advanced Network/Insurance Carrier Org ID]],B246)/S246)</f>
        <v>NA</v>
      </c>
      <c r="AA246" s="108" t="str">
        <f>IF(S246=0,"NA",SUMIFS(AN_TME_PY[[#All],[Claims: Long-Term Care]],AN_TME_PY[[#All],[Insurance Category Code]],5,AN_TME_PY[[#All],[Advanced Network/Insurance Carrier Org ID]],B246)/S246)</f>
        <v>NA</v>
      </c>
      <c r="AB246" s="108" t="str">
        <f>IF(S246=0,"NA",SUMIFS(AN_TME_PY[[#All],[Claims: Other]],AN_TME_PY[[#All],[Insurance Category Code]],5,AN_TME_PY[[#All],[Advanced Network/Insurance Carrier Org ID]],B246)/S246)</f>
        <v>NA</v>
      </c>
      <c r="AC246" s="147" t="str">
        <f>IF(S246=0,"NA",SUMIFS(AN_TME_PY[[#All],[TOTAL Non-Truncated Unadjusted Claims Expenses]],AN_TME_PY[[#All],[Insurance Category Code]],5,AN_TME_PY[[#All],[Advanced Network/Insurance Carrier Org ID]],B246)/S246)</f>
        <v>NA</v>
      </c>
      <c r="AD246" s="147" t="str">
        <f>IF(S246=0,"NA",SUMIFS(AN_TME_PY[[#All],[TOTAL Truncated Unadjusted Claims Expenses (A21 -A19)]],AN_TME_PY[[#All],[Insurance Category Code]],5,AN_TME_PY[[#All],[Advanced Network/Insurance Carrier Org ID]],B246)/S246)</f>
        <v>NA</v>
      </c>
      <c r="AE246" s="147" t="str">
        <f>IF(S246=0,"NA",SUMIFS(AN_TME_PY[[#All],[TOTAL Non-Claims Expenses]],AN_TME_PY[[#All],[Insurance Category Code]],5,AN_TME_PY[[#All],[Advanced Network/Insurance Carrier Org ID]],B246)/S246)</f>
        <v>NA</v>
      </c>
      <c r="AF246" s="147" t="str">
        <f>IF(S246=0,"NA",SUMIFS(AN_TME_PY[[#All],[TOTAL Non-Truncated Unadjusted Expenses (A21 + A23)]],AN_TME_PY[[#All],[Insurance Category Code]],5,AN_TME_PY[[#All],[Advanced Network/Insurance Carrier Org ID]],B246)/S246)</f>
        <v>NA</v>
      </c>
      <c r="AG246" s="138" t="str">
        <f>IF(S246=0,"NA",SUMIFS(AN_TME_PY[[#All],[TOTAL Truncated Unadjusted Expenses (A22 + A23)]],AN_TME_PY[[#All],[Insurance Category Code]],5,AN_TME_PY[[#All],[Advanced Network/Insurance Carrier Org ID]],B246)/S246)</f>
        <v>NA</v>
      </c>
      <c r="AH246" s="419" t="str">
        <f t="shared" si="321"/>
        <v>NA</v>
      </c>
      <c r="AI246" s="420" t="str">
        <f t="shared" si="322"/>
        <v>NA</v>
      </c>
      <c r="AJ246" s="421" t="str">
        <f t="shared" si="323"/>
        <v>NA</v>
      </c>
      <c r="AK246" s="421" t="str">
        <f t="shared" si="324"/>
        <v>NA</v>
      </c>
      <c r="AL246" s="421" t="str">
        <f t="shared" si="325"/>
        <v>NA</v>
      </c>
      <c r="AM246" s="421" t="str">
        <f t="shared" si="326"/>
        <v>NA</v>
      </c>
      <c r="AN246" s="421" t="str">
        <f t="shared" si="327"/>
        <v>NA</v>
      </c>
      <c r="AO246" s="421" t="str">
        <f t="shared" si="328"/>
        <v>NA</v>
      </c>
      <c r="AP246" s="421" t="str">
        <f t="shared" si="329"/>
        <v>NA</v>
      </c>
      <c r="AQ246" s="421" t="str">
        <f t="shared" si="330"/>
        <v>NA</v>
      </c>
      <c r="AR246" s="422" t="str">
        <f t="shared" si="331"/>
        <v>NA</v>
      </c>
      <c r="AS246" s="422" t="str">
        <f t="shared" si="332"/>
        <v>NA</v>
      </c>
      <c r="AT246" s="422" t="str">
        <f t="shared" si="333"/>
        <v>NA</v>
      </c>
      <c r="AU246" s="422" t="str">
        <f t="shared" si="334"/>
        <v>NA</v>
      </c>
      <c r="AV246" s="423" t="str">
        <f t="shared" si="335"/>
        <v>NA</v>
      </c>
    </row>
    <row r="247" spans="1:48" ht="15" customHeight="1" x14ac:dyDescent="0.25">
      <c r="A247" s="146"/>
      <c r="B247" s="148">
        <v>999</v>
      </c>
      <c r="C247" s="151" t="str">
        <f>_xlfn.XLOOKUP(B247, LgProvEntOrgIDs[Advanced Network/Insurer Carrier Org ID], LgProvEntOrgIDs[Advanced Network/Insurance Carrier Overall])</f>
        <v>Members Not Attributed to an Advanced Network</v>
      </c>
      <c r="D247" s="448">
        <f>SUMIFS(AN_TME_BY[[#All],[Member Months]],AN_TME_BY[[#All],[Insurance Category Code]],5,AN_TME_BY[[#All],[Advanced Network/Insurance Carrier Org ID]],B247)</f>
        <v>0</v>
      </c>
      <c r="E247" s="137" t="str">
        <f>IF(D247=0,"NA",SUMIFS(AN_TME_BY[[#All],[Claims: Hospital Inpatient]],AN_TME_BY[[#All],[Insurance Category Code]],5,AN_TME_BY[[#All],[Advanced Network/Insurance Carrier Org ID]],B247)/D247)</f>
        <v>NA</v>
      </c>
      <c r="F247" s="108" t="str">
        <f>IF(D247=0,"NA",SUMIFS(AN_TME_BY[[#All],[Claims: Hospital Outpatient]],AN_TME_BY[[#All],[Insurance Category Code]],5,AN_TME_BY[[#All],[Advanced Network/Insurance Carrier Org ID]],B247)/D247)</f>
        <v>NA</v>
      </c>
      <c r="G247" s="108" t="str">
        <f>IF(D247=0,"NA",SUMIFS(AN_TME_BY[[#All],[Claims: Professional, Primary Care]],AN_TME_BY[[#All],[Insurance Category Code]],5,AN_TME_BY[[#All],[Advanced Network/Insurance Carrier Org ID]],B247)/D247)</f>
        <v>NA</v>
      </c>
      <c r="H247" s="108" t="str">
        <f>IF(D247=0,"NA",SUMIFS(AN_TME_BY[[#All],[Claims: Professional, Primary Care (for Monitoring Purposes)]],AN_TME_BY[[#All],[Insurance Category Code]],5,AN_TME_BY[[#All],[Advanced Network/Insurance Carrier Org ID]],B247)/D247)</f>
        <v>NA</v>
      </c>
      <c r="I247" s="108" t="str">
        <f>IF(D247=0,"NA",SUMIFS(AN_TME_BY[[#All],[Claims: Professional, Specialty]],AN_TME_BY[[#All],[Insurance Category Code]],5,AN_TME_BY[[#All],[Advanced Network/Insurance Carrier Org ID]],B247)/D247)</f>
        <v>NA</v>
      </c>
      <c r="J247" s="108" t="str">
        <f>IF(D247=0,"NA",SUMIFS(AN_TME_BY[[#All],[Claims: Professional Other]],AN_TME_BY[[#All],[Insurance Category Code]],5,AN_TME_BY[[#All],[Advanced Network/Insurance Carrier Org ID]],B247)/D247)</f>
        <v>NA</v>
      </c>
      <c r="K247" s="108" t="str">
        <f>IF(D247=0,"NA",SUMIFS(AN_TME_BY[[#All],[Claims: Pharmacy]],AN_TME_BY[[#All],[Insurance Category Code]],5,AN_TME_BY[[#All],[Advanced Network/Insurance Carrier Org ID]],B247)/D247)</f>
        <v>NA</v>
      </c>
      <c r="L247" s="108" t="str">
        <f>IF(D247=0,"NA",SUMIFS(AN_TME_BY[[#All],[Claims: Long-Term Care]],AN_TME_BY[[#All],[Insurance Category Code]],5,AN_TME_BY[[#All],[Advanced Network/Insurance Carrier Org ID]],B247)/D247)</f>
        <v>NA</v>
      </c>
      <c r="M247" s="108" t="str">
        <f>IF(D247=0,"NA",SUMIFS(AN_TME_BY[[#All],[Claims: Other]],AN_TME_BY[[#All],[Insurance Category Code]],5,AN_TME_BY[[#All],[Advanced Network/Insurance Carrier Org ID]],B247)/D247)</f>
        <v>NA</v>
      </c>
      <c r="N247" s="147" t="str">
        <f>IF(D247=0,"NA",SUMIFS(AN_TME_BY[[#All],[TOTAL Non-Truncated Unadjusted Claims Expenses]],AN_TME_BY[[#All],[Insurance Category Code]],5,AN_TME_BY[[#All],[Advanced Network/Insurance Carrier Org ID]],B247)/D247)</f>
        <v>NA</v>
      </c>
      <c r="O247" s="147" t="str">
        <f>IF(D247=0,"NA",SUMIFS(AN_TME_BY[[#All],[TOTAL Truncated Unadjusted Claims Expenses (A21 -A19)]],AN_TME_BY[[#All],[Insurance Category Code]],5,AN_TME_BY[[#All],[Advanced Network/Insurance Carrier Org ID]],B247)/D247)</f>
        <v>NA</v>
      </c>
      <c r="P247" s="147" t="str">
        <f>IF(D247=0,"NA",SUMIFS(AN_TME_BY[[#All],[TOTAL Non-Claims Expenses]],AN_TME_BY[[#All],[Insurance Category Code]],5,AN_TME_BY[[#All],[Advanced Network/Insurance Carrier Org ID]],B247)/D247)</f>
        <v>NA</v>
      </c>
      <c r="Q247" s="147" t="str">
        <f>IF(D247=0,"NA",SUMIFS(AN_TME_BY[[#All],[TOTAL Non-Truncated Unadjusted Expenses (A21 + A23)]],AN_TME_BY[[#All],[Insurance Category Code]],5,AN_TME_BY[[#All],[Advanced Network/Insurance Carrier Org ID]],B247)/D247)</f>
        <v>NA</v>
      </c>
      <c r="R247" s="147" t="str">
        <f>IF(D247=0,"NA",SUMIFS(AN_TME_BY[[#All],[TOTAL Truncated Unadjusted Expenses (A22 + A23)]],AN_TME_BY[[#All],[Insurance Category Code]],5,AN_TME_BY[[#All],[Advanced Network/Insurance Carrier Org ID]],B247)/D247)</f>
        <v>NA</v>
      </c>
      <c r="S247" s="448">
        <f>SUMIFS(AN_TME_PY[[#All],[Member Months]],AN_TME_PY[[#All],[Insurance Category Code]],5,AN_TME_PY[[#All],[Advanced Network/Insurance Carrier Org ID]],B247)</f>
        <v>0</v>
      </c>
      <c r="T247" s="137" t="str">
        <f>IF(S247=0,"NA",SUMIFS(AN_TME_PY[[#All],[Claims: Hospital Inpatient]],AN_TME_PY[[#All],[Insurance Category Code]],5,AN_TME_PY[[#All],[Advanced Network/Insurance Carrier Org ID]],B247)/S247)</f>
        <v>NA</v>
      </c>
      <c r="U247" s="108" t="str">
        <f>IF(S247=0,"NA",SUMIFS(AN_TME_PY[[#All],[Claims: Hospital Outpatient]],AN_TME_PY[[#All],[Insurance Category Code]],5,AN_TME_PY[[#All],[Advanced Network/Insurance Carrier Org ID]],B247)/S247)</f>
        <v>NA</v>
      </c>
      <c r="V247" s="108" t="str">
        <f>IF(S247=0,"NA",SUMIFS(AN_TME_PY[[#All],[Claims: Professional, Primary Care]],AN_TME_PY[[#All],[Insurance Category Code]],5,AN_TME_PY[[#All],[Advanced Network/Insurance Carrier Org ID]],B247)/S247)</f>
        <v>NA</v>
      </c>
      <c r="W247" s="108" t="str">
        <f>IF(S247=0,"NA",SUMIFS(AN_TME_PY[[#All],[Claims: Professional, Primary Care (for Monitoring Purposes)]],AN_TME_PY[[#All],[Insurance Category Code]],5,AN_TME_PY[[#All],[Advanced Network/Insurance Carrier Org ID]],B247)/S247)</f>
        <v>NA</v>
      </c>
      <c r="X247" s="108" t="str">
        <f>IF(S247=0,"NA",SUMIFS(AN_TME_PY[[#All],[Claims: Professional, Specialty]],AN_TME_PY[[#All],[Insurance Category Code]],5,AN_TME_PY[[#All],[Advanced Network/Insurance Carrier Org ID]],B247)/S247)</f>
        <v>NA</v>
      </c>
      <c r="Y247" s="108" t="str">
        <f>IF(S247=0,"NA",SUMIFS(AN_TME_PY[[#All],[Claims: Professional Other]],AN_TME_PY[[#All],[Insurance Category Code]],5,AN_TME_PY[[#All],[Advanced Network/Insurance Carrier Org ID]],B247)/S247)</f>
        <v>NA</v>
      </c>
      <c r="Z247" s="108" t="str">
        <f>IF(S247=0,"NA",SUMIFS(AN_TME_PY[[#All],[Claims: Pharmacy]],AN_TME_PY[[#All],[Insurance Category Code]],5,AN_TME_PY[[#All],[Advanced Network/Insurance Carrier Org ID]],B247)/S247)</f>
        <v>NA</v>
      </c>
      <c r="AA247" s="108" t="str">
        <f>IF(S247=0,"NA",SUMIFS(AN_TME_PY[[#All],[Claims: Long-Term Care]],AN_TME_PY[[#All],[Insurance Category Code]],5,AN_TME_PY[[#All],[Advanced Network/Insurance Carrier Org ID]],B247)/S247)</f>
        <v>NA</v>
      </c>
      <c r="AB247" s="108" t="str">
        <f>IF(S247=0,"NA",SUMIFS(AN_TME_PY[[#All],[Claims: Other]],AN_TME_PY[[#All],[Insurance Category Code]],5,AN_TME_PY[[#All],[Advanced Network/Insurance Carrier Org ID]],B247)/S247)</f>
        <v>NA</v>
      </c>
      <c r="AC247" s="147" t="str">
        <f>IF(S247=0,"NA",SUMIFS(AN_TME_PY[[#All],[TOTAL Non-Truncated Unadjusted Claims Expenses]],AN_TME_PY[[#All],[Insurance Category Code]],5,AN_TME_PY[[#All],[Advanced Network/Insurance Carrier Org ID]],B247)/S247)</f>
        <v>NA</v>
      </c>
      <c r="AD247" s="147" t="str">
        <f>IF(S247=0,"NA",SUMIFS(AN_TME_PY[[#All],[TOTAL Truncated Unadjusted Claims Expenses (A21 -A19)]],AN_TME_PY[[#All],[Insurance Category Code]],5,AN_TME_PY[[#All],[Advanced Network/Insurance Carrier Org ID]],B247)/S247)</f>
        <v>NA</v>
      </c>
      <c r="AE247" s="147" t="str">
        <f>IF(S247=0,"NA",SUMIFS(AN_TME_PY[[#All],[TOTAL Non-Claims Expenses]],AN_TME_PY[[#All],[Insurance Category Code]],5,AN_TME_PY[[#All],[Advanced Network/Insurance Carrier Org ID]],B247)/S247)</f>
        <v>NA</v>
      </c>
      <c r="AF247" s="147" t="str">
        <f>IF(S247=0,"NA",SUMIFS(AN_TME_PY[[#All],[TOTAL Non-Truncated Unadjusted Expenses (A21 + A23)]],AN_TME_PY[[#All],[Insurance Category Code]],5,AN_TME_PY[[#All],[Advanced Network/Insurance Carrier Org ID]],B247)/S247)</f>
        <v>NA</v>
      </c>
      <c r="AG247" s="138" t="str">
        <f>IF(S247=0,"NA",SUMIFS(AN_TME_PY[[#All],[TOTAL Truncated Unadjusted Expenses (A22 + A23)]],AN_TME_PY[[#All],[Insurance Category Code]],5,AN_TME_PY[[#All],[Advanced Network/Insurance Carrier Org ID]],B247)/S247)</f>
        <v>NA</v>
      </c>
      <c r="AH247" s="419" t="str">
        <f>IF(D247=0,"NA",S247/D247-1)</f>
        <v>NA</v>
      </c>
      <c r="AI247" s="420" t="str">
        <f>IF(D247=0,"NA",T247/E247-1)</f>
        <v>NA</v>
      </c>
      <c r="AJ247" s="421" t="str">
        <f>IF(D247=0,"NA",U247/F247-1)</f>
        <v>NA</v>
      </c>
      <c r="AK247" s="421" t="str">
        <f>IF(D247=0,"NA",V247/G247-1)</f>
        <v>NA</v>
      </c>
      <c r="AL247" s="421" t="str">
        <f>IF(D247=0,"NA",W247/H247-1)</f>
        <v>NA</v>
      </c>
      <c r="AM247" s="421" t="str">
        <f>IF(D247=0,"NA",X247/I247-1)</f>
        <v>NA</v>
      </c>
      <c r="AN247" s="421" t="str">
        <f>IF(D247=0,"NA",Y247/J247-1)</f>
        <v>NA</v>
      </c>
      <c r="AO247" s="421" t="str">
        <f>IF(D247=0,"NA",Z247/K247-1)</f>
        <v>NA</v>
      </c>
      <c r="AP247" s="421" t="str">
        <f>IF(D247=0,"NA",AA247/L247-1)</f>
        <v>NA</v>
      </c>
      <c r="AQ247" s="421" t="str">
        <f>IF(D247=0,"NA",AB247/M247-1)</f>
        <v>NA</v>
      </c>
      <c r="AR247" s="422" t="str">
        <f>IF(D247=0,"NA",AC247/N247-1)</f>
        <v>NA</v>
      </c>
      <c r="AS247" s="422" t="str">
        <f>IF(D247=0,"NA",AD247/O247-1)</f>
        <v>NA</v>
      </c>
      <c r="AT247" s="422" t="str">
        <f>IF(D247=0,"NA",AE247/P247-1)</f>
        <v>NA</v>
      </c>
      <c r="AU247" s="422" t="str">
        <f>IF(D247=0,"NA",AF247/Q247-1)</f>
        <v>NA</v>
      </c>
      <c r="AV247" s="423" t="str">
        <f>IF(D247=0,"NA",AG247/R247-1)</f>
        <v>NA</v>
      </c>
    </row>
    <row r="248" spans="1:48" ht="15" customHeight="1" x14ac:dyDescent="0.25">
      <c r="B248" s="149"/>
      <c r="C248" s="152" t="s">
        <v>332</v>
      </c>
      <c r="D248" s="449">
        <f>SUM(D213:D247)</f>
        <v>0</v>
      </c>
      <c r="E248" s="139" t="str">
        <f>IF(D248=0,"NA",SUMPRODUCT(E213:E247,D213:D247)/D248)</f>
        <v>NA</v>
      </c>
      <c r="F248" s="109" t="str">
        <f>IF(D248=0,"NA",SUMPRODUCT(F213:F247,D213:D247)/D248)</f>
        <v>NA</v>
      </c>
      <c r="G248" s="109" t="str">
        <f>IF(D248=0,"NA",SUMPRODUCT(G213:G247,D213:D247)/D248)</f>
        <v>NA</v>
      </c>
      <c r="H248" s="109" t="str">
        <f>IF(D248=0,"NA",SUMPRODUCT(H213:H247,D213:D247)/D248)</f>
        <v>NA</v>
      </c>
      <c r="I248" s="109" t="str">
        <f>IF(D248=0,"NA",SUMPRODUCT(I213:I247,D213:D247)/D248)</f>
        <v>NA</v>
      </c>
      <c r="J248" s="109" t="str">
        <f>IF(D248=0,"NA",SUMPRODUCT(J213:J247,D213:D247)/D248)</f>
        <v>NA</v>
      </c>
      <c r="K248" s="109" t="str">
        <f>IF(D248=0,"NA",SUMPRODUCT(K213:K247,D213:D247)/D248)</f>
        <v>NA</v>
      </c>
      <c r="L248" s="109" t="str">
        <f>IF(D248=0,"NA",SUMPRODUCT(L213:L247,D213:D247)/D248)</f>
        <v>NA</v>
      </c>
      <c r="M248" s="109" t="str">
        <f>IF(D248=0,"NA",SUMPRODUCT(M213:M247,D213:D247)/D248)</f>
        <v>NA</v>
      </c>
      <c r="N248" s="140" t="str">
        <f>IF(D248=0,"NA",SUMPRODUCT(N213:N247,D213:D247)/D248)</f>
        <v>NA</v>
      </c>
      <c r="O248" s="140" t="str">
        <f>IF(D248=0,"NA",SUMPRODUCT(O213:O247,D213:D247)/D248)</f>
        <v>NA</v>
      </c>
      <c r="P248" s="140" t="str">
        <f>IF(D248=0,"NA",SUMPRODUCT(P213:P247,D213:D247)/D248)</f>
        <v>NA</v>
      </c>
      <c r="Q248" s="140" t="str">
        <f>IF(D248=0,"NA",SUMPRODUCT(Q213:Q247,D213:D247)/D248)</f>
        <v>NA</v>
      </c>
      <c r="R248" s="140" t="str">
        <f>IF(D248=0,"NA",SUMPRODUCT(R213:R247,D213:D247)/D248)</f>
        <v>NA</v>
      </c>
      <c r="S248" s="449">
        <f>SUM(S213:S247)</f>
        <v>0</v>
      </c>
      <c r="T248" s="139" t="str">
        <f>IF(S248=0,"NA",SUMPRODUCT(T213:T247,S213:S247)/S248)</f>
        <v>NA</v>
      </c>
      <c r="U248" s="109" t="str">
        <f>IF(S248=0,"NA",SUMPRODUCT(U213:U247,S213:S247)/S248)</f>
        <v>NA</v>
      </c>
      <c r="V248" s="109" t="str">
        <f>IF(S248=0,"NA",SUMPRODUCT(V213:V247,S213:S247)/S248)</f>
        <v>NA</v>
      </c>
      <c r="W248" s="109" t="str">
        <f>IF(S248=0,"NA",SUMPRODUCT(W213:W247,S213:S247)/S248)</f>
        <v>NA</v>
      </c>
      <c r="X248" s="109" t="str">
        <f>IF(S248=0,"NA",SUMPRODUCT(X213:X247,S213:S247)/S248)</f>
        <v>NA</v>
      </c>
      <c r="Y248" s="109" t="str">
        <f>IF(S248=0,"NA",SUMPRODUCT(Y213:Y247,S213:S247)/S248)</f>
        <v>NA</v>
      </c>
      <c r="Z248" s="109" t="str">
        <f>IF(S248=0,"NA",SUMPRODUCT(Z213:Z247,S213:S247)/S248)</f>
        <v>NA</v>
      </c>
      <c r="AA248" s="109" t="str">
        <f>IF(S248=0,"NA",SUMPRODUCT(AA213:AA247,S213:S247)/S248)</f>
        <v>NA</v>
      </c>
      <c r="AB248" s="109" t="str">
        <f>IF(S248=0,"NA",SUMPRODUCT(AB213:AB247,S213:S247)/S248)</f>
        <v>NA</v>
      </c>
      <c r="AC248" s="140" t="str">
        <f>IF(S248=0,"NA",SUMPRODUCT(AC213:AC247,S213:S247)/S248)</f>
        <v>NA</v>
      </c>
      <c r="AD248" s="140" t="str">
        <f>IF(S248=0,"NA",SUMPRODUCT(AD213:AD247,S213:S247)/S248)</f>
        <v>NA</v>
      </c>
      <c r="AE248" s="140" t="str">
        <f>IF(S248=0,"NA",SUMPRODUCT(AE213:AE247,S213:S247)/S248)</f>
        <v>NA</v>
      </c>
      <c r="AF248" s="140" t="str">
        <f>IF(S248=0,"NA",SUMPRODUCT(AF213:AF247,S213:S247)/S248)</f>
        <v>NA</v>
      </c>
      <c r="AG248" s="141" t="str">
        <f>IF(S248=0,"NA",SUMPRODUCT(AG213:AG247,S213:S247)/S248)</f>
        <v>NA</v>
      </c>
      <c r="AH248" s="424" t="str">
        <f>IF(D248=0,"NA",S248/D248-1)</f>
        <v>NA</v>
      </c>
      <c r="AI248" s="425" t="str">
        <f>IF(D248=0,"NA",T248/E248-1)</f>
        <v>NA</v>
      </c>
      <c r="AJ248" s="426" t="str">
        <f>IF(D248=0,"NA",U248/F248-1)</f>
        <v>NA</v>
      </c>
      <c r="AK248" s="426" t="str">
        <f>IF(D248=0,"NA",V248/G248-1)</f>
        <v>NA</v>
      </c>
      <c r="AL248" s="426" t="str">
        <f>IF(D248=0,"NA",W248/H248-1)</f>
        <v>NA</v>
      </c>
      <c r="AM248" s="426" t="str">
        <f>IF(D248=0,"NA",X248/I248-1)</f>
        <v>NA</v>
      </c>
      <c r="AN248" s="426" t="str">
        <f>IF(D248=0,"NA",Y248/J248-1)</f>
        <v>NA</v>
      </c>
      <c r="AO248" s="426" t="str">
        <f>IF(D248=0,"NA",Z248/K248-1)</f>
        <v>NA</v>
      </c>
      <c r="AP248" s="426" t="str">
        <f>IF(D248=0,"NA",AA248/L248-1)</f>
        <v>NA</v>
      </c>
      <c r="AQ248" s="426" t="str">
        <f>IF(D248=0,"NA",AB248/M248-1)</f>
        <v>NA</v>
      </c>
      <c r="AR248" s="427" t="str">
        <f>IF(D248=0,"NA",AC248/N248-1)</f>
        <v>NA</v>
      </c>
      <c r="AS248" s="427" t="str">
        <f>IF(D248=0,"NA",AD248/O248-1)</f>
        <v>NA</v>
      </c>
      <c r="AT248" s="427" t="str">
        <f>IF(D248=0,"NA",AE248/P248-1)</f>
        <v>NA</v>
      </c>
      <c r="AU248" s="427" t="str">
        <f>IF(D248=0,"NA",AF248/Q248-1)</f>
        <v>NA</v>
      </c>
      <c r="AV248" s="428" t="str">
        <f>IF(D248=0,"NA",AG248/R248-1)</f>
        <v>NA</v>
      </c>
    </row>
    <row r="249" spans="1:48" ht="15.75" customHeight="1" thickBot="1" x14ac:dyDescent="0.3">
      <c r="B249" s="150"/>
      <c r="C249" s="153" t="s">
        <v>333</v>
      </c>
      <c r="D249" s="450">
        <f t="shared" ref="D249:J249" si="336">D248</f>
        <v>0</v>
      </c>
      <c r="E249" s="142" t="str">
        <f t="shared" si="336"/>
        <v>NA</v>
      </c>
      <c r="F249" s="143" t="str">
        <f t="shared" si="336"/>
        <v>NA</v>
      </c>
      <c r="G249" s="143" t="str">
        <f t="shared" si="336"/>
        <v>NA</v>
      </c>
      <c r="H249" s="143" t="str">
        <f t="shared" si="336"/>
        <v>NA</v>
      </c>
      <c r="I249" s="143" t="str">
        <f t="shared" si="336"/>
        <v>NA</v>
      </c>
      <c r="J249" s="143" t="str">
        <f t="shared" si="336"/>
        <v>NA</v>
      </c>
      <c r="K249" s="143" t="str">
        <f>IF(D249=0,"NA",(SUMPRODUCT(K213:K247,D213:D247)-ABS(SUMIF(RX_REBATES_BY[[#All],[Insurance Category Code]],5,RX_REBATES_BY[[#All],[Total Pharmacy Rebates]])))/D249)</f>
        <v>NA</v>
      </c>
      <c r="L249" s="143" t="str">
        <f>L248</f>
        <v>NA</v>
      </c>
      <c r="M249" s="143" t="str">
        <f>M248</f>
        <v>NA</v>
      </c>
      <c r="N249" s="144" t="str">
        <f>IF(D249=0,"NA",(SUMPRODUCT(N213:N247,D213:D247)-ABS(SUMIF(RX_REBATES_BY[[#All],[Insurance Category Code]],5,RX_REBATES_BY[[#All],[Total Pharmacy Rebates]])))/D249)</f>
        <v>NA</v>
      </c>
      <c r="O249" s="144" t="str">
        <f>IF(D249=0,"NA",(SUMPRODUCT(O213:O247,D213:D247)-ABS(SUMIF(RX_REBATES_BY[[#All],[Insurance Category Code]],5,RX_REBATES_BY[[#All],[Total Pharmacy Rebates]])))/D249)</f>
        <v>NA</v>
      </c>
      <c r="P249" s="144" t="str">
        <f>IF(D249=0,"NA",(SUMPRODUCT(P213:P247,D213:D247)-ABS(SUMIF(RX_REBATES_BY[[#All],[Insurance Category Code]],5,RX_REBATES_BY[[#All],[Total Pharmacy Rebates]])))/D249)</f>
        <v>NA</v>
      </c>
      <c r="Q249" s="144" t="str">
        <f>IF(D249=0,"NA",(SUMPRODUCT(Q213:Q247,D213:D247)-ABS(SUMIF(RX_REBATES_BY[[#All],[Insurance Category Code]],5,RX_REBATES_BY[[#All],[Total Pharmacy Rebates]])))/D249)</f>
        <v>NA</v>
      </c>
      <c r="R249" s="144" t="str">
        <f>IF(D249=0,"NA",(SUMPRODUCT(R213:R247,D213:D247)-ABS(SUMIF(RX_REBATES_BY[[#All],[Insurance Category Code]],5,RX_REBATES_BY[[#All],[Total Pharmacy Rebates]])))/D249)</f>
        <v>NA</v>
      </c>
      <c r="S249" s="450">
        <f t="shared" ref="S249:Y249" si="337">S248</f>
        <v>0</v>
      </c>
      <c r="T249" s="142" t="str">
        <f t="shared" si="337"/>
        <v>NA</v>
      </c>
      <c r="U249" s="143" t="str">
        <f t="shared" si="337"/>
        <v>NA</v>
      </c>
      <c r="V249" s="143" t="str">
        <f t="shared" si="337"/>
        <v>NA</v>
      </c>
      <c r="W249" s="143" t="str">
        <f t="shared" si="337"/>
        <v>NA</v>
      </c>
      <c r="X249" s="143" t="str">
        <f t="shared" si="337"/>
        <v>NA</v>
      </c>
      <c r="Y249" s="143" t="str">
        <f t="shared" si="337"/>
        <v>NA</v>
      </c>
      <c r="Z249" s="143" t="str">
        <f>IF(S249=0,"NA",(SUMPRODUCT(Z213:Z247,S213:S247)-ABS(SUMIF(RX_REBATES_PY[[#All],[Insurance Category Code]],5,RX_REBATES_PY[[#All],[Total Pharmacy Rebates]])))/S249)</f>
        <v>NA</v>
      </c>
      <c r="AA249" s="143" t="str">
        <f>AA248</f>
        <v>NA</v>
      </c>
      <c r="AB249" s="143" t="str">
        <f>AB248</f>
        <v>NA</v>
      </c>
      <c r="AC249" s="144" t="str">
        <f>IF(S249=0,"NA",(SUMPRODUCT(AC213:AC247,S213:S247)-ABS(SUMIF(RX_REBATES_PY[[#All],[Insurance Category Code]],5,RX_REBATES_PY[[#All],[Total Pharmacy Rebates]])))/S249)</f>
        <v>NA</v>
      </c>
      <c r="AD249" s="144" t="str">
        <f>IF(S249=0,"NA",(SUMPRODUCT(AD213:AD247,S213:S247)-ABS(SUMIF(RX_REBATES_PY[[#All],[Insurance Category Code]],5,RX_REBATES_PY[[#All],[Total Pharmacy Rebates]])))/S249)</f>
        <v>NA</v>
      </c>
      <c r="AE249" s="144" t="str">
        <f>IF(S249=0,"NA",(SUMPRODUCT(AE213:AE247,S213:S247)-ABS(SUMIF(RX_REBATES_PY[[#All],[Insurance Category Code]],5,RX_REBATES_PY[[#All],[Total Pharmacy Rebates]])))/S249)</f>
        <v>NA</v>
      </c>
      <c r="AF249" s="144" t="str">
        <f>IF(S249=0,"NA",(SUMPRODUCT(AF213:AF247,S213:S247)-ABS(SUMIF(RX_REBATES_PY[[#All],[Insurance Category Code]],5,RX_REBATES_PY[[#All],[Total Pharmacy Rebates]])))/S249)</f>
        <v>NA</v>
      </c>
      <c r="AG249" s="145" t="str">
        <f>IF(S249=0,"NA",(SUMPRODUCT(AG213:AG247,S213:S247)-ABS(SUMIF(RX_REBATES_PY[[#All],[Insurance Category Code]],5,RX_REBATES_PY[[#All],[Total Pharmacy Rebates]])))/S249)</f>
        <v>NA</v>
      </c>
      <c r="AH249" s="429" t="str">
        <f>IF(D249=0,"NA",S249/D249-1)</f>
        <v>NA</v>
      </c>
      <c r="AI249" s="430" t="str">
        <f>IF(D249=0,"NA",T249/E249-1)</f>
        <v>NA</v>
      </c>
      <c r="AJ249" s="431" t="str">
        <f>IF(D249=0,"NA",U249/F249-1)</f>
        <v>NA</v>
      </c>
      <c r="AK249" s="431" t="str">
        <f>IF(D249=0,"NA",V249/G249-1)</f>
        <v>NA</v>
      </c>
      <c r="AL249" s="431" t="str">
        <f>IF(D249=0,"NA",W249/H249-1)</f>
        <v>NA</v>
      </c>
      <c r="AM249" s="431" t="str">
        <f>IF(D249=0,"NA",X249/I249-1)</f>
        <v>NA</v>
      </c>
      <c r="AN249" s="431" t="str">
        <f>IF(D249=0,"NA",Y249/J249-1)</f>
        <v>NA</v>
      </c>
      <c r="AO249" s="431" t="str">
        <f>IF(D249=0,"NA",Z249/K249-1)</f>
        <v>NA</v>
      </c>
      <c r="AP249" s="431" t="str">
        <f>IF(D249=0,"NA",AA249/L249-1)</f>
        <v>NA</v>
      </c>
      <c r="AQ249" s="431" t="str">
        <f>IF(D249=0,"NA",AB249/M249-1)</f>
        <v>NA</v>
      </c>
      <c r="AR249" s="432" t="str">
        <f>IF(D249=0,"NA",AC249/N249-1)</f>
        <v>NA</v>
      </c>
      <c r="AS249" s="432" t="str">
        <f>IF(D249=0,"NA",AD249/O249-1)</f>
        <v>NA</v>
      </c>
      <c r="AT249" s="432" t="str">
        <f>IF(D249=0,"NA",AE249/P249-1)</f>
        <v>NA</v>
      </c>
      <c r="AU249" s="432" t="str">
        <f>IF(D249=0,"NA",AF249/Q249-1)</f>
        <v>NA</v>
      </c>
      <c r="AV249" s="433" t="str">
        <f>IF(D249=0,"NA",AG249/R249-1)</f>
        <v>NA</v>
      </c>
    </row>
    <row r="251" spans="1:48" ht="16.5" thickBot="1" x14ac:dyDescent="0.3">
      <c r="B251" s="53" t="s">
        <v>340</v>
      </c>
      <c r="C251" s="464"/>
    </row>
    <row r="252" spans="1:48" x14ac:dyDescent="0.25">
      <c r="B252" s="626" t="s">
        <v>322</v>
      </c>
      <c r="C252" s="627"/>
      <c r="D252" s="630">
        <v>2023</v>
      </c>
      <c r="E252" s="631"/>
      <c r="F252" s="631"/>
      <c r="G252" s="631"/>
      <c r="H252" s="631"/>
      <c r="I252" s="631"/>
      <c r="J252" s="631"/>
      <c r="K252" s="631"/>
      <c r="L252" s="631"/>
      <c r="M252" s="631"/>
      <c r="N252" s="631"/>
      <c r="O252" s="631"/>
      <c r="P252" s="631"/>
      <c r="Q252" s="631"/>
      <c r="R252" s="631"/>
      <c r="S252" s="630">
        <v>2024</v>
      </c>
      <c r="T252" s="631"/>
      <c r="U252" s="631"/>
      <c r="V252" s="631"/>
      <c r="W252" s="631"/>
      <c r="X252" s="631"/>
      <c r="Y252" s="631"/>
      <c r="Z252" s="631"/>
      <c r="AA252" s="631"/>
      <c r="AB252" s="631"/>
      <c r="AC252" s="631"/>
      <c r="AD252" s="631"/>
      <c r="AE252" s="631"/>
      <c r="AF252" s="631"/>
      <c r="AG252" s="636"/>
      <c r="AH252" s="572" t="s">
        <v>292</v>
      </c>
      <c r="AI252" s="573"/>
      <c r="AJ252" s="574"/>
      <c r="AK252" s="574"/>
      <c r="AL252" s="574"/>
      <c r="AM252" s="574"/>
      <c r="AN252" s="574"/>
      <c r="AO252" s="574"/>
      <c r="AP252" s="574"/>
      <c r="AQ252" s="574"/>
      <c r="AR252" s="575"/>
      <c r="AS252" s="575"/>
      <c r="AT252" s="575"/>
      <c r="AU252" s="575"/>
      <c r="AV252" s="576"/>
    </row>
    <row r="253" spans="1:48" ht="30" x14ac:dyDescent="0.25">
      <c r="B253" s="76" t="s">
        <v>323</v>
      </c>
      <c r="C253" s="78" t="s">
        <v>324</v>
      </c>
      <c r="D253" s="76" t="s">
        <v>212</v>
      </c>
      <c r="E253" s="130" t="s">
        <v>124</v>
      </c>
      <c r="F253" s="77" t="s">
        <v>125</v>
      </c>
      <c r="G253" s="77" t="s">
        <v>127</v>
      </c>
      <c r="H253" s="77" t="s">
        <v>325</v>
      </c>
      <c r="I253" s="77" t="s">
        <v>129</v>
      </c>
      <c r="J253" s="77" t="s">
        <v>130</v>
      </c>
      <c r="K253" s="77" t="s">
        <v>326</v>
      </c>
      <c r="L253" s="77" t="s">
        <v>327</v>
      </c>
      <c r="M253" s="77" t="s">
        <v>134</v>
      </c>
      <c r="N253" s="136" t="s">
        <v>328</v>
      </c>
      <c r="O253" s="136" t="s">
        <v>329</v>
      </c>
      <c r="P253" s="136" t="s">
        <v>218</v>
      </c>
      <c r="Q253" s="136" t="s">
        <v>330</v>
      </c>
      <c r="R253" s="136" t="s">
        <v>331</v>
      </c>
      <c r="S253" s="76" t="s">
        <v>212</v>
      </c>
      <c r="T253" s="130" t="s">
        <v>124</v>
      </c>
      <c r="U253" s="77" t="s">
        <v>125</v>
      </c>
      <c r="V253" s="77" t="s">
        <v>127</v>
      </c>
      <c r="W253" s="77" t="s">
        <v>325</v>
      </c>
      <c r="X253" s="77" t="s">
        <v>129</v>
      </c>
      <c r="Y253" s="77" t="s">
        <v>130</v>
      </c>
      <c r="Z253" s="77" t="s">
        <v>326</v>
      </c>
      <c r="AA253" s="77" t="s">
        <v>327</v>
      </c>
      <c r="AB253" s="77" t="s">
        <v>134</v>
      </c>
      <c r="AC253" s="136" t="s">
        <v>328</v>
      </c>
      <c r="AD253" s="136" t="s">
        <v>329</v>
      </c>
      <c r="AE253" s="136" t="s">
        <v>218</v>
      </c>
      <c r="AF253" s="136" t="s">
        <v>330</v>
      </c>
      <c r="AG253" s="78" t="s">
        <v>331</v>
      </c>
      <c r="AH253" s="76" t="s">
        <v>212</v>
      </c>
      <c r="AI253" s="130" t="s">
        <v>124</v>
      </c>
      <c r="AJ253" s="77" t="s">
        <v>125</v>
      </c>
      <c r="AK253" s="77" t="s">
        <v>127</v>
      </c>
      <c r="AL253" s="77" t="s">
        <v>325</v>
      </c>
      <c r="AM253" s="77" t="s">
        <v>129</v>
      </c>
      <c r="AN253" s="77" t="s">
        <v>130</v>
      </c>
      <c r="AO253" s="77" t="s">
        <v>326</v>
      </c>
      <c r="AP253" s="77" t="s">
        <v>327</v>
      </c>
      <c r="AQ253" s="77" t="s">
        <v>134</v>
      </c>
      <c r="AR253" s="136" t="s">
        <v>328</v>
      </c>
      <c r="AS253" s="136" t="s">
        <v>329</v>
      </c>
      <c r="AT253" s="136" t="s">
        <v>218</v>
      </c>
      <c r="AU253" s="136" t="s">
        <v>330</v>
      </c>
      <c r="AV253" s="78" t="s">
        <v>331</v>
      </c>
    </row>
    <row r="254" spans="1:48" ht="15" customHeight="1" x14ac:dyDescent="0.25">
      <c r="A254" s="146"/>
      <c r="B254" s="148">
        <v>101</v>
      </c>
      <c r="C254" s="151" t="str">
        <f>_xlfn.XLOOKUP(B254, LgProvEntOrgIDs[Advanced Network/Insurer Carrier Org ID], LgProvEntOrgIDs[Advanced Network/Insurance Carrier Overall])</f>
        <v>Privia Quality Network of Connecticut (PQN CT) (formerly Community Medical Group)</v>
      </c>
      <c r="D254" s="448">
        <f>SUMIFS(AN_TME_BY[[#All],[Member Months]],AN_TME_BY[[#All],[Insurance Category Code]],7,AN_TME_BY[[#All],[Advanced Network/Insurance Carrier Org ID]],B254)</f>
        <v>0</v>
      </c>
      <c r="E254" s="137" t="str">
        <f>IF(D254=0,"NA",SUMIFS(AN_TME_BY[[#All],[Claims: Hospital Inpatient]],AN_TME_BY[[#All],[Insurance Category Code]],7,AN_TME_BY[[#All],[Advanced Network/Insurance Carrier Org ID]],B254)/D254)</f>
        <v>NA</v>
      </c>
      <c r="F254" s="108" t="str">
        <f>IF(D254=0,"NA",SUMIFS(AN_TME_BY[[#All],[Claims: Hospital Outpatient]],AN_TME_BY[[#All],[Insurance Category Code]],7,AN_TME_BY[[#All],[Advanced Network/Insurance Carrier Org ID]],B254)/D254)</f>
        <v>NA</v>
      </c>
      <c r="G254" s="108" t="str">
        <f>IF(D254=0,"NA",SUMIFS(AN_TME_BY[[#All],[Claims: Professional, Primary Care]],AN_TME_BY[[#All],[Insurance Category Code]],7,AN_TME_BY[[#All],[Advanced Network/Insurance Carrier Org ID]],B254)/D254)</f>
        <v>NA</v>
      </c>
      <c r="H254" s="108" t="str">
        <f>IF(D254=0,"NA",SUMIFS(AN_TME_BY[[#All],[Claims: Professional, Primary Care (for Monitoring Purposes)]],AN_TME_BY[[#All],[Insurance Category Code]],7,AN_TME_BY[[#All],[Advanced Network/Insurance Carrier Org ID]],B254)/D254)</f>
        <v>NA</v>
      </c>
      <c r="I254" s="108" t="str">
        <f>IF(D254=0,"NA",SUMIFS(AN_TME_BY[[#All],[Claims: Professional, Specialty]],AN_TME_BY[[#All],[Insurance Category Code]],7,AN_TME_BY[[#All],[Advanced Network/Insurance Carrier Org ID]],B254)/D254)</f>
        <v>NA</v>
      </c>
      <c r="J254" s="108" t="str">
        <f>IF(D254=0,"NA",SUMIFS(AN_TME_BY[[#All],[Claims: Professional Other]],AN_TME_BY[[#All],[Insurance Category Code]],7,AN_TME_BY[[#All],[Advanced Network/Insurance Carrier Org ID]],B254)/D254)</f>
        <v>NA</v>
      </c>
      <c r="K254" s="108" t="str">
        <f>IF(D254=0,"NA",SUMIFS(AN_TME_BY[[#All],[Claims: Pharmacy]],AN_TME_BY[[#All],[Insurance Category Code]],7,AN_TME_BY[[#All],[Advanced Network/Insurance Carrier Org ID]],B254)/D254)</f>
        <v>NA</v>
      </c>
      <c r="L254" s="108" t="str">
        <f>IF(D254=0,"NA",SUMIFS(AN_TME_BY[[#All],[Claims: Long-Term Care]],AN_TME_BY[[#All],[Insurance Category Code]],7,AN_TME_BY[[#All],[Advanced Network/Insurance Carrier Org ID]],B254)/D254)</f>
        <v>NA</v>
      </c>
      <c r="M254" s="108" t="str">
        <f>IF(D254=0,"NA",SUMIFS(AN_TME_BY[[#All],[Claims: Other]],AN_TME_BY[[#All],[Insurance Category Code]],7,AN_TME_BY[[#All],[Advanced Network/Insurance Carrier Org ID]],B254)/D254)</f>
        <v>NA</v>
      </c>
      <c r="N254" s="147" t="str">
        <f>IF(D254=0,"NA",SUMIFS(AN_TME_BY[[#All],[TOTAL Non-Truncated Unadjusted Claims Expenses]],AN_TME_BY[[#All],[Insurance Category Code]],7,AN_TME_BY[[#All],[Advanced Network/Insurance Carrier Org ID]],B254)/D254)</f>
        <v>NA</v>
      </c>
      <c r="O254" s="147" t="str">
        <f>IF(D254=0,"NA",SUMIFS(AN_TME_BY[[#All],[TOTAL Truncated Unadjusted Claims Expenses (A21 -A19)]],AN_TME_BY[[#All],[Insurance Category Code]],7,AN_TME_BY[[#All],[Advanced Network/Insurance Carrier Org ID]],B254)/D254)</f>
        <v>NA</v>
      </c>
      <c r="P254" s="147" t="str">
        <f>IF(D254=0,"NA",SUMIFS(AN_TME_BY[[#All],[TOTAL Non-Claims Expenses]],AN_TME_BY[[#All],[Insurance Category Code]],7,AN_TME_BY[[#All],[Advanced Network/Insurance Carrier Org ID]],B254)/D254)</f>
        <v>NA</v>
      </c>
      <c r="Q254" s="147" t="str">
        <f>IF(D254=0,"NA",SUMIFS(AN_TME_BY[[#All],[TOTAL Non-Truncated Unadjusted Expenses (A21 + A23)]],AN_TME_BY[[#All],[Insurance Category Code]],7,AN_TME_BY[[#All],[Advanced Network/Insurance Carrier Org ID]],B254)/D254)</f>
        <v>NA</v>
      </c>
      <c r="R254" s="147" t="str">
        <f>IF(D254=0,"NA",SUMIFS(AN_TME_BY[[#All],[TOTAL Truncated Unadjusted Expenses (A22 + A23)]],AN_TME_BY[[#All],[Insurance Category Code]],7,AN_TME_BY[[#All],[Advanced Network/Insurance Carrier Org ID]],B254)/D254)</f>
        <v>NA</v>
      </c>
      <c r="S254" s="445">
        <f>SUMIFS(AN_TME_PY[[#All],[Member Months]],AN_TME_PY[[#All],[Insurance Category Code]],7,AN_TME_PY[[#All],[Advanced Network/Insurance Carrier Org ID]],B254)</f>
        <v>0</v>
      </c>
      <c r="T254" s="434" t="str">
        <f>IF(S254=0,"NA",SUMIFS(AN_TME_PY[[#All],[Claims: Hospital Inpatient]],AN_TME_PY[[#All],[Insurance Category Code]],7,AN_TME_PY[[#All],[Advanced Network/Insurance Carrier Org ID]],B254)/S254)</f>
        <v>NA</v>
      </c>
      <c r="U254" s="435" t="str">
        <f>IF(S254=0,"NA",SUMIFS(AN_TME_PY[[#All],[Claims: Hospital Outpatient]],AN_TME_PY[[#All],[Insurance Category Code]],7,AN_TME_PY[[#All],[Advanced Network/Insurance Carrier Org ID]],B254)/S254)</f>
        <v>NA</v>
      </c>
      <c r="V254" s="435" t="str">
        <f>IF(S254=0,"NA",SUMIFS(AN_TME_PY[[#All],[Claims: Professional, Primary Care]],AN_TME_PY[[#All],[Insurance Category Code]],7,AN_TME_PY[[#All],[Advanced Network/Insurance Carrier Org ID]],B254)/S254)</f>
        <v>NA</v>
      </c>
      <c r="W254" s="435" t="str">
        <f>IF(S254=0,"NA",SUMIFS(AN_TME_PY[[#All],[Claims: Professional, Primary Care (for Monitoring Purposes)]],AN_TME_PY[[#All],[Insurance Category Code]],7,AN_TME_PY[[#All],[Advanced Network/Insurance Carrier Org ID]],B254)/S254)</f>
        <v>NA</v>
      </c>
      <c r="X254" s="435" t="str">
        <f>IF(S254=0,"NA",SUMIFS(AN_TME_PY[[#All],[Claims: Professional, Specialty]],AN_TME_PY[[#All],[Insurance Category Code]],7,AN_TME_PY[[#All],[Advanced Network/Insurance Carrier Org ID]],B254)/S254)</f>
        <v>NA</v>
      </c>
      <c r="Y254" s="435" t="str">
        <f>IF(S254=0,"NA",SUMIFS(AN_TME_PY[[#All],[Claims: Professional Other]],AN_TME_PY[[#All],[Insurance Category Code]],7,AN_TME_PY[[#All],[Advanced Network/Insurance Carrier Org ID]],B254)/S254)</f>
        <v>NA</v>
      </c>
      <c r="Z254" s="435" t="str">
        <f>IF(S254=0,"NA",SUMIFS(AN_TME_PY[[#All],[Claims: Pharmacy]],AN_TME_PY[[#All],[Insurance Category Code]],7,AN_TME_PY[[#All],[Advanced Network/Insurance Carrier Org ID]],B254)/S254)</f>
        <v>NA</v>
      </c>
      <c r="AA254" s="435" t="str">
        <f>IF(S254=0,"NA",SUMIFS(AN_TME_PY[[#All],[Claims: Long-Term Care]],AN_TME_PY[[#All],[Insurance Category Code]],7,AN_TME_PY[[#All],[Advanced Network/Insurance Carrier Org ID]],B254)/S254)</f>
        <v>NA</v>
      </c>
      <c r="AB254" s="435" t="str">
        <f>IF(S254=0,"NA",SUMIFS(AN_TME_PY[[#All],[Claims: Other]],AN_TME_PY[[#All],[Insurance Category Code]],7,AN_TME_PY[[#All],[Advanced Network/Insurance Carrier Org ID]],B254)/S254)</f>
        <v>NA</v>
      </c>
      <c r="AC254" s="436" t="str">
        <f>IF(S254=0,"NA",SUMIFS(AN_TME_PY[[#All],[TOTAL Non-Truncated Unadjusted Claims Expenses]],AN_TME_PY[[#All],[Insurance Category Code]],7,AN_TME_PY[[#All],[Advanced Network/Insurance Carrier Org ID]],B254)/S254)</f>
        <v>NA</v>
      </c>
      <c r="AD254" s="436" t="str">
        <f>IF(S254=0,"NA",SUMIFS(AN_TME_PY[[#All],[TOTAL Truncated Unadjusted Claims Expenses (A21 -A19)]],AN_TME_PY[[#All],[Insurance Category Code]],7,AN_TME_PY[[#All],[Advanced Network/Insurance Carrier Org ID]],B254)/S254)</f>
        <v>NA</v>
      </c>
      <c r="AE254" s="436" t="str">
        <f>IF(S254=0,"NA",SUMIFS(AN_TME_PY[[#All],[TOTAL Non-Claims Expenses]],AN_TME_PY[[#All],[Insurance Category Code]],7,AN_TME_PY[[#All],[Advanced Network/Insurance Carrier Org ID]],B254)/S254)</f>
        <v>NA</v>
      </c>
      <c r="AF254" s="436" t="str">
        <f>IF(S254=0,"NA",SUMIFS(AN_TME_PY[[#All],[TOTAL Non-Truncated Unadjusted Expenses (A21 + A23)]],AN_TME_PY[[#All],[Insurance Category Code]],7,AN_TME_PY[[#All],[Advanced Network/Insurance Carrier Org ID]],B254)/S254)</f>
        <v>NA</v>
      </c>
      <c r="AG254" s="437" t="str">
        <f>IF(S254=0,"NA",SUMIFS(AN_TME_PY[[#All],[TOTAL Truncated Unadjusted Expenses (A22 + A23)]],AN_TME_PY[[#All],[Insurance Category Code]],7,AN_TME_PY[[#All],[Advanced Network/Insurance Carrier Org ID]],B254)/S254)</f>
        <v>NA</v>
      </c>
      <c r="AH254" s="419" t="str">
        <f>IF(D254=0,"NA",S254/D254-1)</f>
        <v>NA</v>
      </c>
      <c r="AI254" s="420" t="str">
        <f>IF(D254=0,"NA",T254/E254-1)</f>
        <v>NA</v>
      </c>
      <c r="AJ254" s="421" t="str">
        <f>IF(D254=0,"NA",U254/F254-1)</f>
        <v>NA</v>
      </c>
      <c r="AK254" s="421" t="str">
        <f>IF(D254=0,"NA",V254/G254-1)</f>
        <v>NA</v>
      </c>
      <c r="AL254" s="421" t="str">
        <f>IF(D254=0,"NA",W254/H254-1)</f>
        <v>NA</v>
      </c>
      <c r="AM254" s="421" t="str">
        <f>IF(D254=0,"NA",X254/I254-1)</f>
        <v>NA</v>
      </c>
      <c r="AN254" s="421" t="str">
        <f>IF(D254=0,"NA",Y254/J254-1)</f>
        <v>NA</v>
      </c>
      <c r="AO254" s="421" t="str">
        <f>IF(D254=0,"NA",Z254/K254-1)</f>
        <v>NA</v>
      </c>
      <c r="AP254" s="421" t="str">
        <f>IF(D254=0,"NA",AA254/L254-1)</f>
        <v>NA</v>
      </c>
      <c r="AQ254" s="421" t="str">
        <f>IF(D254=0,"NA",AB254/M254-1)</f>
        <v>NA</v>
      </c>
      <c r="AR254" s="422" t="str">
        <f>IF(D254=0,"NA",AC254/N254-1)</f>
        <v>NA</v>
      </c>
      <c r="AS254" s="422" t="str">
        <f>IF(D254=0,"NA",AD254/O254-1)</f>
        <v>NA</v>
      </c>
      <c r="AT254" s="422" t="str">
        <f>IF(D254=0,"NA",AE254/P254-1)</f>
        <v>NA</v>
      </c>
      <c r="AU254" s="422" t="str">
        <f>IF(D254=0,"NA",AF254/Q254-1)</f>
        <v>NA</v>
      </c>
      <c r="AV254" s="423" t="str">
        <f>IF(D254=0,"NA",AG254/R254-1)</f>
        <v>NA</v>
      </c>
    </row>
    <row r="255" spans="1:48" ht="15" customHeight="1" x14ac:dyDescent="0.25">
      <c r="A255" s="146"/>
      <c r="B255" s="148">
        <v>102</v>
      </c>
      <c r="C255" s="151" t="str">
        <f>_xlfn.XLOOKUP(B255, LgProvEntOrgIDs[Advanced Network/Insurer Carrier Org ID], LgProvEntOrgIDs[Advanced Network/Insurance Carrier Overall])</f>
        <v>Connecticut Children's Care Network</v>
      </c>
      <c r="D255" s="448">
        <f>SUMIFS(AN_TME_BY[[#All],[Member Months]],AN_TME_BY[[#All],[Insurance Category Code]],7,AN_TME_BY[[#All],[Advanced Network/Insurance Carrier Org ID]],B255)</f>
        <v>0</v>
      </c>
      <c r="E255" s="137" t="str">
        <f>IF(D255=0,"NA",SUMIFS(AN_TME_BY[[#All],[Claims: Hospital Inpatient]],AN_TME_BY[[#All],[Insurance Category Code]],7,AN_TME_BY[[#All],[Advanced Network/Insurance Carrier Org ID]],B255)/D255)</f>
        <v>NA</v>
      </c>
      <c r="F255" s="108" t="str">
        <f>IF(D255=0,"NA",SUMIFS(AN_TME_BY[[#All],[Claims: Hospital Outpatient]],AN_TME_BY[[#All],[Insurance Category Code]],7,AN_TME_BY[[#All],[Advanced Network/Insurance Carrier Org ID]],B255)/D255)</f>
        <v>NA</v>
      </c>
      <c r="G255" s="108" t="str">
        <f>IF(D255=0,"NA",SUMIFS(AN_TME_BY[[#All],[Claims: Professional, Primary Care]],AN_TME_BY[[#All],[Insurance Category Code]],7,AN_TME_BY[[#All],[Advanced Network/Insurance Carrier Org ID]],B255)/D255)</f>
        <v>NA</v>
      </c>
      <c r="H255" s="108" t="str">
        <f>IF(D255=0,"NA",SUMIFS(AN_TME_BY[[#All],[Claims: Professional, Primary Care (for Monitoring Purposes)]],AN_TME_BY[[#All],[Insurance Category Code]],7,AN_TME_BY[[#All],[Advanced Network/Insurance Carrier Org ID]],B255)/D255)</f>
        <v>NA</v>
      </c>
      <c r="I255" s="108" t="str">
        <f>IF(D255=0,"NA",SUMIFS(AN_TME_BY[[#All],[Claims: Professional, Specialty]],AN_TME_BY[[#All],[Insurance Category Code]],7,AN_TME_BY[[#All],[Advanced Network/Insurance Carrier Org ID]],B255)/D255)</f>
        <v>NA</v>
      </c>
      <c r="J255" s="108" t="str">
        <f>IF(D255=0,"NA",SUMIFS(AN_TME_BY[[#All],[Claims: Professional Other]],AN_TME_BY[[#All],[Insurance Category Code]],7,AN_TME_BY[[#All],[Advanced Network/Insurance Carrier Org ID]],B255)/D255)</f>
        <v>NA</v>
      </c>
      <c r="K255" s="108" t="str">
        <f>IF(D255=0,"NA",SUMIFS(AN_TME_BY[[#All],[Claims: Pharmacy]],AN_TME_BY[[#All],[Insurance Category Code]],7,AN_TME_BY[[#All],[Advanced Network/Insurance Carrier Org ID]],B255)/D255)</f>
        <v>NA</v>
      </c>
      <c r="L255" s="108" t="str">
        <f>IF(D255=0,"NA",SUMIFS(AN_TME_BY[[#All],[Claims: Long-Term Care]],AN_TME_BY[[#All],[Insurance Category Code]],7,AN_TME_BY[[#All],[Advanced Network/Insurance Carrier Org ID]],B255)/D255)</f>
        <v>NA</v>
      </c>
      <c r="M255" s="108" t="str">
        <f>IF(D255=0,"NA",SUMIFS(AN_TME_BY[[#All],[Claims: Other]],AN_TME_BY[[#All],[Insurance Category Code]],7,AN_TME_BY[[#All],[Advanced Network/Insurance Carrier Org ID]],B255)/D255)</f>
        <v>NA</v>
      </c>
      <c r="N255" s="147" t="str">
        <f>IF(D255=0,"NA",SUMIFS(AN_TME_BY[[#All],[TOTAL Non-Truncated Unadjusted Claims Expenses]],AN_TME_BY[[#All],[Insurance Category Code]],7,AN_TME_BY[[#All],[Advanced Network/Insurance Carrier Org ID]],B255)/D255)</f>
        <v>NA</v>
      </c>
      <c r="O255" s="147" t="str">
        <f>IF(D255=0,"NA",SUMIFS(AN_TME_BY[[#All],[TOTAL Truncated Unadjusted Claims Expenses (A21 -A19)]],AN_TME_BY[[#All],[Insurance Category Code]],7,AN_TME_BY[[#All],[Advanced Network/Insurance Carrier Org ID]],B255)/D255)</f>
        <v>NA</v>
      </c>
      <c r="P255" s="147" t="str">
        <f>IF(D255=0,"NA",SUMIFS(AN_TME_BY[[#All],[TOTAL Non-Claims Expenses]],AN_TME_BY[[#All],[Insurance Category Code]],7,AN_TME_BY[[#All],[Advanced Network/Insurance Carrier Org ID]],B255)/D255)</f>
        <v>NA</v>
      </c>
      <c r="Q255" s="147" t="str">
        <f>IF(D255=0,"NA",SUMIFS(AN_TME_BY[[#All],[TOTAL Non-Truncated Unadjusted Expenses (A21 + A23)]],AN_TME_BY[[#All],[Insurance Category Code]],7,AN_TME_BY[[#All],[Advanced Network/Insurance Carrier Org ID]],B255)/D255)</f>
        <v>NA</v>
      </c>
      <c r="R255" s="147" t="str">
        <f>IF(D255=0,"NA",SUMIFS(AN_TME_BY[[#All],[TOTAL Truncated Unadjusted Expenses (A22 + A23)]],AN_TME_BY[[#All],[Insurance Category Code]],7,AN_TME_BY[[#All],[Advanced Network/Insurance Carrier Org ID]],B255)/D255)</f>
        <v>NA</v>
      </c>
      <c r="S255" s="445">
        <f>SUMIFS(AN_TME_PY[[#All],[Member Months]],AN_TME_PY[[#All],[Insurance Category Code]],7,AN_TME_PY[[#All],[Advanced Network/Insurance Carrier Org ID]],B255)</f>
        <v>0</v>
      </c>
      <c r="T255" s="434" t="str">
        <f>IF(S255=0,"NA",SUMIFS(AN_TME_PY[[#All],[Claims: Hospital Inpatient]],AN_TME_PY[[#All],[Insurance Category Code]],7,AN_TME_PY[[#All],[Advanced Network/Insurance Carrier Org ID]],B255)/S255)</f>
        <v>NA</v>
      </c>
      <c r="U255" s="435" t="str">
        <f>IF(S255=0,"NA",SUMIFS(AN_TME_PY[[#All],[Claims: Hospital Outpatient]],AN_TME_PY[[#All],[Insurance Category Code]],7,AN_TME_PY[[#All],[Advanced Network/Insurance Carrier Org ID]],B255)/S255)</f>
        <v>NA</v>
      </c>
      <c r="V255" s="435" t="str">
        <f>IF(S255=0,"NA",SUMIFS(AN_TME_PY[[#All],[Claims: Professional, Primary Care]],AN_TME_PY[[#All],[Insurance Category Code]],7,AN_TME_PY[[#All],[Advanced Network/Insurance Carrier Org ID]],B255)/S255)</f>
        <v>NA</v>
      </c>
      <c r="W255" s="435" t="str">
        <f>IF(S255=0,"NA",SUMIFS(AN_TME_PY[[#All],[Claims: Professional, Primary Care (for Monitoring Purposes)]],AN_TME_PY[[#All],[Insurance Category Code]],7,AN_TME_PY[[#All],[Advanced Network/Insurance Carrier Org ID]],B255)/S255)</f>
        <v>NA</v>
      </c>
      <c r="X255" s="435" t="str">
        <f>IF(S255=0,"NA",SUMIFS(AN_TME_PY[[#All],[Claims: Professional, Specialty]],AN_TME_PY[[#All],[Insurance Category Code]],7,AN_TME_PY[[#All],[Advanced Network/Insurance Carrier Org ID]],B255)/S255)</f>
        <v>NA</v>
      </c>
      <c r="Y255" s="435" t="str">
        <f>IF(S255=0,"NA",SUMIFS(AN_TME_PY[[#All],[Claims: Professional Other]],AN_TME_PY[[#All],[Insurance Category Code]],7,AN_TME_PY[[#All],[Advanced Network/Insurance Carrier Org ID]],B255)/S255)</f>
        <v>NA</v>
      </c>
      <c r="Z255" s="435" t="str">
        <f>IF(S255=0,"NA",SUMIFS(AN_TME_PY[[#All],[Claims: Pharmacy]],AN_TME_PY[[#All],[Insurance Category Code]],7,AN_TME_PY[[#All],[Advanced Network/Insurance Carrier Org ID]],B255)/S255)</f>
        <v>NA</v>
      </c>
      <c r="AA255" s="435" t="str">
        <f>IF(S255=0,"NA",SUMIFS(AN_TME_PY[[#All],[Claims: Long-Term Care]],AN_TME_PY[[#All],[Insurance Category Code]],7,AN_TME_PY[[#All],[Advanced Network/Insurance Carrier Org ID]],B255)/S255)</f>
        <v>NA</v>
      </c>
      <c r="AB255" s="435" t="str">
        <f>IF(S255=0,"NA",SUMIFS(AN_TME_PY[[#All],[Claims: Other]],AN_TME_PY[[#All],[Insurance Category Code]],7,AN_TME_PY[[#All],[Advanced Network/Insurance Carrier Org ID]],B255)/S255)</f>
        <v>NA</v>
      </c>
      <c r="AC255" s="436" t="str">
        <f>IF(S255=0,"NA",SUMIFS(AN_TME_PY[[#All],[TOTAL Non-Truncated Unadjusted Claims Expenses]],AN_TME_PY[[#All],[Insurance Category Code]],7,AN_TME_PY[[#All],[Advanced Network/Insurance Carrier Org ID]],B255)/S255)</f>
        <v>NA</v>
      </c>
      <c r="AD255" s="436" t="str">
        <f>IF(S255=0,"NA",SUMIFS(AN_TME_PY[[#All],[TOTAL Truncated Unadjusted Claims Expenses (A21 -A19)]],AN_TME_PY[[#All],[Insurance Category Code]],7,AN_TME_PY[[#All],[Advanced Network/Insurance Carrier Org ID]],B255)/S255)</f>
        <v>NA</v>
      </c>
      <c r="AE255" s="436" t="str">
        <f>IF(S255=0,"NA",SUMIFS(AN_TME_PY[[#All],[TOTAL Non-Claims Expenses]],AN_TME_PY[[#All],[Insurance Category Code]],7,AN_TME_PY[[#All],[Advanced Network/Insurance Carrier Org ID]],B255)/S255)</f>
        <v>NA</v>
      </c>
      <c r="AF255" s="436" t="str">
        <f>IF(S255=0,"NA",SUMIFS(AN_TME_PY[[#All],[TOTAL Non-Truncated Unadjusted Expenses (A21 + A23)]],AN_TME_PY[[#All],[Insurance Category Code]],7,AN_TME_PY[[#All],[Advanced Network/Insurance Carrier Org ID]],B255)/S255)</f>
        <v>NA</v>
      </c>
      <c r="AG255" s="437" t="str">
        <f>IF(S255=0,"NA",SUMIFS(AN_TME_PY[[#All],[TOTAL Truncated Unadjusted Expenses (A22 + A23)]],AN_TME_PY[[#All],[Insurance Category Code]],7,AN_TME_PY[[#All],[Advanced Network/Insurance Carrier Org ID]],B255)/S255)</f>
        <v>NA</v>
      </c>
      <c r="AH255" s="419" t="str">
        <f t="shared" ref="AH255:AH263" si="338">IF(D255=0,"NA",S255/D255-1)</f>
        <v>NA</v>
      </c>
      <c r="AI255" s="420" t="str">
        <f t="shared" ref="AI255:AI263" si="339">IF(D255=0,"NA",T255/E255-1)</f>
        <v>NA</v>
      </c>
      <c r="AJ255" s="421" t="str">
        <f t="shared" ref="AJ255:AJ263" si="340">IF(D255=0,"NA",U255/F255-1)</f>
        <v>NA</v>
      </c>
      <c r="AK255" s="421" t="str">
        <f t="shared" ref="AK255:AK263" si="341">IF(D255=0,"NA",V255/G255-1)</f>
        <v>NA</v>
      </c>
      <c r="AL255" s="421" t="str">
        <f t="shared" ref="AL255:AL263" si="342">IF(D255=0,"NA",W255/H255-1)</f>
        <v>NA</v>
      </c>
      <c r="AM255" s="421" t="str">
        <f t="shared" ref="AM255:AM263" si="343">IF(D255=0,"NA",X255/I255-1)</f>
        <v>NA</v>
      </c>
      <c r="AN255" s="421" t="str">
        <f t="shared" ref="AN255:AN263" si="344">IF(D255=0,"NA",Y255/J255-1)</f>
        <v>NA</v>
      </c>
      <c r="AO255" s="421" t="str">
        <f t="shared" ref="AO255:AO263" si="345">IF(D255=0,"NA",Z255/K255-1)</f>
        <v>NA</v>
      </c>
      <c r="AP255" s="421" t="str">
        <f t="shared" ref="AP255:AP263" si="346">IF(D255=0,"NA",AA255/L255-1)</f>
        <v>NA</v>
      </c>
      <c r="AQ255" s="421" t="str">
        <f t="shared" ref="AQ255:AQ263" si="347">IF(D255=0,"NA",AB255/M255-1)</f>
        <v>NA</v>
      </c>
      <c r="AR255" s="422" t="str">
        <f t="shared" ref="AR255:AR263" si="348">IF(D255=0,"NA",AC255/N255-1)</f>
        <v>NA</v>
      </c>
      <c r="AS255" s="422" t="str">
        <f t="shared" ref="AS255:AS263" si="349">IF(D255=0,"NA",AD255/O255-1)</f>
        <v>NA</v>
      </c>
      <c r="AT255" s="422" t="str">
        <f t="shared" ref="AT255:AT263" si="350">IF(D255=0,"NA",AE255/P255-1)</f>
        <v>NA</v>
      </c>
      <c r="AU255" s="422" t="str">
        <f t="shared" ref="AU255:AU263" si="351">IF(D255=0,"NA",AF255/Q255-1)</f>
        <v>NA</v>
      </c>
      <c r="AV255" s="423" t="str">
        <f t="shared" ref="AV255:AV263" si="352">IF(D255=0,"NA",AG255/R255-1)</f>
        <v>NA</v>
      </c>
    </row>
    <row r="256" spans="1:48" ht="15" customHeight="1" x14ac:dyDescent="0.25">
      <c r="A256" s="146"/>
      <c r="B256" s="148">
        <v>103</v>
      </c>
      <c r="C256" s="151" t="str">
        <f>_xlfn.XLOOKUP(B256, LgProvEntOrgIDs[Advanced Network/Insurer Carrier Org ID], LgProvEntOrgIDs[Advanced Network/Insurance Carrier Overall])</f>
        <v>Connecticut State Medical Society IPA</v>
      </c>
      <c r="D256" s="448">
        <f>SUMIFS(AN_TME_BY[[#All],[Member Months]],AN_TME_BY[[#All],[Insurance Category Code]],7,AN_TME_BY[[#All],[Advanced Network/Insurance Carrier Org ID]],B256)</f>
        <v>0</v>
      </c>
      <c r="E256" s="137" t="str">
        <f>IF(D256=0,"NA",SUMIFS(AN_TME_BY[[#All],[Claims: Hospital Inpatient]],AN_TME_BY[[#All],[Insurance Category Code]],7,AN_TME_BY[[#All],[Advanced Network/Insurance Carrier Org ID]],B256)/D256)</f>
        <v>NA</v>
      </c>
      <c r="F256" s="108" t="str">
        <f>IF(D256=0,"NA",SUMIFS(AN_TME_BY[[#All],[Claims: Hospital Outpatient]],AN_TME_BY[[#All],[Insurance Category Code]],7,AN_TME_BY[[#All],[Advanced Network/Insurance Carrier Org ID]],B256)/D256)</f>
        <v>NA</v>
      </c>
      <c r="G256" s="108" t="str">
        <f>IF(D256=0,"NA",SUMIFS(AN_TME_BY[[#All],[Claims: Professional, Primary Care]],AN_TME_BY[[#All],[Insurance Category Code]],7,AN_TME_BY[[#All],[Advanced Network/Insurance Carrier Org ID]],B256)/D256)</f>
        <v>NA</v>
      </c>
      <c r="H256" s="108" t="str">
        <f>IF(D256=0,"NA",SUMIFS(AN_TME_BY[[#All],[Claims: Professional, Primary Care (for Monitoring Purposes)]],AN_TME_BY[[#All],[Insurance Category Code]],7,AN_TME_BY[[#All],[Advanced Network/Insurance Carrier Org ID]],B256)/D256)</f>
        <v>NA</v>
      </c>
      <c r="I256" s="108" t="str">
        <f>IF(D256=0,"NA",SUMIFS(AN_TME_BY[[#All],[Claims: Professional, Specialty]],AN_TME_BY[[#All],[Insurance Category Code]],7,AN_TME_BY[[#All],[Advanced Network/Insurance Carrier Org ID]],B256)/D256)</f>
        <v>NA</v>
      </c>
      <c r="J256" s="108" t="str">
        <f>IF(D256=0,"NA",SUMIFS(AN_TME_BY[[#All],[Claims: Professional Other]],AN_TME_BY[[#All],[Insurance Category Code]],7,AN_TME_BY[[#All],[Advanced Network/Insurance Carrier Org ID]],B256)/D256)</f>
        <v>NA</v>
      </c>
      <c r="K256" s="108" t="str">
        <f>IF(D256=0,"NA",SUMIFS(AN_TME_BY[[#All],[Claims: Pharmacy]],AN_TME_BY[[#All],[Insurance Category Code]],7,AN_TME_BY[[#All],[Advanced Network/Insurance Carrier Org ID]],B256)/D256)</f>
        <v>NA</v>
      </c>
      <c r="L256" s="108" t="str">
        <f>IF(D256=0,"NA",SUMIFS(AN_TME_BY[[#All],[Claims: Long-Term Care]],AN_TME_BY[[#All],[Insurance Category Code]],7,AN_TME_BY[[#All],[Advanced Network/Insurance Carrier Org ID]],B256)/D256)</f>
        <v>NA</v>
      </c>
      <c r="M256" s="108" t="str">
        <f>IF(D256=0,"NA",SUMIFS(AN_TME_BY[[#All],[Claims: Other]],AN_TME_BY[[#All],[Insurance Category Code]],7,AN_TME_BY[[#All],[Advanced Network/Insurance Carrier Org ID]],B256)/D256)</f>
        <v>NA</v>
      </c>
      <c r="N256" s="147" t="str">
        <f>IF(D256=0,"NA",SUMIFS(AN_TME_BY[[#All],[TOTAL Non-Truncated Unadjusted Claims Expenses]],AN_TME_BY[[#All],[Insurance Category Code]],7,AN_TME_BY[[#All],[Advanced Network/Insurance Carrier Org ID]],B256)/D256)</f>
        <v>NA</v>
      </c>
      <c r="O256" s="147" t="str">
        <f>IF(D256=0,"NA",SUMIFS(AN_TME_BY[[#All],[TOTAL Truncated Unadjusted Claims Expenses (A21 -A19)]],AN_TME_BY[[#All],[Insurance Category Code]],7,AN_TME_BY[[#All],[Advanced Network/Insurance Carrier Org ID]],B256)/D256)</f>
        <v>NA</v>
      </c>
      <c r="P256" s="147" t="str">
        <f>IF(D256=0,"NA",SUMIFS(AN_TME_BY[[#All],[TOTAL Non-Claims Expenses]],AN_TME_BY[[#All],[Insurance Category Code]],7,AN_TME_BY[[#All],[Advanced Network/Insurance Carrier Org ID]],B256)/D256)</f>
        <v>NA</v>
      </c>
      <c r="Q256" s="147" t="str">
        <f>IF(D256=0,"NA",SUMIFS(AN_TME_BY[[#All],[TOTAL Non-Truncated Unadjusted Expenses (A21 + A23)]],AN_TME_BY[[#All],[Insurance Category Code]],7,AN_TME_BY[[#All],[Advanced Network/Insurance Carrier Org ID]],B256)/D256)</f>
        <v>NA</v>
      </c>
      <c r="R256" s="147" t="str">
        <f>IF(D256=0,"NA",SUMIFS(AN_TME_BY[[#All],[TOTAL Truncated Unadjusted Expenses (A22 + A23)]],AN_TME_BY[[#All],[Insurance Category Code]],7,AN_TME_BY[[#All],[Advanced Network/Insurance Carrier Org ID]],B256)/D256)</f>
        <v>NA</v>
      </c>
      <c r="S256" s="445">
        <f>SUMIFS(AN_TME_PY[[#All],[Member Months]],AN_TME_PY[[#All],[Insurance Category Code]],7,AN_TME_PY[[#All],[Advanced Network/Insurance Carrier Org ID]],B256)</f>
        <v>0</v>
      </c>
      <c r="T256" s="434" t="str">
        <f>IF(S256=0,"NA",SUMIFS(AN_TME_PY[[#All],[Claims: Hospital Inpatient]],AN_TME_PY[[#All],[Insurance Category Code]],7,AN_TME_PY[[#All],[Advanced Network/Insurance Carrier Org ID]],B256)/S256)</f>
        <v>NA</v>
      </c>
      <c r="U256" s="435" t="str">
        <f>IF(S256=0,"NA",SUMIFS(AN_TME_PY[[#All],[Claims: Hospital Outpatient]],AN_TME_PY[[#All],[Insurance Category Code]],7,AN_TME_PY[[#All],[Advanced Network/Insurance Carrier Org ID]],B256)/S256)</f>
        <v>NA</v>
      </c>
      <c r="V256" s="435" t="str">
        <f>IF(S256=0,"NA",SUMIFS(AN_TME_PY[[#All],[Claims: Professional, Primary Care]],AN_TME_PY[[#All],[Insurance Category Code]],7,AN_TME_PY[[#All],[Advanced Network/Insurance Carrier Org ID]],B256)/S256)</f>
        <v>NA</v>
      </c>
      <c r="W256" s="435" t="str">
        <f>IF(S256=0,"NA",SUMIFS(AN_TME_PY[[#All],[Claims: Professional, Primary Care (for Monitoring Purposes)]],AN_TME_PY[[#All],[Insurance Category Code]],7,AN_TME_PY[[#All],[Advanced Network/Insurance Carrier Org ID]],B256)/S256)</f>
        <v>NA</v>
      </c>
      <c r="X256" s="435" t="str">
        <f>IF(S256=0,"NA",SUMIFS(AN_TME_PY[[#All],[Claims: Professional, Specialty]],AN_TME_PY[[#All],[Insurance Category Code]],7,AN_TME_PY[[#All],[Advanced Network/Insurance Carrier Org ID]],B256)/S256)</f>
        <v>NA</v>
      </c>
      <c r="Y256" s="435" t="str">
        <f>IF(S256=0,"NA",SUMIFS(AN_TME_PY[[#All],[Claims: Professional Other]],AN_TME_PY[[#All],[Insurance Category Code]],7,AN_TME_PY[[#All],[Advanced Network/Insurance Carrier Org ID]],B256)/S256)</f>
        <v>NA</v>
      </c>
      <c r="Z256" s="435" t="str">
        <f>IF(S256=0,"NA",SUMIFS(AN_TME_PY[[#All],[Claims: Pharmacy]],AN_TME_PY[[#All],[Insurance Category Code]],7,AN_TME_PY[[#All],[Advanced Network/Insurance Carrier Org ID]],B256)/S256)</f>
        <v>NA</v>
      </c>
      <c r="AA256" s="435" t="str">
        <f>IF(S256=0,"NA",SUMIFS(AN_TME_PY[[#All],[Claims: Long-Term Care]],AN_TME_PY[[#All],[Insurance Category Code]],7,AN_TME_PY[[#All],[Advanced Network/Insurance Carrier Org ID]],B256)/S256)</f>
        <v>NA</v>
      </c>
      <c r="AB256" s="435" t="str">
        <f>IF(S256=0,"NA",SUMIFS(AN_TME_PY[[#All],[Claims: Other]],AN_TME_PY[[#All],[Insurance Category Code]],7,AN_TME_PY[[#All],[Advanced Network/Insurance Carrier Org ID]],B256)/S256)</f>
        <v>NA</v>
      </c>
      <c r="AC256" s="436" t="str">
        <f>IF(S256=0,"NA",SUMIFS(AN_TME_PY[[#All],[TOTAL Non-Truncated Unadjusted Claims Expenses]],AN_TME_PY[[#All],[Insurance Category Code]],7,AN_TME_PY[[#All],[Advanced Network/Insurance Carrier Org ID]],B256)/S256)</f>
        <v>NA</v>
      </c>
      <c r="AD256" s="436" t="str">
        <f>IF(S256=0,"NA",SUMIFS(AN_TME_PY[[#All],[TOTAL Truncated Unadjusted Claims Expenses (A21 -A19)]],AN_TME_PY[[#All],[Insurance Category Code]],7,AN_TME_PY[[#All],[Advanced Network/Insurance Carrier Org ID]],B256)/S256)</f>
        <v>NA</v>
      </c>
      <c r="AE256" s="436" t="str">
        <f>IF(S256=0,"NA",SUMIFS(AN_TME_PY[[#All],[TOTAL Non-Claims Expenses]],AN_TME_PY[[#All],[Insurance Category Code]],7,AN_TME_PY[[#All],[Advanced Network/Insurance Carrier Org ID]],B256)/S256)</f>
        <v>NA</v>
      </c>
      <c r="AF256" s="436" t="str">
        <f>IF(S256=0,"NA",SUMIFS(AN_TME_PY[[#All],[TOTAL Non-Truncated Unadjusted Expenses (A21 + A23)]],AN_TME_PY[[#All],[Insurance Category Code]],7,AN_TME_PY[[#All],[Advanced Network/Insurance Carrier Org ID]],B256)/S256)</f>
        <v>NA</v>
      </c>
      <c r="AG256" s="437" t="str">
        <f>IF(S256=0,"NA",SUMIFS(AN_TME_PY[[#All],[TOTAL Truncated Unadjusted Expenses (A22 + A23)]],AN_TME_PY[[#All],[Insurance Category Code]],7,AN_TME_PY[[#All],[Advanced Network/Insurance Carrier Org ID]],B256)/S256)</f>
        <v>NA</v>
      </c>
      <c r="AH256" s="419" t="str">
        <f t="shared" si="338"/>
        <v>NA</v>
      </c>
      <c r="AI256" s="420" t="str">
        <f t="shared" si="339"/>
        <v>NA</v>
      </c>
      <c r="AJ256" s="421" t="str">
        <f t="shared" si="340"/>
        <v>NA</v>
      </c>
      <c r="AK256" s="421" t="str">
        <f t="shared" si="341"/>
        <v>NA</v>
      </c>
      <c r="AL256" s="421" t="str">
        <f t="shared" si="342"/>
        <v>NA</v>
      </c>
      <c r="AM256" s="421" t="str">
        <f t="shared" si="343"/>
        <v>NA</v>
      </c>
      <c r="AN256" s="421" t="str">
        <f t="shared" si="344"/>
        <v>NA</v>
      </c>
      <c r="AO256" s="421" t="str">
        <f t="shared" si="345"/>
        <v>NA</v>
      </c>
      <c r="AP256" s="421" t="str">
        <f t="shared" si="346"/>
        <v>NA</v>
      </c>
      <c r="AQ256" s="421" t="str">
        <f t="shared" si="347"/>
        <v>NA</v>
      </c>
      <c r="AR256" s="422" t="str">
        <f t="shared" si="348"/>
        <v>NA</v>
      </c>
      <c r="AS256" s="422" t="str">
        <f t="shared" si="349"/>
        <v>NA</v>
      </c>
      <c r="AT256" s="422" t="str">
        <f t="shared" si="350"/>
        <v>NA</v>
      </c>
      <c r="AU256" s="422" t="str">
        <f t="shared" si="351"/>
        <v>NA</v>
      </c>
      <c r="AV256" s="423" t="str">
        <f t="shared" si="352"/>
        <v>NA</v>
      </c>
    </row>
    <row r="257" spans="1:48" ht="15" customHeight="1" x14ac:dyDescent="0.25">
      <c r="A257" s="146"/>
      <c r="B257" s="148">
        <v>104</v>
      </c>
      <c r="C257" s="151" t="str">
        <f>_xlfn.XLOOKUP(B257, LgProvEntOrgIDs[Advanced Network/Insurer Carrier Org ID], LgProvEntOrgIDs[Advanced Network/Insurance Carrier Overall])</f>
        <v>Hartford Healthcare Integrated Care Partners</v>
      </c>
      <c r="D257" s="448">
        <f>SUMIFS(AN_TME_BY[[#All],[Member Months]],AN_TME_BY[[#All],[Insurance Category Code]],7,AN_TME_BY[[#All],[Advanced Network/Insurance Carrier Org ID]],B257)</f>
        <v>0</v>
      </c>
      <c r="E257" s="137" t="str">
        <f>IF(D257=0,"NA",SUMIFS(AN_TME_BY[[#All],[Claims: Hospital Inpatient]],AN_TME_BY[[#All],[Insurance Category Code]],7,AN_TME_BY[[#All],[Advanced Network/Insurance Carrier Org ID]],B257)/D257)</f>
        <v>NA</v>
      </c>
      <c r="F257" s="108" t="str">
        <f>IF(D257=0,"NA",SUMIFS(AN_TME_BY[[#All],[Claims: Hospital Outpatient]],AN_TME_BY[[#All],[Insurance Category Code]],7,AN_TME_BY[[#All],[Advanced Network/Insurance Carrier Org ID]],B257)/D257)</f>
        <v>NA</v>
      </c>
      <c r="G257" s="108" t="str">
        <f>IF(D257=0,"NA",SUMIFS(AN_TME_BY[[#All],[Claims: Professional, Primary Care]],AN_TME_BY[[#All],[Insurance Category Code]],7,AN_TME_BY[[#All],[Advanced Network/Insurance Carrier Org ID]],B257)/D257)</f>
        <v>NA</v>
      </c>
      <c r="H257" s="108" t="str">
        <f>IF(D257=0,"NA",SUMIFS(AN_TME_BY[[#All],[Claims: Professional, Primary Care (for Monitoring Purposes)]],AN_TME_BY[[#All],[Insurance Category Code]],7,AN_TME_BY[[#All],[Advanced Network/Insurance Carrier Org ID]],B257)/D257)</f>
        <v>NA</v>
      </c>
      <c r="I257" s="108" t="str">
        <f>IF(D257=0,"NA",SUMIFS(AN_TME_BY[[#All],[Claims: Professional, Specialty]],AN_TME_BY[[#All],[Insurance Category Code]],7,AN_TME_BY[[#All],[Advanced Network/Insurance Carrier Org ID]],B257)/D257)</f>
        <v>NA</v>
      </c>
      <c r="J257" s="108" t="str">
        <f>IF(D257=0,"NA",SUMIFS(AN_TME_BY[[#All],[Claims: Professional Other]],AN_TME_BY[[#All],[Insurance Category Code]],7,AN_TME_BY[[#All],[Advanced Network/Insurance Carrier Org ID]],B257)/D257)</f>
        <v>NA</v>
      </c>
      <c r="K257" s="108" t="str">
        <f>IF(D257=0,"NA",SUMIFS(AN_TME_BY[[#All],[Claims: Pharmacy]],AN_TME_BY[[#All],[Insurance Category Code]],7,AN_TME_BY[[#All],[Advanced Network/Insurance Carrier Org ID]],B257)/D257)</f>
        <v>NA</v>
      </c>
      <c r="L257" s="108" t="str">
        <f>IF(D257=0,"NA",SUMIFS(AN_TME_BY[[#All],[Claims: Long-Term Care]],AN_TME_BY[[#All],[Insurance Category Code]],7,AN_TME_BY[[#All],[Advanced Network/Insurance Carrier Org ID]],B257)/D257)</f>
        <v>NA</v>
      </c>
      <c r="M257" s="108" t="str">
        <f>IF(D257=0,"NA",SUMIFS(AN_TME_BY[[#All],[Claims: Other]],AN_TME_BY[[#All],[Insurance Category Code]],7,AN_TME_BY[[#All],[Advanced Network/Insurance Carrier Org ID]],B257)/D257)</f>
        <v>NA</v>
      </c>
      <c r="N257" s="147" t="str">
        <f>IF(D257=0,"NA",SUMIFS(AN_TME_BY[[#All],[TOTAL Non-Truncated Unadjusted Claims Expenses]],AN_TME_BY[[#All],[Insurance Category Code]],7,AN_TME_BY[[#All],[Advanced Network/Insurance Carrier Org ID]],B257)/D257)</f>
        <v>NA</v>
      </c>
      <c r="O257" s="147" t="str">
        <f>IF(D257=0,"NA",SUMIFS(AN_TME_BY[[#All],[TOTAL Truncated Unadjusted Claims Expenses (A21 -A19)]],AN_TME_BY[[#All],[Insurance Category Code]],7,AN_TME_BY[[#All],[Advanced Network/Insurance Carrier Org ID]],B257)/D257)</f>
        <v>NA</v>
      </c>
      <c r="P257" s="147" t="str">
        <f>IF(D257=0,"NA",SUMIFS(AN_TME_BY[[#All],[TOTAL Non-Claims Expenses]],AN_TME_BY[[#All],[Insurance Category Code]],7,AN_TME_BY[[#All],[Advanced Network/Insurance Carrier Org ID]],B257)/D257)</f>
        <v>NA</v>
      </c>
      <c r="Q257" s="147" t="str">
        <f>IF(D257=0,"NA",SUMIFS(AN_TME_BY[[#All],[TOTAL Non-Truncated Unadjusted Expenses (A21 + A23)]],AN_TME_BY[[#All],[Insurance Category Code]],7,AN_TME_BY[[#All],[Advanced Network/Insurance Carrier Org ID]],B257)/D257)</f>
        <v>NA</v>
      </c>
      <c r="R257" s="147" t="str">
        <f>IF(D257=0,"NA",SUMIFS(AN_TME_BY[[#All],[TOTAL Truncated Unadjusted Expenses (A22 + A23)]],AN_TME_BY[[#All],[Insurance Category Code]],7,AN_TME_BY[[#All],[Advanced Network/Insurance Carrier Org ID]],B257)/D257)</f>
        <v>NA</v>
      </c>
      <c r="S257" s="445">
        <f>SUMIFS(AN_TME_PY[[#All],[Member Months]],AN_TME_PY[[#All],[Insurance Category Code]],7,AN_TME_PY[[#All],[Advanced Network/Insurance Carrier Org ID]],B257)</f>
        <v>0</v>
      </c>
      <c r="T257" s="434" t="str">
        <f>IF(S257=0,"NA",SUMIFS(AN_TME_PY[[#All],[Claims: Hospital Inpatient]],AN_TME_PY[[#All],[Insurance Category Code]],7,AN_TME_PY[[#All],[Advanced Network/Insurance Carrier Org ID]],B257)/S257)</f>
        <v>NA</v>
      </c>
      <c r="U257" s="435" t="str">
        <f>IF(S257=0,"NA",SUMIFS(AN_TME_PY[[#All],[Claims: Hospital Outpatient]],AN_TME_PY[[#All],[Insurance Category Code]],7,AN_TME_PY[[#All],[Advanced Network/Insurance Carrier Org ID]],B257)/S257)</f>
        <v>NA</v>
      </c>
      <c r="V257" s="435" t="str">
        <f>IF(S257=0,"NA",SUMIFS(AN_TME_PY[[#All],[Claims: Professional, Primary Care]],AN_TME_PY[[#All],[Insurance Category Code]],7,AN_TME_PY[[#All],[Advanced Network/Insurance Carrier Org ID]],B257)/S257)</f>
        <v>NA</v>
      </c>
      <c r="W257" s="435" t="str">
        <f>IF(S257=0,"NA",SUMIFS(AN_TME_PY[[#All],[Claims: Professional, Primary Care (for Monitoring Purposes)]],AN_TME_PY[[#All],[Insurance Category Code]],7,AN_TME_PY[[#All],[Advanced Network/Insurance Carrier Org ID]],B257)/S257)</f>
        <v>NA</v>
      </c>
      <c r="X257" s="435" t="str">
        <f>IF(S257=0,"NA",SUMIFS(AN_TME_PY[[#All],[Claims: Professional, Specialty]],AN_TME_PY[[#All],[Insurance Category Code]],7,AN_TME_PY[[#All],[Advanced Network/Insurance Carrier Org ID]],B257)/S257)</f>
        <v>NA</v>
      </c>
      <c r="Y257" s="435" t="str">
        <f>IF(S257=0,"NA",SUMIFS(AN_TME_PY[[#All],[Claims: Professional Other]],AN_TME_PY[[#All],[Insurance Category Code]],7,AN_TME_PY[[#All],[Advanced Network/Insurance Carrier Org ID]],B257)/S257)</f>
        <v>NA</v>
      </c>
      <c r="Z257" s="435" t="str">
        <f>IF(S257=0,"NA",SUMIFS(AN_TME_PY[[#All],[Claims: Pharmacy]],AN_TME_PY[[#All],[Insurance Category Code]],7,AN_TME_PY[[#All],[Advanced Network/Insurance Carrier Org ID]],B257)/S257)</f>
        <v>NA</v>
      </c>
      <c r="AA257" s="435" t="str">
        <f>IF(S257=0,"NA",SUMIFS(AN_TME_PY[[#All],[Claims: Long-Term Care]],AN_TME_PY[[#All],[Insurance Category Code]],7,AN_TME_PY[[#All],[Advanced Network/Insurance Carrier Org ID]],B257)/S257)</f>
        <v>NA</v>
      </c>
      <c r="AB257" s="435" t="str">
        <f>IF(S257=0,"NA",SUMIFS(AN_TME_PY[[#All],[Claims: Other]],AN_TME_PY[[#All],[Insurance Category Code]],7,AN_TME_PY[[#All],[Advanced Network/Insurance Carrier Org ID]],B257)/S257)</f>
        <v>NA</v>
      </c>
      <c r="AC257" s="436" t="str">
        <f>IF(S257=0,"NA",SUMIFS(AN_TME_PY[[#All],[TOTAL Non-Truncated Unadjusted Claims Expenses]],AN_TME_PY[[#All],[Insurance Category Code]],7,AN_TME_PY[[#All],[Advanced Network/Insurance Carrier Org ID]],B257)/S257)</f>
        <v>NA</v>
      </c>
      <c r="AD257" s="436" t="str">
        <f>IF(S257=0,"NA",SUMIFS(AN_TME_PY[[#All],[TOTAL Truncated Unadjusted Claims Expenses (A21 -A19)]],AN_TME_PY[[#All],[Insurance Category Code]],7,AN_TME_PY[[#All],[Advanced Network/Insurance Carrier Org ID]],B257)/S257)</f>
        <v>NA</v>
      </c>
      <c r="AE257" s="436" t="str">
        <f>IF(S257=0,"NA",SUMIFS(AN_TME_PY[[#All],[TOTAL Non-Claims Expenses]],AN_TME_PY[[#All],[Insurance Category Code]],7,AN_TME_PY[[#All],[Advanced Network/Insurance Carrier Org ID]],B257)/S257)</f>
        <v>NA</v>
      </c>
      <c r="AF257" s="436" t="str">
        <f>IF(S257=0,"NA",SUMIFS(AN_TME_PY[[#All],[TOTAL Non-Truncated Unadjusted Expenses (A21 + A23)]],AN_TME_PY[[#All],[Insurance Category Code]],7,AN_TME_PY[[#All],[Advanced Network/Insurance Carrier Org ID]],B257)/S257)</f>
        <v>NA</v>
      </c>
      <c r="AG257" s="437" t="str">
        <f>IF(S257=0,"NA",SUMIFS(AN_TME_PY[[#All],[TOTAL Truncated Unadjusted Expenses (A22 + A23)]],AN_TME_PY[[#All],[Insurance Category Code]],7,AN_TME_PY[[#All],[Advanced Network/Insurance Carrier Org ID]],B257)/S257)</f>
        <v>NA</v>
      </c>
      <c r="AH257" s="419" t="str">
        <f t="shared" si="338"/>
        <v>NA</v>
      </c>
      <c r="AI257" s="420" t="str">
        <f t="shared" si="339"/>
        <v>NA</v>
      </c>
      <c r="AJ257" s="421" t="str">
        <f t="shared" si="340"/>
        <v>NA</v>
      </c>
      <c r="AK257" s="421" t="str">
        <f t="shared" si="341"/>
        <v>NA</v>
      </c>
      <c r="AL257" s="421" t="str">
        <f t="shared" si="342"/>
        <v>NA</v>
      </c>
      <c r="AM257" s="421" t="str">
        <f t="shared" si="343"/>
        <v>NA</v>
      </c>
      <c r="AN257" s="421" t="str">
        <f t="shared" si="344"/>
        <v>NA</v>
      </c>
      <c r="AO257" s="421" t="str">
        <f t="shared" si="345"/>
        <v>NA</v>
      </c>
      <c r="AP257" s="421" t="str">
        <f t="shared" si="346"/>
        <v>NA</v>
      </c>
      <c r="AQ257" s="421" t="str">
        <f t="shared" si="347"/>
        <v>NA</v>
      </c>
      <c r="AR257" s="422" t="str">
        <f t="shared" si="348"/>
        <v>NA</v>
      </c>
      <c r="AS257" s="422" t="str">
        <f t="shared" si="349"/>
        <v>NA</v>
      </c>
      <c r="AT257" s="422" t="str">
        <f t="shared" si="350"/>
        <v>NA</v>
      </c>
      <c r="AU257" s="422" t="str">
        <f t="shared" si="351"/>
        <v>NA</v>
      </c>
      <c r="AV257" s="423" t="str">
        <f t="shared" si="352"/>
        <v>NA</v>
      </c>
    </row>
    <row r="258" spans="1:48" ht="15" customHeight="1" x14ac:dyDescent="0.25">
      <c r="A258" s="146"/>
      <c r="B258" s="148">
        <v>105</v>
      </c>
      <c r="C258" s="151" t="str">
        <f>_xlfn.XLOOKUP(B258, LgProvEntOrgIDs[Advanced Network/Insurer Carrier Org ID], LgProvEntOrgIDs[Advanced Network/Insurance Carrier Overall])</f>
        <v>NA</v>
      </c>
      <c r="D258" s="448">
        <f>SUMIFS(AN_TME_BY[[#All],[Member Months]],AN_TME_BY[[#All],[Insurance Category Code]],7,AN_TME_BY[[#All],[Advanced Network/Insurance Carrier Org ID]],B258)</f>
        <v>0</v>
      </c>
      <c r="E258" s="137" t="str">
        <f>IF(D258=0,"NA",SUMIFS(AN_TME_BY[[#All],[Claims: Hospital Inpatient]],AN_TME_BY[[#All],[Insurance Category Code]],7,AN_TME_BY[[#All],[Advanced Network/Insurance Carrier Org ID]],B258)/D258)</f>
        <v>NA</v>
      </c>
      <c r="F258" s="108" t="str">
        <f>IF(D258=0,"NA",SUMIFS(AN_TME_BY[[#All],[Claims: Hospital Outpatient]],AN_TME_BY[[#All],[Insurance Category Code]],7,AN_TME_BY[[#All],[Advanced Network/Insurance Carrier Org ID]],B258)/D258)</f>
        <v>NA</v>
      </c>
      <c r="G258" s="108" t="str">
        <f>IF(D258=0,"NA",SUMIFS(AN_TME_BY[[#All],[Claims: Professional, Primary Care]],AN_TME_BY[[#All],[Insurance Category Code]],7,AN_TME_BY[[#All],[Advanced Network/Insurance Carrier Org ID]],B258)/D258)</f>
        <v>NA</v>
      </c>
      <c r="H258" s="108" t="str">
        <f>IF(D258=0,"NA",SUMIFS(AN_TME_BY[[#All],[Claims: Professional, Primary Care (for Monitoring Purposes)]],AN_TME_BY[[#All],[Insurance Category Code]],7,AN_TME_BY[[#All],[Advanced Network/Insurance Carrier Org ID]],B258)/D258)</f>
        <v>NA</v>
      </c>
      <c r="I258" s="108" t="str">
        <f>IF(D258=0,"NA",SUMIFS(AN_TME_BY[[#All],[Claims: Professional, Specialty]],AN_TME_BY[[#All],[Insurance Category Code]],7,AN_TME_BY[[#All],[Advanced Network/Insurance Carrier Org ID]],B258)/D258)</f>
        <v>NA</v>
      </c>
      <c r="J258" s="108" t="str">
        <f>IF(D258=0,"NA",SUMIFS(AN_TME_BY[[#All],[Claims: Professional Other]],AN_TME_BY[[#All],[Insurance Category Code]],7,AN_TME_BY[[#All],[Advanced Network/Insurance Carrier Org ID]],B258)/D258)</f>
        <v>NA</v>
      </c>
      <c r="K258" s="108" t="str">
        <f>IF(D258=0,"NA",SUMIFS(AN_TME_BY[[#All],[Claims: Pharmacy]],AN_TME_BY[[#All],[Insurance Category Code]],7,AN_TME_BY[[#All],[Advanced Network/Insurance Carrier Org ID]],B258)/D258)</f>
        <v>NA</v>
      </c>
      <c r="L258" s="108" t="str">
        <f>IF(D258=0,"NA",SUMIFS(AN_TME_BY[[#All],[Claims: Long-Term Care]],AN_TME_BY[[#All],[Insurance Category Code]],7,AN_TME_BY[[#All],[Advanced Network/Insurance Carrier Org ID]],B258)/D258)</f>
        <v>NA</v>
      </c>
      <c r="M258" s="108" t="str">
        <f>IF(D258=0,"NA",SUMIFS(AN_TME_BY[[#All],[Claims: Other]],AN_TME_BY[[#All],[Insurance Category Code]],7,AN_TME_BY[[#All],[Advanced Network/Insurance Carrier Org ID]],B258)/D258)</f>
        <v>NA</v>
      </c>
      <c r="N258" s="147" t="str">
        <f>IF(D258=0,"NA",SUMIFS(AN_TME_BY[[#All],[TOTAL Non-Truncated Unadjusted Claims Expenses]],AN_TME_BY[[#All],[Insurance Category Code]],7,AN_TME_BY[[#All],[Advanced Network/Insurance Carrier Org ID]],B258)/D258)</f>
        <v>NA</v>
      </c>
      <c r="O258" s="147" t="str">
        <f>IF(D258=0,"NA",SUMIFS(AN_TME_BY[[#All],[TOTAL Truncated Unadjusted Claims Expenses (A21 -A19)]],AN_TME_BY[[#All],[Insurance Category Code]],7,AN_TME_BY[[#All],[Advanced Network/Insurance Carrier Org ID]],B258)/D258)</f>
        <v>NA</v>
      </c>
      <c r="P258" s="147" t="str">
        <f>IF(D258=0,"NA",SUMIFS(AN_TME_BY[[#All],[TOTAL Non-Claims Expenses]],AN_TME_BY[[#All],[Insurance Category Code]],7,AN_TME_BY[[#All],[Advanced Network/Insurance Carrier Org ID]],B258)/D258)</f>
        <v>NA</v>
      </c>
      <c r="Q258" s="147" t="str">
        <f>IF(D258=0,"NA",SUMIFS(AN_TME_BY[[#All],[TOTAL Non-Truncated Unadjusted Expenses (A21 + A23)]],AN_TME_BY[[#All],[Insurance Category Code]],7,AN_TME_BY[[#All],[Advanced Network/Insurance Carrier Org ID]],B258)/D258)</f>
        <v>NA</v>
      </c>
      <c r="R258" s="147" t="str">
        <f>IF(D258=0,"NA",SUMIFS(AN_TME_BY[[#All],[TOTAL Truncated Unadjusted Expenses (A22 + A23)]],AN_TME_BY[[#All],[Insurance Category Code]],7,AN_TME_BY[[#All],[Advanced Network/Insurance Carrier Org ID]],B258)/D258)</f>
        <v>NA</v>
      </c>
      <c r="S258" s="445">
        <f>SUMIFS(AN_TME_PY[[#All],[Member Months]],AN_TME_PY[[#All],[Insurance Category Code]],7,AN_TME_PY[[#All],[Advanced Network/Insurance Carrier Org ID]],B258)</f>
        <v>0</v>
      </c>
      <c r="T258" s="434" t="str">
        <f>IF(S258=0,"NA",SUMIFS(AN_TME_PY[[#All],[Claims: Hospital Inpatient]],AN_TME_PY[[#All],[Insurance Category Code]],7,AN_TME_PY[[#All],[Advanced Network/Insurance Carrier Org ID]],B258)/S258)</f>
        <v>NA</v>
      </c>
      <c r="U258" s="435" t="str">
        <f>IF(S258=0,"NA",SUMIFS(AN_TME_PY[[#All],[Claims: Hospital Outpatient]],AN_TME_PY[[#All],[Insurance Category Code]],7,AN_TME_PY[[#All],[Advanced Network/Insurance Carrier Org ID]],B258)/S258)</f>
        <v>NA</v>
      </c>
      <c r="V258" s="435" t="str">
        <f>IF(S258=0,"NA",SUMIFS(AN_TME_PY[[#All],[Claims: Professional, Primary Care]],AN_TME_PY[[#All],[Insurance Category Code]],7,AN_TME_PY[[#All],[Advanced Network/Insurance Carrier Org ID]],B258)/S258)</f>
        <v>NA</v>
      </c>
      <c r="W258" s="435" t="str">
        <f>IF(S258=0,"NA",SUMIFS(AN_TME_PY[[#All],[Claims: Professional, Primary Care (for Monitoring Purposes)]],AN_TME_PY[[#All],[Insurance Category Code]],7,AN_TME_PY[[#All],[Advanced Network/Insurance Carrier Org ID]],B258)/S258)</f>
        <v>NA</v>
      </c>
      <c r="X258" s="435" t="str">
        <f>IF(S258=0,"NA",SUMIFS(AN_TME_PY[[#All],[Claims: Professional, Specialty]],AN_TME_PY[[#All],[Insurance Category Code]],7,AN_TME_PY[[#All],[Advanced Network/Insurance Carrier Org ID]],B258)/S258)</f>
        <v>NA</v>
      </c>
      <c r="Y258" s="435" t="str">
        <f>IF(S258=0,"NA",SUMIFS(AN_TME_PY[[#All],[Claims: Professional Other]],AN_TME_PY[[#All],[Insurance Category Code]],7,AN_TME_PY[[#All],[Advanced Network/Insurance Carrier Org ID]],B258)/S258)</f>
        <v>NA</v>
      </c>
      <c r="Z258" s="435" t="str">
        <f>IF(S258=0,"NA",SUMIFS(AN_TME_PY[[#All],[Claims: Pharmacy]],AN_TME_PY[[#All],[Insurance Category Code]],7,AN_TME_PY[[#All],[Advanced Network/Insurance Carrier Org ID]],B258)/S258)</f>
        <v>NA</v>
      </c>
      <c r="AA258" s="435" t="str">
        <f>IF(S258=0,"NA",SUMIFS(AN_TME_PY[[#All],[Claims: Long-Term Care]],AN_TME_PY[[#All],[Insurance Category Code]],7,AN_TME_PY[[#All],[Advanced Network/Insurance Carrier Org ID]],B258)/S258)</f>
        <v>NA</v>
      </c>
      <c r="AB258" s="435" t="str">
        <f>IF(S258=0,"NA",SUMIFS(AN_TME_PY[[#All],[Claims: Other]],AN_TME_PY[[#All],[Insurance Category Code]],7,AN_TME_PY[[#All],[Advanced Network/Insurance Carrier Org ID]],B258)/S258)</f>
        <v>NA</v>
      </c>
      <c r="AC258" s="436" t="str">
        <f>IF(S258=0,"NA",SUMIFS(AN_TME_PY[[#All],[TOTAL Non-Truncated Unadjusted Claims Expenses]],AN_TME_PY[[#All],[Insurance Category Code]],7,AN_TME_PY[[#All],[Advanced Network/Insurance Carrier Org ID]],B258)/S258)</f>
        <v>NA</v>
      </c>
      <c r="AD258" s="436" t="str">
        <f>IF(S258=0,"NA",SUMIFS(AN_TME_PY[[#All],[TOTAL Truncated Unadjusted Claims Expenses (A21 -A19)]],AN_TME_PY[[#All],[Insurance Category Code]],7,AN_TME_PY[[#All],[Advanced Network/Insurance Carrier Org ID]],B258)/S258)</f>
        <v>NA</v>
      </c>
      <c r="AE258" s="436" t="str">
        <f>IF(S258=0,"NA",SUMIFS(AN_TME_PY[[#All],[TOTAL Non-Claims Expenses]],AN_TME_PY[[#All],[Insurance Category Code]],7,AN_TME_PY[[#All],[Advanced Network/Insurance Carrier Org ID]],B258)/S258)</f>
        <v>NA</v>
      </c>
      <c r="AF258" s="436" t="str">
        <f>IF(S258=0,"NA",SUMIFS(AN_TME_PY[[#All],[TOTAL Non-Truncated Unadjusted Expenses (A21 + A23)]],AN_TME_PY[[#All],[Insurance Category Code]],7,AN_TME_PY[[#All],[Advanced Network/Insurance Carrier Org ID]],B258)/S258)</f>
        <v>NA</v>
      </c>
      <c r="AG258" s="437" t="str">
        <f>IF(S258=0,"NA",SUMIFS(AN_TME_PY[[#All],[TOTAL Truncated Unadjusted Expenses (A22 + A23)]],AN_TME_PY[[#All],[Insurance Category Code]],7,AN_TME_PY[[#All],[Advanced Network/Insurance Carrier Org ID]],B258)/S258)</f>
        <v>NA</v>
      </c>
      <c r="AH258" s="419" t="str">
        <f t="shared" si="338"/>
        <v>NA</v>
      </c>
      <c r="AI258" s="420" t="str">
        <f t="shared" si="339"/>
        <v>NA</v>
      </c>
      <c r="AJ258" s="421" t="str">
        <f t="shared" si="340"/>
        <v>NA</v>
      </c>
      <c r="AK258" s="421" t="str">
        <f t="shared" si="341"/>
        <v>NA</v>
      </c>
      <c r="AL258" s="421" t="str">
        <f t="shared" si="342"/>
        <v>NA</v>
      </c>
      <c r="AM258" s="421" t="str">
        <f t="shared" si="343"/>
        <v>NA</v>
      </c>
      <c r="AN258" s="421" t="str">
        <f t="shared" si="344"/>
        <v>NA</v>
      </c>
      <c r="AO258" s="421" t="str">
        <f t="shared" si="345"/>
        <v>NA</v>
      </c>
      <c r="AP258" s="421" t="str">
        <f t="shared" si="346"/>
        <v>NA</v>
      </c>
      <c r="AQ258" s="421" t="str">
        <f t="shared" si="347"/>
        <v>NA</v>
      </c>
      <c r="AR258" s="422" t="str">
        <f t="shared" si="348"/>
        <v>NA</v>
      </c>
      <c r="AS258" s="422" t="str">
        <f t="shared" si="349"/>
        <v>NA</v>
      </c>
      <c r="AT258" s="422" t="str">
        <f t="shared" si="350"/>
        <v>NA</v>
      </c>
      <c r="AU258" s="422" t="str">
        <f t="shared" si="351"/>
        <v>NA</v>
      </c>
      <c r="AV258" s="423" t="str">
        <f t="shared" si="352"/>
        <v>NA</v>
      </c>
    </row>
    <row r="259" spans="1:48" ht="15" customHeight="1" x14ac:dyDescent="0.25">
      <c r="A259" s="146"/>
      <c r="B259" s="148">
        <v>106</v>
      </c>
      <c r="C259" s="151" t="str">
        <f>_xlfn.XLOOKUP(B259, LgProvEntOrgIDs[Advanced Network/Insurer Carrier Org ID], LgProvEntOrgIDs[Advanced Network/Insurance Carrier Overall])</f>
        <v>Northeast Medical Group</v>
      </c>
      <c r="D259" s="448">
        <f>SUMIFS(AN_TME_BY[[#All],[Member Months]],AN_TME_BY[[#All],[Insurance Category Code]],7,AN_TME_BY[[#All],[Advanced Network/Insurance Carrier Org ID]],B259)</f>
        <v>0</v>
      </c>
      <c r="E259" s="137" t="str">
        <f>IF(D259=0,"NA",SUMIFS(AN_TME_BY[[#All],[Claims: Hospital Inpatient]],AN_TME_BY[[#All],[Insurance Category Code]],7,AN_TME_BY[[#All],[Advanced Network/Insurance Carrier Org ID]],B259)/D259)</f>
        <v>NA</v>
      </c>
      <c r="F259" s="108" t="str">
        <f>IF(D259=0,"NA",SUMIFS(AN_TME_BY[[#All],[Claims: Hospital Outpatient]],AN_TME_BY[[#All],[Insurance Category Code]],7,AN_TME_BY[[#All],[Advanced Network/Insurance Carrier Org ID]],B259)/D259)</f>
        <v>NA</v>
      </c>
      <c r="G259" s="108" t="str">
        <f>IF(D259=0,"NA",SUMIFS(AN_TME_BY[[#All],[Claims: Professional, Primary Care]],AN_TME_BY[[#All],[Insurance Category Code]],7,AN_TME_BY[[#All],[Advanced Network/Insurance Carrier Org ID]],B259)/D259)</f>
        <v>NA</v>
      </c>
      <c r="H259" s="108" t="str">
        <f>IF(D259=0,"NA",SUMIFS(AN_TME_BY[[#All],[Claims: Professional, Primary Care (for Monitoring Purposes)]],AN_TME_BY[[#All],[Insurance Category Code]],7,AN_TME_BY[[#All],[Advanced Network/Insurance Carrier Org ID]],B259)/D259)</f>
        <v>NA</v>
      </c>
      <c r="I259" s="108" t="str">
        <f>IF(D259=0,"NA",SUMIFS(AN_TME_BY[[#All],[Claims: Professional, Specialty]],AN_TME_BY[[#All],[Insurance Category Code]],7,AN_TME_BY[[#All],[Advanced Network/Insurance Carrier Org ID]],B259)/D259)</f>
        <v>NA</v>
      </c>
      <c r="J259" s="108" t="str">
        <f>IF(D259=0,"NA",SUMIFS(AN_TME_BY[[#All],[Claims: Professional Other]],AN_TME_BY[[#All],[Insurance Category Code]],7,AN_TME_BY[[#All],[Advanced Network/Insurance Carrier Org ID]],B259)/D259)</f>
        <v>NA</v>
      </c>
      <c r="K259" s="108" t="str">
        <f>IF(D259=0,"NA",SUMIFS(AN_TME_BY[[#All],[Claims: Pharmacy]],AN_TME_BY[[#All],[Insurance Category Code]],7,AN_TME_BY[[#All],[Advanced Network/Insurance Carrier Org ID]],B259)/D259)</f>
        <v>NA</v>
      </c>
      <c r="L259" s="108" t="str">
        <f>IF(D259=0,"NA",SUMIFS(AN_TME_BY[[#All],[Claims: Long-Term Care]],AN_TME_BY[[#All],[Insurance Category Code]],7,AN_TME_BY[[#All],[Advanced Network/Insurance Carrier Org ID]],B259)/D259)</f>
        <v>NA</v>
      </c>
      <c r="M259" s="108" t="str">
        <f>IF(D259=0,"NA",SUMIFS(AN_TME_BY[[#All],[Claims: Other]],AN_TME_BY[[#All],[Insurance Category Code]],7,AN_TME_BY[[#All],[Advanced Network/Insurance Carrier Org ID]],B259)/D259)</f>
        <v>NA</v>
      </c>
      <c r="N259" s="147" t="str">
        <f>IF(D259=0,"NA",SUMIFS(AN_TME_BY[[#All],[TOTAL Non-Truncated Unadjusted Claims Expenses]],AN_TME_BY[[#All],[Insurance Category Code]],7,AN_TME_BY[[#All],[Advanced Network/Insurance Carrier Org ID]],B259)/D259)</f>
        <v>NA</v>
      </c>
      <c r="O259" s="147" t="str">
        <f>IF(D259=0,"NA",SUMIFS(AN_TME_BY[[#All],[TOTAL Truncated Unadjusted Claims Expenses (A21 -A19)]],AN_TME_BY[[#All],[Insurance Category Code]],7,AN_TME_BY[[#All],[Advanced Network/Insurance Carrier Org ID]],B259)/D259)</f>
        <v>NA</v>
      </c>
      <c r="P259" s="147" t="str">
        <f>IF(D259=0,"NA",SUMIFS(AN_TME_BY[[#All],[TOTAL Non-Claims Expenses]],AN_TME_BY[[#All],[Insurance Category Code]],7,AN_TME_BY[[#All],[Advanced Network/Insurance Carrier Org ID]],B259)/D259)</f>
        <v>NA</v>
      </c>
      <c r="Q259" s="147" t="str">
        <f>IF(D259=0,"NA",SUMIFS(AN_TME_BY[[#All],[TOTAL Non-Truncated Unadjusted Expenses (A21 + A23)]],AN_TME_BY[[#All],[Insurance Category Code]],7,AN_TME_BY[[#All],[Advanced Network/Insurance Carrier Org ID]],B259)/D259)</f>
        <v>NA</v>
      </c>
      <c r="R259" s="147" t="str">
        <f>IF(D259=0,"NA",SUMIFS(AN_TME_BY[[#All],[TOTAL Truncated Unadjusted Expenses (A22 + A23)]],AN_TME_BY[[#All],[Insurance Category Code]],7,AN_TME_BY[[#All],[Advanced Network/Insurance Carrier Org ID]],B259)/D259)</f>
        <v>NA</v>
      </c>
      <c r="S259" s="445">
        <f>SUMIFS(AN_TME_PY[[#All],[Member Months]],AN_TME_PY[[#All],[Insurance Category Code]],7,AN_TME_PY[[#All],[Advanced Network/Insurance Carrier Org ID]],B259)</f>
        <v>0</v>
      </c>
      <c r="T259" s="434" t="str">
        <f>IF(S259=0,"NA",SUMIFS(AN_TME_PY[[#All],[Claims: Hospital Inpatient]],AN_TME_PY[[#All],[Insurance Category Code]],7,AN_TME_PY[[#All],[Advanced Network/Insurance Carrier Org ID]],B259)/S259)</f>
        <v>NA</v>
      </c>
      <c r="U259" s="435" t="str">
        <f>IF(S259=0,"NA",SUMIFS(AN_TME_PY[[#All],[Claims: Hospital Outpatient]],AN_TME_PY[[#All],[Insurance Category Code]],7,AN_TME_PY[[#All],[Advanced Network/Insurance Carrier Org ID]],B259)/S259)</f>
        <v>NA</v>
      </c>
      <c r="V259" s="435" t="str">
        <f>IF(S259=0,"NA",SUMIFS(AN_TME_PY[[#All],[Claims: Professional, Primary Care]],AN_TME_PY[[#All],[Insurance Category Code]],7,AN_TME_PY[[#All],[Advanced Network/Insurance Carrier Org ID]],B259)/S259)</f>
        <v>NA</v>
      </c>
      <c r="W259" s="435" t="str">
        <f>IF(S259=0,"NA",SUMIFS(AN_TME_PY[[#All],[Claims: Professional, Primary Care (for Monitoring Purposes)]],AN_TME_PY[[#All],[Insurance Category Code]],7,AN_TME_PY[[#All],[Advanced Network/Insurance Carrier Org ID]],B259)/S259)</f>
        <v>NA</v>
      </c>
      <c r="X259" s="435" t="str">
        <f>IF(S259=0,"NA",SUMIFS(AN_TME_PY[[#All],[Claims: Professional, Specialty]],AN_TME_PY[[#All],[Insurance Category Code]],7,AN_TME_PY[[#All],[Advanced Network/Insurance Carrier Org ID]],B259)/S259)</f>
        <v>NA</v>
      </c>
      <c r="Y259" s="435" t="str">
        <f>IF(S259=0,"NA",SUMIFS(AN_TME_PY[[#All],[Claims: Professional Other]],AN_TME_PY[[#All],[Insurance Category Code]],7,AN_TME_PY[[#All],[Advanced Network/Insurance Carrier Org ID]],B259)/S259)</f>
        <v>NA</v>
      </c>
      <c r="Z259" s="435" t="str">
        <f>IF(S259=0,"NA",SUMIFS(AN_TME_PY[[#All],[Claims: Pharmacy]],AN_TME_PY[[#All],[Insurance Category Code]],7,AN_TME_PY[[#All],[Advanced Network/Insurance Carrier Org ID]],B259)/S259)</f>
        <v>NA</v>
      </c>
      <c r="AA259" s="435" t="str">
        <f>IF(S259=0,"NA",SUMIFS(AN_TME_PY[[#All],[Claims: Long-Term Care]],AN_TME_PY[[#All],[Insurance Category Code]],7,AN_TME_PY[[#All],[Advanced Network/Insurance Carrier Org ID]],B259)/S259)</f>
        <v>NA</v>
      </c>
      <c r="AB259" s="435" t="str">
        <f>IF(S259=0,"NA",SUMIFS(AN_TME_PY[[#All],[Claims: Other]],AN_TME_PY[[#All],[Insurance Category Code]],7,AN_TME_PY[[#All],[Advanced Network/Insurance Carrier Org ID]],B259)/S259)</f>
        <v>NA</v>
      </c>
      <c r="AC259" s="436" t="str">
        <f>IF(S259=0,"NA",SUMIFS(AN_TME_PY[[#All],[TOTAL Non-Truncated Unadjusted Claims Expenses]],AN_TME_PY[[#All],[Insurance Category Code]],7,AN_TME_PY[[#All],[Advanced Network/Insurance Carrier Org ID]],B259)/S259)</f>
        <v>NA</v>
      </c>
      <c r="AD259" s="436" t="str">
        <f>IF(S259=0,"NA",SUMIFS(AN_TME_PY[[#All],[TOTAL Truncated Unadjusted Claims Expenses (A21 -A19)]],AN_TME_PY[[#All],[Insurance Category Code]],7,AN_TME_PY[[#All],[Advanced Network/Insurance Carrier Org ID]],B259)/S259)</f>
        <v>NA</v>
      </c>
      <c r="AE259" s="436" t="str">
        <f>IF(S259=0,"NA",SUMIFS(AN_TME_PY[[#All],[TOTAL Non-Claims Expenses]],AN_TME_PY[[#All],[Insurance Category Code]],7,AN_TME_PY[[#All],[Advanced Network/Insurance Carrier Org ID]],B259)/S259)</f>
        <v>NA</v>
      </c>
      <c r="AF259" s="436" t="str">
        <f>IF(S259=0,"NA",SUMIFS(AN_TME_PY[[#All],[TOTAL Non-Truncated Unadjusted Expenses (A21 + A23)]],AN_TME_PY[[#All],[Insurance Category Code]],7,AN_TME_PY[[#All],[Advanced Network/Insurance Carrier Org ID]],B259)/S259)</f>
        <v>NA</v>
      </c>
      <c r="AG259" s="437" t="str">
        <f>IF(S259=0,"NA",SUMIFS(AN_TME_PY[[#All],[TOTAL Truncated Unadjusted Expenses (A22 + A23)]],AN_TME_PY[[#All],[Insurance Category Code]],7,AN_TME_PY[[#All],[Advanced Network/Insurance Carrier Org ID]],B259)/S259)</f>
        <v>NA</v>
      </c>
      <c r="AH259" s="419" t="str">
        <f t="shared" si="338"/>
        <v>NA</v>
      </c>
      <c r="AI259" s="420" t="str">
        <f t="shared" si="339"/>
        <v>NA</v>
      </c>
      <c r="AJ259" s="421" t="str">
        <f t="shared" si="340"/>
        <v>NA</v>
      </c>
      <c r="AK259" s="421" t="str">
        <f t="shared" si="341"/>
        <v>NA</v>
      </c>
      <c r="AL259" s="421" t="str">
        <f t="shared" si="342"/>
        <v>NA</v>
      </c>
      <c r="AM259" s="421" t="str">
        <f t="shared" si="343"/>
        <v>NA</v>
      </c>
      <c r="AN259" s="421" t="str">
        <f t="shared" si="344"/>
        <v>NA</v>
      </c>
      <c r="AO259" s="421" t="str">
        <f t="shared" si="345"/>
        <v>NA</v>
      </c>
      <c r="AP259" s="421" t="str">
        <f t="shared" si="346"/>
        <v>NA</v>
      </c>
      <c r="AQ259" s="421" t="str">
        <f t="shared" si="347"/>
        <v>NA</v>
      </c>
      <c r="AR259" s="422" t="str">
        <f t="shared" si="348"/>
        <v>NA</v>
      </c>
      <c r="AS259" s="422" t="str">
        <f t="shared" si="349"/>
        <v>NA</v>
      </c>
      <c r="AT259" s="422" t="str">
        <f t="shared" si="350"/>
        <v>NA</v>
      </c>
      <c r="AU259" s="422" t="str">
        <f t="shared" si="351"/>
        <v>NA</v>
      </c>
      <c r="AV259" s="423" t="str">
        <f t="shared" si="352"/>
        <v>NA</v>
      </c>
    </row>
    <row r="260" spans="1:48" ht="15" customHeight="1" x14ac:dyDescent="0.25">
      <c r="A260" s="146"/>
      <c r="B260" s="148">
        <v>107</v>
      </c>
      <c r="C260" s="151" t="str">
        <f>_xlfn.XLOOKUP(B260, LgProvEntOrgIDs[Advanced Network/Insurer Carrier Org ID], LgProvEntOrgIDs[Advanced Network/Insurance Carrier Overall])</f>
        <v>Senior Care Network of CT (dba Advantage Plus Network)</v>
      </c>
      <c r="D260" s="448">
        <f>SUMIFS(AN_TME_BY[[#All],[Member Months]],AN_TME_BY[[#All],[Insurance Category Code]],7,AN_TME_BY[[#All],[Advanced Network/Insurance Carrier Org ID]],B260)</f>
        <v>0</v>
      </c>
      <c r="E260" s="137" t="str">
        <f>IF(D260=0,"NA",SUMIFS(AN_TME_BY[[#All],[Claims: Hospital Inpatient]],AN_TME_BY[[#All],[Insurance Category Code]],7,AN_TME_BY[[#All],[Advanced Network/Insurance Carrier Org ID]],B260)/D260)</f>
        <v>NA</v>
      </c>
      <c r="F260" s="108" t="str">
        <f>IF(D260=0,"NA",SUMIFS(AN_TME_BY[[#All],[Claims: Hospital Outpatient]],AN_TME_BY[[#All],[Insurance Category Code]],7,AN_TME_BY[[#All],[Advanced Network/Insurance Carrier Org ID]],B260)/D260)</f>
        <v>NA</v>
      </c>
      <c r="G260" s="108" t="str">
        <f>IF(D260=0,"NA",SUMIFS(AN_TME_BY[[#All],[Claims: Professional, Primary Care]],AN_TME_BY[[#All],[Insurance Category Code]],7,AN_TME_BY[[#All],[Advanced Network/Insurance Carrier Org ID]],B260)/D260)</f>
        <v>NA</v>
      </c>
      <c r="H260" s="108" t="str">
        <f>IF(D260=0,"NA",SUMIFS(AN_TME_BY[[#All],[Claims: Professional, Primary Care (for Monitoring Purposes)]],AN_TME_BY[[#All],[Insurance Category Code]],7,AN_TME_BY[[#All],[Advanced Network/Insurance Carrier Org ID]],B260)/D260)</f>
        <v>NA</v>
      </c>
      <c r="I260" s="108" t="str">
        <f>IF(D260=0,"NA",SUMIFS(AN_TME_BY[[#All],[Claims: Professional, Specialty]],AN_TME_BY[[#All],[Insurance Category Code]],7,AN_TME_BY[[#All],[Advanced Network/Insurance Carrier Org ID]],B260)/D260)</f>
        <v>NA</v>
      </c>
      <c r="J260" s="108" t="str">
        <f>IF(D260=0,"NA",SUMIFS(AN_TME_BY[[#All],[Claims: Professional Other]],AN_TME_BY[[#All],[Insurance Category Code]],7,AN_TME_BY[[#All],[Advanced Network/Insurance Carrier Org ID]],B260)/D260)</f>
        <v>NA</v>
      </c>
      <c r="K260" s="108" t="str">
        <f>IF(D260=0,"NA",SUMIFS(AN_TME_BY[[#All],[Claims: Pharmacy]],AN_TME_BY[[#All],[Insurance Category Code]],7,AN_TME_BY[[#All],[Advanced Network/Insurance Carrier Org ID]],B260)/D260)</f>
        <v>NA</v>
      </c>
      <c r="L260" s="108" t="str">
        <f>IF(D260=0,"NA",SUMIFS(AN_TME_BY[[#All],[Claims: Long-Term Care]],AN_TME_BY[[#All],[Insurance Category Code]],7,AN_TME_BY[[#All],[Advanced Network/Insurance Carrier Org ID]],B260)/D260)</f>
        <v>NA</v>
      </c>
      <c r="M260" s="108" t="str">
        <f>IF(D260=0,"NA",SUMIFS(AN_TME_BY[[#All],[Claims: Other]],AN_TME_BY[[#All],[Insurance Category Code]],7,AN_TME_BY[[#All],[Advanced Network/Insurance Carrier Org ID]],B260)/D260)</f>
        <v>NA</v>
      </c>
      <c r="N260" s="147" t="str">
        <f>IF(D260=0,"NA",SUMIFS(AN_TME_BY[[#All],[TOTAL Non-Truncated Unadjusted Claims Expenses]],AN_TME_BY[[#All],[Insurance Category Code]],7,AN_TME_BY[[#All],[Advanced Network/Insurance Carrier Org ID]],B260)/D260)</f>
        <v>NA</v>
      </c>
      <c r="O260" s="147" t="str">
        <f>IF(D260=0,"NA",SUMIFS(AN_TME_BY[[#All],[TOTAL Truncated Unadjusted Claims Expenses (A21 -A19)]],AN_TME_BY[[#All],[Insurance Category Code]],7,AN_TME_BY[[#All],[Advanced Network/Insurance Carrier Org ID]],B260)/D260)</f>
        <v>NA</v>
      </c>
      <c r="P260" s="147" t="str">
        <f>IF(D260=0,"NA",SUMIFS(AN_TME_BY[[#All],[TOTAL Non-Claims Expenses]],AN_TME_BY[[#All],[Insurance Category Code]],7,AN_TME_BY[[#All],[Advanced Network/Insurance Carrier Org ID]],B260)/D260)</f>
        <v>NA</v>
      </c>
      <c r="Q260" s="147" t="str">
        <f>IF(D260=0,"NA",SUMIFS(AN_TME_BY[[#All],[TOTAL Non-Truncated Unadjusted Expenses (A21 + A23)]],AN_TME_BY[[#All],[Insurance Category Code]],7,AN_TME_BY[[#All],[Advanced Network/Insurance Carrier Org ID]],B260)/D260)</f>
        <v>NA</v>
      </c>
      <c r="R260" s="147" t="str">
        <f>IF(D260=0,"NA",SUMIFS(AN_TME_BY[[#All],[TOTAL Truncated Unadjusted Expenses (A22 + A23)]],AN_TME_BY[[#All],[Insurance Category Code]],7,AN_TME_BY[[#All],[Advanced Network/Insurance Carrier Org ID]],B260)/D260)</f>
        <v>NA</v>
      </c>
      <c r="S260" s="445">
        <f>SUMIFS(AN_TME_PY[[#All],[Member Months]],AN_TME_PY[[#All],[Insurance Category Code]],7,AN_TME_PY[[#All],[Advanced Network/Insurance Carrier Org ID]],B260)</f>
        <v>0</v>
      </c>
      <c r="T260" s="434" t="str">
        <f>IF(S260=0,"NA",SUMIFS(AN_TME_PY[[#All],[Claims: Hospital Inpatient]],AN_TME_PY[[#All],[Insurance Category Code]],7,AN_TME_PY[[#All],[Advanced Network/Insurance Carrier Org ID]],B260)/S260)</f>
        <v>NA</v>
      </c>
      <c r="U260" s="435" t="str">
        <f>IF(S260=0,"NA",SUMIFS(AN_TME_PY[[#All],[Claims: Hospital Outpatient]],AN_TME_PY[[#All],[Insurance Category Code]],7,AN_TME_PY[[#All],[Advanced Network/Insurance Carrier Org ID]],B260)/S260)</f>
        <v>NA</v>
      </c>
      <c r="V260" s="435" t="str">
        <f>IF(S260=0,"NA",SUMIFS(AN_TME_PY[[#All],[Claims: Professional, Primary Care]],AN_TME_PY[[#All],[Insurance Category Code]],7,AN_TME_PY[[#All],[Advanced Network/Insurance Carrier Org ID]],B260)/S260)</f>
        <v>NA</v>
      </c>
      <c r="W260" s="435" t="str">
        <f>IF(S260=0,"NA",SUMIFS(AN_TME_PY[[#All],[Claims: Professional, Primary Care (for Monitoring Purposes)]],AN_TME_PY[[#All],[Insurance Category Code]],7,AN_TME_PY[[#All],[Advanced Network/Insurance Carrier Org ID]],B260)/S260)</f>
        <v>NA</v>
      </c>
      <c r="X260" s="435" t="str">
        <f>IF(S260=0,"NA",SUMIFS(AN_TME_PY[[#All],[Claims: Professional, Specialty]],AN_TME_PY[[#All],[Insurance Category Code]],7,AN_TME_PY[[#All],[Advanced Network/Insurance Carrier Org ID]],B260)/S260)</f>
        <v>NA</v>
      </c>
      <c r="Y260" s="435" t="str">
        <f>IF(S260=0,"NA",SUMIFS(AN_TME_PY[[#All],[Claims: Professional Other]],AN_TME_PY[[#All],[Insurance Category Code]],7,AN_TME_PY[[#All],[Advanced Network/Insurance Carrier Org ID]],B260)/S260)</f>
        <v>NA</v>
      </c>
      <c r="Z260" s="435" t="str">
        <f>IF(S260=0,"NA",SUMIFS(AN_TME_PY[[#All],[Claims: Pharmacy]],AN_TME_PY[[#All],[Insurance Category Code]],7,AN_TME_PY[[#All],[Advanced Network/Insurance Carrier Org ID]],B260)/S260)</f>
        <v>NA</v>
      </c>
      <c r="AA260" s="435" t="str">
        <f>IF(S260=0,"NA",SUMIFS(AN_TME_PY[[#All],[Claims: Long-Term Care]],AN_TME_PY[[#All],[Insurance Category Code]],7,AN_TME_PY[[#All],[Advanced Network/Insurance Carrier Org ID]],B260)/S260)</f>
        <v>NA</v>
      </c>
      <c r="AB260" s="435" t="str">
        <f>IF(S260=0,"NA",SUMIFS(AN_TME_PY[[#All],[Claims: Other]],AN_TME_PY[[#All],[Insurance Category Code]],7,AN_TME_PY[[#All],[Advanced Network/Insurance Carrier Org ID]],B260)/S260)</f>
        <v>NA</v>
      </c>
      <c r="AC260" s="436" t="str">
        <f>IF(S260=0,"NA",SUMIFS(AN_TME_PY[[#All],[TOTAL Non-Truncated Unadjusted Claims Expenses]],AN_TME_PY[[#All],[Insurance Category Code]],7,AN_TME_PY[[#All],[Advanced Network/Insurance Carrier Org ID]],B260)/S260)</f>
        <v>NA</v>
      </c>
      <c r="AD260" s="436" t="str">
        <f>IF(S260=0,"NA",SUMIFS(AN_TME_PY[[#All],[TOTAL Truncated Unadjusted Claims Expenses (A21 -A19)]],AN_TME_PY[[#All],[Insurance Category Code]],7,AN_TME_PY[[#All],[Advanced Network/Insurance Carrier Org ID]],B260)/S260)</f>
        <v>NA</v>
      </c>
      <c r="AE260" s="436" t="str">
        <f>IF(S260=0,"NA",SUMIFS(AN_TME_PY[[#All],[TOTAL Non-Claims Expenses]],AN_TME_PY[[#All],[Insurance Category Code]],7,AN_TME_PY[[#All],[Advanced Network/Insurance Carrier Org ID]],B260)/S260)</f>
        <v>NA</v>
      </c>
      <c r="AF260" s="436" t="str">
        <f>IF(S260=0,"NA",SUMIFS(AN_TME_PY[[#All],[TOTAL Non-Truncated Unadjusted Expenses (A21 + A23)]],AN_TME_PY[[#All],[Insurance Category Code]],7,AN_TME_PY[[#All],[Advanced Network/Insurance Carrier Org ID]],B260)/S260)</f>
        <v>NA</v>
      </c>
      <c r="AG260" s="437" t="str">
        <f>IF(S260=0,"NA",SUMIFS(AN_TME_PY[[#All],[TOTAL Truncated Unadjusted Expenses (A22 + A23)]],AN_TME_PY[[#All],[Insurance Category Code]],7,AN_TME_PY[[#All],[Advanced Network/Insurance Carrier Org ID]],B260)/S260)</f>
        <v>NA</v>
      </c>
      <c r="AH260" s="419" t="str">
        <f t="shared" si="338"/>
        <v>NA</v>
      </c>
      <c r="AI260" s="420" t="str">
        <f t="shared" si="339"/>
        <v>NA</v>
      </c>
      <c r="AJ260" s="421" t="str">
        <f t="shared" si="340"/>
        <v>NA</v>
      </c>
      <c r="AK260" s="421" t="str">
        <f t="shared" si="341"/>
        <v>NA</v>
      </c>
      <c r="AL260" s="421" t="str">
        <f t="shared" si="342"/>
        <v>NA</v>
      </c>
      <c r="AM260" s="421" t="str">
        <f t="shared" si="343"/>
        <v>NA</v>
      </c>
      <c r="AN260" s="421" t="str">
        <f t="shared" si="344"/>
        <v>NA</v>
      </c>
      <c r="AO260" s="421" t="str">
        <f t="shared" si="345"/>
        <v>NA</v>
      </c>
      <c r="AP260" s="421" t="str">
        <f t="shared" si="346"/>
        <v>NA</v>
      </c>
      <c r="AQ260" s="421" t="str">
        <f t="shared" si="347"/>
        <v>NA</v>
      </c>
      <c r="AR260" s="422" t="str">
        <f t="shared" si="348"/>
        <v>NA</v>
      </c>
      <c r="AS260" s="422" t="str">
        <f t="shared" si="349"/>
        <v>NA</v>
      </c>
      <c r="AT260" s="422" t="str">
        <f t="shared" si="350"/>
        <v>NA</v>
      </c>
      <c r="AU260" s="422" t="str">
        <f t="shared" si="351"/>
        <v>NA</v>
      </c>
      <c r="AV260" s="423" t="str">
        <f t="shared" si="352"/>
        <v>NA</v>
      </c>
    </row>
    <row r="261" spans="1:48" ht="45" customHeight="1" x14ac:dyDescent="0.25">
      <c r="A261" s="146"/>
      <c r="B261" s="148">
        <v>108</v>
      </c>
      <c r="C261" s="151" t="str">
        <f>_xlfn.XLOOKUP(B261, LgProvEntOrgIDs[Advanced Network/Insurer Carrier Org ID], LgProvEntOrgIDs[Advanced Network/Insurance Carrier Overall])</f>
        <v>Prospect Connecticut Medical Foundation Inc. (dba Prospect Medical, Prospect Health Services, Prospect Holdings)</v>
      </c>
      <c r="D261" s="448">
        <f>SUMIFS(AN_TME_BY[[#All],[Member Months]],AN_TME_BY[[#All],[Insurance Category Code]],7,AN_TME_BY[[#All],[Advanced Network/Insurance Carrier Org ID]],B261)</f>
        <v>0</v>
      </c>
      <c r="E261" s="137" t="str">
        <f>IF(D261=0,"NA",SUMIFS(AN_TME_BY[[#All],[Claims: Hospital Inpatient]],AN_TME_BY[[#All],[Insurance Category Code]],7,AN_TME_BY[[#All],[Advanced Network/Insurance Carrier Org ID]],B261)/D261)</f>
        <v>NA</v>
      </c>
      <c r="F261" s="108" t="str">
        <f>IF(D261=0,"NA",SUMIFS(AN_TME_BY[[#All],[Claims: Hospital Outpatient]],AN_TME_BY[[#All],[Insurance Category Code]],7,AN_TME_BY[[#All],[Advanced Network/Insurance Carrier Org ID]],B261)/D261)</f>
        <v>NA</v>
      </c>
      <c r="G261" s="108" t="str">
        <f>IF(D261=0,"NA",SUMIFS(AN_TME_BY[[#All],[Claims: Professional, Primary Care]],AN_TME_BY[[#All],[Insurance Category Code]],7,AN_TME_BY[[#All],[Advanced Network/Insurance Carrier Org ID]],B261)/D261)</f>
        <v>NA</v>
      </c>
      <c r="H261" s="108" t="str">
        <f>IF(D261=0,"NA",SUMIFS(AN_TME_BY[[#All],[Claims: Professional, Primary Care (for Monitoring Purposes)]],AN_TME_BY[[#All],[Insurance Category Code]],7,AN_TME_BY[[#All],[Advanced Network/Insurance Carrier Org ID]],B261)/D261)</f>
        <v>NA</v>
      </c>
      <c r="I261" s="108" t="str">
        <f>IF(D261=0,"NA",SUMIFS(AN_TME_BY[[#All],[Claims: Professional, Specialty]],AN_TME_BY[[#All],[Insurance Category Code]],7,AN_TME_BY[[#All],[Advanced Network/Insurance Carrier Org ID]],B261)/D261)</f>
        <v>NA</v>
      </c>
      <c r="J261" s="108" t="str">
        <f>IF(D261=0,"NA",SUMIFS(AN_TME_BY[[#All],[Claims: Professional Other]],AN_TME_BY[[#All],[Insurance Category Code]],7,AN_TME_BY[[#All],[Advanced Network/Insurance Carrier Org ID]],B261)/D261)</f>
        <v>NA</v>
      </c>
      <c r="K261" s="108" t="str">
        <f>IF(D261=0,"NA",SUMIFS(AN_TME_BY[[#All],[Claims: Pharmacy]],AN_TME_BY[[#All],[Insurance Category Code]],7,AN_TME_BY[[#All],[Advanced Network/Insurance Carrier Org ID]],B261)/D261)</f>
        <v>NA</v>
      </c>
      <c r="L261" s="108" t="str">
        <f>IF(D261=0,"NA",SUMIFS(AN_TME_BY[[#All],[Claims: Long-Term Care]],AN_TME_BY[[#All],[Insurance Category Code]],7,AN_TME_BY[[#All],[Advanced Network/Insurance Carrier Org ID]],B261)/D261)</f>
        <v>NA</v>
      </c>
      <c r="M261" s="108" t="str">
        <f>IF(D261=0,"NA",SUMIFS(AN_TME_BY[[#All],[Claims: Other]],AN_TME_BY[[#All],[Insurance Category Code]],7,AN_TME_BY[[#All],[Advanced Network/Insurance Carrier Org ID]],B261)/D261)</f>
        <v>NA</v>
      </c>
      <c r="N261" s="147" t="str">
        <f>IF(D261=0,"NA",SUMIFS(AN_TME_BY[[#All],[TOTAL Non-Truncated Unadjusted Claims Expenses]],AN_TME_BY[[#All],[Insurance Category Code]],7,AN_TME_BY[[#All],[Advanced Network/Insurance Carrier Org ID]],B261)/D261)</f>
        <v>NA</v>
      </c>
      <c r="O261" s="147" t="str">
        <f>IF(D261=0,"NA",SUMIFS(AN_TME_BY[[#All],[TOTAL Truncated Unadjusted Claims Expenses (A21 -A19)]],AN_TME_BY[[#All],[Insurance Category Code]],7,AN_TME_BY[[#All],[Advanced Network/Insurance Carrier Org ID]],B261)/D261)</f>
        <v>NA</v>
      </c>
      <c r="P261" s="147" t="str">
        <f>IF(D261=0,"NA",SUMIFS(AN_TME_BY[[#All],[TOTAL Non-Claims Expenses]],AN_TME_BY[[#All],[Insurance Category Code]],7,AN_TME_BY[[#All],[Advanced Network/Insurance Carrier Org ID]],B261)/D261)</f>
        <v>NA</v>
      </c>
      <c r="Q261" s="147" t="str">
        <f>IF(D261=0,"NA",SUMIFS(AN_TME_BY[[#All],[TOTAL Non-Truncated Unadjusted Expenses (A21 + A23)]],AN_TME_BY[[#All],[Insurance Category Code]],7,AN_TME_BY[[#All],[Advanced Network/Insurance Carrier Org ID]],B261)/D261)</f>
        <v>NA</v>
      </c>
      <c r="R261" s="147" t="str">
        <f>IF(D261=0,"NA",SUMIFS(AN_TME_BY[[#All],[TOTAL Truncated Unadjusted Expenses (A22 + A23)]],AN_TME_BY[[#All],[Insurance Category Code]],7,AN_TME_BY[[#All],[Advanced Network/Insurance Carrier Org ID]],B261)/D261)</f>
        <v>NA</v>
      </c>
      <c r="S261" s="445">
        <f>SUMIFS(AN_TME_PY[[#All],[Member Months]],AN_TME_PY[[#All],[Insurance Category Code]],7,AN_TME_PY[[#All],[Advanced Network/Insurance Carrier Org ID]],B261)</f>
        <v>0</v>
      </c>
      <c r="T261" s="434" t="str">
        <f>IF(S261=0,"NA",SUMIFS(AN_TME_PY[[#All],[Claims: Hospital Inpatient]],AN_TME_PY[[#All],[Insurance Category Code]],7,AN_TME_PY[[#All],[Advanced Network/Insurance Carrier Org ID]],B261)/S261)</f>
        <v>NA</v>
      </c>
      <c r="U261" s="435" t="str">
        <f>IF(S261=0,"NA",SUMIFS(AN_TME_PY[[#All],[Claims: Hospital Outpatient]],AN_TME_PY[[#All],[Insurance Category Code]],7,AN_TME_PY[[#All],[Advanced Network/Insurance Carrier Org ID]],B261)/S261)</f>
        <v>NA</v>
      </c>
      <c r="V261" s="435" t="str">
        <f>IF(S261=0,"NA",SUMIFS(AN_TME_PY[[#All],[Claims: Professional, Primary Care]],AN_TME_PY[[#All],[Insurance Category Code]],7,AN_TME_PY[[#All],[Advanced Network/Insurance Carrier Org ID]],B261)/S261)</f>
        <v>NA</v>
      </c>
      <c r="W261" s="435" t="str">
        <f>IF(S261=0,"NA",SUMIFS(AN_TME_PY[[#All],[Claims: Professional, Primary Care (for Monitoring Purposes)]],AN_TME_PY[[#All],[Insurance Category Code]],7,AN_TME_PY[[#All],[Advanced Network/Insurance Carrier Org ID]],B261)/S261)</f>
        <v>NA</v>
      </c>
      <c r="X261" s="435" t="str">
        <f>IF(S261=0,"NA",SUMIFS(AN_TME_PY[[#All],[Claims: Professional, Specialty]],AN_TME_PY[[#All],[Insurance Category Code]],7,AN_TME_PY[[#All],[Advanced Network/Insurance Carrier Org ID]],B261)/S261)</f>
        <v>NA</v>
      </c>
      <c r="Y261" s="435" t="str">
        <f>IF(S261=0,"NA",SUMIFS(AN_TME_PY[[#All],[Claims: Professional Other]],AN_TME_PY[[#All],[Insurance Category Code]],7,AN_TME_PY[[#All],[Advanced Network/Insurance Carrier Org ID]],B261)/S261)</f>
        <v>NA</v>
      </c>
      <c r="Z261" s="435" t="str">
        <f>IF(S261=0,"NA",SUMIFS(AN_TME_PY[[#All],[Claims: Pharmacy]],AN_TME_PY[[#All],[Insurance Category Code]],7,AN_TME_PY[[#All],[Advanced Network/Insurance Carrier Org ID]],B261)/S261)</f>
        <v>NA</v>
      </c>
      <c r="AA261" s="435" t="str">
        <f>IF(S261=0,"NA",SUMIFS(AN_TME_PY[[#All],[Claims: Long-Term Care]],AN_TME_PY[[#All],[Insurance Category Code]],7,AN_TME_PY[[#All],[Advanced Network/Insurance Carrier Org ID]],B261)/S261)</f>
        <v>NA</v>
      </c>
      <c r="AB261" s="435" t="str">
        <f>IF(S261=0,"NA",SUMIFS(AN_TME_PY[[#All],[Claims: Other]],AN_TME_PY[[#All],[Insurance Category Code]],7,AN_TME_PY[[#All],[Advanced Network/Insurance Carrier Org ID]],B261)/S261)</f>
        <v>NA</v>
      </c>
      <c r="AC261" s="436" t="str">
        <f>IF(S261=0,"NA",SUMIFS(AN_TME_PY[[#All],[TOTAL Non-Truncated Unadjusted Claims Expenses]],AN_TME_PY[[#All],[Insurance Category Code]],7,AN_TME_PY[[#All],[Advanced Network/Insurance Carrier Org ID]],B261)/S261)</f>
        <v>NA</v>
      </c>
      <c r="AD261" s="436" t="str">
        <f>IF(S261=0,"NA",SUMIFS(AN_TME_PY[[#All],[TOTAL Truncated Unadjusted Claims Expenses (A21 -A19)]],AN_TME_PY[[#All],[Insurance Category Code]],7,AN_TME_PY[[#All],[Advanced Network/Insurance Carrier Org ID]],B261)/S261)</f>
        <v>NA</v>
      </c>
      <c r="AE261" s="436" t="str">
        <f>IF(S261=0,"NA",SUMIFS(AN_TME_PY[[#All],[TOTAL Non-Claims Expenses]],AN_TME_PY[[#All],[Insurance Category Code]],7,AN_TME_PY[[#All],[Advanced Network/Insurance Carrier Org ID]],B261)/S261)</f>
        <v>NA</v>
      </c>
      <c r="AF261" s="436" t="str">
        <f>IF(S261=0,"NA",SUMIFS(AN_TME_PY[[#All],[TOTAL Non-Truncated Unadjusted Expenses (A21 + A23)]],AN_TME_PY[[#All],[Insurance Category Code]],7,AN_TME_PY[[#All],[Advanced Network/Insurance Carrier Org ID]],B261)/S261)</f>
        <v>NA</v>
      </c>
      <c r="AG261" s="437" t="str">
        <f>IF(S261=0,"NA",SUMIFS(AN_TME_PY[[#All],[TOTAL Truncated Unadjusted Expenses (A22 + A23)]],AN_TME_PY[[#All],[Insurance Category Code]],7,AN_TME_PY[[#All],[Advanced Network/Insurance Carrier Org ID]],B261)/S261)</f>
        <v>NA</v>
      </c>
      <c r="AH261" s="419" t="str">
        <f t="shared" si="338"/>
        <v>NA</v>
      </c>
      <c r="AI261" s="420" t="str">
        <f t="shared" si="339"/>
        <v>NA</v>
      </c>
      <c r="AJ261" s="421" t="str">
        <f t="shared" si="340"/>
        <v>NA</v>
      </c>
      <c r="AK261" s="421" t="str">
        <f t="shared" si="341"/>
        <v>NA</v>
      </c>
      <c r="AL261" s="421" t="str">
        <f t="shared" si="342"/>
        <v>NA</v>
      </c>
      <c r="AM261" s="421" t="str">
        <f t="shared" si="343"/>
        <v>NA</v>
      </c>
      <c r="AN261" s="421" t="str">
        <f t="shared" si="344"/>
        <v>NA</v>
      </c>
      <c r="AO261" s="421" t="str">
        <f t="shared" si="345"/>
        <v>NA</v>
      </c>
      <c r="AP261" s="421" t="str">
        <f t="shared" si="346"/>
        <v>NA</v>
      </c>
      <c r="AQ261" s="421" t="str">
        <f t="shared" si="347"/>
        <v>NA</v>
      </c>
      <c r="AR261" s="422" t="str">
        <f t="shared" si="348"/>
        <v>NA</v>
      </c>
      <c r="AS261" s="422" t="str">
        <f t="shared" si="349"/>
        <v>NA</v>
      </c>
      <c r="AT261" s="422" t="str">
        <f t="shared" si="350"/>
        <v>NA</v>
      </c>
      <c r="AU261" s="422" t="str">
        <f t="shared" si="351"/>
        <v>NA</v>
      </c>
      <c r="AV261" s="423" t="str">
        <f t="shared" si="352"/>
        <v>NA</v>
      </c>
    </row>
    <row r="262" spans="1:48" ht="45" customHeight="1" x14ac:dyDescent="0.25">
      <c r="A262" s="146"/>
      <c r="B262" s="148">
        <v>109</v>
      </c>
      <c r="C262" s="151" t="str">
        <f>_xlfn.XLOOKUP(B262, LgProvEntOrgIDs[Advanced Network/Insurer Carrier Org ID], LgProvEntOrgIDs[Advanced Network/Insurance Carrier Overall])</f>
        <v>Southern New England Health Care Organization (aka SoNE Health)</v>
      </c>
      <c r="D262" s="448">
        <f>SUMIFS(AN_TME_BY[[#All],[Member Months]],AN_TME_BY[[#All],[Insurance Category Code]],7,AN_TME_BY[[#All],[Advanced Network/Insurance Carrier Org ID]],B262)</f>
        <v>0</v>
      </c>
      <c r="E262" s="137" t="str">
        <f>IF(D262=0,"NA",SUMIFS(AN_TME_BY[[#All],[Claims: Hospital Inpatient]],AN_TME_BY[[#All],[Insurance Category Code]],7,AN_TME_BY[[#All],[Advanced Network/Insurance Carrier Org ID]],B262)/D262)</f>
        <v>NA</v>
      </c>
      <c r="F262" s="108" t="str">
        <f>IF(D262=0,"NA",SUMIFS(AN_TME_BY[[#All],[Claims: Hospital Outpatient]],AN_TME_BY[[#All],[Insurance Category Code]],7,AN_TME_BY[[#All],[Advanced Network/Insurance Carrier Org ID]],B262)/D262)</f>
        <v>NA</v>
      </c>
      <c r="G262" s="108" t="str">
        <f>IF(D262=0,"NA",SUMIFS(AN_TME_BY[[#All],[Claims: Professional, Primary Care]],AN_TME_BY[[#All],[Insurance Category Code]],7,AN_TME_BY[[#All],[Advanced Network/Insurance Carrier Org ID]],B262)/D262)</f>
        <v>NA</v>
      </c>
      <c r="H262" s="108" t="str">
        <f>IF(D262=0,"NA",SUMIFS(AN_TME_BY[[#All],[Claims: Professional, Primary Care (for Monitoring Purposes)]],AN_TME_BY[[#All],[Insurance Category Code]],7,AN_TME_BY[[#All],[Advanced Network/Insurance Carrier Org ID]],B262)/D262)</f>
        <v>NA</v>
      </c>
      <c r="I262" s="108" t="str">
        <f>IF(D262=0,"NA",SUMIFS(AN_TME_BY[[#All],[Claims: Professional, Specialty]],AN_TME_BY[[#All],[Insurance Category Code]],7,AN_TME_BY[[#All],[Advanced Network/Insurance Carrier Org ID]],B262)/D262)</f>
        <v>NA</v>
      </c>
      <c r="J262" s="108" t="str">
        <f>IF(D262=0,"NA",SUMIFS(AN_TME_BY[[#All],[Claims: Professional Other]],AN_TME_BY[[#All],[Insurance Category Code]],7,AN_TME_BY[[#All],[Advanced Network/Insurance Carrier Org ID]],B262)/D262)</f>
        <v>NA</v>
      </c>
      <c r="K262" s="108" t="str">
        <f>IF(D262=0,"NA",SUMIFS(AN_TME_BY[[#All],[Claims: Pharmacy]],AN_TME_BY[[#All],[Insurance Category Code]],7,AN_TME_BY[[#All],[Advanced Network/Insurance Carrier Org ID]],B262)/D262)</f>
        <v>NA</v>
      </c>
      <c r="L262" s="108" t="str">
        <f>IF(D262=0,"NA",SUMIFS(AN_TME_BY[[#All],[Claims: Long-Term Care]],AN_TME_BY[[#All],[Insurance Category Code]],7,AN_TME_BY[[#All],[Advanced Network/Insurance Carrier Org ID]],B262)/D262)</f>
        <v>NA</v>
      </c>
      <c r="M262" s="108" t="str">
        <f>IF(D262=0,"NA",SUMIFS(AN_TME_BY[[#All],[Claims: Other]],AN_TME_BY[[#All],[Insurance Category Code]],7,AN_TME_BY[[#All],[Advanced Network/Insurance Carrier Org ID]],B262)/D262)</f>
        <v>NA</v>
      </c>
      <c r="N262" s="147" t="str">
        <f>IF(D262=0,"NA",SUMIFS(AN_TME_BY[[#All],[TOTAL Non-Truncated Unadjusted Claims Expenses]],AN_TME_BY[[#All],[Insurance Category Code]],7,AN_TME_BY[[#All],[Advanced Network/Insurance Carrier Org ID]],B262)/D262)</f>
        <v>NA</v>
      </c>
      <c r="O262" s="147" t="str">
        <f>IF(D262=0,"NA",SUMIFS(AN_TME_BY[[#All],[TOTAL Truncated Unadjusted Claims Expenses (A21 -A19)]],AN_TME_BY[[#All],[Insurance Category Code]],7,AN_TME_BY[[#All],[Advanced Network/Insurance Carrier Org ID]],B262)/D262)</f>
        <v>NA</v>
      </c>
      <c r="P262" s="147" t="str">
        <f>IF(D262=0,"NA",SUMIFS(AN_TME_BY[[#All],[TOTAL Non-Claims Expenses]],AN_TME_BY[[#All],[Insurance Category Code]],7,AN_TME_BY[[#All],[Advanced Network/Insurance Carrier Org ID]],B262)/D262)</f>
        <v>NA</v>
      </c>
      <c r="Q262" s="147" t="str">
        <f>IF(D262=0,"NA",SUMIFS(AN_TME_BY[[#All],[TOTAL Non-Truncated Unadjusted Expenses (A21 + A23)]],AN_TME_BY[[#All],[Insurance Category Code]],7,AN_TME_BY[[#All],[Advanced Network/Insurance Carrier Org ID]],B262)/D262)</f>
        <v>NA</v>
      </c>
      <c r="R262" s="147" t="str">
        <f>IF(D262=0,"NA",SUMIFS(AN_TME_BY[[#All],[TOTAL Truncated Unadjusted Expenses (A22 + A23)]],AN_TME_BY[[#All],[Insurance Category Code]],7,AN_TME_BY[[#All],[Advanced Network/Insurance Carrier Org ID]],B262)/D262)</f>
        <v>NA</v>
      </c>
      <c r="S262" s="445">
        <f>SUMIFS(AN_TME_PY[[#All],[Member Months]],AN_TME_PY[[#All],[Insurance Category Code]],7,AN_TME_PY[[#All],[Advanced Network/Insurance Carrier Org ID]],B262)</f>
        <v>0</v>
      </c>
      <c r="T262" s="434" t="str">
        <f>IF(S262=0,"NA",SUMIFS(AN_TME_PY[[#All],[Claims: Hospital Inpatient]],AN_TME_PY[[#All],[Insurance Category Code]],7,AN_TME_PY[[#All],[Advanced Network/Insurance Carrier Org ID]],B262)/S262)</f>
        <v>NA</v>
      </c>
      <c r="U262" s="435" t="str">
        <f>IF(S262=0,"NA",SUMIFS(AN_TME_PY[[#All],[Claims: Hospital Outpatient]],AN_TME_PY[[#All],[Insurance Category Code]],7,AN_TME_PY[[#All],[Advanced Network/Insurance Carrier Org ID]],B262)/S262)</f>
        <v>NA</v>
      </c>
      <c r="V262" s="435" t="str">
        <f>IF(S262=0,"NA",SUMIFS(AN_TME_PY[[#All],[Claims: Professional, Primary Care]],AN_TME_PY[[#All],[Insurance Category Code]],7,AN_TME_PY[[#All],[Advanced Network/Insurance Carrier Org ID]],B262)/S262)</f>
        <v>NA</v>
      </c>
      <c r="W262" s="435" t="str">
        <f>IF(S262=0,"NA",SUMIFS(AN_TME_PY[[#All],[Claims: Professional, Primary Care (for Monitoring Purposes)]],AN_TME_PY[[#All],[Insurance Category Code]],7,AN_TME_PY[[#All],[Advanced Network/Insurance Carrier Org ID]],B262)/S262)</f>
        <v>NA</v>
      </c>
      <c r="X262" s="435" t="str">
        <f>IF(S262=0,"NA",SUMIFS(AN_TME_PY[[#All],[Claims: Professional, Specialty]],AN_TME_PY[[#All],[Insurance Category Code]],7,AN_TME_PY[[#All],[Advanced Network/Insurance Carrier Org ID]],B262)/S262)</f>
        <v>NA</v>
      </c>
      <c r="Y262" s="435" t="str">
        <f>IF(S262=0,"NA",SUMIFS(AN_TME_PY[[#All],[Claims: Professional Other]],AN_TME_PY[[#All],[Insurance Category Code]],7,AN_TME_PY[[#All],[Advanced Network/Insurance Carrier Org ID]],B262)/S262)</f>
        <v>NA</v>
      </c>
      <c r="Z262" s="435" t="str">
        <f>IF(S262=0,"NA",SUMIFS(AN_TME_PY[[#All],[Claims: Pharmacy]],AN_TME_PY[[#All],[Insurance Category Code]],7,AN_TME_PY[[#All],[Advanced Network/Insurance Carrier Org ID]],B262)/S262)</f>
        <v>NA</v>
      </c>
      <c r="AA262" s="435" t="str">
        <f>IF(S262=0,"NA",SUMIFS(AN_TME_PY[[#All],[Claims: Long-Term Care]],AN_TME_PY[[#All],[Insurance Category Code]],7,AN_TME_PY[[#All],[Advanced Network/Insurance Carrier Org ID]],B262)/S262)</f>
        <v>NA</v>
      </c>
      <c r="AB262" s="435" t="str">
        <f>IF(S262=0,"NA",SUMIFS(AN_TME_PY[[#All],[Claims: Other]],AN_TME_PY[[#All],[Insurance Category Code]],7,AN_TME_PY[[#All],[Advanced Network/Insurance Carrier Org ID]],B262)/S262)</f>
        <v>NA</v>
      </c>
      <c r="AC262" s="436" t="str">
        <f>IF(S262=0,"NA",SUMIFS(AN_TME_PY[[#All],[TOTAL Non-Truncated Unadjusted Claims Expenses]],AN_TME_PY[[#All],[Insurance Category Code]],7,AN_TME_PY[[#All],[Advanced Network/Insurance Carrier Org ID]],B262)/S262)</f>
        <v>NA</v>
      </c>
      <c r="AD262" s="436" t="str">
        <f>IF(S262=0,"NA",SUMIFS(AN_TME_PY[[#All],[TOTAL Truncated Unadjusted Claims Expenses (A21 -A19)]],AN_TME_PY[[#All],[Insurance Category Code]],7,AN_TME_PY[[#All],[Advanced Network/Insurance Carrier Org ID]],B262)/S262)</f>
        <v>NA</v>
      </c>
      <c r="AE262" s="436" t="str">
        <f>IF(S262=0,"NA",SUMIFS(AN_TME_PY[[#All],[TOTAL Non-Claims Expenses]],AN_TME_PY[[#All],[Insurance Category Code]],7,AN_TME_PY[[#All],[Advanced Network/Insurance Carrier Org ID]],B262)/S262)</f>
        <v>NA</v>
      </c>
      <c r="AF262" s="436" t="str">
        <f>IF(S262=0,"NA",SUMIFS(AN_TME_PY[[#All],[TOTAL Non-Truncated Unadjusted Expenses (A21 + A23)]],AN_TME_PY[[#All],[Insurance Category Code]],7,AN_TME_PY[[#All],[Advanced Network/Insurance Carrier Org ID]],B262)/S262)</f>
        <v>NA</v>
      </c>
      <c r="AG262" s="437" t="str">
        <f>IF(S262=0,"NA",SUMIFS(AN_TME_PY[[#All],[TOTAL Truncated Unadjusted Expenses (A22 + A23)]],AN_TME_PY[[#All],[Insurance Category Code]],7,AN_TME_PY[[#All],[Advanced Network/Insurance Carrier Org ID]],B262)/S262)</f>
        <v>NA</v>
      </c>
      <c r="AH262" s="419" t="str">
        <f t="shared" si="338"/>
        <v>NA</v>
      </c>
      <c r="AI262" s="420" t="str">
        <f t="shared" si="339"/>
        <v>NA</v>
      </c>
      <c r="AJ262" s="421" t="str">
        <f t="shared" si="340"/>
        <v>NA</v>
      </c>
      <c r="AK262" s="421" t="str">
        <f t="shared" si="341"/>
        <v>NA</v>
      </c>
      <c r="AL262" s="421" t="str">
        <f t="shared" si="342"/>
        <v>NA</v>
      </c>
      <c r="AM262" s="421" t="str">
        <f t="shared" si="343"/>
        <v>NA</v>
      </c>
      <c r="AN262" s="421" t="str">
        <f t="shared" si="344"/>
        <v>NA</v>
      </c>
      <c r="AO262" s="421" t="str">
        <f t="shared" si="345"/>
        <v>NA</v>
      </c>
      <c r="AP262" s="421" t="str">
        <f t="shared" si="346"/>
        <v>NA</v>
      </c>
      <c r="AQ262" s="421" t="str">
        <f t="shared" si="347"/>
        <v>NA</v>
      </c>
      <c r="AR262" s="422" t="str">
        <f t="shared" si="348"/>
        <v>NA</v>
      </c>
      <c r="AS262" s="422" t="str">
        <f t="shared" si="349"/>
        <v>NA</v>
      </c>
      <c r="AT262" s="422" t="str">
        <f t="shared" si="350"/>
        <v>NA</v>
      </c>
      <c r="AU262" s="422" t="str">
        <f t="shared" si="351"/>
        <v>NA</v>
      </c>
      <c r="AV262" s="423" t="str">
        <f t="shared" si="352"/>
        <v>NA</v>
      </c>
    </row>
    <row r="263" spans="1:48" ht="15" customHeight="1" x14ac:dyDescent="0.25">
      <c r="A263" s="146"/>
      <c r="B263" s="148">
        <v>110</v>
      </c>
      <c r="C263" s="151" t="str">
        <f>_xlfn.XLOOKUP(B263, LgProvEntOrgIDs[Advanced Network/Insurer Carrier Org ID], LgProvEntOrgIDs[Advanced Network/Insurance Carrier Overall])</f>
        <v>Value Care Alliance</v>
      </c>
      <c r="D263" s="448">
        <f>SUMIFS(AN_TME_BY[[#All],[Member Months]],AN_TME_BY[[#All],[Insurance Category Code]],7,AN_TME_BY[[#All],[Advanced Network/Insurance Carrier Org ID]],B263)</f>
        <v>0</v>
      </c>
      <c r="E263" s="137" t="str">
        <f>IF(D263=0,"NA",SUMIFS(AN_TME_BY[[#All],[Claims: Hospital Inpatient]],AN_TME_BY[[#All],[Insurance Category Code]],7,AN_TME_BY[[#All],[Advanced Network/Insurance Carrier Org ID]],B263)/D263)</f>
        <v>NA</v>
      </c>
      <c r="F263" s="108" t="str">
        <f>IF(D263=0,"NA",SUMIFS(AN_TME_BY[[#All],[Claims: Hospital Outpatient]],AN_TME_BY[[#All],[Insurance Category Code]],7,AN_TME_BY[[#All],[Advanced Network/Insurance Carrier Org ID]],B263)/D263)</f>
        <v>NA</v>
      </c>
      <c r="G263" s="108" t="str">
        <f>IF(D263=0,"NA",SUMIFS(AN_TME_BY[[#All],[Claims: Professional, Primary Care]],AN_TME_BY[[#All],[Insurance Category Code]],7,AN_TME_BY[[#All],[Advanced Network/Insurance Carrier Org ID]],B263)/D263)</f>
        <v>NA</v>
      </c>
      <c r="H263" s="108" t="str">
        <f>IF(D263=0,"NA",SUMIFS(AN_TME_BY[[#All],[Claims: Professional, Primary Care (for Monitoring Purposes)]],AN_TME_BY[[#All],[Insurance Category Code]],7,AN_TME_BY[[#All],[Advanced Network/Insurance Carrier Org ID]],B263)/D263)</f>
        <v>NA</v>
      </c>
      <c r="I263" s="108" t="str">
        <f>IF(D263=0,"NA",SUMIFS(AN_TME_BY[[#All],[Claims: Professional, Specialty]],AN_TME_BY[[#All],[Insurance Category Code]],7,AN_TME_BY[[#All],[Advanced Network/Insurance Carrier Org ID]],B263)/D263)</f>
        <v>NA</v>
      </c>
      <c r="J263" s="108" t="str">
        <f>IF(D263=0,"NA",SUMIFS(AN_TME_BY[[#All],[Claims: Professional Other]],AN_TME_BY[[#All],[Insurance Category Code]],7,AN_TME_BY[[#All],[Advanced Network/Insurance Carrier Org ID]],B263)/D263)</f>
        <v>NA</v>
      </c>
      <c r="K263" s="108" t="str">
        <f>IF(D263=0,"NA",SUMIFS(AN_TME_BY[[#All],[Claims: Pharmacy]],AN_TME_BY[[#All],[Insurance Category Code]],7,AN_TME_BY[[#All],[Advanced Network/Insurance Carrier Org ID]],B263)/D263)</f>
        <v>NA</v>
      </c>
      <c r="L263" s="108" t="str">
        <f>IF(D263=0,"NA",SUMIFS(AN_TME_BY[[#All],[Claims: Long-Term Care]],AN_TME_BY[[#All],[Insurance Category Code]],7,AN_TME_BY[[#All],[Advanced Network/Insurance Carrier Org ID]],B263)/D263)</f>
        <v>NA</v>
      </c>
      <c r="M263" s="108" t="str">
        <f>IF(D263=0,"NA",SUMIFS(AN_TME_BY[[#All],[Claims: Other]],AN_TME_BY[[#All],[Insurance Category Code]],7,AN_TME_BY[[#All],[Advanced Network/Insurance Carrier Org ID]],B263)/D263)</f>
        <v>NA</v>
      </c>
      <c r="N263" s="147" t="str">
        <f>IF(D263=0,"NA",SUMIFS(AN_TME_BY[[#All],[TOTAL Non-Truncated Unadjusted Claims Expenses]],AN_TME_BY[[#All],[Insurance Category Code]],7,AN_TME_BY[[#All],[Advanced Network/Insurance Carrier Org ID]],B263)/D263)</f>
        <v>NA</v>
      </c>
      <c r="O263" s="147" t="str">
        <f>IF(D263=0,"NA",SUMIFS(AN_TME_BY[[#All],[TOTAL Truncated Unadjusted Claims Expenses (A21 -A19)]],AN_TME_BY[[#All],[Insurance Category Code]],7,AN_TME_BY[[#All],[Advanced Network/Insurance Carrier Org ID]],B263)/D263)</f>
        <v>NA</v>
      </c>
      <c r="P263" s="147" t="str">
        <f>IF(D263=0,"NA",SUMIFS(AN_TME_BY[[#All],[TOTAL Non-Claims Expenses]],AN_TME_BY[[#All],[Insurance Category Code]],7,AN_TME_BY[[#All],[Advanced Network/Insurance Carrier Org ID]],B263)/D263)</f>
        <v>NA</v>
      </c>
      <c r="Q263" s="147" t="str">
        <f>IF(D263=0,"NA",SUMIFS(AN_TME_BY[[#All],[TOTAL Non-Truncated Unadjusted Expenses (A21 + A23)]],AN_TME_BY[[#All],[Insurance Category Code]],7,AN_TME_BY[[#All],[Advanced Network/Insurance Carrier Org ID]],B263)/D263)</f>
        <v>NA</v>
      </c>
      <c r="R263" s="147" t="str">
        <f>IF(D263=0,"NA",SUMIFS(AN_TME_BY[[#All],[TOTAL Truncated Unadjusted Expenses (A22 + A23)]],AN_TME_BY[[#All],[Insurance Category Code]],7,AN_TME_BY[[#All],[Advanced Network/Insurance Carrier Org ID]],B263)/D263)</f>
        <v>NA</v>
      </c>
      <c r="S263" s="445">
        <f>SUMIFS(AN_TME_PY[[#All],[Member Months]],AN_TME_PY[[#All],[Insurance Category Code]],7,AN_TME_PY[[#All],[Advanced Network/Insurance Carrier Org ID]],B263)</f>
        <v>0</v>
      </c>
      <c r="T263" s="434" t="str">
        <f>IF(S263=0,"NA",SUMIFS(AN_TME_PY[[#All],[Claims: Hospital Inpatient]],AN_TME_PY[[#All],[Insurance Category Code]],7,AN_TME_PY[[#All],[Advanced Network/Insurance Carrier Org ID]],B263)/S263)</f>
        <v>NA</v>
      </c>
      <c r="U263" s="435" t="str">
        <f>IF(S263=0,"NA",SUMIFS(AN_TME_PY[[#All],[Claims: Hospital Outpatient]],AN_TME_PY[[#All],[Insurance Category Code]],7,AN_TME_PY[[#All],[Advanced Network/Insurance Carrier Org ID]],B263)/S263)</f>
        <v>NA</v>
      </c>
      <c r="V263" s="435" t="str">
        <f>IF(S263=0,"NA",SUMIFS(AN_TME_PY[[#All],[Claims: Professional, Primary Care]],AN_TME_PY[[#All],[Insurance Category Code]],7,AN_TME_PY[[#All],[Advanced Network/Insurance Carrier Org ID]],B263)/S263)</f>
        <v>NA</v>
      </c>
      <c r="W263" s="435" t="str">
        <f>IF(S263=0,"NA",SUMIFS(AN_TME_PY[[#All],[Claims: Professional, Primary Care (for Monitoring Purposes)]],AN_TME_PY[[#All],[Insurance Category Code]],7,AN_TME_PY[[#All],[Advanced Network/Insurance Carrier Org ID]],B263)/S263)</f>
        <v>NA</v>
      </c>
      <c r="X263" s="435" t="str">
        <f>IF(S263=0,"NA",SUMIFS(AN_TME_PY[[#All],[Claims: Professional, Specialty]],AN_TME_PY[[#All],[Insurance Category Code]],7,AN_TME_PY[[#All],[Advanced Network/Insurance Carrier Org ID]],B263)/S263)</f>
        <v>NA</v>
      </c>
      <c r="Y263" s="435" t="str">
        <f>IF(S263=0,"NA",SUMIFS(AN_TME_PY[[#All],[Claims: Professional Other]],AN_TME_PY[[#All],[Insurance Category Code]],7,AN_TME_PY[[#All],[Advanced Network/Insurance Carrier Org ID]],B263)/S263)</f>
        <v>NA</v>
      </c>
      <c r="Z263" s="435" t="str">
        <f>IF(S263=0,"NA",SUMIFS(AN_TME_PY[[#All],[Claims: Pharmacy]],AN_TME_PY[[#All],[Insurance Category Code]],7,AN_TME_PY[[#All],[Advanced Network/Insurance Carrier Org ID]],B263)/S263)</f>
        <v>NA</v>
      </c>
      <c r="AA263" s="435" t="str">
        <f>IF(S263=0,"NA",SUMIFS(AN_TME_PY[[#All],[Claims: Long-Term Care]],AN_TME_PY[[#All],[Insurance Category Code]],7,AN_TME_PY[[#All],[Advanced Network/Insurance Carrier Org ID]],B263)/S263)</f>
        <v>NA</v>
      </c>
      <c r="AB263" s="435" t="str">
        <f>IF(S263=0,"NA",SUMIFS(AN_TME_PY[[#All],[Claims: Other]],AN_TME_PY[[#All],[Insurance Category Code]],7,AN_TME_PY[[#All],[Advanced Network/Insurance Carrier Org ID]],B263)/S263)</f>
        <v>NA</v>
      </c>
      <c r="AC263" s="436" t="str">
        <f>IF(S263=0,"NA",SUMIFS(AN_TME_PY[[#All],[TOTAL Non-Truncated Unadjusted Claims Expenses]],AN_TME_PY[[#All],[Insurance Category Code]],7,AN_TME_PY[[#All],[Advanced Network/Insurance Carrier Org ID]],B263)/S263)</f>
        <v>NA</v>
      </c>
      <c r="AD263" s="436" t="str">
        <f>IF(S263=0,"NA",SUMIFS(AN_TME_PY[[#All],[TOTAL Truncated Unadjusted Claims Expenses (A21 -A19)]],AN_TME_PY[[#All],[Insurance Category Code]],7,AN_TME_PY[[#All],[Advanced Network/Insurance Carrier Org ID]],B263)/S263)</f>
        <v>NA</v>
      </c>
      <c r="AE263" s="436" t="str">
        <f>IF(S263=0,"NA",SUMIFS(AN_TME_PY[[#All],[TOTAL Non-Claims Expenses]],AN_TME_PY[[#All],[Insurance Category Code]],7,AN_TME_PY[[#All],[Advanced Network/Insurance Carrier Org ID]],B263)/S263)</f>
        <v>NA</v>
      </c>
      <c r="AF263" s="436" t="str">
        <f>IF(S263=0,"NA",SUMIFS(AN_TME_PY[[#All],[TOTAL Non-Truncated Unadjusted Expenses (A21 + A23)]],AN_TME_PY[[#All],[Insurance Category Code]],7,AN_TME_PY[[#All],[Advanced Network/Insurance Carrier Org ID]],B263)/S263)</f>
        <v>NA</v>
      </c>
      <c r="AG263" s="437" t="str">
        <f>IF(S263=0,"NA",SUMIFS(AN_TME_PY[[#All],[TOTAL Truncated Unadjusted Expenses (A22 + A23)]],AN_TME_PY[[#All],[Insurance Category Code]],7,AN_TME_PY[[#All],[Advanced Network/Insurance Carrier Org ID]],B263)/S263)</f>
        <v>NA</v>
      </c>
      <c r="AH263" s="419" t="str">
        <f t="shared" si="338"/>
        <v>NA</v>
      </c>
      <c r="AI263" s="420" t="str">
        <f t="shared" si="339"/>
        <v>NA</v>
      </c>
      <c r="AJ263" s="421" t="str">
        <f t="shared" si="340"/>
        <v>NA</v>
      </c>
      <c r="AK263" s="421" t="str">
        <f t="shared" si="341"/>
        <v>NA</v>
      </c>
      <c r="AL263" s="421" t="str">
        <f t="shared" si="342"/>
        <v>NA</v>
      </c>
      <c r="AM263" s="421" t="str">
        <f t="shared" si="343"/>
        <v>NA</v>
      </c>
      <c r="AN263" s="421" t="str">
        <f t="shared" si="344"/>
        <v>NA</v>
      </c>
      <c r="AO263" s="421" t="str">
        <f t="shared" si="345"/>
        <v>NA</v>
      </c>
      <c r="AP263" s="421" t="str">
        <f t="shared" si="346"/>
        <v>NA</v>
      </c>
      <c r="AQ263" s="421" t="str">
        <f t="shared" si="347"/>
        <v>NA</v>
      </c>
      <c r="AR263" s="422" t="str">
        <f t="shared" si="348"/>
        <v>NA</v>
      </c>
      <c r="AS263" s="422" t="str">
        <f t="shared" si="349"/>
        <v>NA</v>
      </c>
      <c r="AT263" s="422" t="str">
        <f t="shared" si="350"/>
        <v>NA</v>
      </c>
      <c r="AU263" s="422" t="str">
        <f t="shared" si="351"/>
        <v>NA</v>
      </c>
      <c r="AV263" s="423" t="str">
        <f t="shared" si="352"/>
        <v>NA</v>
      </c>
    </row>
    <row r="264" spans="1:48" ht="15" customHeight="1" x14ac:dyDescent="0.25">
      <c r="A264" s="146"/>
      <c r="B264" s="148">
        <v>111</v>
      </c>
      <c r="C264" s="151" t="str">
        <f>_xlfn.XLOOKUP(B264, LgProvEntOrgIDs[Advanced Network/Insurer Carrier Org ID], LgProvEntOrgIDs[Advanced Network/Insurance Carrier Overall])</f>
        <v>NA</v>
      </c>
      <c r="D264" s="448">
        <f>SUMIFS(AN_TME_BY[[#All],[Member Months]],AN_TME_BY[[#All],[Insurance Category Code]],7,AN_TME_BY[[#All],[Advanced Network/Insurance Carrier Org ID]],B264)</f>
        <v>0</v>
      </c>
      <c r="E264" s="137" t="str">
        <f>IF(D264=0,"NA",SUMIFS(AN_TME_BY[[#All],[Claims: Hospital Inpatient]],AN_TME_BY[[#All],[Insurance Category Code]],7,AN_TME_BY[[#All],[Advanced Network/Insurance Carrier Org ID]],B264)/D264)</f>
        <v>NA</v>
      </c>
      <c r="F264" s="108" t="str">
        <f>IF(D264=0,"NA",SUMIFS(AN_TME_BY[[#All],[Claims: Hospital Outpatient]],AN_TME_BY[[#All],[Insurance Category Code]],7,AN_TME_BY[[#All],[Advanced Network/Insurance Carrier Org ID]],B264)/D264)</f>
        <v>NA</v>
      </c>
      <c r="G264" s="108" t="str">
        <f>IF(D264=0,"NA",SUMIFS(AN_TME_BY[[#All],[Claims: Professional, Primary Care]],AN_TME_BY[[#All],[Insurance Category Code]],7,AN_TME_BY[[#All],[Advanced Network/Insurance Carrier Org ID]],B264)/D264)</f>
        <v>NA</v>
      </c>
      <c r="H264" s="108" t="str">
        <f>IF(D264=0,"NA",SUMIFS(AN_TME_BY[[#All],[Claims: Professional, Primary Care (for Monitoring Purposes)]],AN_TME_BY[[#All],[Insurance Category Code]],7,AN_TME_BY[[#All],[Advanced Network/Insurance Carrier Org ID]],B264)/D264)</f>
        <v>NA</v>
      </c>
      <c r="I264" s="108" t="str">
        <f>IF(D264=0,"NA",SUMIFS(AN_TME_BY[[#All],[Claims: Professional, Specialty]],AN_TME_BY[[#All],[Insurance Category Code]],7,AN_TME_BY[[#All],[Advanced Network/Insurance Carrier Org ID]],B264)/D264)</f>
        <v>NA</v>
      </c>
      <c r="J264" s="108" t="str">
        <f>IF(D264=0,"NA",SUMIFS(AN_TME_BY[[#All],[Claims: Professional Other]],AN_TME_BY[[#All],[Insurance Category Code]],7,AN_TME_BY[[#All],[Advanced Network/Insurance Carrier Org ID]],B264)/D264)</f>
        <v>NA</v>
      </c>
      <c r="K264" s="108" t="str">
        <f>IF(D264=0,"NA",SUMIFS(AN_TME_BY[[#All],[Claims: Pharmacy]],AN_TME_BY[[#All],[Insurance Category Code]],7,AN_TME_BY[[#All],[Advanced Network/Insurance Carrier Org ID]],B264)/D264)</f>
        <v>NA</v>
      </c>
      <c r="L264" s="108" t="str">
        <f>IF(D264=0,"NA",SUMIFS(AN_TME_BY[[#All],[Claims: Long-Term Care]],AN_TME_BY[[#All],[Insurance Category Code]],7,AN_TME_BY[[#All],[Advanced Network/Insurance Carrier Org ID]],B264)/D264)</f>
        <v>NA</v>
      </c>
      <c r="M264" s="108" t="str">
        <f>IF(D264=0,"NA",SUMIFS(AN_TME_BY[[#All],[Claims: Other]],AN_TME_BY[[#All],[Insurance Category Code]],7,AN_TME_BY[[#All],[Advanced Network/Insurance Carrier Org ID]],B264)/D264)</f>
        <v>NA</v>
      </c>
      <c r="N264" s="147" t="str">
        <f>IF(D264=0,"NA",SUMIFS(AN_TME_BY[[#All],[TOTAL Non-Truncated Unadjusted Claims Expenses]],AN_TME_BY[[#All],[Insurance Category Code]],7,AN_TME_BY[[#All],[Advanced Network/Insurance Carrier Org ID]],B264)/D264)</f>
        <v>NA</v>
      </c>
      <c r="O264" s="147" t="str">
        <f>IF(D264=0,"NA",SUMIFS(AN_TME_BY[[#All],[TOTAL Truncated Unadjusted Claims Expenses (A21 -A19)]],AN_TME_BY[[#All],[Insurance Category Code]],7,AN_TME_BY[[#All],[Advanced Network/Insurance Carrier Org ID]],B264)/D264)</f>
        <v>NA</v>
      </c>
      <c r="P264" s="147" t="str">
        <f>IF(D264=0,"NA",SUMIFS(AN_TME_BY[[#All],[TOTAL Non-Claims Expenses]],AN_TME_BY[[#All],[Insurance Category Code]],7,AN_TME_BY[[#All],[Advanced Network/Insurance Carrier Org ID]],B264)/D264)</f>
        <v>NA</v>
      </c>
      <c r="Q264" s="147" t="str">
        <f>IF(D264=0,"NA",SUMIFS(AN_TME_BY[[#All],[TOTAL Non-Truncated Unadjusted Expenses (A21 + A23)]],AN_TME_BY[[#All],[Insurance Category Code]],7,AN_TME_BY[[#All],[Advanced Network/Insurance Carrier Org ID]],B264)/D264)</f>
        <v>NA</v>
      </c>
      <c r="R264" s="147" t="str">
        <f>IF(D264=0,"NA",SUMIFS(AN_TME_BY[[#All],[TOTAL Truncated Unadjusted Expenses (A22 + A23)]],AN_TME_BY[[#All],[Insurance Category Code]],7,AN_TME_BY[[#All],[Advanced Network/Insurance Carrier Org ID]],B264)/D264)</f>
        <v>NA</v>
      </c>
      <c r="S264" s="445">
        <f>SUMIFS(AN_TME_PY[[#All],[Member Months]],AN_TME_PY[[#All],[Insurance Category Code]],7,AN_TME_PY[[#All],[Advanced Network/Insurance Carrier Org ID]],B264)</f>
        <v>0</v>
      </c>
      <c r="T264" s="434" t="str">
        <f>IF(S264=0,"NA",SUMIFS(AN_TME_PY[[#All],[Claims: Hospital Inpatient]],AN_TME_PY[[#All],[Insurance Category Code]],7,AN_TME_PY[[#All],[Advanced Network/Insurance Carrier Org ID]],B264)/S264)</f>
        <v>NA</v>
      </c>
      <c r="U264" s="435" t="str">
        <f>IF(S264=0,"NA",SUMIFS(AN_TME_PY[[#All],[Claims: Hospital Outpatient]],AN_TME_PY[[#All],[Insurance Category Code]],7,AN_TME_PY[[#All],[Advanced Network/Insurance Carrier Org ID]],B264)/S264)</f>
        <v>NA</v>
      </c>
      <c r="V264" s="435" t="str">
        <f>IF(S264=0,"NA",SUMIFS(AN_TME_PY[[#All],[Claims: Professional, Primary Care]],AN_TME_PY[[#All],[Insurance Category Code]],7,AN_TME_PY[[#All],[Advanced Network/Insurance Carrier Org ID]],B264)/S264)</f>
        <v>NA</v>
      </c>
      <c r="W264" s="435" t="str">
        <f>IF(S264=0,"NA",SUMIFS(AN_TME_PY[[#All],[Claims: Professional, Primary Care (for Monitoring Purposes)]],AN_TME_PY[[#All],[Insurance Category Code]],7,AN_TME_PY[[#All],[Advanced Network/Insurance Carrier Org ID]],B264)/S264)</f>
        <v>NA</v>
      </c>
      <c r="X264" s="435" t="str">
        <f>IF(S264=0,"NA",SUMIFS(AN_TME_PY[[#All],[Claims: Professional, Specialty]],AN_TME_PY[[#All],[Insurance Category Code]],7,AN_TME_PY[[#All],[Advanced Network/Insurance Carrier Org ID]],B264)/S264)</f>
        <v>NA</v>
      </c>
      <c r="Y264" s="435" t="str">
        <f>IF(S264=0,"NA",SUMIFS(AN_TME_PY[[#All],[Claims: Professional Other]],AN_TME_PY[[#All],[Insurance Category Code]],7,AN_TME_PY[[#All],[Advanced Network/Insurance Carrier Org ID]],B264)/S264)</f>
        <v>NA</v>
      </c>
      <c r="Z264" s="435" t="str">
        <f>IF(S264=0,"NA",SUMIFS(AN_TME_PY[[#All],[Claims: Pharmacy]],AN_TME_PY[[#All],[Insurance Category Code]],7,AN_TME_PY[[#All],[Advanced Network/Insurance Carrier Org ID]],B264)/S264)</f>
        <v>NA</v>
      </c>
      <c r="AA264" s="435" t="str">
        <f>IF(S264=0,"NA",SUMIFS(AN_TME_PY[[#All],[Claims: Long-Term Care]],AN_TME_PY[[#All],[Insurance Category Code]],7,AN_TME_PY[[#All],[Advanced Network/Insurance Carrier Org ID]],B264)/S264)</f>
        <v>NA</v>
      </c>
      <c r="AB264" s="435" t="str">
        <f>IF(S264=0,"NA",SUMIFS(AN_TME_PY[[#All],[Claims: Other]],AN_TME_PY[[#All],[Insurance Category Code]],7,AN_TME_PY[[#All],[Advanced Network/Insurance Carrier Org ID]],B264)/S264)</f>
        <v>NA</v>
      </c>
      <c r="AC264" s="436" t="str">
        <f>IF(S264=0,"NA",SUMIFS(AN_TME_PY[[#All],[TOTAL Non-Truncated Unadjusted Claims Expenses]],AN_TME_PY[[#All],[Insurance Category Code]],7,AN_TME_PY[[#All],[Advanced Network/Insurance Carrier Org ID]],B264)/S264)</f>
        <v>NA</v>
      </c>
      <c r="AD264" s="436" t="str">
        <f>IF(S264=0,"NA",SUMIFS(AN_TME_PY[[#All],[TOTAL Truncated Unadjusted Claims Expenses (A21 -A19)]],AN_TME_PY[[#All],[Insurance Category Code]],7,AN_TME_PY[[#All],[Advanced Network/Insurance Carrier Org ID]],B264)/S264)</f>
        <v>NA</v>
      </c>
      <c r="AE264" s="436" t="str">
        <f>IF(S264=0,"NA",SUMIFS(AN_TME_PY[[#All],[TOTAL Non-Claims Expenses]],AN_TME_PY[[#All],[Insurance Category Code]],7,AN_TME_PY[[#All],[Advanced Network/Insurance Carrier Org ID]],B264)/S264)</f>
        <v>NA</v>
      </c>
      <c r="AF264" s="436" t="str">
        <f>IF(S264=0,"NA",SUMIFS(AN_TME_PY[[#All],[TOTAL Non-Truncated Unadjusted Expenses (A21 + A23)]],AN_TME_PY[[#All],[Insurance Category Code]],7,AN_TME_PY[[#All],[Advanced Network/Insurance Carrier Org ID]],B264)/S264)</f>
        <v>NA</v>
      </c>
      <c r="AG264" s="437" t="str">
        <f>IF(S264=0,"NA",SUMIFS(AN_TME_PY[[#All],[TOTAL Truncated Unadjusted Expenses (A22 + A23)]],AN_TME_PY[[#All],[Insurance Category Code]],7,AN_TME_PY[[#All],[Advanced Network/Insurance Carrier Org ID]],B264)/S264)</f>
        <v>NA</v>
      </c>
      <c r="AH264" s="419" t="str">
        <f>IF(D264=0,"NA",S264/D264-1)</f>
        <v>NA</v>
      </c>
      <c r="AI264" s="420" t="str">
        <f>IF(D264=0,"NA",T264/E264-1)</f>
        <v>NA</v>
      </c>
      <c r="AJ264" s="421" t="str">
        <f>IF(D264=0,"NA",U264/F264-1)</f>
        <v>NA</v>
      </c>
      <c r="AK264" s="421" t="str">
        <f>IF(D264=0,"NA",V264/G264-1)</f>
        <v>NA</v>
      </c>
      <c r="AL264" s="421" t="str">
        <f>IF(D264=0,"NA",W264/H264-1)</f>
        <v>NA</v>
      </c>
      <c r="AM264" s="421" t="str">
        <f>IF(D264=0,"NA",X264/I264-1)</f>
        <v>NA</v>
      </c>
      <c r="AN264" s="421" t="str">
        <f>IF(D264=0,"NA",Y264/J264-1)</f>
        <v>NA</v>
      </c>
      <c r="AO264" s="421" t="str">
        <f>IF(D264=0,"NA",Z264/K264-1)</f>
        <v>NA</v>
      </c>
      <c r="AP264" s="421" t="str">
        <f>IF(D264=0,"NA",AA264/L264-1)</f>
        <v>NA</v>
      </c>
      <c r="AQ264" s="421" t="str">
        <f>IF(D264=0,"NA",AB264/M264-1)</f>
        <v>NA</v>
      </c>
      <c r="AR264" s="422" t="str">
        <f>IF(D264=0,"NA",AC264/N264-1)</f>
        <v>NA</v>
      </c>
      <c r="AS264" s="422" t="str">
        <f>IF(D264=0,"NA",AD264/O264-1)</f>
        <v>NA</v>
      </c>
      <c r="AT264" s="422" t="str">
        <f>IF(D264=0,"NA",AE264/P264-1)</f>
        <v>NA</v>
      </c>
      <c r="AU264" s="422" t="str">
        <f>IF(D264=0,"NA",AF264/Q264-1)</f>
        <v>NA</v>
      </c>
      <c r="AV264" s="423" t="str">
        <f>IF(D264=0,"NA",AG264/R264-1)</f>
        <v>NA</v>
      </c>
    </row>
    <row r="265" spans="1:48" ht="15" customHeight="1" x14ac:dyDescent="0.25">
      <c r="A265" s="146"/>
      <c r="B265" s="148">
        <v>112</v>
      </c>
      <c r="C265" s="151" t="str">
        <f>_xlfn.XLOOKUP(B265, LgProvEntOrgIDs[Advanced Network/Insurer Carrier Org ID], LgProvEntOrgIDs[Advanced Network/Insurance Carrier Overall])</f>
        <v>Charter Oak Health Center</v>
      </c>
      <c r="D265" s="448">
        <f>SUMIFS(AN_TME_BY[[#All],[Member Months]],AN_TME_BY[[#All],[Insurance Category Code]],7,AN_TME_BY[[#All],[Advanced Network/Insurance Carrier Org ID]],B265)</f>
        <v>0</v>
      </c>
      <c r="E265" s="137" t="str">
        <f>IF(D265=0,"NA",SUMIFS(AN_TME_BY[[#All],[Claims: Hospital Inpatient]],AN_TME_BY[[#All],[Insurance Category Code]],7,AN_TME_BY[[#All],[Advanced Network/Insurance Carrier Org ID]],B265)/D265)</f>
        <v>NA</v>
      </c>
      <c r="F265" s="108" t="str">
        <f>IF(D265=0,"NA",SUMIFS(AN_TME_BY[[#All],[Claims: Hospital Outpatient]],AN_TME_BY[[#All],[Insurance Category Code]],7,AN_TME_BY[[#All],[Advanced Network/Insurance Carrier Org ID]],B265)/D265)</f>
        <v>NA</v>
      </c>
      <c r="G265" s="108" t="str">
        <f>IF(D265=0,"NA",SUMIFS(AN_TME_BY[[#All],[Claims: Professional, Primary Care]],AN_TME_BY[[#All],[Insurance Category Code]],7,AN_TME_BY[[#All],[Advanced Network/Insurance Carrier Org ID]],B265)/D265)</f>
        <v>NA</v>
      </c>
      <c r="H265" s="108" t="str">
        <f>IF(D265=0,"NA",SUMIFS(AN_TME_BY[[#All],[Claims: Professional, Primary Care (for Monitoring Purposes)]],AN_TME_BY[[#All],[Insurance Category Code]],7,AN_TME_BY[[#All],[Advanced Network/Insurance Carrier Org ID]],B265)/D265)</f>
        <v>NA</v>
      </c>
      <c r="I265" s="108" t="str">
        <f>IF(D265=0,"NA",SUMIFS(AN_TME_BY[[#All],[Claims: Professional, Specialty]],AN_TME_BY[[#All],[Insurance Category Code]],7,AN_TME_BY[[#All],[Advanced Network/Insurance Carrier Org ID]],B265)/D265)</f>
        <v>NA</v>
      </c>
      <c r="J265" s="108" t="str">
        <f>IF(D265=0,"NA",SUMIFS(AN_TME_BY[[#All],[Claims: Professional Other]],AN_TME_BY[[#All],[Insurance Category Code]],7,AN_TME_BY[[#All],[Advanced Network/Insurance Carrier Org ID]],B265)/D265)</f>
        <v>NA</v>
      </c>
      <c r="K265" s="108" t="str">
        <f>IF(D265=0,"NA",SUMIFS(AN_TME_BY[[#All],[Claims: Pharmacy]],AN_TME_BY[[#All],[Insurance Category Code]],7,AN_TME_BY[[#All],[Advanced Network/Insurance Carrier Org ID]],B265)/D265)</f>
        <v>NA</v>
      </c>
      <c r="L265" s="108" t="str">
        <f>IF(D265=0,"NA",SUMIFS(AN_TME_BY[[#All],[Claims: Long-Term Care]],AN_TME_BY[[#All],[Insurance Category Code]],7,AN_TME_BY[[#All],[Advanced Network/Insurance Carrier Org ID]],B265)/D265)</f>
        <v>NA</v>
      </c>
      <c r="M265" s="108" t="str">
        <f>IF(D265=0,"NA",SUMIFS(AN_TME_BY[[#All],[Claims: Other]],AN_TME_BY[[#All],[Insurance Category Code]],7,AN_TME_BY[[#All],[Advanced Network/Insurance Carrier Org ID]],B265)/D265)</f>
        <v>NA</v>
      </c>
      <c r="N265" s="147" t="str">
        <f>IF(D265=0,"NA",SUMIFS(AN_TME_BY[[#All],[TOTAL Non-Truncated Unadjusted Claims Expenses]],AN_TME_BY[[#All],[Insurance Category Code]],7,AN_TME_BY[[#All],[Advanced Network/Insurance Carrier Org ID]],B265)/D265)</f>
        <v>NA</v>
      </c>
      <c r="O265" s="147" t="str">
        <f>IF(D265=0,"NA",SUMIFS(AN_TME_BY[[#All],[TOTAL Truncated Unadjusted Claims Expenses (A21 -A19)]],AN_TME_BY[[#All],[Insurance Category Code]],7,AN_TME_BY[[#All],[Advanced Network/Insurance Carrier Org ID]],B265)/D265)</f>
        <v>NA</v>
      </c>
      <c r="P265" s="147" t="str">
        <f>IF(D265=0,"NA",SUMIFS(AN_TME_BY[[#All],[TOTAL Non-Claims Expenses]],AN_TME_BY[[#All],[Insurance Category Code]],7,AN_TME_BY[[#All],[Advanced Network/Insurance Carrier Org ID]],B265)/D265)</f>
        <v>NA</v>
      </c>
      <c r="Q265" s="147" t="str">
        <f>IF(D265=0,"NA",SUMIFS(AN_TME_BY[[#All],[TOTAL Non-Truncated Unadjusted Expenses (A21 + A23)]],AN_TME_BY[[#All],[Insurance Category Code]],7,AN_TME_BY[[#All],[Advanced Network/Insurance Carrier Org ID]],B265)/D265)</f>
        <v>NA</v>
      </c>
      <c r="R265" s="147" t="str">
        <f>IF(D265=0,"NA",SUMIFS(AN_TME_BY[[#All],[TOTAL Truncated Unadjusted Expenses (A22 + A23)]],AN_TME_BY[[#All],[Insurance Category Code]],7,AN_TME_BY[[#All],[Advanced Network/Insurance Carrier Org ID]],B265)/D265)</f>
        <v>NA</v>
      </c>
      <c r="S265" s="445">
        <f>SUMIFS(AN_TME_PY[[#All],[Member Months]],AN_TME_PY[[#All],[Insurance Category Code]],7,AN_TME_PY[[#All],[Advanced Network/Insurance Carrier Org ID]],B265)</f>
        <v>0</v>
      </c>
      <c r="T265" s="434" t="str">
        <f>IF(S265=0,"NA",SUMIFS(AN_TME_PY[[#All],[Claims: Hospital Inpatient]],AN_TME_PY[[#All],[Insurance Category Code]],7,AN_TME_PY[[#All],[Advanced Network/Insurance Carrier Org ID]],B265)/S265)</f>
        <v>NA</v>
      </c>
      <c r="U265" s="435" t="str">
        <f>IF(S265=0,"NA",SUMIFS(AN_TME_PY[[#All],[Claims: Hospital Outpatient]],AN_TME_PY[[#All],[Insurance Category Code]],7,AN_TME_PY[[#All],[Advanced Network/Insurance Carrier Org ID]],B265)/S265)</f>
        <v>NA</v>
      </c>
      <c r="V265" s="435" t="str">
        <f>IF(S265=0,"NA",SUMIFS(AN_TME_PY[[#All],[Claims: Professional, Primary Care]],AN_TME_PY[[#All],[Insurance Category Code]],7,AN_TME_PY[[#All],[Advanced Network/Insurance Carrier Org ID]],B265)/S265)</f>
        <v>NA</v>
      </c>
      <c r="W265" s="435" t="str">
        <f>IF(S265=0,"NA",SUMIFS(AN_TME_PY[[#All],[Claims: Professional, Primary Care (for Monitoring Purposes)]],AN_TME_PY[[#All],[Insurance Category Code]],7,AN_TME_PY[[#All],[Advanced Network/Insurance Carrier Org ID]],B265)/S265)</f>
        <v>NA</v>
      </c>
      <c r="X265" s="435" t="str">
        <f>IF(S265=0,"NA",SUMIFS(AN_TME_PY[[#All],[Claims: Professional, Specialty]],AN_TME_PY[[#All],[Insurance Category Code]],7,AN_TME_PY[[#All],[Advanced Network/Insurance Carrier Org ID]],B265)/S265)</f>
        <v>NA</v>
      </c>
      <c r="Y265" s="435" t="str">
        <f>IF(S265=0,"NA",SUMIFS(AN_TME_PY[[#All],[Claims: Professional Other]],AN_TME_PY[[#All],[Insurance Category Code]],7,AN_TME_PY[[#All],[Advanced Network/Insurance Carrier Org ID]],B265)/S265)</f>
        <v>NA</v>
      </c>
      <c r="Z265" s="435" t="str">
        <f>IF(S265=0,"NA",SUMIFS(AN_TME_PY[[#All],[Claims: Pharmacy]],AN_TME_PY[[#All],[Insurance Category Code]],7,AN_TME_PY[[#All],[Advanced Network/Insurance Carrier Org ID]],B265)/S265)</f>
        <v>NA</v>
      </c>
      <c r="AA265" s="435" t="str">
        <f>IF(S265=0,"NA",SUMIFS(AN_TME_PY[[#All],[Claims: Long-Term Care]],AN_TME_PY[[#All],[Insurance Category Code]],7,AN_TME_PY[[#All],[Advanced Network/Insurance Carrier Org ID]],B265)/S265)</f>
        <v>NA</v>
      </c>
      <c r="AB265" s="435" t="str">
        <f>IF(S265=0,"NA",SUMIFS(AN_TME_PY[[#All],[Claims: Other]],AN_TME_PY[[#All],[Insurance Category Code]],7,AN_TME_PY[[#All],[Advanced Network/Insurance Carrier Org ID]],B265)/S265)</f>
        <v>NA</v>
      </c>
      <c r="AC265" s="436" t="str">
        <f>IF(S265=0,"NA",SUMIFS(AN_TME_PY[[#All],[TOTAL Non-Truncated Unadjusted Claims Expenses]],AN_TME_PY[[#All],[Insurance Category Code]],7,AN_TME_PY[[#All],[Advanced Network/Insurance Carrier Org ID]],B265)/S265)</f>
        <v>NA</v>
      </c>
      <c r="AD265" s="436" t="str">
        <f>IF(S265=0,"NA",SUMIFS(AN_TME_PY[[#All],[TOTAL Truncated Unadjusted Claims Expenses (A21 -A19)]],AN_TME_PY[[#All],[Insurance Category Code]],7,AN_TME_PY[[#All],[Advanced Network/Insurance Carrier Org ID]],B265)/S265)</f>
        <v>NA</v>
      </c>
      <c r="AE265" s="436" t="str">
        <f>IF(S265=0,"NA",SUMIFS(AN_TME_PY[[#All],[TOTAL Non-Claims Expenses]],AN_TME_PY[[#All],[Insurance Category Code]],7,AN_TME_PY[[#All],[Advanced Network/Insurance Carrier Org ID]],B265)/S265)</f>
        <v>NA</v>
      </c>
      <c r="AF265" s="436" t="str">
        <f>IF(S265=0,"NA",SUMIFS(AN_TME_PY[[#All],[TOTAL Non-Truncated Unadjusted Expenses (A21 + A23)]],AN_TME_PY[[#All],[Insurance Category Code]],7,AN_TME_PY[[#All],[Advanced Network/Insurance Carrier Org ID]],B265)/S265)</f>
        <v>NA</v>
      </c>
      <c r="AG265" s="437" t="str">
        <f>IF(S265=0,"NA",SUMIFS(AN_TME_PY[[#All],[TOTAL Truncated Unadjusted Expenses (A22 + A23)]],AN_TME_PY[[#All],[Insurance Category Code]],7,AN_TME_PY[[#All],[Advanced Network/Insurance Carrier Org ID]],B265)/S265)</f>
        <v>NA</v>
      </c>
      <c r="AH265" s="419" t="str">
        <f t="shared" ref="AH265:AH284" si="353">IF(D265=0,"NA",S265/D265-1)</f>
        <v>NA</v>
      </c>
      <c r="AI265" s="420" t="str">
        <f t="shared" ref="AI265:AI284" si="354">IF(D265=0,"NA",T265/E265-1)</f>
        <v>NA</v>
      </c>
      <c r="AJ265" s="421" t="str">
        <f t="shared" ref="AJ265:AJ284" si="355">IF(D265=0,"NA",U265/F265-1)</f>
        <v>NA</v>
      </c>
      <c r="AK265" s="421" t="str">
        <f t="shared" ref="AK265:AK284" si="356">IF(D265=0,"NA",V265/G265-1)</f>
        <v>NA</v>
      </c>
      <c r="AL265" s="421" t="str">
        <f t="shared" ref="AL265:AL284" si="357">IF(D265=0,"NA",W265/H265-1)</f>
        <v>NA</v>
      </c>
      <c r="AM265" s="421" t="str">
        <f t="shared" ref="AM265:AM284" si="358">IF(D265=0,"NA",X265/I265-1)</f>
        <v>NA</v>
      </c>
      <c r="AN265" s="421" t="str">
        <f t="shared" ref="AN265:AN284" si="359">IF(D265=0,"NA",Y265/J265-1)</f>
        <v>NA</v>
      </c>
      <c r="AO265" s="421" t="str">
        <f t="shared" ref="AO265:AO284" si="360">IF(D265=0,"NA",Z265/K265-1)</f>
        <v>NA</v>
      </c>
      <c r="AP265" s="421" t="str">
        <f t="shared" ref="AP265:AP284" si="361">IF(D265=0,"NA",AA265/L265-1)</f>
        <v>NA</v>
      </c>
      <c r="AQ265" s="421" t="str">
        <f t="shared" ref="AQ265:AQ284" si="362">IF(D265=0,"NA",AB265/M265-1)</f>
        <v>NA</v>
      </c>
      <c r="AR265" s="422" t="str">
        <f t="shared" ref="AR265:AR284" si="363">IF(D265=0,"NA",AC265/N265-1)</f>
        <v>NA</v>
      </c>
      <c r="AS265" s="422" t="str">
        <f t="shared" ref="AS265:AS284" si="364">IF(D265=0,"NA",AD265/O265-1)</f>
        <v>NA</v>
      </c>
      <c r="AT265" s="422" t="str">
        <f t="shared" ref="AT265:AT284" si="365">IF(D265=0,"NA",AE265/P265-1)</f>
        <v>NA</v>
      </c>
      <c r="AU265" s="422" t="str">
        <f t="shared" ref="AU265:AU284" si="366">IF(D265=0,"NA",AF265/Q265-1)</f>
        <v>NA</v>
      </c>
      <c r="AV265" s="423" t="str">
        <f t="shared" ref="AV265:AV284" si="367">IF(D265=0,"NA",AG265/R265-1)</f>
        <v>NA</v>
      </c>
    </row>
    <row r="266" spans="1:48" ht="15" customHeight="1" x14ac:dyDescent="0.25">
      <c r="A266" s="146"/>
      <c r="B266" s="148">
        <v>113</v>
      </c>
      <c r="C266" s="151" t="str">
        <f>_xlfn.XLOOKUP(B266, LgProvEntOrgIDs[Advanced Network/Insurer Carrier Org ID], LgProvEntOrgIDs[Advanced Network/Insurance Carrier Overall])</f>
        <v>CIFC Greater Danbury Community Health Center</v>
      </c>
      <c r="D266" s="448">
        <f>SUMIFS(AN_TME_BY[[#All],[Member Months]],AN_TME_BY[[#All],[Insurance Category Code]],7,AN_TME_BY[[#All],[Advanced Network/Insurance Carrier Org ID]],B266)</f>
        <v>0</v>
      </c>
      <c r="E266" s="137" t="str">
        <f>IF(D266=0,"NA",SUMIFS(AN_TME_BY[[#All],[Claims: Hospital Inpatient]],AN_TME_BY[[#All],[Insurance Category Code]],7,AN_TME_BY[[#All],[Advanced Network/Insurance Carrier Org ID]],B266)/D266)</f>
        <v>NA</v>
      </c>
      <c r="F266" s="108" t="str">
        <f>IF(D266=0,"NA",SUMIFS(AN_TME_BY[[#All],[Claims: Hospital Outpatient]],AN_TME_BY[[#All],[Insurance Category Code]],7,AN_TME_BY[[#All],[Advanced Network/Insurance Carrier Org ID]],B266)/D266)</f>
        <v>NA</v>
      </c>
      <c r="G266" s="108" t="str">
        <f>IF(D266=0,"NA",SUMIFS(AN_TME_BY[[#All],[Claims: Professional, Primary Care]],AN_TME_BY[[#All],[Insurance Category Code]],7,AN_TME_BY[[#All],[Advanced Network/Insurance Carrier Org ID]],B266)/D266)</f>
        <v>NA</v>
      </c>
      <c r="H266" s="108" t="str">
        <f>IF(D266=0,"NA",SUMIFS(AN_TME_BY[[#All],[Claims: Professional, Primary Care (for Monitoring Purposes)]],AN_TME_BY[[#All],[Insurance Category Code]],7,AN_TME_BY[[#All],[Advanced Network/Insurance Carrier Org ID]],B266)/D266)</f>
        <v>NA</v>
      </c>
      <c r="I266" s="108" t="str">
        <f>IF(D266=0,"NA",SUMIFS(AN_TME_BY[[#All],[Claims: Professional, Specialty]],AN_TME_BY[[#All],[Insurance Category Code]],7,AN_TME_BY[[#All],[Advanced Network/Insurance Carrier Org ID]],B266)/D266)</f>
        <v>NA</v>
      </c>
      <c r="J266" s="108" t="str">
        <f>IF(D266=0,"NA",SUMIFS(AN_TME_BY[[#All],[Claims: Professional Other]],AN_TME_BY[[#All],[Insurance Category Code]],7,AN_TME_BY[[#All],[Advanced Network/Insurance Carrier Org ID]],B266)/D266)</f>
        <v>NA</v>
      </c>
      <c r="K266" s="108" t="str">
        <f>IF(D266=0,"NA",SUMIFS(AN_TME_BY[[#All],[Claims: Pharmacy]],AN_TME_BY[[#All],[Insurance Category Code]],7,AN_TME_BY[[#All],[Advanced Network/Insurance Carrier Org ID]],B266)/D266)</f>
        <v>NA</v>
      </c>
      <c r="L266" s="108" t="str">
        <f>IF(D266=0,"NA",SUMIFS(AN_TME_BY[[#All],[Claims: Long-Term Care]],AN_TME_BY[[#All],[Insurance Category Code]],7,AN_TME_BY[[#All],[Advanced Network/Insurance Carrier Org ID]],B266)/D266)</f>
        <v>NA</v>
      </c>
      <c r="M266" s="108" t="str">
        <f>IF(D266=0,"NA",SUMIFS(AN_TME_BY[[#All],[Claims: Other]],AN_TME_BY[[#All],[Insurance Category Code]],7,AN_TME_BY[[#All],[Advanced Network/Insurance Carrier Org ID]],B266)/D266)</f>
        <v>NA</v>
      </c>
      <c r="N266" s="147" t="str">
        <f>IF(D266=0,"NA",SUMIFS(AN_TME_BY[[#All],[TOTAL Non-Truncated Unadjusted Claims Expenses]],AN_TME_BY[[#All],[Insurance Category Code]],7,AN_TME_BY[[#All],[Advanced Network/Insurance Carrier Org ID]],B266)/D266)</f>
        <v>NA</v>
      </c>
      <c r="O266" s="147" t="str">
        <f>IF(D266=0,"NA",SUMIFS(AN_TME_BY[[#All],[TOTAL Truncated Unadjusted Claims Expenses (A21 -A19)]],AN_TME_BY[[#All],[Insurance Category Code]],7,AN_TME_BY[[#All],[Advanced Network/Insurance Carrier Org ID]],B266)/D266)</f>
        <v>NA</v>
      </c>
      <c r="P266" s="147" t="str">
        <f>IF(D266=0,"NA",SUMIFS(AN_TME_BY[[#All],[TOTAL Non-Claims Expenses]],AN_TME_BY[[#All],[Insurance Category Code]],7,AN_TME_BY[[#All],[Advanced Network/Insurance Carrier Org ID]],B266)/D266)</f>
        <v>NA</v>
      </c>
      <c r="Q266" s="147" t="str">
        <f>IF(D266=0,"NA",SUMIFS(AN_TME_BY[[#All],[TOTAL Non-Truncated Unadjusted Expenses (A21 + A23)]],AN_TME_BY[[#All],[Insurance Category Code]],7,AN_TME_BY[[#All],[Advanced Network/Insurance Carrier Org ID]],B266)/D266)</f>
        <v>NA</v>
      </c>
      <c r="R266" s="147" t="str">
        <f>IF(D266=0,"NA",SUMIFS(AN_TME_BY[[#All],[TOTAL Truncated Unadjusted Expenses (A22 + A23)]],AN_TME_BY[[#All],[Insurance Category Code]],7,AN_TME_BY[[#All],[Advanced Network/Insurance Carrier Org ID]],B266)/D266)</f>
        <v>NA</v>
      </c>
      <c r="S266" s="445">
        <f>SUMIFS(AN_TME_PY[[#All],[Member Months]],AN_TME_PY[[#All],[Insurance Category Code]],7,AN_TME_PY[[#All],[Advanced Network/Insurance Carrier Org ID]],B266)</f>
        <v>0</v>
      </c>
      <c r="T266" s="434" t="str">
        <f>IF(S266=0,"NA",SUMIFS(AN_TME_PY[[#All],[Claims: Hospital Inpatient]],AN_TME_PY[[#All],[Insurance Category Code]],7,AN_TME_PY[[#All],[Advanced Network/Insurance Carrier Org ID]],B266)/S266)</f>
        <v>NA</v>
      </c>
      <c r="U266" s="435" t="str">
        <f>IF(S266=0,"NA",SUMIFS(AN_TME_PY[[#All],[Claims: Hospital Outpatient]],AN_TME_PY[[#All],[Insurance Category Code]],7,AN_TME_PY[[#All],[Advanced Network/Insurance Carrier Org ID]],B266)/S266)</f>
        <v>NA</v>
      </c>
      <c r="V266" s="435" t="str">
        <f>IF(S266=0,"NA",SUMIFS(AN_TME_PY[[#All],[Claims: Professional, Primary Care]],AN_TME_PY[[#All],[Insurance Category Code]],7,AN_TME_PY[[#All],[Advanced Network/Insurance Carrier Org ID]],B266)/S266)</f>
        <v>NA</v>
      </c>
      <c r="W266" s="435" t="str">
        <f>IF(S266=0,"NA",SUMIFS(AN_TME_PY[[#All],[Claims: Professional, Primary Care (for Monitoring Purposes)]],AN_TME_PY[[#All],[Insurance Category Code]],7,AN_TME_PY[[#All],[Advanced Network/Insurance Carrier Org ID]],B266)/S266)</f>
        <v>NA</v>
      </c>
      <c r="X266" s="435" t="str">
        <f>IF(S266=0,"NA",SUMIFS(AN_TME_PY[[#All],[Claims: Professional, Specialty]],AN_TME_PY[[#All],[Insurance Category Code]],7,AN_TME_PY[[#All],[Advanced Network/Insurance Carrier Org ID]],B266)/S266)</f>
        <v>NA</v>
      </c>
      <c r="Y266" s="435" t="str">
        <f>IF(S266=0,"NA",SUMIFS(AN_TME_PY[[#All],[Claims: Professional Other]],AN_TME_PY[[#All],[Insurance Category Code]],7,AN_TME_PY[[#All],[Advanced Network/Insurance Carrier Org ID]],B266)/S266)</f>
        <v>NA</v>
      </c>
      <c r="Z266" s="435" t="str">
        <f>IF(S266=0,"NA",SUMIFS(AN_TME_PY[[#All],[Claims: Pharmacy]],AN_TME_PY[[#All],[Insurance Category Code]],7,AN_TME_PY[[#All],[Advanced Network/Insurance Carrier Org ID]],B266)/S266)</f>
        <v>NA</v>
      </c>
      <c r="AA266" s="435" t="str">
        <f>IF(S266=0,"NA",SUMIFS(AN_TME_PY[[#All],[Claims: Long-Term Care]],AN_TME_PY[[#All],[Insurance Category Code]],7,AN_TME_PY[[#All],[Advanced Network/Insurance Carrier Org ID]],B266)/S266)</f>
        <v>NA</v>
      </c>
      <c r="AB266" s="435" t="str">
        <f>IF(S266=0,"NA",SUMIFS(AN_TME_PY[[#All],[Claims: Other]],AN_TME_PY[[#All],[Insurance Category Code]],7,AN_TME_PY[[#All],[Advanced Network/Insurance Carrier Org ID]],B266)/S266)</f>
        <v>NA</v>
      </c>
      <c r="AC266" s="436" t="str">
        <f>IF(S266=0,"NA",SUMIFS(AN_TME_PY[[#All],[TOTAL Non-Truncated Unadjusted Claims Expenses]],AN_TME_PY[[#All],[Insurance Category Code]],7,AN_TME_PY[[#All],[Advanced Network/Insurance Carrier Org ID]],B266)/S266)</f>
        <v>NA</v>
      </c>
      <c r="AD266" s="436" t="str">
        <f>IF(S266=0,"NA",SUMIFS(AN_TME_PY[[#All],[TOTAL Truncated Unadjusted Claims Expenses (A21 -A19)]],AN_TME_PY[[#All],[Insurance Category Code]],7,AN_TME_PY[[#All],[Advanced Network/Insurance Carrier Org ID]],B266)/S266)</f>
        <v>NA</v>
      </c>
      <c r="AE266" s="436" t="str">
        <f>IF(S266=0,"NA",SUMIFS(AN_TME_PY[[#All],[TOTAL Non-Claims Expenses]],AN_TME_PY[[#All],[Insurance Category Code]],7,AN_TME_PY[[#All],[Advanced Network/Insurance Carrier Org ID]],B266)/S266)</f>
        <v>NA</v>
      </c>
      <c r="AF266" s="436" t="str">
        <f>IF(S266=0,"NA",SUMIFS(AN_TME_PY[[#All],[TOTAL Non-Truncated Unadjusted Expenses (A21 + A23)]],AN_TME_PY[[#All],[Insurance Category Code]],7,AN_TME_PY[[#All],[Advanced Network/Insurance Carrier Org ID]],B266)/S266)</f>
        <v>NA</v>
      </c>
      <c r="AG266" s="437" t="str">
        <f>IF(S266=0,"NA",SUMIFS(AN_TME_PY[[#All],[TOTAL Truncated Unadjusted Expenses (A22 + A23)]],AN_TME_PY[[#All],[Insurance Category Code]],7,AN_TME_PY[[#All],[Advanced Network/Insurance Carrier Org ID]],B266)/S266)</f>
        <v>NA</v>
      </c>
      <c r="AH266" s="419" t="str">
        <f t="shared" si="353"/>
        <v>NA</v>
      </c>
      <c r="AI266" s="420" t="str">
        <f t="shared" si="354"/>
        <v>NA</v>
      </c>
      <c r="AJ266" s="421" t="str">
        <f t="shared" si="355"/>
        <v>NA</v>
      </c>
      <c r="AK266" s="421" t="str">
        <f t="shared" si="356"/>
        <v>NA</v>
      </c>
      <c r="AL266" s="421" t="str">
        <f t="shared" si="357"/>
        <v>NA</v>
      </c>
      <c r="AM266" s="421" t="str">
        <f t="shared" si="358"/>
        <v>NA</v>
      </c>
      <c r="AN266" s="421" t="str">
        <f t="shared" si="359"/>
        <v>NA</v>
      </c>
      <c r="AO266" s="421" t="str">
        <f t="shared" si="360"/>
        <v>NA</v>
      </c>
      <c r="AP266" s="421" t="str">
        <f t="shared" si="361"/>
        <v>NA</v>
      </c>
      <c r="AQ266" s="421" t="str">
        <f t="shared" si="362"/>
        <v>NA</v>
      </c>
      <c r="AR266" s="422" t="str">
        <f t="shared" si="363"/>
        <v>NA</v>
      </c>
      <c r="AS266" s="422" t="str">
        <f t="shared" si="364"/>
        <v>NA</v>
      </c>
      <c r="AT266" s="422" t="str">
        <f t="shared" si="365"/>
        <v>NA</v>
      </c>
      <c r="AU266" s="422" t="str">
        <f t="shared" si="366"/>
        <v>NA</v>
      </c>
      <c r="AV266" s="423" t="str">
        <f t="shared" si="367"/>
        <v>NA</v>
      </c>
    </row>
    <row r="267" spans="1:48" ht="15" customHeight="1" x14ac:dyDescent="0.25">
      <c r="A267" s="146"/>
      <c r="B267" s="148">
        <v>114</v>
      </c>
      <c r="C267" s="151" t="str">
        <f>_xlfn.XLOOKUP(B267, LgProvEntOrgIDs[Advanced Network/Insurer Carrier Org ID], LgProvEntOrgIDs[Advanced Network/Insurance Carrier Overall])</f>
        <v>Community Health and Wellness Center of Greater Torrington</v>
      </c>
      <c r="D267" s="448">
        <f>SUMIFS(AN_TME_BY[[#All],[Member Months]],AN_TME_BY[[#All],[Insurance Category Code]],7,AN_TME_BY[[#All],[Advanced Network/Insurance Carrier Org ID]],B267)</f>
        <v>0</v>
      </c>
      <c r="E267" s="137" t="str">
        <f>IF(D267=0,"NA",SUMIFS(AN_TME_BY[[#All],[Claims: Hospital Inpatient]],AN_TME_BY[[#All],[Insurance Category Code]],7,AN_TME_BY[[#All],[Advanced Network/Insurance Carrier Org ID]],B267)/D267)</f>
        <v>NA</v>
      </c>
      <c r="F267" s="108" t="str">
        <f>IF(D267=0,"NA",SUMIFS(AN_TME_BY[[#All],[Claims: Hospital Outpatient]],AN_TME_BY[[#All],[Insurance Category Code]],7,AN_TME_BY[[#All],[Advanced Network/Insurance Carrier Org ID]],B267)/D267)</f>
        <v>NA</v>
      </c>
      <c r="G267" s="108" t="str">
        <f>IF(D267=0,"NA",SUMIFS(AN_TME_BY[[#All],[Claims: Professional, Primary Care]],AN_TME_BY[[#All],[Insurance Category Code]],7,AN_TME_BY[[#All],[Advanced Network/Insurance Carrier Org ID]],B267)/D267)</f>
        <v>NA</v>
      </c>
      <c r="H267" s="108" t="str">
        <f>IF(D267=0,"NA",SUMIFS(AN_TME_BY[[#All],[Claims: Professional, Primary Care (for Monitoring Purposes)]],AN_TME_BY[[#All],[Insurance Category Code]],7,AN_TME_BY[[#All],[Advanced Network/Insurance Carrier Org ID]],B267)/D267)</f>
        <v>NA</v>
      </c>
      <c r="I267" s="108" t="str">
        <f>IF(D267=0,"NA",SUMIFS(AN_TME_BY[[#All],[Claims: Professional, Specialty]],AN_TME_BY[[#All],[Insurance Category Code]],7,AN_TME_BY[[#All],[Advanced Network/Insurance Carrier Org ID]],B267)/D267)</f>
        <v>NA</v>
      </c>
      <c r="J267" s="108" t="str">
        <f>IF(D267=0,"NA",SUMIFS(AN_TME_BY[[#All],[Claims: Professional Other]],AN_TME_BY[[#All],[Insurance Category Code]],7,AN_TME_BY[[#All],[Advanced Network/Insurance Carrier Org ID]],B267)/D267)</f>
        <v>NA</v>
      </c>
      <c r="K267" s="108" t="str">
        <f>IF(D267=0,"NA",SUMIFS(AN_TME_BY[[#All],[Claims: Pharmacy]],AN_TME_BY[[#All],[Insurance Category Code]],7,AN_TME_BY[[#All],[Advanced Network/Insurance Carrier Org ID]],B267)/D267)</f>
        <v>NA</v>
      </c>
      <c r="L267" s="108" t="str">
        <f>IF(D267=0,"NA",SUMIFS(AN_TME_BY[[#All],[Claims: Long-Term Care]],AN_TME_BY[[#All],[Insurance Category Code]],7,AN_TME_BY[[#All],[Advanced Network/Insurance Carrier Org ID]],B267)/D267)</f>
        <v>NA</v>
      </c>
      <c r="M267" s="108" t="str">
        <f>IF(D267=0,"NA",SUMIFS(AN_TME_BY[[#All],[Claims: Other]],AN_TME_BY[[#All],[Insurance Category Code]],7,AN_TME_BY[[#All],[Advanced Network/Insurance Carrier Org ID]],B267)/D267)</f>
        <v>NA</v>
      </c>
      <c r="N267" s="147" t="str">
        <f>IF(D267=0,"NA",SUMIFS(AN_TME_BY[[#All],[TOTAL Non-Truncated Unadjusted Claims Expenses]],AN_TME_BY[[#All],[Insurance Category Code]],7,AN_TME_BY[[#All],[Advanced Network/Insurance Carrier Org ID]],B267)/D267)</f>
        <v>NA</v>
      </c>
      <c r="O267" s="147" t="str">
        <f>IF(D267=0,"NA",SUMIFS(AN_TME_BY[[#All],[TOTAL Truncated Unadjusted Claims Expenses (A21 -A19)]],AN_TME_BY[[#All],[Insurance Category Code]],7,AN_TME_BY[[#All],[Advanced Network/Insurance Carrier Org ID]],B267)/D267)</f>
        <v>NA</v>
      </c>
      <c r="P267" s="147" t="str">
        <f>IF(D267=0,"NA",SUMIFS(AN_TME_BY[[#All],[TOTAL Non-Claims Expenses]],AN_TME_BY[[#All],[Insurance Category Code]],7,AN_TME_BY[[#All],[Advanced Network/Insurance Carrier Org ID]],B267)/D267)</f>
        <v>NA</v>
      </c>
      <c r="Q267" s="147" t="str">
        <f>IF(D267=0,"NA",SUMIFS(AN_TME_BY[[#All],[TOTAL Non-Truncated Unadjusted Expenses (A21 + A23)]],AN_TME_BY[[#All],[Insurance Category Code]],7,AN_TME_BY[[#All],[Advanced Network/Insurance Carrier Org ID]],B267)/D267)</f>
        <v>NA</v>
      </c>
      <c r="R267" s="147" t="str">
        <f>IF(D267=0,"NA",SUMIFS(AN_TME_BY[[#All],[TOTAL Truncated Unadjusted Expenses (A22 + A23)]],AN_TME_BY[[#All],[Insurance Category Code]],7,AN_TME_BY[[#All],[Advanced Network/Insurance Carrier Org ID]],B267)/D267)</f>
        <v>NA</v>
      </c>
      <c r="S267" s="445">
        <f>SUMIFS(AN_TME_PY[[#All],[Member Months]],AN_TME_PY[[#All],[Insurance Category Code]],7,AN_TME_PY[[#All],[Advanced Network/Insurance Carrier Org ID]],B267)</f>
        <v>0</v>
      </c>
      <c r="T267" s="434" t="str">
        <f>IF(S267=0,"NA",SUMIFS(AN_TME_PY[[#All],[Claims: Hospital Inpatient]],AN_TME_PY[[#All],[Insurance Category Code]],7,AN_TME_PY[[#All],[Advanced Network/Insurance Carrier Org ID]],B267)/S267)</f>
        <v>NA</v>
      </c>
      <c r="U267" s="435" t="str">
        <f>IF(S267=0,"NA",SUMIFS(AN_TME_PY[[#All],[Claims: Hospital Outpatient]],AN_TME_PY[[#All],[Insurance Category Code]],7,AN_TME_PY[[#All],[Advanced Network/Insurance Carrier Org ID]],B267)/S267)</f>
        <v>NA</v>
      </c>
      <c r="V267" s="435" t="str">
        <f>IF(S267=0,"NA",SUMIFS(AN_TME_PY[[#All],[Claims: Professional, Primary Care]],AN_TME_PY[[#All],[Insurance Category Code]],7,AN_TME_PY[[#All],[Advanced Network/Insurance Carrier Org ID]],B267)/S267)</f>
        <v>NA</v>
      </c>
      <c r="W267" s="435" t="str">
        <f>IF(S267=0,"NA",SUMIFS(AN_TME_PY[[#All],[Claims: Professional, Primary Care (for Monitoring Purposes)]],AN_TME_PY[[#All],[Insurance Category Code]],7,AN_TME_PY[[#All],[Advanced Network/Insurance Carrier Org ID]],B267)/S267)</f>
        <v>NA</v>
      </c>
      <c r="X267" s="435" t="str">
        <f>IF(S267=0,"NA",SUMIFS(AN_TME_PY[[#All],[Claims: Professional, Specialty]],AN_TME_PY[[#All],[Insurance Category Code]],7,AN_TME_PY[[#All],[Advanced Network/Insurance Carrier Org ID]],B267)/S267)</f>
        <v>NA</v>
      </c>
      <c r="Y267" s="435" t="str">
        <f>IF(S267=0,"NA",SUMIFS(AN_TME_PY[[#All],[Claims: Professional Other]],AN_TME_PY[[#All],[Insurance Category Code]],7,AN_TME_PY[[#All],[Advanced Network/Insurance Carrier Org ID]],B267)/S267)</f>
        <v>NA</v>
      </c>
      <c r="Z267" s="435" t="str">
        <f>IF(S267=0,"NA",SUMIFS(AN_TME_PY[[#All],[Claims: Pharmacy]],AN_TME_PY[[#All],[Insurance Category Code]],7,AN_TME_PY[[#All],[Advanced Network/Insurance Carrier Org ID]],B267)/S267)</f>
        <v>NA</v>
      </c>
      <c r="AA267" s="435" t="str">
        <f>IF(S267=0,"NA",SUMIFS(AN_TME_PY[[#All],[Claims: Long-Term Care]],AN_TME_PY[[#All],[Insurance Category Code]],7,AN_TME_PY[[#All],[Advanced Network/Insurance Carrier Org ID]],B267)/S267)</f>
        <v>NA</v>
      </c>
      <c r="AB267" s="435" t="str">
        <f>IF(S267=0,"NA",SUMIFS(AN_TME_PY[[#All],[Claims: Other]],AN_TME_PY[[#All],[Insurance Category Code]],7,AN_TME_PY[[#All],[Advanced Network/Insurance Carrier Org ID]],B267)/S267)</f>
        <v>NA</v>
      </c>
      <c r="AC267" s="436" t="str">
        <f>IF(S267=0,"NA",SUMIFS(AN_TME_PY[[#All],[TOTAL Non-Truncated Unadjusted Claims Expenses]],AN_TME_PY[[#All],[Insurance Category Code]],7,AN_TME_PY[[#All],[Advanced Network/Insurance Carrier Org ID]],B267)/S267)</f>
        <v>NA</v>
      </c>
      <c r="AD267" s="436" t="str">
        <f>IF(S267=0,"NA",SUMIFS(AN_TME_PY[[#All],[TOTAL Truncated Unadjusted Claims Expenses (A21 -A19)]],AN_TME_PY[[#All],[Insurance Category Code]],7,AN_TME_PY[[#All],[Advanced Network/Insurance Carrier Org ID]],B267)/S267)</f>
        <v>NA</v>
      </c>
      <c r="AE267" s="436" t="str">
        <f>IF(S267=0,"NA",SUMIFS(AN_TME_PY[[#All],[TOTAL Non-Claims Expenses]],AN_TME_PY[[#All],[Insurance Category Code]],7,AN_TME_PY[[#All],[Advanced Network/Insurance Carrier Org ID]],B267)/S267)</f>
        <v>NA</v>
      </c>
      <c r="AF267" s="436" t="str">
        <f>IF(S267=0,"NA",SUMIFS(AN_TME_PY[[#All],[TOTAL Non-Truncated Unadjusted Expenses (A21 + A23)]],AN_TME_PY[[#All],[Insurance Category Code]],7,AN_TME_PY[[#All],[Advanced Network/Insurance Carrier Org ID]],B267)/S267)</f>
        <v>NA</v>
      </c>
      <c r="AG267" s="437" t="str">
        <f>IF(S267=0,"NA",SUMIFS(AN_TME_PY[[#All],[TOTAL Truncated Unadjusted Expenses (A22 + A23)]],AN_TME_PY[[#All],[Insurance Category Code]],7,AN_TME_PY[[#All],[Advanced Network/Insurance Carrier Org ID]],B267)/S267)</f>
        <v>NA</v>
      </c>
      <c r="AH267" s="419" t="str">
        <f t="shared" si="353"/>
        <v>NA</v>
      </c>
      <c r="AI267" s="420" t="str">
        <f t="shared" si="354"/>
        <v>NA</v>
      </c>
      <c r="AJ267" s="421" t="str">
        <f t="shared" si="355"/>
        <v>NA</v>
      </c>
      <c r="AK267" s="421" t="str">
        <f t="shared" si="356"/>
        <v>NA</v>
      </c>
      <c r="AL267" s="421" t="str">
        <f t="shared" si="357"/>
        <v>NA</v>
      </c>
      <c r="AM267" s="421" t="str">
        <f t="shared" si="358"/>
        <v>NA</v>
      </c>
      <c r="AN267" s="421" t="str">
        <f t="shared" si="359"/>
        <v>NA</v>
      </c>
      <c r="AO267" s="421" t="str">
        <f t="shared" si="360"/>
        <v>NA</v>
      </c>
      <c r="AP267" s="421" t="str">
        <f t="shared" si="361"/>
        <v>NA</v>
      </c>
      <c r="AQ267" s="421" t="str">
        <f t="shared" si="362"/>
        <v>NA</v>
      </c>
      <c r="AR267" s="422" t="str">
        <f t="shared" si="363"/>
        <v>NA</v>
      </c>
      <c r="AS267" s="422" t="str">
        <f t="shared" si="364"/>
        <v>NA</v>
      </c>
      <c r="AT267" s="422" t="str">
        <f t="shared" si="365"/>
        <v>NA</v>
      </c>
      <c r="AU267" s="422" t="str">
        <f t="shared" si="366"/>
        <v>NA</v>
      </c>
      <c r="AV267" s="423" t="str">
        <f t="shared" si="367"/>
        <v>NA</v>
      </c>
    </row>
    <row r="268" spans="1:48" ht="15" customHeight="1" x14ac:dyDescent="0.25">
      <c r="A268" s="146"/>
      <c r="B268" s="148">
        <v>115</v>
      </c>
      <c r="C268" s="151" t="str">
        <f>_xlfn.XLOOKUP(B268, LgProvEntOrgIDs[Advanced Network/Insurer Carrier Org ID], LgProvEntOrgIDs[Advanced Network/Insurance Carrier Overall])</f>
        <v>Community Health Center</v>
      </c>
      <c r="D268" s="448">
        <f>SUMIFS(AN_TME_BY[[#All],[Member Months]],AN_TME_BY[[#All],[Insurance Category Code]],7,AN_TME_BY[[#All],[Advanced Network/Insurance Carrier Org ID]],B268)</f>
        <v>0</v>
      </c>
      <c r="E268" s="137" t="str">
        <f>IF(D268=0,"NA",SUMIFS(AN_TME_BY[[#All],[Claims: Hospital Inpatient]],AN_TME_BY[[#All],[Insurance Category Code]],7,AN_TME_BY[[#All],[Advanced Network/Insurance Carrier Org ID]],B268)/D268)</f>
        <v>NA</v>
      </c>
      <c r="F268" s="108" t="str">
        <f>IF(D268=0,"NA",SUMIFS(AN_TME_BY[[#All],[Claims: Hospital Outpatient]],AN_TME_BY[[#All],[Insurance Category Code]],7,AN_TME_BY[[#All],[Advanced Network/Insurance Carrier Org ID]],B268)/D268)</f>
        <v>NA</v>
      </c>
      <c r="G268" s="108" t="str">
        <f>IF(D268=0,"NA",SUMIFS(AN_TME_BY[[#All],[Claims: Professional, Primary Care]],AN_TME_BY[[#All],[Insurance Category Code]],7,AN_TME_BY[[#All],[Advanced Network/Insurance Carrier Org ID]],B268)/D268)</f>
        <v>NA</v>
      </c>
      <c r="H268" s="108" t="str">
        <f>IF(D268=0,"NA",SUMIFS(AN_TME_BY[[#All],[Claims: Professional, Primary Care (for Monitoring Purposes)]],AN_TME_BY[[#All],[Insurance Category Code]],7,AN_TME_BY[[#All],[Advanced Network/Insurance Carrier Org ID]],B268)/D268)</f>
        <v>NA</v>
      </c>
      <c r="I268" s="108" t="str">
        <f>IF(D268=0,"NA",SUMIFS(AN_TME_BY[[#All],[Claims: Professional, Specialty]],AN_TME_BY[[#All],[Insurance Category Code]],7,AN_TME_BY[[#All],[Advanced Network/Insurance Carrier Org ID]],B268)/D268)</f>
        <v>NA</v>
      </c>
      <c r="J268" s="108" t="str">
        <f>IF(D268=0,"NA",SUMIFS(AN_TME_BY[[#All],[Claims: Professional Other]],AN_TME_BY[[#All],[Insurance Category Code]],7,AN_TME_BY[[#All],[Advanced Network/Insurance Carrier Org ID]],B268)/D268)</f>
        <v>NA</v>
      </c>
      <c r="K268" s="108" t="str">
        <f>IF(D268=0,"NA",SUMIFS(AN_TME_BY[[#All],[Claims: Pharmacy]],AN_TME_BY[[#All],[Insurance Category Code]],7,AN_TME_BY[[#All],[Advanced Network/Insurance Carrier Org ID]],B268)/D268)</f>
        <v>NA</v>
      </c>
      <c r="L268" s="108" t="str">
        <f>IF(D268=0,"NA",SUMIFS(AN_TME_BY[[#All],[Claims: Long-Term Care]],AN_TME_BY[[#All],[Insurance Category Code]],7,AN_TME_BY[[#All],[Advanced Network/Insurance Carrier Org ID]],B268)/D268)</f>
        <v>NA</v>
      </c>
      <c r="M268" s="108" t="str">
        <f>IF(D268=0,"NA",SUMIFS(AN_TME_BY[[#All],[Claims: Other]],AN_TME_BY[[#All],[Insurance Category Code]],7,AN_TME_BY[[#All],[Advanced Network/Insurance Carrier Org ID]],B268)/D268)</f>
        <v>NA</v>
      </c>
      <c r="N268" s="147" t="str">
        <f>IF(D268=0,"NA",SUMIFS(AN_TME_BY[[#All],[TOTAL Non-Truncated Unadjusted Claims Expenses]],AN_TME_BY[[#All],[Insurance Category Code]],7,AN_TME_BY[[#All],[Advanced Network/Insurance Carrier Org ID]],B268)/D268)</f>
        <v>NA</v>
      </c>
      <c r="O268" s="147" t="str">
        <f>IF(D268=0,"NA",SUMIFS(AN_TME_BY[[#All],[TOTAL Truncated Unadjusted Claims Expenses (A21 -A19)]],AN_TME_BY[[#All],[Insurance Category Code]],7,AN_TME_BY[[#All],[Advanced Network/Insurance Carrier Org ID]],B268)/D268)</f>
        <v>NA</v>
      </c>
      <c r="P268" s="147" t="str">
        <f>IF(D268=0,"NA",SUMIFS(AN_TME_BY[[#All],[TOTAL Non-Claims Expenses]],AN_TME_BY[[#All],[Insurance Category Code]],7,AN_TME_BY[[#All],[Advanced Network/Insurance Carrier Org ID]],B268)/D268)</f>
        <v>NA</v>
      </c>
      <c r="Q268" s="147" t="str">
        <f>IF(D268=0,"NA",SUMIFS(AN_TME_BY[[#All],[TOTAL Non-Truncated Unadjusted Expenses (A21 + A23)]],AN_TME_BY[[#All],[Insurance Category Code]],7,AN_TME_BY[[#All],[Advanced Network/Insurance Carrier Org ID]],B268)/D268)</f>
        <v>NA</v>
      </c>
      <c r="R268" s="147" t="str">
        <f>IF(D268=0,"NA",SUMIFS(AN_TME_BY[[#All],[TOTAL Truncated Unadjusted Expenses (A22 + A23)]],AN_TME_BY[[#All],[Insurance Category Code]],7,AN_TME_BY[[#All],[Advanced Network/Insurance Carrier Org ID]],B268)/D268)</f>
        <v>NA</v>
      </c>
      <c r="S268" s="445">
        <f>SUMIFS(AN_TME_PY[[#All],[Member Months]],AN_TME_PY[[#All],[Insurance Category Code]],7,AN_TME_PY[[#All],[Advanced Network/Insurance Carrier Org ID]],B268)</f>
        <v>0</v>
      </c>
      <c r="T268" s="434" t="str">
        <f>IF(S268=0,"NA",SUMIFS(AN_TME_PY[[#All],[Claims: Hospital Inpatient]],AN_TME_PY[[#All],[Insurance Category Code]],7,AN_TME_PY[[#All],[Advanced Network/Insurance Carrier Org ID]],B268)/S268)</f>
        <v>NA</v>
      </c>
      <c r="U268" s="435" t="str">
        <f>IF(S268=0,"NA",SUMIFS(AN_TME_PY[[#All],[Claims: Hospital Outpatient]],AN_TME_PY[[#All],[Insurance Category Code]],7,AN_TME_PY[[#All],[Advanced Network/Insurance Carrier Org ID]],B268)/S268)</f>
        <v>NA</v>
      </c>
      <c r="V268" s="435" t="str">
        <f>IF(S268=0,"NA",SUMIFS(AN_TME_PY[[#All],[Claims: Professional, Primary Care]],AN_TME_PY[[#All],[Insurance Category Code]],7,AN_TME_PY[[#All],[Advanced Network/Insurance Carrier Org ID]],B268)/S268)</f>
        <v>NA</v>
      </c>
      <c r="W268" s="435" t="str">
        <f>IF(S268=0,"NA",SUMIFS(AN_TME_PY[[#All],[Claims: Professional, Primary Care (for Monitoring Purposes)]],AN_TME_PY[[#All],[Insurance Category Code]],7,AN_TME_PY[[#All],[Advanced Network/Insurance Carrier Org ID]],B268)/S268)</f>
        <v>NA</v>
      </c>
      <c r="X268" s="435" t="str">
        <f>IF(S268=0,"NA",SUMIFS(AN_TME_PY[[#All],[Claims: Professional, Specialty]],AN_TME_PY[[#All],[Insurance Category Code]],7,AN_TME_PY[[#All],[Advanced Network/Insurance Carrier Org ID]],B268)/S268)</f>
        <v>NA</v>
      </c>
      <c r="Y268" s="435" t="str">
        <f>IF(S268=0,"NA",SUMIFS(AN_TME_PY[[#All],[Claims: Professional Other]],AN_TME_PY[[#All],[Insurance Category Code]],7,AN_TME_PY[[#All],[Advanced Network/Insurance Carrier Org ID]],B268)/S268)</f>
        <v>NA</v>
      </c>
      <c r="Z268" s="435" t="str">
        <f>IF(S268=0,"NA",SUMIFS(AN_TME_PY[[#All],[Claims: Pharmacy]],AN_TME_PY[[#All],[Insurance Category Code]],7,AN_TME_PY[[#All],[Advanced Network/Insurance Carrier Org ID]],B268)/S268)</f>
        <v>NA</v>
      </c>
      <c r="AA268" s="435" t="str">
        <f>IF(S268=0,"NA",SUMIFS(AN_TME_PY[[#All],[Claims: Long-Term Care]],AN_TME_PY[[#All],[Insurance Category Code]],7,AN_TME_PY[[#All],[Advanced Network/Insurance Carrier Org ID]],B268)/S268)</f>
        <v>NA</v>
      </c>
      <c r="AB268" s="435" t="str">
        <f>IF(S268=0,"NA",SUMIFS(AN_TME_PY[[#All],[Claims: Other]],AN_TME_PY[[#All],[Insurance Category Code]],7,AN_TME_PY[[#All],[Advanced Network/Insurance Carrier Org ID]],B268)/S268)</f>
        <v>NA</v>
      </c>
      <c r="AC268" s="436" t="str">
        <f>IF(S268=0,"NA",SUMIFS(AN_TME_PY[[#All],[TOTAL Non-Truncated Unadjusted Claims Expenses]],AN_TME_PY[[#All],[Insurance Category Code]],7,AN_TME_PY[[#All],[Advanced Network/Insurance Carrier Org ID]],B268)/S268)</f>
        <v>NA</v>
      </c>
      <c r="AD268" s="436" t="str">
        <f>IF(S268=0,"NA",SUMIFS(AN_TME_PY[[#All],[TOTAL Truncated Unadjusted Claims Expenses (A21 -A19)]],AN_TME_PY[[#All],[Insurance Category Code]],7,AN_TME_PY[[#All],[Advanced Network/Insurance Carrier Org ID]],B268)/S268)</f>
        <v>NA</v>
      </c>
      <c r="AE268" s="436" t="str">
        <f>IF(S268=0,"NA",SUMIFS(AN_TME_PY[[#All],[TOTAL Non-Claims Expenses]],AN_TME_PY[[#All],[Insurance Category Code]],7,AN_TME_PY[[#All],[Advanced Network/Insurance Carrier Org ID]],B268)/S268)</f>
        <v>NA</v>
      </c>
      <c r="AF268" s="436" t="str">
        <f>IF(S268=0,"NA",SUMIFS(AN_TME_PY[[#All],[TOTAL Non-Truncated Unadjusted Expenses (A21 + A23)]],AN_TME_PY[[#All],[Insurance Category Code]],7,AN_TME_PY[[#All],[Advanced Network/Insurance Carrier Org ID]],B268)/S268)</f>
        <v>NA</v>
      </c>
      <c r="AG268" s="437" t="str">
        <f>IF(S268=0,"NA",SUMIFS(AN_TME_PY[[#All],[TOTAL Truncated Unadjusted Expenses (A22 + A23)]],AN_TME_PY[[#All],[Insurance Category Code]],7,AN_TME_PY[[#All],[Advanced Network/Insurance Carrier Org ID]],B268)/S268)</f>
        <v>NA</v>
      </c>
      <c r="AH268" s="419" t="str">
        <f t="shared" si="353"/>
        <v>NA</v>
      </c>
      <c r="AI268" s="420" t="str">
        <f t="shared" si="354"/>
        <v>NA</v>
      </c>
      <c r="AJ268" s="421" t="str">
        <f t="shared" si="355"/>
        <v>NA</v>
      </c>
      <c r="AK268" s="421" t="str">
        <f t="shared" si="356"/>
        <v>NA</v>
      </c>
      <c r="AL268" s="421" t="str">
        <f t="shared" si="357"/>
        <v>NA</v>
      </c>
      <c r="AM268" s="421" t="str">
        <f t="shared" si="358"/>
        <v>NA</v>
      </c>
      <c r="AN268" s="421" t="str">
        <f t="shared" si="359"/>
        <v>NA</v>
      </c>
      <c r="AO268" s="421" t="str">
        <f t="shared" si="360"/>
        <v>NA</v>
      </c>
      <c r="AP268" s="421" t="str">
        <f t="shared" si="361"/>
        <v>NA</v>
      </c>
      <c r="AQ268" s="421" t="str">
        <f t="shared" si="362"/>
        <v>NA</v>
      </c>
      <c r="AR268" s="422" t="str">
        <f t="shared" si="363"/>
        <v>NA</v>
      </c>
      <c r="AS268" s="422" t="str">
        <f t="shared" si="364"/>
        <v>NA</v>
      </c>
      <c r="AT268" s="422" t="str">
        <f t="shared" si="365"/>
        <v>NA</v>
      </c>
      <c r="AU268" s="422" t="str">
        <f t="shared" si="366"/>
        <v>NA</v>
      </c>
      <c r="AV268" s="423" t="str">
        <f t="shared" si="367"/>
        <v>NA</v>
      </c>
    </row>
    <row r="269" spans="1:48" ht="15" customHeight="1" x14ac:dyDescent="0.25">
      <c r="A269" s="146"/>
      <c r="B269" s="148">
        <v>116</v>
      </c>
      <c r="C269" s="151" t="str">
        <f>_xlfn.XLOOKUP(B269, LgProvEntOrgIDs[Advanced Network/Insurer Carrier Org ID], LgProvEntOrgIDs[Advanced Network/Insurance Carrier Overall])</f>
        <v>Community Health Services</v>
      </c>
      <c r="D269" s="448">
        <f>SUMIFS(AN_TME_BY[[#All],[Member Months]],AN_TME_BY[[#All],[Insurance Category Code]],7,AN_TME_BY[[#All],[Advanced Network/Insurance Carrier Org ID]],B269)</f>
        <v>0</v>
      </c>
      <c r="E269" s="137" t="str">
        <f>IF(D269=0,"NA",SUMIFS(AN_TME_BY[[#All],[Claims: Hospital Inpatient]],AN_TME_BY[[#All],[Insurance Category Code]],7,AN_TME_BY[[#All],[Advanced Network/Insurance Carrier Org ID]],B269)/D269)</f>
        <v>NA</v>
      </c>
      <c r="F269" s="108" t="str">
        <f>IF(D269=0,"NA",SUMIFS(AN_TME_BY[[#All],[Claims: Hospital Outpatient]],AN_TME_BY[[#All],[Insurance Category Code]],7,AN_TME_BY[[#All],[Advanced Network/Insurance Carrier Org ID]],B269)/D269)</f>
        <v>NA</v>
      </c>
      <c r="G269" s="108" t="str">
        <f>IF(D269=0,"NA",SUMIFS(AN_TME_BY[[#All],[Claims: Professional, Primary Care]],AN_TME_BY[[#All],[Insurance Category Code]],7,AN_TME_BY[[#All],[Advanced Network/Insurance Carrier Org ID]],B269)/D269)</f>
        <v>NA</v>
      </c>
      <c r="H269" s="108" t="str">
        <f>IF(D269=0,"NA",SUMIFS(AN_TME_BY[[#All],[Claims: Professional, Primary Care (for Monitoring Purposes)]],AN_TME_BY[[#All],[Insurance Category Code]],7,AN_TME_BY[[#All],[Advanced Network/Insurance Carrier Org ID]],B269)/D269)</f>
        <v>NA</v>
      </c>
      <c r="I269" s="108" t="str">
        <f>IF(D269=0,"NA",SUMIFS(AN_TME_BY[[#All],[Claims: Professional, Specialty]],AN_TME_BY[[#All],[Insurance Category Code]],7,AN_TME_BY[[#All],[Advanced Network/Insurance Carrier Org ID]],B269)/D269)</f>
        <v>NA</v>
      </c>
      <c r="J269" s="108" t="str">
        <f>IF(D269=0,"NA",SUMIFS(AN_TME_BY[[#All],[Claims: Professional Other]],AN_TME_BY[[#All],[Insurance Category Code]],7,AN_TME_BY[[#All],[Advanced Network/Insurance Carrier Org ID]],B269)/D269)</f>
        <v>NA</v>
      </c>
      <c r="K269" s="108" t="str">
        <f>IF(D269=0,"NA",SUMIFS(AN_TME_BY[[#All],[Claims: Pharmacy]],AN_TME_BY[[#All],[Insurance Category Code]],7,AN_TME_BY[[#All],[Advanced Network/Insurance Carrier Org ID]],B269)/D269)</f>
        <v>NA</v>
      </c>
      <c r="L269" s="108" t="str">
        <f>IF(D269=0,"NA",SUMIFS(AN_TME_BY[[#All],[Claims: Long-Term Care]],AN_TME_BY[[#All],[Insurance Category Code]],7,AN_TME_BY[[#All],[Advanced Network/Insurance Carrier Org ID]],B269)/D269)</f>
        <v>NA</v>
      </c>
      <c r="M269" s="108" t="str">
        <f>IF(D269=0,"NA",SUMIFS(AN_TME_BY[[#All],[Claims: Other]],AN_TME_BY[[#All],[Insurance Category Code]],7,AN_TME_BY[[#All],[Advanced Network/Insurance Carrier Org ID]],B269)/D269)</f>
        <v>NA</v>
      </c>
      <c r="N269" s="147" t="str">
        <f>IF(D269=0,"NA",SUMIFS(AN_TME_BY[[#All],[TOTAL Non-Truncated Unadjusted Claims Expenses]],AN_TME_BY[[#All],[Insurance Category Code]],7,AN_TME_BY[[#All],[Advanced Network/Insurance Carrier Org ID]],B269)/D269)</f>
        <v>NA</v>
      </c>
      <c r="O269" s="147" t="str">
        <f>IF(D269=0,"NA",SUMIFS(AN_TME_BY[[#All],[TOTAL Truncated Unadjusted Claims Expenses (A21 -A19)]],AN_TME_BY[[#All],[Insurance Category Code]],7,AN_TME_BY[[#All],[Advanced Network/Insurance Carrier Org ID]],B269)/D269)</f>
        <v>NA</v>
      </c>
      <c r="P269" s="147" t="str">
        <f>IF(D269=0,"NA",SUMIFS(AN_TME_BY[[#All],[TOTAL Non-Claims Expenses]],AN_TME_BY[[#All],[Insurance Category Code]],7,AN_TME_BY[[#All],[Advanced Network/Insurance Carrier Org ID]],B269)/D269)</f>
        <v>NA</v>
      </c>
      <c r="Q269" s="147" t="str">
        <f>IF(D269=0,"NA",SUMIFS(AN_TME_BY[[#All],[TOTAL Non-Truncated Unadjusted Expenses (A21 + A23)]],AN_TME_BY[[#All],[Insurance Category Code]],7,AN_TME_BY[[#All],[Advanced Network/Insurance Carrier Org ID]],B269)/D269)</f>
        <v>NA</v>
      </c>
      <c r="R269" s="147" t="str">
        <f>IF(D269=0,"NA",SUMIFS(AN_TME_BY[[#All],[TOTAL Truncated Unadjusted Expenses (A22 + A23)]],AN_TME_BY[[#All],[Insurance Category Code]],7,AN_TME_BY[[#All],[Advanced Network/Insurance Carrier Org ID]],B269)/D269)</f>
        <v>NA</v>
      </c>
      <c r="S269" s="445">
        <f>SUMIFS(AN_TME_PY[[#All],[Member Months]],AN_TME_PY[[#All],[Insurance Category Code]],7,AN_TME_PY[[#All],[Advanced Network/Insurance Carrier Org ID]],B269)</f>
        <v>0</v>
      </c>
      <c r="T269" s="434" t="str">
        <f>IF(S269=0,"NA",SUMIFS(AN_TME_PY[[#All],[Claims: Hospital Inpatient]],AN_TME_PY[[#All],[Insurance Category Code]],7,AN_TME_PY[[#All],[Advanced Network/Insurance Carrier Org ID]],B269)/S269)</f>
        <v>NA</v>
      </c>
      <c r="U269" s="435" t="str">
        <f>IF(S269=0,"NA",SUMIFS(AN_TME_PY[[#All],[Claims: Hospital Outpatient]],AN_TME_PY[[#All],[Insurance Category Code]],7,AN_TME_PY[[#All],[Advanced Network/Insurance Carrier Org ID]],B269)/S269)</f>
        <v>NA</v>
      </c>
      <c r="V269" s="435" t="str">
        <f>IF(S269=0,"NA",SUMIFS(AN_TME_PY[[#All],[Claims: Professional, Primary Care]],AN_TME_PY[[#All],[Insurance Category Code]],7,AN_TME_PY[[#All],[Advanced Network/Insurance Carrier Org ID]],B269)/S269)</f>
        <v>NA</v>
      </c>
      <c r="W269" s="435" t="str">
        <f>IF(S269=0,"NA",SUMIFS(AN_TME_PY[[#All],[Claims: Professional, Primary Care (for Monitoring Purposes)]],AN_TME_PY[[#All],[Insurance Category Code]],7,AN_TME_PY[[#All],[Advanced Network/Insurance Carrier Org ID]],B269)/S269)</f>
        <v>NA</v>
      </c>
      <c r="X269" s="435" t="str">
        <f>IF(S269=0,"NA",SUMIFS(AN_TME_PY[[#All],[Claims: Professional, Specialty]],AN_TME_PY[[#All],[Insurance Category Code]],7,AN_TME_PY[[#All],[Advanced Network/Insurance Carrier Org ID]],B269)/S269)</f>
        <v>NA</v>
      </c>
      <c r="Y269" s="435" t="str">
        <f>IF(S269=0,"NA",SUMIFS(AN_TME_PY[[#All],[Claims: Professional Other]],AN_TME_PY[[#All],[Insurance Category Code]],7,AN_TME_PY[[#All],[Advanced Network/Insurance Carrier Org ID]],B269)/S269)</f>
        <v>NA</v>
      </c>
      <c r="Z269" s="435" t="str">
        <f>IF(S269=0,"NA",SUMIFS(AN_TME_PY[[#All],[Claims: Pharmacy]],AN_TME_PY[[#All],[Insurance Category Code]],7,AN_TME_PY[[#All],[Advanced Network/Insurance Carrier Org ID]],B269)/S269)</f>
        <v>NA</v>
      </c>
      <c r="AA269" s="435" t="str">
        <f>IF(S269=0,"NA",SUMIFS(AN_TME_PY[[#All],[Claims: Long-Term Care]],AN_TME_PY[[#All],[Insurance Category Code]],7,AN_TME_PY[[#All],[Advanced Network/Insurance Carrier Org ID]],B269)/S269)</f>
        <v>NA</v>
      </c>
      <c r="AB269" s="435" t="str">
        <f>IF(S269=0,"NA",SUMIFS(AN_TME_PY[[#All],[Claims: Other]],AN_TME_PY[[#All],[Insurance Category Code]],7,AN_TME_PY[[#All],[Advanced Network/Insurance Carrier Org ID]],B269)/S269)</f>
        <v>NA</v>
      </c>
      <c r="AC269" s="436" t="str">
        <f>IF(S269=0,"NA",SUMIFS(AN_TME_PY[[#All],[TOTAL Non-Truncated Unadjusted Claims Expenses]],AN_TME_PY[[#All],[Insurance Category Code]],7,AN_TME_PY[[#All],[Advanced Network/Insurance Carrier Org ID]],B269)/S269)</f>
        <v>NA</v>
      </c>
      <c r="AD269" s="436" t="str">
        <f>IF(S269=0,"NA",SUMIFS(AN_TME_PY[[#All],[TOTAL Truncated Unadjusted Claims Expenses (A21 -A19)]],AN_TME_PY[[#All],[Insurance Category Code]],7,AN_TME_PY[[#All],[Advanced Network/Insurance Carrier Org ID]],B269)/S269)</f>
        <v>NA</v>
      </c>
      <c r="AE269" s="436" t="str">
        <f>IF(S269=0,"NA",SUMIFS(AN_TME_PY[[#All],[TOTAL Non-Claims Expenses]],AN_TME_PY[[#All],[Insurance Category Code]],7,AN_TME_PY[[#All],[Advanced Network/Insurance Carrier Org ID]],B269)/S269)</f>
        <v>NA</v>
      </c>
      <c r="AF269" s="436" t="str">
        <f>IF(S269=0,"NA",SUMIFS(AN_TME_PY[[#All],[TOTAL Non-Truncated Unadjusted Expenses (A21 + A23)]],AN_TME_PY[[#All],[Insurance Category Code]],7,AN_TME_PY[[#All],[Advanced Network/Insurance Carrier Org ID]],B269)/S269)</f>
        <v>NA</v>
      </c>
      <c r="AG269" s="437" t="str">
        <f>IF(S269=0,"NA",SUMIFS(AN_TME_PY[[#All],[TOTAL Truncated Unadjusted Expenses (A22 + A23)]],AN_TME_PY[[#All],[Insurance Category Code]],7,AN_TME_PY[[#All],[Advanced Network/Insurance Carrier Org ID]],B269)/S269)</f>
        <v>NA</v>
      </c>
      <c r="AH269" s="419" t="str">
        <f t="shared" si="353"/>
        <v>NA</v>
      </c>
      <c r="AI269" s="420" t="str">
        <f t="shared" si="354"/>
        <v>NA</v>
      </c>
      <c r="AJ269" s="421" t="str">
        <f t="shared" si="355"/>
        <v>NA</v>
      </c>
      <c r="AK269" s="421" t="str">
        <f t="shared" si="356"/>
        <v>NA</v>
      </c>
      <c r="AL269" s="421" t="str">
        <f t="shared" si="357"/>
        <v>NA</v>
      </c>
      <c r="AM269" s="421" t="str">
        <f t="shared" si="358"/>
        <v>NA</v>
      </c>
      <c r="AN269" s="421" t="str">
        <f t="shared" si="359"/>
        <v>NA</v>
      </c>
      <c r="AO269" s="421" t="str">
        <f t="shared" si="360"/>
        <v>NA</v>
      </c>
      <c r="AP269" s="421" t="str">
        <f t="shared" si="361"/>
        <v>NA</v>
      </c>
      <c r="AQ269" s="421" t="str">
        <f t="shared" si="362"/>
        <v>NA</v>
      </c>
      <c r="AR269" s="422" t="str">
        <f t="shared" si="363"/>
        <v>NA</v>
      </c>
      <c r="AS269" s="422" t="str">
        <f t="shared" si="364"/>
        <v>NA</v>
      </c>
      <c r="AT269" s="422" t="str">
        <f t="shared" si="365"/>
        <v>NA</v>
      </c>
      <c r="AU269" s="422" t="str">
        <f t="shared" si="366"/>
        <v>NA</v>
      </c>
      <c r="AV269" s="423" t="str">
        <f t="shared" si="367"/>
        <v>NA</v>
      </c>
    </row>
    <row r="270" spans="1:48" ht="15" customHeight="1" x14ac:dyDescent="0.25">
      <c r="A270" s="146"/>
      <c r="B270" s="148">
        <v>117</v>
      </c>
      <c r="C270" s="151" t="str">
        <f>_xlfn.XLOOKUP(B270, LgProvEntOrgIDs[Advanced Network/Insurer Carrier Org ID], LgProvEntOrgIDs[Advanced Network/Insurance Carrier Overall])</f>
        <v>Cornell Scott Hill Health Center</v>
      </c>
      <c r="D270" s="448">
        <f>SUMIFS(AN_TME_BY[[#All],[Member Months]],AN_TME_BY[[#All],[Insurance Category Code]],7,AN_TME_BY[[#All],[Advanced Network/Insurance Carrier Org ID]],B270)</f>
        <v>0</v>
      </c>
      <c r="E270" s="137" t="str">
        <f>IF(D270=0,"NA",SUMIFS(AN_TME_BY[[#All],[Claims: Hospital Inpatient]],AN_TME_BY[[#All],[Insurance Category Code]],7,AN_TME_BY[[#All],[Advanced Network/Insurance Carrier Org ID]],B270)/D270)</f>
        <v>NA</v>
      </c>
      <c r="F270" s="108" t="str">
        <f>IF(D270=0,"NA",SUMIFS(AN_TME_BY[[#All],[Claims: Hospital Outpatient]],AN_TME_BY[[#All],[Insurance Category Code]],7,AN_TME_BY[[#All],[Advanced Network/Insurance Carrier Org ID]],B270)/D270)</f>
        <v>NA</v>
      </c>
      <c r="G270" s="108" t="str">
        <f>IF(D270=0,"NA",SUMIFS(AN_TME_BY[[#All],[Claims: Professional, Primary Care]],AN_TME_BY[[#All],[Insurance Category Code]],7,AN_TME_BY[[#All],[Advanced Network/Insurance Carrier Org ID]],B270)/D270)</f>
        <v>NA</v>
      </c>
      <c r="H270" s="108" t="str">
        <f>IF(D270=0,"NA",SUMIFS(AN_TME_BY[[#All],[Claims: Professional, Primary Care (for Monitoring Purposes)]],AN_TME_BY[[#All],[Insurance Category Code]],7,AN_TME_BY[[#All],[Advanced Network/Insurance Carrier Org ID]],B270)/D270)</f>
        <v>NA</v>
      </c>
      <c r="I270" s="108" t="str">
        <f>IF(D270=0,"NA",SUMIFS(AN_TME_BY[[#All],[Claims: Professional, Specialty]],AN_TME_BY[[#All],[Insurance Category Code]],7,AN_TME_BY[[#All],[Advanced Network/Insurance Carrier Org ID]],B270)/D270)</f>
        <v>NA</v>
      </c>
      <c r="J270" s="108" t="str">
        <f>IF(D270=0,"NA",SUMIFS(AN_TME_BY[[#All],[Claims: Professional Other]],AN_TME_BY[[#All],[Insurance Category Code]],7,AN_TME_BY[[#All],[Advanced Network/Insurance Carrier Org ID]],B270)/D270)</f>
        <v>NA</v>
      </c>
      <c r="K270" s="108" t="str">
        <f>IF(D270=0,"NA",SUMIFS(AN_TME_BY[[#All],[Claims: Pharmacy]],AN_TME_BY[[#All],[Insurance Category Code]],7,AN_TME_BY[[#All],[Advanced Network/Insurance Carrier Org ID]],B270)/D270)</f>
        <v>NA</v>
      </c>
      <c r="L270" s="108" t="str">
        <f>IF(D270=0,"NA",SUMIFS(AN_TME_BY[[#All],[Claims: Long-Term Care]],AN_TME_BY[[#All],[Insurance Category Code]],7,AN_TME_BY[[#All],[Advanced Network/Insurance Carrier Org ID]],B270)/D270)</f>
        <v>NA</v>
      </c>
      <c r="M270" s="108" t="str">
        <f>IF(D270=0,"NA",SUMIFS(AN_TME_BY[[#All],[Claims: Other]],AN_TME_BY[[#All],[Insurance Category Code]],7,AN_TME_BY[[#All],[Advanced Network/Insurance Carrier Org ID]],B270)/D270)</f>
        <v>NA</v>
      </c>
      <c r="N270" s="147" t="str">
        <f>IF(D270=0,"NA",SUMIFS(AN_TME_BY[[#All],[TOTAL Non-Truncated Unadjusted Claims Expenses]],AN_TME_BY[[#All],[Insurance Category Code]],7,AN_TME_BY[[#All],[Advanced Network/Insurance Carrier Org ID]],B270)/D270)</f>
        <v>NA</v>
      </c>
      <c r="O270" s="147" t="str">
        <f>IF(D270=0,"NA",SUMIFS(AN_TME_BY[[#All],[TOTAL Truncated Unadjusted Claims Expenses (A21 -A19)]],AN_TME_BY[[#All],[Insurance Category Code]],7,AN_TME_BY[[#All],[Advanced Network/Insurance Carrier Org ID]],B270)/D270)</f>
        <v>NA</v>
      </c>
      <c r="P270" s="147" t="str">
        <f>IF(D270=0,"NA",SUMIFS(AN_TME_BY[[#All],[TOTAL Non-Claims Expenses]],AN_TME_BY[[#All],[Insurance Category Code]],7,AN_TME_BY[[#All],[Advanced Network/Insurance Carrier Org ID]],B270)/D270)</f>
        <v>NA</v>
      </c>
      <c r="Q270" s="147" t="str">
        <f>IF(D270=0,"NA",SUMIFS(AN_TME_BY[[#All],[TOTAL Non-Truncated Unadjusted Expenses (A21 + A23)]],AN_TME_BY[[#All],[Insurance Category Code]],7,AN_TME_BY[[#All],[Advanced Network/Insurance Carrier Org ID]],B270)/D270)</f>
        <v>NA</v>
      </c>
      <c r="R270" s="147" t="str">
        <f>IF(D270=0,"NA",SUMIFS(AN_TME_BY[[#All],[TOTAL Truncated Unadjusted Expenses (A22 + A23)]],AN_TME_BY[[#All],[Insurance Category Code]],7,AN_TME_BY[[#All],[Advanced Network/Insurance Carrier Org ID]],B270)/D270)</f>
        <v>NA</v>
      </c>
      <c r="S270" s="445">
        <f>SUMIFS(AN_TME_PY[[#All],[Member Months]],AN_TME_PY[[#All],[Insurance Category Code]],7,AN_TME_PY[[#All],[Advanced Network/Insurance Carrier Org ID]],B270)</f>
        <v>0</v>
      </c>
      <c r="T270" s="434" t="str">
        <f>IF(S270=0,"NA",SUMIFS(AN_TME_PY[[#All],[Claims: Hospital Inpatient]],AN_TME_PY[[#All],[Insurance Category Code]],7,AN_TME_PY[[#All],[Advanced Network/Insurance Carrier Org ID]],B270)/S270)</f>
        <v>NA</v>
      </c>
      <c r="U270" s="435" t="str">
        <f>IF(S270=0,"NA",SUMIFS(AN_TME_PY[[#All],[Claims: Hospital Outpatient]],AN_TME_PY[[#All],[Insurance Category Code]],7,AN_TME_PY[[#All],[Advanced Network/Insurance Carrier Org ID]],B270)/S270)</f>
        <v>NA</v>
      </c>
      <c r="V270" s="435" t="str">
        <f>IF(S270=0,"NA",SUMIFS(AN_TME_PY[[#All],[Claims: Professional, Primary Care]],AN_TME_PY[[#All],[Insurance Category Code]],7,AN_TME_PY[[#All],[Advanced Network/Insurance Carrier Org ID]],B270)/S270)</f>
        <v>NA</v>
      </c>
      <c r="W270" s="435" t="str">
        <f>IF(S270=0,"NA",SUMIFS(AN_TME_PY[[#All],[Claims: Professional, Primary Care (for Monitoring Purposes)]],AN_TME_PY[[#All],[Insurance Category Code]],7,AN_TME_PY[[#All],[Advanced Network/Insurance Carrier Org ID]],B270)/S270)</f>
        <v>NA</v>
      </c>
      <c r="X270" s="435" t="str">
        <f>IF(S270=0,"NA",SUMIFS(AN_TME_PY[[#All],[Claims: Professional, Specialty]],AN_TME_PY[[#All],[Insurance Category Code]],7,AN_TME_PY[[#All],[Advanced Network/Insurance Carrier Org ID]],B270)/S270)</f>
        <v>NA</v>
      </c>
      <c r="Y270" s="435" t="str">
        <f>IF(S270=0,"NA",SUMIFS(AN_TME_PY[[#All],[Claims: Professional Other]],AN_TME_PY[[#All],[Insurance Category Code]],7,AN_TME_PY[[#All],[Advanced Network/Insurance Carrier Org ID]],B270)/S270)</f>
        <v>NA</v>
      </c>
      <c r="Z270" s="435" t="str">
        <f>IF(S270=0,"NA",SUMIFS(AN_TME_PY[[#All],[Claims: Pharmacy]],AN_TME_PY[[#All],[Insurance Category Code]],7,AN_TME_PY[[#All],[Advanced Network/Insurance Carrier Org ID]],B270)/S270)</f>
        <v>NA</v>
      </c>
      <c r="AA270" s="435" t="str">
        <f>IF(S270=0,"NA",SUMIFS(AN_TME_PY[[#All],[Claims: Long-Term Care]],AN_TME_PY[[#All],[Insurance Category Code]],7,AN_TME_PY[[#All],[Advanced Network/Insurance Carrier Org ID]],B270)/S270)</f>
        <v>NA</v>
      </c>
      <c r="AB270" s="435" t="str">
        <f>IF(S270=0,"NA",SUMIFS(AN_TME_PY[[#All],[Claims: Other]],AN_TME_PY[[#All],[Insurance Category Code]],7,AN_TME_PY[[#All],[Advanced Network/Insurance Carrier Org ID]],B270)/S270)</f>
        <v>NA</v>
      </c>
      <c r="AC270" s="436" t="str">
        <f>IF(S270=0,"NA",SUMIFS(AN_TME_PY[[#All],[TOTAL Non-Truncated Unadjusted Claims Expenses]],AN_TME_PY[[#All],[Insurance Category Code]],7,AN_TME_PY[[#All],[Advanced Network/Insurance Carrier Org ID]],B270)/S270)</f>
        <v>NA</v>
      </c>
      <c r="AD270" s="436" t="str">
        <f>IF(S270=0,"NA",SUMIFS(AN_TME_PY[[#All],[TOTAL Truncated Unadjusted Claims Expenses (A21 -A19)]],AN_TME_PY[[#All],[Insurance Category Code]],7,AN_TME_PY[[#All],[Advanced Network/Insurance Carrier Org ID]],B270)/S270)</f>
        <v>NA</v>
      </c>
      <c r="AE270" s="436" t="str">
        <f>IF(S270=0,"NA",SUMIFS(AN_TME_PY[[#All],[TOTAL Non-Claims Expenses]],AN_TME_PY[[#All],[Insurance Category Code]],7,AN_TME_PY[[#All],[Advanced Network/Insurance Carrier Org ID]],B270)/S270)</f>
        <v>NA</v>
      </c>
      <c r="AF270" s="436" t="str">
        <f>IF(S270=0,"NA",SUMIFS(AN_TME_PY[[#All],[TOTAL Non-Truncated Unadjusted Expenses (A21 + A23)]],AN_TME_PY[[#All],[Insurance Category Code]],7,AN_TME_PY[[#All],[Advanced Network/Insurance Carrier Org ID]],B270)/S270)</f>
        <v>NA</v>
      </c>
      <c r="AG270" s="437" t="str">
        <f>IF(S270=0,"NA",SUMIFS(AN_TME_PY[[#All],[TOTAL Truncated Unadjusted Expenses (A22 + A23)]],AN_TME_PY[[#All],[Insurance Category Code]],7,AN_TME_PY[[#All],[Advanced Network/Insurance Carrier Org ID]],B270)/S270)</f>
        <v>NA</v>
      </c>
      <c r="AH270" s="419" t="str">
        <f t="shared" si="353"/>
        <v>NA</v>
      </c>
      <c r="AI270" s="420" t="str">
        <f t="shared" si="354"/>
        <v>NA</v>
      </c>
      <c r="AJ270" s="421" t="str">
        <f t="shared" si="355"/>
        <v>NA</v>
      </c>
      <c r="AK270" s="421" t="str">
        <f t="shared" si="356"/>
        <v>NA</v>
      </c>
      <c r="AL270" s="421" t="str">
        <f t="shared" si="357"/>
        <v>NA</v>
      </c>
      <c r="AM270" s="421" t="str">
        <f t="shared" si="358"/>
        <v>NA</v>
      </c>
      <c r="AN270" s="421" t="str">
        <f t="shared" si="359"/>
        <v>NA</v>
      </c>
      <c r="AO270" s="421" t="str">
        <f t="shared" si="360"/>
        <v>NA</v>
      </c>
      <c r="AP270" s="421" t="str">
        <f t="shared" si="361"/>
        <v>NA</v>
      </c>
      <c r="AQ270" s="421" t="str">
        <f t="shared" si="362"/>
        <v>NA</v>
      </c>
      <c r="AR270" s="422" t="str">
        <f t="shared" si="363"/>
        <v>NA</v>
      </c>
      <c r="AS270" s="422" t="str">
        <f t="shared" si="364"/>
        <v>NA</v>
      </c>
      <c r="AT270" s="422" t="str">
        <f t="shared" si="365"/>
        <v>NA</v>
      </c>
      <c r="AU270" s="422" t="str">
        <f t="shared" si="366"/>
        <v>NA</v>
      </c>
      <c r="AV270" s="423" t="str">
        <f t="shared" si="367"/>
        <v>NA</v>
      </c>
    </row>
    <row r="271" spans="1:48" ht="15" customHeight="1" x14ac:dyDescent="0.25">
      <c r="A271" s="146"/>
      <c r="B271" s="148">
        <v>118</v>
      </c>
      <c r="C271" s="151" t="str">
        <f>_xlfn.XLOOKUP(B271, LgProvEntOrgIDs[Advanced Network/Insurer Carrier Org ID], LgProvEntOrgIDs[Advanced Network/Insurance Carrier Overall])</f>
        <v>Fair Haven Community Health Center</v>
      </c>
      <c r="D271" s="448">
        <f>SUMIFS(AN_TME_BY[[#All],[Member Months]],AN_TME_BY[[#All],[Insurance Category Code]],7,AN_TME_BY[[#All],[Advanced Network/Insurance Carrier Org ID]],B271)</f>
        <v>0</v>
      </c>
      <c r="E271" s="137" t="str">
        <f>IF(D271=0,"NA",SUMIFS(AN_TME_BY[[#All],[Claims: Hospital Inpatient]],AN_TME_BY[[#All],[Insurance Category Code]],7,AN_TME_BY[[#All],[Advanced Network/Insurance Carrier Org ID]],B271)/D271)</f>
        <v>NA</v>
      </c>
      <c r="F271" s="108" t="str">
        <f>IF(D271=0,"NA",SUMIFS(AN_TME_BY[[#All],[Claims: Hospital Outpatient]],AN_TME_BY[[#All],[Insurance Category Code]],7,AN_TME_BY[[#All],[Advanced Network/Insurance Carrier Org ID]],B271)/D271)</f>
        <v>NA</v>
      </c>
      <c r="G271" s="108" t="str">
        <f>IF(D271=0,"NA",SUMIFS(AN_TME_BY[[#All],[Claims: Professional, Primary Care]],AN_TME_BY[[#All],[Insurance Category Code]],7,AN_TME_BY[[#All],[Advanced Network/Insurance Carrier Org ID]],B271)/D271)</f>
        <v>NA</v>
      </c>
      <c r="H271" s="108" t="str">
        <f>IF(D271=0,"NA",SUMIFS(AN_TME_BY[[#All],[Claims: Professional, Primary Care (for Monitoring Purposes)]],AN_TME_BY[[#All],[Insurance Category Code]],7,AN_TME_BY[[#All],[Advanced Network/Insurance Carrier Org ID]],B271)/D271)</f>
        <v>NA</v>
      </c>
      <c r="I271" s="108" t="str">
        <f>IF(D271=0,"NA",SUMIFS(AN_TME_BY[[#All],[Claims: Professional, Specialty]],AN_TME_BY[[#All],[Insurance Category Code]],7,AN_TME_BY[[#All],[Advanced Network/Insurance Carrier Org ID]],B271)/D271)</f>
        <v>NA</v>
      </c>
      <c r="J271" s="108" t="str">
        <f>IF(D271=0,"NA",SUMIFS(AN_TME_BY[[#All],[Claims: Professional Other]],AN_TME_BY[[#All],[Insurance Category Code]],7,AN_TME_BY[[#All],[Advanced Network/Insurance Carrier Org ID]],B271)/D271)</f>
        <v>NA</v>
      </c>
      <c r="K271" s="108" t="str">
        <f>IF(D271=0,"NA",SUMIFS(AN_TME_BY[[#All],[Claims: Pharmacy]],AN_TME_BY[[#All],[Insurance Category Code]],7,AN_TME_BY[[#All],[Advanced Network/Insurance Carrier Org ID]],B271)/D271)</f>
        <v>NA</v>
      </c>
      <c r="L271" s="108" t="str">
        <f>IF(D271=0,"NA",SUMIFS(AN_TME_BY[[#All],[Claims: Long-Term Care]],AN_TME_BY[[#All],[Insurance Category Code]],7,AN_TME_BY[[#All],[Advanced Network/Insurance Carrier Org ID]],B271)/D271)</f>
        <v>NA</v>
      </c>
      <c r="M271" s="108" t="str">
        <f>IF(D271=0,"NA",SUMIFS(AN_TME_BY[[#All],[Claims: Other]],AN_TME_BY[[#All],[Insurance Category Code]],7,AN_TME_BY[[#All],[Advanced Network/Insurance Carrier Org ID]],B271)/D271)</f>
        <v>NA</v>
      </c>
      <c r="N271" s="147" t="str">
        <f>IF(D271=0,"NA",SUMIFS(AN_TME_BY[[#All],[TOTAL Non-Truncated Unadjusted Claims Expenses]],AN_TME_BY[[#All],[Insurance Category Code]],7,AN_TME_BY[[#All],[Advanced Network/Insurance Carrier Org ID]],B271)/D271)</f>
        <v>NA</v>
      </c>
      <c r="O271" s="147" t="str">
        <f>IF(D271=0,"NA",SUMIFS(AN_TME_BY[[#All],[TOTAL Truncated Unadjusted Claims Expenses (A21 -A19)]],AN_TME_BY[[#All],[Insurance Category Code]],7,AN_TME_BY[[#All],[Advanced Network/Insurance Carrier Org ID]],B271)/D271)</f>
        <v>NA</v>
      </c>
      <c r="P271" s="147" t="str">
        <f>IF(D271=0,"NA",SUMIFS(AN_TME_BY[[#All],[TOTAL Non-Claims Expenses]],AN_TME_BY[[#All],[Insurance Category Code]],7,AN_TME_BY[[#All],[Advanced Network/Insurance Carrier Org ID]],B271)/D271)</f>
        <v>NA</v>
      </c>
      <c r="Q271" s="147" t="str">
        <f>IF(D271=0,"NA",SUMIFS(AN_TME_BY[[#All],[TOTAL Non-Truncated Unadjusted Expenses (A21 + A23)]],AN_TME_BY[[#All],[Insurance Category Code]],7,AN_TME_BY[[#All],[Advanced Network/Insurance Carrier Org ID]],B271)/D271)</f>
        <v>NA</v>
      </c>
      <c r="R271" s="147" t="str">
        <f>IF(D271=0,"NA",SUMIFS(AN_TME_BY[[#All],[TOTAL Truncated Unadjusted Expenses (A22 + A23)]],AN_TME_BY[[#All],[Insurance Category Code]],7,AN_TME_BY[[#All],[Advanced Network/Insurance Carrier Org ID]],B271)/D271)</f>
        <v>NA</v>
      </c>
      <c r="S271" s="445">
        <f>SUMIFS(AN_TME_PY[[#All],[Member Months]],AN_TME_PY[[#All],[Insurance Category Code]],7,AN_TME_PY[[#All],[Advanced Network/Insurance Carrier Org ID]],B271)</f>
        <v>0</v>
      </c>
      <c r="T271" s="434" t="str">
        <f>IF(S271=0,"NA",SUMIFS(AN_TME_PY[[#All],[Claims: Hospital Inpatient]],AN_TME_PY[[#All],[Insurance Category Code]],7,AN_TME_PY[[#All],[Advanced Network/Insurance Carrier Org ID]],B271)/S271)</f>
        <v>NA</v>
      </c>
      <c r="U271" s="435" t="str">
        <f>IF(S271=0,"NA",SUMIFS(AN_TME_PY[[#All],[Claims: Hospital Outpatient]],AN_TME_PY[[#All],[Insurance Category Code]],7,AN_TME_PY[[#All],[Advanced Network/Insurance Carrier Org ID]],B271)/S271)</f>
        <v>NA</v>
      </c>
      <c r="V271" s="435" t="str">
        <f>IF(S271=0,"NA",SUMIFS(AN_TME_PY[[#All],[Claims: Professional, Primary Care]],AN_TME_PY[[#All],[Insurance Category Code]],7,AN_TME_PY[[#All],[Advanced Network/Insurance Carrier Org ID]],B271)/S271)</f>
        <v>NA</v>
      </c>
      <c r="W271" s="435" t="str">
        <f>IF(S271=0,"NA",SUMIFS(AN_TME_PY[[#All],[Claims: Professional, Primary Care (for Monitoring Purposes)]],AN_TME_PY[[#All],[Insurance Category Code]],7,AN_TME_PY[[#All],[Advanced Network/Insurance Carrier Org ID]],B271)/S271)</f>
        <v>NA</v>
      </c>
      <c r="X271" s="435" t="str">
        <f>IF(S271=0,"NA",SUMIFS(AN_TME_PY[[#All],[Claims: Professional, Specialty]],AN_TME_PY[[#All],[Insurance Category Code]],7,AN_TME_PY[[#All],[Advanced Network/Insurance Carrier Org ID]],B271)/S271)</f>
        <v>NA</v>
      </c>
      <c r="Y271" s="435" t="str">
        <f>IF(S271=0,"NA",SUMIFS(AN_TME_PY[[#All],[Claims: Professional Other]],AN_TME_PY[[#All],[Insurance Category Code]],7,AN_TME_PY[[#All],[Advanced Network/Insurance Carrier Org ID]],B271)/S271)</f>
        <v>NA</v>
      </c>
      <c r="Z271" s="435" t="str">
        <f>IF(S271=0,"NA",SUMIFS(AN_TME_PY[[#All],[Claims: Pharmacy]],AN_TME_PY[[#All],[Insurance Category Code]],7,AN_TME_PY[[#All],[Advanced Network/Insurance Carrier Org ID]],B271)/S271)</f>
        <v>NA</v>
      </c>
      <c r="AA271" s="435" t="str">
        <f>IF(S271=0,"NA",SUMIFS(AN_TME_PY[[#All],[Claims: Long-Term Care]],AN_TME_PY[[#All],[Insurance Category Code]],7,AN_TME_PY[[#All],[Advanced Network/Insurance Carrier Org ID]],B271)/S271)</f>
        <v>NA</v>
      </c>
      <c r="AB271" s="435" t="str">
        <f>IF(S271=0,"NA",SUMIFS(AN_TME_PY[[#All],[Claims: Other]],AN_TME_PY[[#All],[Insurance Category Code]],7,AN_TME_PY[[#All],[Advanced Network/Insurance Carrier Org ID]],B271)/S271)</f>
        <v>NA</v>
      </c>
      <c r="AC271" s="436" t="str">
        <f>IF(S271=0,"NA",SUMIFS(AN_TME_PY[[#All],[TOTAL Non-Truncated Unadjusted Claims Expenses]],AN_TME_PY[[#All],[Insurance Category Code]],7,AN_TME_PY[[#All],[Advanced Network/Insurance Carrier Org ID]],B271)/S271)</f>
        <v>NA</v>
      </c>
      <c r="AD271" s="436" t="str">
        <f>IF(S271=0,"NA",SUMIFS(AN_TME_PY[[#All],[TOTAL Truncated Unadjusted Claims Expenses (A21 -A19)]],AN_TME_PY[[#All],[Insurance Category Code]],7,AN_TME_PY[[#All],[Advanced Network/Insurance Carrier Org ID]],B271)/S271)</f>
        <v>NA</v>
      </c>
      <c r="AE271" s="436" t="str">
        <f>IF(S271=0,"NA",SUMIFS(AN_TME_PY[[#All],[TOTAL Non-Claims Expenses]],AN_TME_PY[[#All],[Insurance Category Code]],7,AN_TME_PY[[#All],[Advanced Network/Insurance Carrier Org ID]],B271)/S271)</f>
        <v>NA</v>
      </c>
      <c r="AF271" s="436" t="str">
        <f>IF(S271=0,"NA",SUMIFS(AN_TME_PY[[#All],[TOTAL Non-Truncated Unadjusted Expenses (A21 + A23)]],AN_TME_PY[[#All],[Insurance Category Code]],7,AN_TME_PY[[#All],[Advanced Network/Insurance Carrier Org ID]],B271)/S271)</f>
        <v>NA</v>
      </c>
      <c r="AG271" s="437" t="str">
        <f>IF(S271=0,"NA",SUMIFS(AN_TME_PY[[#All],[TOTAL Truncated Unadjusted Expenses (A22 + A23)]],AN_TME_PY[[#All],[Insurance Category Code]],7,AN_TME_PY[[#All],[Advanced Network/Insurance Carrier Org ID]],B271)/S271)</f>
        <v>NA</v>
      </c>
      <c r="AH271" s="419" t="str">
        <f t="shared" si="353"/>
        <v>NA</v>
      </c>
      <c r="AI271" s="420" t="str">
        <f t="shared" si="354"/>
        <v>NA</v>
      </c>
      <c r="AJ271" s="421" t="str">
        <f t="shared" si="355"/>
        <v>NA</v>
      </c>
      <c r="AK271" s="421" t="str">
        <f t="shared" si="356"/>
        <v>NA</v>
      </c>
      <c r="AL271" s="421" t="str">
        <f t="shared" si="357"/>
        <v>NA</v>
      </c>
      <c r="AM271" s="421" t="str">
        <f t="shared" si="358"/>
        <v>NA</v>
      </c>
      <c r="AN271" s="421" t="str">
        <f t="shared" si="359"/>
        <v>NA</v>
      </c>
      <c r="AO271" s="421" t="str">
        <f t="shared" si="360"/>
        <v>NA</v>
      </c>
      <c r="AP271" s="421" t="str">
        <f t="shared" si="361"/>
        <v>NA</v>
      </c>
      <c r="AQ271" s="421" t="str">
        <f t="shared" si="362"/>
        <v>NA</v>
      </c>
      <c r="AR271" s="422" t="str">
        <f t="shared" si="363"/>
        <v>NA</v>
      </c>
      <c r="AS271" s="422" t="str">
        <f t="shared" si="364"/>
        <v>NA</v>
      </c>
      <c r="AT271" s="422" t="str">
        <f t="shared" si="365"/>
        <v>NA</v>
      </c>
      <c r="AU271" s="422" t="str">
        <f t="shared" si="366"/>
        <v>NA</v>
      </c>
      <c r="AV271" s="423" t="str">
        <f t="shared" si="367"/>
        <v>NA</v>
      </c>
    </row>
    <row r="272" spans="1:48" ht="15" customHeight="1" x14ac:dyDescent="0.25">
      <c r="A272" s="146"/>
      <c r="B272" s="148">
        <v>119</v>
      </c>
      <c r="C272" s="151" t="str">
        <f>_xlfn.XLOOKUP(B272, LgProvEntOrgIDs[Advanced Network/Insurer Carrier Org ID], LgProvEntOrgIDs[Advanced Network/Insurance Carrier Overall])</f>
        <v>Family Centers</v>
      </c>
      <c r="D272" s="448">
        <f>SUMIFS(AN_TME_BY[[#All],[Member Months]],AN_TME_BY[[#All],[Insurance Category Code]],7,AN_TME_BY[[#All],[Advanced Network/Insurance Carrier Org ID]],B272)</f>
        <v>0</v>
      </c>
      <c r="E272" s="137" t="str">
        <f>IF(D272=0,"NA",SUMIFS(AN_TME_BY[[#All],[Claims: Hospital Inpatient]],AN_TME_BY[[#All],[Insurance Category Code]],7,AN_TME_BY[[#All],[Advanced Network/Insurance Carrier Org ID]],B272)/D272)</f>
        <v>NA</v>
      </c>
      <c r="F272" s="108" t="str">
        <f>IF(D272=0,"NA",SUMIFS(AN_TME_BY[[#All],[Claims: Hospital Outpatient]],AN_TME_BY[[#All],[Insurance Category Code]],7,AN_TME_BY[[#All],[Advanced Network/Insurance Carrier Org ID]],B272)/D272)</f>
        <v>NA</v>
      </c>
      <c r="G272" s="108" t="str">
        <f>IF(D272=0,"NA",SUMIFS(AN_TME_BY[[#All],[Claims: Professional, Primary Care]],AN_TME_BY[[#All],[Insurance Category Code]],7,AN_TME_BY[[#All],[Advanced Network/Insurance Carrier Org ID]],B272)/D272)</f>
        <v>NA</v>
      </c>
      <c r="H272" s="108" t="str">
        <f>IF(D272=0,"NA",SUMIFS(AN_TME_BY[[#All],[Claims: Professional, Primary Care (for Monitoring Purposes)]],AN_TME_BY[[#All],[Insurance Category Code]],7,AN_TME_BY[[#All],[Advanced Network/Insurance Carrier Org ID]],B272)/D272)</f>
        <v>NA</v>
      </c>
      <c r="I272" s="108" t="str">
        <f>IF(D272=0,"NA",SUMIFS(AN_TME_BY[[#All],[Claims: Professional, Specialty]],AN_TME_BY[[#All],[Insurance Category Code]],7,AN_TME_BY[[#All],[Advanced Network/Insurance Carrier Org ID]],B272)/D272)</f>
        <v>NA</v>
      </c>
      <c r="J272" s="108" t="str">
        <f>IF(D272=0,"NA",SUMIFS(AN_TME_BY[[#All],[Claims: Professional Other]],AN_TME_BY[[#All],[Insurance Category Code]],7,AN_TME_BY[[#All],[Advanced Network/Insurance Carrier Org ID]],B272)/D272)</f>
        <v>NA</v>
      </c>
      <c r="K272" s="108" t="str">
        <f>IF(D272=0,"NA",SUMIFS(AN_TME_BY[[#All],[Claims: Pharmacy]],AN_TME_BY[[#All],[Insurance Category Code]],7,AN_TME_BY[[#All],[Advanced Network/Insurance Carrier Org ID]],B272)/D272)</f>
        <v>NA</v>
      </c>
      <c r="L272" s="108" t="str">
        <f>IF(D272=0,"NA",SUMIFS(AN_TME_BY[[#All],[Claims: Long-Term Care]],AN_TME_BY[[#All],[Insurance Category Code]],7,AN_TME_BY[[#All],[Advanced Network/Insurance Carrier Org ID]],B272)/D272)</f>
        <v>NA</v>
      </c>
      <c r="M272" s="108" t="str">
        <f>IF(D272=0,"NA",SUMIFS(AN_TME_BY[[#All],[Claims: Other]],AN_TME_BY[[#All],[Insurance Category Code]],7,AN_TME_BY[[#All],[Advanced Network/Insurance Carrier Org ID]],B272)/D272)</f>
        <v>NA</v>
      </c>
      <c r="N272" s="147" t="str">
        <f>IF(D272=0,"NA",SUMIFS(AN_TME_BY[[#All],[TOTAL Non-Truncated Unadjusted Claims Expenses]],AN_TME_BY[[#All],[Insurance Category Code]],7,AN_TME_BY[[#All],[Advanced Network/Insurance Carrier Org ID]],B272)/D272)</f>
        <v>NA</v>
      </c>
      <c r="O272" s="147" t="str">
        <f>IF(D272=0,"NA",SUMIFS(AN_TME_BY[[#All],[TOTAL Truncated Unadjusted Claims Expenses (A21 -A19)]],AN_TME_BY[[#All],[Insurance Category Code]],7,AN_TME_BY[[#All],[Advanced Network/Insurance Carrier Org ID]],B272)/D272)</f>
        <v>NA</v>
      </c>
      <c r="P272" s="147" t="str">
        <f>IF(D272=0,"NA",SUMIFS(AN_TME_BY[[#All],[TOTAL Non-Claims Expenses]],AN_TME_BY[[#All],[Insurance Category Code]],7,AN_TME_BY[[#All],[Advanced Network/Insurance Carrier Org ID]],B272)/D272)</f>
        <v>NA</v>
      </c>
      <c r="Q272" s="147" t="str">
        <f>IF(D272=0,"NA",SUMIFS(AN_TME_BY[[#All],[TOTAL Non-Truncated Unadjusted Expenses (A21 + A23)]],AN_TME_BY[[#All],[Insurance Category Code]],7,AN_TME_BY[[#All],[Advanced Network/Insurance Carrier Org ID]],B272)/D272)</f>
        <v>NA</v>
      </c>
      <c r="R272" s="147" t="str">
        <f>IF(D272=0,"NA",SUMIFS(AN_TME_BY[[#All],[TOTAL Truncated Unadjusted Expenses (A22 + A23)]],AN_TME_BY[[#All],[Insurance Category Code]],7,AN_TME_BY[[#All],[Advanced Network/Insurance Carrier Org ID]],B272)/D272)</f>
        <v>NA</v>
      </c>
      <c r="S272" s="445">
        <f>SUMIFS(AN_TME_PY[[#All],[Member Months]],AN_TME_PY[[#All],[Insurance Category Code]],7,AN_TME_PY[[#All],[Advanced Network/Insurance Carrier Org ID]],B272)</f>
        <v>0</v>
      </c>
      <c r="T272" s="434" t="str">
        <f>IF(S272=0,"NA",SUMIFS(AN_TME_PY[[#All],[Claims: Hospital Inpatient]],AN_TME_PY[[#All],[Insurance Category Code]],7,AN_TME_PY[[#All],[Advanced Network/Insurance Carrier Org ID]],B272)/S272)</f>
        <v>NA</v>
      </c>
      <c r="U272" s="435" t="str">
        <f>IF(S272=0,"NA",SUMIFS(AN_TME_PY[[#All],[Claims: Hospital Outpatient]],AN_TME_PY[[#All],[Insurance Category Code]],7,AN_TME_PY[[#All],[Advanced Network/Insurance Carrier Org ID]],B272)/S272)</f>
        <v>NA</v>
      </c>
      <c r="V272" s="435" t="str">
        <f>IF(S272=0,"NA",SUMIFS(AN_TME_PY[[#All],[Claims: Professional, Primary Care]],AN_TME_PY[[#All],[Insurance Category Code]],7,AN_TME_PY[[#All],[Advanced Network/Insurance Carrier Org ID]],B272)/S272)</f>
        <v>NA</v>
      </c>
      <c r="W272" s="435" t="str">
        <f>IF(S272=0,"NA",SUMIFS(AN_TME_PY[[#All],[Claims: Professional, Primary Care (for Monitoring Purposes)]],AN_TME_PY[[#All],[Insurance Category Code]],7,AN_TME_PY[[#All],[Advanced Network/Insurance Carrier Org ID]],B272)/S272)</f>
        <v>NA</v>
      </c>
      <c r="X272" s="435" t="str">
        <f>IF(S272=0,"NA",SUMIFS(AN_TME_PY[[#All],[Claims: Professional, Specialty]],AN_TME_PY[[#All],[Insurance Category Code]],7,AN_TME_PY[[#All],[Advanced Network/Insurance Carrier Org ID]],B272)/S272)</f>
        <v>NA</v>
      </c>
      <c r="Y272" s="435" t="str">
        <f>IF(S272=0,"NA",SUMIFS(AN_TME_PY[[#All],[Claims: Professional Other]],AN_TME_PY[[#All],[Insurance Category Code]],7,AN_TME_PY[[#All],[Advanced Network/Insurance Carrier Org ID]],B272)/S272)</f>
        <v>NA</v>
      </c>
      <c r="Z272" s="435" t="str">
        <f>IF(S272=0,"NA",SUMIFS(AN_TME_PY[[#All],[Claims: Pharmacy]],AN_TME_PY[[#All],[Insurance Category Code]],7,AN_TME_PY[[#All],[Advanced Network/Insurance Carrier Org ID]],B272)/S272)</f>
        <v>NA</v>
      </c>
      <c r="AA272" s="435" t="str">
        <f>IF(S272=0,"NA",SUMIFS(AN_TME_PY[[#All],[Claims: Long-Term Care]],AN_TME_PY[[#All],[Insurance Category Code]],7,AN_TME_PY[[#All],[Advanced Network/Insurance Carrier Org ID]],B272)/S272)</f>
        <v>NA</v>
      </c>
      <c r="AB272" s="435" t="str">
        <f>IF(S272=0,"NA",SUMIFS(AN_TME_PY[[#All],[Claims: Other]],AN_TME_PY[[#All],[Insurance Category Code]],7,AN_TME_PY[[#All],[Advanced Network/Insurance Carrier Org ID]],B272)/S272)</f>
        <v>NA</v>
      </c>
      <c r="AC272" s="436" t="str">
        <f>IF(S272=0,"NA",SUMIFS(AN_TME_PY[[#All],[TOTAL Non-Truncated Unadjusted Claims Expenses]],AN_TME_PY[[#All],[Insurance Category Code]],7,AN_TME_PY[[#All],[Advanced Network/Insurance Carrier Org ID]],B272)/S272)</f>
        <v>NA</v>
      </c>
      <c r="AD272" s="436" t="str">
        <f>IF(S272=0,"NA",SUMIFS(AN_TME_PY[[#All],[TOTAL Truncated Unadjusted Claims Expenses (A21 -A19)]],AN_TME_PY[[#All],[Insurance Category Code]],7,AN_TME_PY[[#All],[Advanced Network/Insurance Carrier Org ID]],B272)/S272)</f>
        <v>NA</v>
      </c>
      <c r="AE272" s="436" t="str">
        <f>IF(S272=0,"NA",SUMIFS(AN_TME_PY[[#All],[TOTAL Non-Claims Expenses]],AN_TME_PY[[#All],[Insurance Category Code]],7,AN_TME_PY[[#All],[Advanced Network/Insurance Carrier Org ID]],B272)/S272)</f>
        <v>NA</v>
      </c>
      <c r="AF272" s="436" t="str">
        <f>IF(S272=0,"NA",SUMIFS(AN_TME_PY[[#All],[TOTAL Non-Truncated Unadjusted Expenses (A21 + A23)]],AN_TME_PY[[#All],[Insurance Category Code]],7,AN_TME_PY[[#All],[Advanced Network/Insurance Carrier Org ID]],B272)/S272)</f>
        <v>NA</v>
      </c>
      <c r="AG272" s="437" t="str">
        <f>IF(S272=0,"NA",SUMIFS(AN_TME_PY[[#All],[TOTAL Truncated Unadjusted Expenses (A22 + A23)]],AN_TME_PY[[#All],[Insurance Category Code]],7,AN_TME_PY[[#All],[Advanced Network/Insurance Carrier Org ID]],B272)/S272)</f>
        <v>NA</v>
      </c>
      <c r="AH272" s="419" t="str">
        <f t="shared" si="353"/>
        <v>NA</v>
      </c>
      <c r="AI272" s="420" t="str">
        <f t="shared" si="354"/>
        <v>NA</v>
      </c>
      <c r="AJ272" s="421" t="str">
        <f t="shared" si="355"/>
        <v>NA</v>
      </c>
      <c r="AK272" s="421" t="str">
        <f t="shared" si="356"/>
        <v>NA</v>
      </c>
      <c r="AL272" s="421" t="str">
        <f t="shared" si="357"/>
        <v>NA</v>
      </c>
      <c r="AM272" s="421" t="str">
        <f t="shared" si="358"/>
        <v>NA</v>
      </c>
      <c r="AN272" s="421" t="str">
        <f t="shared" si="359"/>
        <v>NA</v>
      </c>
      <c r="AO272" s="421" t="str">
        <f t="shared" si="360"/>
        <v>NA</v>
      </c>
      <c r="AP272" s="421" t="str">
        <f t="shared" si="361"/>
        <v>NA</v>
      </c>
      <c r="AQ272" s="421" t="str">
        <f t="shared" si="362"/>
        <v>NA</v>
      </c>
      <c r="AR272" s="422" t="str">
        <f t="shared" si="363"/>
        <v>NA</v>
      </c>
      <c r="AS272" s="422" t="str">
        <f t="shared" si="364"/>
        <v>NA</v>
      </c>
      <c r="AT272" s="422" t="str">
        <f t="shared" si="365"/>
        <v>NA</v>
      </c>
      <c r="AU272" s="422" t="str">
        <f t="shared" si="366"/>
        <v>NA</v>
      </c>
      <c r="AV272" s="423" t="str">
        <f t="shared" si="367"/>
        <v>NA</v>
      </c>
    </row>
    <row r="273" spans="1:48" ht="15" customHeight="1" x14ac:dyDescent="0.25">
      <c r="A273" s="146"/>
      <c r="B273" s="148">
        <v>120</v>
      </c>
      <c r="C273" s="151" t="str">
        <f>_xlfn.XLOOKUP(B273, LgProvEntOrgIDs[Advanced Network/Insurer Carrier Org ID], LgProvEntOrgIDs[Advanced Network/Insurance Carrier Overall])</f>
        <v>First Choice Community Health Centers</v>
      </c>
      <c r="D273" s="448">
        <f>SUMIFS(AN_TME_BY[[#All],[Member Months]],AN_TME_BY[[#All],[Insurance Category Code]],7,AN_TME_BY[[#All],[Advanced Network/Insurance Carrier Org ID]],B273)</f>
        <v>0</v>
      </c>
      <c r="E273" s="137" t="str">
        <f>IF(D273=0,"NA",SUMIFS(AN_TME_BY[[#All],[Claims: Hospital Inpatient]],AN_TME_BY[[#All],[Insurance Category Code]],7,AN_TME_BY[[#All],[Advanced Network/Insurance Carrier Org ID]],B273)/D273)</f>
        <v>NA</v>
      </c>
      <c r="F273" s="108" t="str">
        <f>IF(D273=0,"NA",SUMIFS(AN_TME_BY[[#All],[Claims: Hospital Outpatient]],AN_TME_BY[[#All],[Insurance Category Code]],7,AN_TME_BY[[#All],[Advanced Network/Insurance Carrier Org ID]],B273)/D273)</f>
        <v>NA</v>
      </c>
      <c r="G273" s="108" t="str">
        <f>IF(D273=0,"NA",SUMIFS(AN_TME_BY[[#All],[Claims: Professional, Primary Care]],AN_TME_BY[[#All],[Insurance Category Code]],7,AN_TME_BY[[#All],[Advanced Network/Insurance Carrier Org ID]],B273)/D273)</f>
        <v>NA</v>
      </c>
      <c r="H273" s="108" t="str">
        <f>IF(D273=0,"NA",SUMIFS(AN_TME_BY[[#All],[Claims: Professional, Primary Care (for Monitoring Purposes)]],AN_TME_BY[[#All],[Insurance Category Code]],7,AN_TME_BY[[#All],[Advanced Network/Insurance Carrier Org ID]],B273)/D273)</f>
        <v>NA</v>
      </c>
      <c r="I273" s="108" t="str">
        <f>IF(D273=0,"NA",SUMIFS(AN_TME_BY[[#All],[Claims: Professional, Specialty]],AN_TME_BY[[#All],[Insurance Category Code]],7,AN_TME_BY[[#All],[Advanced Network/Insurance Carrier Org ID]],B273)/D273)</f>
        <v>NA</v>
      </c>
      <c r="J273" s="108" t="str">
        <f>IF(D273=0,"NA",SUMIFS(AN_TME_BY[[#All],[Claims: Professional Other]],AN_TME_BY[[#All],[Insurance Category Code]],7,AN_TME_BY[[#All],[Advanced Network/Insurance Carrier Org ID]],B273)/D273)</f>
        <v>NA</v>
      </c>
      <c r="K273" s="108" t="str">
        <f>IF(D273=0,"NA",SUMIFS(AN_TME_BY[[#All],[Claims: Pharmacy]],AN_TME_BY[[#All],[Insurance Category Code]],7,AN_TME_BY[[#All],[Advanced Network/Insurance Carrier Org ID]],B273)/D273)</f>
        <v>NA</v>
      </c>
      <c r="L273" s="108" t="str">
        <f>IF(D273=0,"NA",SUMIFS(AN_TME_BY[[#All],[Claims: Long-Term Care]],AN_TME_BY[[#All],[Insurance Category Code]],7,AN_TME_BY[[#All],[Advanced Network/Insurance Carrier Org ID]],B273)/D273)</f>
        <v>NA</v>
      </c>
      <c r="M273" s="108" t="str">
        <f>IF(D273=0,"NA",SUMIFS(AN_TME_BY[[#All],[Claims: Other]],AN_TME_BY[[#All],[Insurance Category Code]],7,AN_TME_BY[[#All],[Advanced Network/Insurance Carrier Org ID]],B273)/D273)</f>
        <v>NA</v>
      </c>
      <c r="N273" s="147" t="str">
        <f>IF(D273=0,"NA",SUMIFS(AN_TME_BY[[#All],[TOTAL Non-Truncated Unadjusted Claims Expenses]],AN_TME_BY[[#All],[Insurance Category Code]],7,AN_TME_BY[[#All],[Advanced Network/Insurance Carrier Org ID]],B273)/D273)</f>
        <v>NA</v>
      </c>
      <c r="O273" s="147" t="str">
        <f>IF(D273=0,"NA",SUMIFS(AN_TME_BY[[#All],[TOTAL Truncated Unadjusted Claims Expenses (A21 -A19)]],AN_TME_BY[[#All],[Insurance Category Code]],7,AN_TME_BY[[#All],[Advanced Network/Insurance Carrier Org ID]],B273)/D273)</f>
        <v>NA</v>
      </c>
      <c r="P273" s="147" t="str">
        <f>IF(D273=0,"NA",SUMIFS(AN_TME_BY[[#All],[TOTAL Non-Claims Expenses]],AN_TME_BY[[#All],[Insurance Category Code]],7,AN_TME_BY[[#All],[Advanced Network/Insurance Carrier Org ID]],B273)/D273)</f>
        <v>NA</v>
      </c>
      <c r="Q273" s="147" t="str">
        <f>IF(D273=0,"NA",SUMIFS(AN_TME_BY[[#All],[TOTAL Non-Truncated Unadjusted Expenses (A21 + A23)]],AN_TME_BY[[#All],[Insurance Category Code]],7,AN_TME_BY[[#All],[Advanced Network/Insurance Carrier Org ID]],B273)/D273)</f>
        <v>NA</v>
      </c>
      <c r="R273" s="147" t="str">
        <f>IF(D273=0,"NA",SUMIFS(AN_TME_BY[[#All],[TOTAL Truncated Unadjusted Expenses (A22 + A23)]],AN_TME_BY[[#All],[Insurance Category Code]],7,AN_TME_BY[[#All],[Advanced Network/Insurance Carrier Org ID]],B273)/D273)</f>
        <v>NA</v>
      </c>
      <c r="S273" s="445">
        <f>SUMIFS(AN_TME_PY[[#All],[Member Months]],AN_TME_PY[[#All],[Insurance Category Code]],7,AN_TME_PY[[#All],[Advanced Network/Insurance Carrier Org ID]],B273)</f>
        <v>0</v>
      </c>
      <c r="T273" s="434" t="str">
        <f>IF(S273=0,"NA",SUMIFS(AN_TME_PY[[#All],[Claims: Hospital Inpatient]],AN_TME_PY[[#All],[Insurance Category Code]],7,AN_TME_PY[[#All],[Advanced Network/Insurance Carrier Org ID]],B273)/S273)</f>
        <v>NA</v>
      </c>
      <c r="U273" s="435" t="str">
        <f>IF(S273=0,"NA",SUMIFS(AN_TME_PY[[#All],[Claims: Hospital Outpatient]],AN_TME_PY[[#All],[Insurance Category Code]],7,AN_TME_PY[[#All],[Advanced Network/Insurance Carrier Org ID]],B273)/S273)</f>
        <v>NA</v>
      </c>
      <c r="V273" s="435" t="str">
        <f>IF(S273=0,"NA",SUMIFS(AN_TME_PY[[#All],[Claims: Professional, Primary Care]],AN_TME_PY[[#All],[Insurance Category Code]],7,AN_TME_PY[[#All],[Advanced Network/Insurance Carrier Org ID]],B273)/S273)</f>
        <v>NA</v>
      </c>
      <c r="W273" s="435" t="str">
        <f>IF(S273=0,"NA",SUMIFS(AN_TME_PY[[#All],[Claims: Professional, Primary Care (for Monitoring Purposes)]],AN_TME_PY[[#All],[Insurance Category Code]],7,AN_TME_PY[[#All],[Advanced Network/Insurance Carrier Org ID]],B273)/S273)</f>
        <v>NA</v>
      </c>
      <c r="X273" s="435" t="str">
        <f>IF(S273=0,"NA",SUMIFS(AN_TME_PY[[#All],[Claims: Professional, Specialty]],AN_TME_PY[[#All],[Insurance Category Code]],7,AN_TME_PY[[#All],[Advanced Network/Insurance Carrier Org ID]],B273)/S273)</f>
        <v>NA</v>
      </c>
      <c r="Y273" s="435" t="str">
        <f>IF(S273=0,"NA",SUMIFS(AN_TME_PY[[#All],[Claims: Professional Other]],AN_TME_PY[[#All],[Insurance Category Code]],7,AN_TME_PY[[#All],[Advanced Network/Insurance Carrier Org ID]],B273)/S273)</f>
        <v>NA</v>
      </c>
      <c r="Z273" s="435" t="str">
        <f>IF(S273=0,"NA",SUMIFS(AN_TME_PY[[#All],[Claims: Pharmacy]],AN_TME_PY[[#All],[Insurance Category Code]],7,AN_TME_PY[[#All],[Advanced Network/Insurance Carrier Org ID]],B273)/S273)</f>
        <v>NA</v>
      </c>
      <c r="AA273" s="435" t="str">
        <f>IF(S273=0,"NA",SUMIFS(AN_TME_PY[[#All],[Claims: Long-Term Care]],AN_TME_PY[[#All],[Insurance Category Code]],7,AN_TME_PY[[#All],[Advanced Network/Insurance Carrier Org ID]],B273)/S273)</f>
        <v>NA</v>
      </c>
      <c r="AB273" s="435" t="str">
        <f>IF(S273=0,"NA",SUMIFS(AN_TME_PY[[#All],[Claims: Other]],AN_TME_PY[[#All],[Insurance Category Code]],7,AN_TME_PY[[#All],[Advanced Network/Insurance Carrier Org ID]],B273)/S273)</f>
        <v>NA</v>
      </c>
      <c r="AC273" s="436" t="str">
        <f>IF(S273=0,"NA",SUMIFS(AN_TME_PY[[#All],[TOTAL Non-Truncated Unadjusted Claims Expenses]],AN_TME_PY[[#All],[Insurance Category Code]],7,AN_TME_PY[[#All],[Advanced Network/Insurance Carrier Org ID]],B273)/S273)</f>
        <v>NA</v>
      </c>
      <c r="AD273" s="436" t="str">
        <f>IF(S273=0,"NA",SUMIFS(AN_TME_PY[[#All],[TOTAL Truncated Unadjusted Claims Expenses (A21 -A19)]],AN_TME_PY[[#All],[Insurance Category Code]],7,AN_TME_PY[[#All],[Advanced Network/Insurance Carrier Org ID]],B273)/S273)</f>
        <v>NA</v>
      </c>
      <c r="AE273" s="436" t="str">
        <f>IF(S273=0,"NA",SUMIFS(AN_TME_PY[[#All],[TOTAL Non-Claims Expenses]],AN_TME_PY[[#All],[Insurance Category Code]],7,AN_TME_PY[[#All],[Advanced Network/Insurance Carrier Org ID]],B273)/S273)</f>
        <v>NA</v>
      </c>
      <c r="AF273" s="436" t="str">
        <f>IF(S273=0,"NA",SUMIFS(AN_TME_PY[[#All],[TOTAL Non-Truncated Unadjusted Expenses (A21 + A23)]],AN_TME_PY[[#All],[Insurance Category Code]],7,AN_TME_PY[[#All],[Advanced Network/Insurance Carrier Org ID]],B273)/S273)</f>
        <v>NA</v>
      </c>
      <c r="AG273" s="437" t="str">
        <f>IF(S273=0,"NA",SUMIFS(AN_TME_PY[[#All],[TOTAL Truncated Unadjusted Expenses (A22 + A23)]],AN_TME_PY[[#All],[Insurance Category Code]],7,AN_TME_PY[[#All],[Advanced Network/Insurance Carrier Org ID]],B273)/S273)</f>
        <v>NA</v>
      </c>
      <c r="AH273" s="419" t="str">
        <f t="shared" si="353"/>
        <v>NA</v>
      </c>
      <c r="AI273" s="420" t="str">
        <f t="shared" si="354"/>
        <v>NA</v>
      </c>
      <c r="AJ273" s="421" t="str">
        <f t="shared" si="355"/>
        <v>NA</v>
      </c>
      <c r="AK273" s="421" t="str">
        <f t="shared" si="356"/>
        <v>NA</v>
      </c>
      <c r="AL273" s="421" t="str">
        <f t="shared" si="357"/>
        <v>NA</v>
      </c>
      <c r="AM273" s="421" t="str">
        <f t="shared" si="358"/>
        <v>NA</v>
      </c>
      <c r="AN273" s="421" t="str">
        <f t="shared" si="359"/>
        <v>NA</v>
      </c>
      <c r="AO273" s="421" t="str">
        <f t="shared" si="360"/>
        <v>NA</v>
      </c>
      <c r="AP273" s="421" t="str">
        <f t="shared" si="361"/>
        <v>NA</v>
      </c>
      <c r="AQ273" s="421" t="str">
        <f t="shared" si="362"/>
        <v>NA</v>
      </c>
      <c r="AR273" s="422" t="str">
        <f t="shared" si="363"/>
        <v>NA</v>
      </c>
      <c r="AS273" s="422" t="str">
        <f t="shared" si="364"/>
        <v>NA</v>
      </c>
      <c r="AT273" s="422" t="str">
        <f t="shared" si="365"/>
        <v>NA</v>
      </c>
      <c r="AU273" s="422" t="str">
        <f t="shared" si="366"/>
        <v>NA</v>
      </c>
      <c r="AV273" s="423" t="str">
        <f t="shared" si="367"/>
        <v>NA</v>
      </c>
    </row>
    <row r="274" spans="1:48" ht="15" customHeight="1" x14ac:dyDescent="0.25">
      <c r="A274" s="146"/>
      <c r="B274" s="148">
        <v>121</v>
      </c>
      <c r="C274" s="151" t="str">
        <f>_xlfn.XLOOKUP(B274, LgProvEntOrgIDs[Advanced Network/Insurer Carrier Org ID], LgProvEntOrgIDs[Advanced Network/Insurance Carrier Overall])</f>
        <v>Generations Family Health Center</v>
      </c>
      <c r="D274" s="448">
        <f>SUMIFS(AN_TME_BY[[#All],[Member Months]],AN_TME_BY[[#All],[Insurance Category Code]],7,AN_TME_BY[[#All],[Advanced Network/Insurance Carrier Org ID]],B274)</f>
        <v>0</v>
      </c>
      <c r="E274" s="137" t="str">
        <f>IF(D274=0,"NA",SUMIFS(AN_TME_BY[[#All],[Claims: Hospital Inpatient]],AN_TME_BY[[#All],[Insurance Category Code]],7,AN_TME_BY[[#All],[Advanced Network/Insurance Carrier Org ID]],B274)/D274)</f>
        <v>NA</v>
      </c>
      <c r="F274" s="108" t="str">
        <f>IF(D274=0,"NA",SUMIFS(AN_TME_BY[[#All],[Claims: Hospital Outpatient]],AN_TME_BY[[#All],[Insurance Category Code]],7,AN_TME_BY[[#All],[Advanced Network/Insurance Carrier Org ID]],B274)/D274)</f>
        <v>NA</v>
      </c>
      <c r="G274" s="108" t="str">
        <f>IF(D274=0,"NA",SUMIFS(AN_TME_BY[[#All],[Claims: Professional, Primary Care]],AN_TME_BY[[#All],[Insurance Category Code]],7,AN_TME_BY[[#All],[Advanced Network/Insurance Carrier Org ID]],B274)/D274)</f>
        <v>NA</v>
      </c>
      <c r="H274" s="108" t="str">
        <f>IF(D274=0,"NA",SUMIFS(AN_TME_BY[[#All],[Claims: Professional, Primary Care (for Monitoring Purposes)]],AN_TME_BY[[#All],[Insurance Category Code]],7,AN_TME_BY[[#All],[Advanced Network/Insurance Carrier Org ID]],B274)/D274)</f>
        <v>NA</v>
      </c>
      <c r="I274" s="108" t="str">
        <f>IF(D274=0,"NA",SUMIFS(AN_TME_BY[[#All],[Claims: Professional, Specialty]],AN_TME_BY[[#All],[Insurance Category Code]],7,AN_TME_BY[[#All],[Advanced Network/Insurance Carrier Org ID]],B274)/D274)</f>
        <v>NA</v>
      </c>
      <c r="J274" s="108" t="str">
        <f>IF(D274=0,"NA",SUMIFS(AN_TME_BY[[#All],[Claims: Professional Other]],AN_TME_BY[[#All],[Insurance Category Code]],7,AN_TME_BY[[#All],[Advanced Network/Insurance Carrier Org ID]],B274)/D274)</f>
        <v>NA</v>
      </c>
      <c r="K274" s="108" t="str">
        <f>IF(D274=0,"NA",SUMIFS(AN_TME_BY[[#All],[Claims: Pharmacy]],AN_TME_BY[[#All],[Insurance Category Code]],7,AN_TME_BY[[#All],[Advanced Network/Insurance Carrier Org ID]],B274)/D274)</f>
        <v>NA</v>
      </c>
      <c r="L274" s="108" t="str">
        <f>IF(D274=0,"NA",SUMIFS(AN_TME_BY[[#All],[Claims: Long-Term Care]],AN_TME_BY[[#All],[Insurance Category Code]],7,AN_TME_BY[[#All],[Advanced Network/Insurance Carrier Org ID]],B274)/D274)</f>
        <v>NA</v>
      </c>
      <c r="M274" s="108" t="str">
        <f>IF(D274=0,"NA",SUMIFS(AN_TME_BY[[#All],[Claims: Other]],AN_TME_BY[[#All],[Insurance Category Code]],7,AN_TME_BY[[#All],[Advanced Network/Insurance Carrier Org ID]],B274)/D274)</f>
        <v>NA</v>
      </c>
      <c r="N274" s="147" t="str">
        <f>IF(D274=0,"NA",SUMIFS(AN_TME_BY[[#All],[TOTAL Non-Truncated Unadjusted Claims Expenses]],AN_TME_BY[[#All],[Insurance Category Code]],7,AN_TME_BY[[#All],[Advanced Network/Insurance Carrier Org ID]],B274)/D274)</f>
        <v>NA</v>
      </c>
      <c r="O274" s="147" t="str">
        <f>IF(D274=0,"NA",SUMIFS(AN_TME_BY[[#All],[TOTAL Truncated Unadjusted Claims Expenses (A21 -A19)]],AN_TME_BY[[#All],[Insurance Category Code]],7,AN_TME_BY[[#All],[Advanced Network/Insurance Carrier Org ID]],B274)/D274)</f>
        <v>NA</v>
      </c>
      <c r="P274" s="147" t="str">
        <f>IF(D274=0,"NA",SUMIFS(AN_TME_BY[[#All],[TOTAL Non-Claims Expenses]],AN_TME_BY[[#All],[Insurance Category Code]],7,AN_TME_BY[[#All],[Advanced Network/Insurance Carrier Org ID]],B274)/D274)</f>
        <v>NA</v>
      </c>
      <c r="Q274" s="147" t="str">
        <f>IF(D274=0,"NA",SUMIFS(AN_TME_BY[[#All],[TOTAL Non-Truncated Unadjusted Expenses (A21 + A23)]],AN_TME_BY[[#All],[Insurance Category Code]],7,AN_TME_BY[[#All],[Advanced Network/Insurance Carrier Org ID]],B274)/D274)</f>
        <v>NA</v>
      </c>
      <c r="R274" s="147" t="str">
        <f>IF(D274=0,"NA",SUMIFS(AN_TME_BY[[#All],[TOTAL Truncated Unadjusted Expenses (A22 + A23)]],AN_TME_BY[[#All],[Insurance Category Code]],7,AN_TME_BY[[#All],[Advanced Network/Insurance Carrier Org ID]],B274)/D274)</f>
        <v>NA</v>
      </c>
      <c r="S274" s="445">
        <f>SUMIFS(AN_TME_PY[[#All],[Member Months]],AN_TME_PY[[#All],[Insurance Category Code]],7,AN_TME_PY[[#All],[Advanced Network/Insurance Carrier Org ID]],B274)</f>
        <v>0</v>
      </c>
      <c r="T274" s="434" t="str">
        <f>IF(S274=0,"NA",SUMIFS(AN_TME_PY[[#All],[Claims: Hospital Inpatient]],AN_TME_PY[[#All],[Insurance Category Code]],7,AN_TME_PY[[#All],[Advanced Network/Insurance Carrier Org ID]],B274)/S274)</f>
        <v>NA</v>
      </c>
      <c r="U274" s="435" t="str">
        <f>IF(S274=0,"NA",SUMIFS(AN_TME_PY[[#All],[Claims: Hospital Outpatient]],AN_TME_PY[[#All],[Insurance Category Code]],7,AN_TME_PY[[#All],[Advanced Network/Insurance Carrier Org ID]],B274)/S274)</f>
        <v>NA</v>
      </c>
      <c r="V274" s="435" t="str">
        <f>IF(S274=0,"NA",SUMIFS(AN_TME_PY[[#All],[Claims: Professional, Primary Care]],AN_TME_PY[[#All],[Insurance Category Code]],7,AN_TME_PY[[#All],[Advanced Network/Insurance Carrier Org ID]],B274)/S274)</f>
        <v>NA</v>
      </c>
      <c r="W274" s="435" t="str">
        <f>IF(S274=0,"NA",SUMIFS(AN_TME_PY[[#All],[Claims: Professional, Primary Care (for Monitoring Purposes)]],AN_TME_PY[[#All],[Insurance Category Code]],7,AN_TME_PY[[#All],[Advanced Network/Insurance Carrier Org ID]],B274)/S274)</f>
        <v>NA</v>
      </c>
      <c r="X274" s="435" t="str">
        <f>IF(S274=0,"NA",SUMIFS(AN_TME_PY[[#All],[Claims: Professional, Specialty]],AN_TME_PY[[#All],[Insurance Category Code]],7,AN_TME_PY[[#All],[Advanced Network/Insurance Carrier Org ID]],B274)/S274)</f>
        <v>NA</v>
      </c>
      <c r="Y274" s="435" t="str">
        <f>IF(S274=0,"NA",SUMIFS(AN_TME_PY[[#All],[Claims: Professional Other]],AN_TME_PY[[#All],[Insurance Category Code]],7,AN_TME_PY[[#All],[Advanced Network/Insurance Carrier Org ID]],B274)/S274)</f>
        <v>NA</v>
      </c>
      <c r="Z274" s="435" t="str">
        <f>IF(S274=0,"NA",SUMIFS(AN_TME_PY[[#All],[Claims: Pharmacy]],AN_TME_PY[[#All],[Insurance Category Code]],7,AN_TME_PY[[#All],[Advanced Network/Insurance Carrier Org ID]],B274)/S274)</f>
        <v>NA</v>
      </c>
      <c r="AA274" s="435" t="str">
        <f>IF(S274=0,"NA",SUMIFS(AN_TME_PY[[#All],[Claims: Long-Term Care]],AN_TME_PY[[#All],[Insurance Category Code]],7,AN_TME_PY[[#All],[Advanced Network/Insurance Carrier Org ID]],B274)/S274)</f>
        <v>NA</v>
      </c>
      <c r="AB274" s="435" t="str">
        <f>IF(S274=0,"NA",SUMIFS(AN_TME_PY[[#All],[Claims: Other]],AN_TME_PY[[#All],[Insurance Category Code]],7,AN_TME_PY[[#All],[Advanced Network/Insurance Carrier Org ID]],B274)/S274)</f>
        <v>NA</v>
      </c>
      <c r="AC274" s="436" t="str">
        <f>IF(S274=0,"NA",SUMIFS(AN_TME_PY[[#All],[TOTAL Non-Truncated Unadjusted Claims Expenses]],AN_TME_PY[[#All],[Insurance Category Code]],7,AN_TME_PY[[#All],[Advanced Network/Insurance Carrier Org ID]],B274)/S274)</f>
        <v>NA</v>
      </c>
      <c r="AD274" s="436" t="str">
        <f>IF(S274=0,"NA",SUMIFS(AN_TME_PY[[#All],[TOTAL Truncated Unadjusted Claims Expenses (A21 -A19)]],AN_TME_PY[[#All],[Insurance Category Code]],7,AN_TME_PY[[#All],[Advanced Network/Insurance Carrier Org ID]],B274)/S274)</f>
        <v>NA</v>
      </c>
      <c r="AE274" s="436" t="str">
        <f>IF(S274=0,"NA",SUMIFS(AN_TME_PY[[#All],[TOTAL Non-Claims Expenses]],AN_TME_PY[[#All],[Insurance Category Code]],7,AN_TME_PY[[#All],[Advanced Network/Insurance Carrier Org ID]],B274)/S274)</f>
        <v>NA</v>
      </c>
      <c r="AF274" s="436" t="str">
        <f>IF(S274=0,"NA",SUMIFS(AN_TME_PY[[#All],[TOTAL Non-Truncated Unadjusted Expenses (A21 + A23)]],AN_TME_PY[[#All],[Insurance Category Code]],7,AN_TME_PY[[#All],[Advanced Network/Insurance Carrier Org ID]],B274)/S274)</f>
        <v>NA</v>
      </c>
      <c r="AG274" s="437" t="str">
        <f>IF(S274=0,"NA",SUMIFS(AN_TME_PY[[#All],[TOTAL Truncated Unadjusted Expenses (A22 + A23)]],AN_TME_PY[[#All],[Insurance Category Code]],7,AN_TME_PY[[#All],[Advanced Network/Insurance Carrier Org ID]],B274)/S274)</f>
        <v>NA</v>
      </c>
      <c r="AH274" s="419" t="str">
        <f t="shared" si="353"/>
        <v>NA</v>
      </c>
      <c r="AI274" s="420" t="str">
        <f t="shared" si="354"/>
        <v>NA</v>
      </c>
      <c r="AJ274" s="421" t="str">
        <f t="shared" si="355"/>
        <v>NA</v>
      </c>
      <c r="AK274" s="421" t="str">
        <f t="shared" si="356"/>
        <v>NA</v>
      </c>
      <c r="AL274" s="421" t="str">
        <f t="shared" si="357"/>
        <v>NA</v>
      </c>
      <c r="AM274" s="421" t="str">
        <f t="shared" si="358"/>
        <v>NA</v>
      </c>
      <c r="AN274" s="421" t="str">
        <f t="shared" si="359"/>
        <v>NA</v>
      </c>
      <c r="AO274" s="421" t="str">
        <f t="shared" si="360"/>
        <v>NA</v>
      </c>
      <c r="AP274" s="421" t="str">
        <f t="shared" si="361"/>
        <v>NA</v>
      </c>
      <c r="AQ274" s="421" t="str">
        <f t="shared" si="362"/>
        <v>NA</v>
      </c>
      <c r="AR274" s="422" t="str">
        <f t="shared" si="363"/>
        <v>NA</v>
      </c>
      <c r="AS274" s="422" t="str">
        <f t="shared" si="364"/>
        <v>NA</v>
      </c>
      <c r="AT274" s="422" t="str">
        <f t="shared" si="365"/>
        <v>NA</v>
      </c>
      <c r="AU274" s="422" t="str">
        <f t="shared" si="366"/>
        <v>NA</v>
      </c>
      <c r="AV274" s="423" t="str">
        <f t="shared" si="367"/>
        <v>NA</v>
      </c>
    </row>
    <row r="275" spans="1:48" ht="15" customHeight="1" x14ac:dyDescent="0.25">
      <c r="A275" s="146"/>
      <c r="B275" s="148">
        <v>122</v>
      </c>
      <c r="C275" s="151" t="str">
        <f>_xlfn.XLOOKUP(B275, LgProvEntOrgIDs[Advanced Network/Insurer Carrier Org ID], LgProvEntOrgIDs[Advanced Network/Insurance Carrier Overall])</f>
        <v>Norwalk Community Health Center</v>
      </c>
      <c r="D275" s="448">
        <f>SUMIFS(AN_TME_BY[[#All],[Member Months]],AN_TME_BY[[#All],[Insurance Category Code]],7,AN_TME_BY[[#All],[Advanced Network/Insurance Carrier Org ID]],B275)</f>
        <v>0</v>
      </c>
      <c r="E275" s="137" t="str">
        <f>IF(D275=0,"NA",SUMIFS(AN_TME_BY[[#All],[Claims: Hospital Inpatient]],AN_TME_BY[[#All],[Insurance Category Code]],7,AN_TME_BY[[#All],[Advanced Network/Insurance Carrier Org ID]],B275)/D275)</f>
        <v>NA</v>
      </c>
      <c r="F275" s="108" t="str">
        <f>IF(D275=0,"NA",SUMIFS(AN_TME_BY[[#All],[Claims: Hospital Outpatient]],AN_TME_BY[[#All],[Insurance Category Code]],7,AN_TME_BY[[#All],[Advanced Network/Insurance Carrier Org ID]],B275)/D275)</f>
        <v>NA</v>
      </c>
      <c r="G275" s="108" t="str">
        <f>IF(D275=0,"NA",SUMIFS(AN_TME_BY[[#All],[Claims: Professional, Primary Care]],AN_TME_BY[[#All],[Insurance Category Code]],7,AN_TME_BY[[#All],[Advanced Network/Insurance Carrier Org ID]],B275)/D275)</f>
        <v>NA</v>
      </c>
      <c r="H275" s="108" t="str">
        <f>IF(D275=0,"NA",SUMIFS(AN_TME_BY[[#All],[Claims: Professional, Primary Care (for Monitoring Purposes)]],AN_TME_BY[[#All],[Insurance Category Code]],7,AN_TME_BY[[#All],[Advanced Network/Insurance Carrier Org ID]],B275)/D275)</f>
        <v>NA</v>
      </c>
      <c r="I275" s="108" t="str">
        <f>IF(D275=0,"NA",SUMIFS(AN_TME_BY[[#All],[Claims: Professional, Specialty]],AN_TME_BY[[#All],[Insurance Category Code]],7,AN_TME_BY[[#All],[Advanced Network/Insurance Carrier Org ID]],B275)/D275)</f>
        <v>NA</v>
      </c>
      <c r="J275" s="108" t="str">
        <f>IF(D275=0,"NA",SUMIFS(AN_TME_BY[[#All],[Claims: Professional Other]],AN_TME_BY[[#All],[Insurance Category Code]],7,AN_TME_BY[[#All],[Advanced Network/Insurance Carrier Org ID]],B275)/D275)</f>
        <v>NA</v>
      </c>
      <c r="K275" s="108" t="str">
        <f>IF(D275=0,"NA",SUMIFS(AN_TME_BY[[#All],[Claims: Pharmacy]],AN_TME_BY[[#All],[Insurance Category Code]],7,AN_TME_BY[[#All],[Advanced Network/Insurance Carrier Org ID]],B275)/D275)</f>
        <v>NA</v>
      </c>
      <c r="L275" s="108" t="str">
        <f>IF(D275=0,"NA",SUMIFS(AN_TME_BY[[#All],[Claims: Long-Term Care]],AN_TME_BY[[#All],[Insurance Category Code]],7,AN_TME_BY[[#All],[Advanced Network/Insurance Carrier Org ID]],B275)/D275)</f>
        <v>NA</v>
      </c>
      <c r="M275" s="108" t="str">
        <f>IF(D275=0,"NA",SUMIFS(AN_TME_BY[[#All],[Claims: Other]],AN_TME_BY[[#All],[Insurance Category Code]],7,AN_TME_BY[[#All],[Advanced Network/Insurance Carrier Org ID]],B275)/D275)</f>
        <v>NA</v>
      </c>
      <c r="N275" s="147" t="str">
        <f>IF(D275=0,"NA",SUMIFS(AN_TME_BY[[#All],[TOTAL Non-Truncated Unadjusted Claims Expenses]],AN_TME_BY[[#All],[Insurance Category Code]],7,AN_TME_BY[[#All],[Advanced Network/Insurance Carrier Org ID]],B275)/D275)</f>
        <v>NA</v>
      </c>
      <c r="O275" s="147" t="str">
        <f>IF(D275=0,"NA",SUMIFS(AN_TME_BY[[#All],[TOTAL Truncated Unadjusted Claims Expenses (A21 -A19)]],AN_TME_BY[[#All],[Insurance Category Code]],7,AN_TME_BY[[#All],[Advanced Network/Insurance Carrier Org ID]],B275)/D275)</f>
        <v>NA</v>
      </c>
      <c r="P275" s="147" t="str">
        <f>IF(D275=0,"NA",SUMIFS(AN_TME_BY[[#All],[TOTAL Non-Claims Expenses]],AN_TME_BY[[#All],[Insurance Category Code]],7,AN_TME_BY[[#All],[Advanced Network/Insurance Carrier Org ID]],B275)/D275)</f>
        <v>NA</v>
      </c>
      <c r="Q275" s="147" t="str">
        <f>IF(D275=0,"NA",SUMIFS(AN_TME_BY[[#All],[TOTAL Non-Truncated Unadjusted Expenses (A21 + A23)]],AN_TME_BY[[#All],[Insurance Category Code]],7,AN_TME_BY[[#All],[Advanced Network/Insurance Carrier Org ID]],B275)/D275)</f>
        <v>NA</v>
      </c>
      <c r="R275" s="147" t="str">
        <f>IF(D275=0,"NA",SUMIFS(AN_TME_BY[[#All],[TOTAL Truncated Unadjusted Expenses (A22 + A23)]],AN_TME_BY[[#All],[Insurance Category Code]],7,AN_TME_BY[[#All],[Advanced Network/Insurance Carrier Org ID]],B275)/D275)</f>
        <v>NA</v>
      </c>
      <c r="S275" s="445">
        <f>SUMIFS(AN_TME_PY[[#All],[Member Months]],AN_TME_PY[[#All],[Insurance Category Code]],7,AN_TME_PY[[#All],[Advanced Network/Insurance Carrier Org ID]],B275)</f>
        <v>0</v>
      </c>
      <c r="T275" s="434" t="str">
        <f>IF(S275=0,"NA",SUMIFS(AN_TME_PY[[#All],[Claims: Hospital Inpatient]],AN_TME_PY[[#All],[Insurance Category Code]],7,AN_TME_PY[[#All],[Advanced Network/Insurance Carrier Org ID]],B275)/S275)</f>
        <v>NA</v>
      </c>
      <c r="U275" s="435" t="str">
        <f>IF(S275=0,"NA",SUMIFS(AN_TME_PY[[#All],[Claims: Hospital Outpatient]],AN_TME_PY[[#All],[Insurance Category Code]],7,AN_TME_PY[[#All],[Advanced Network/Insurance Carrier Org ID]],B275)/S275)</f>
        <v>NA</v>
      </c>
      <c r="V275" s="435" t="str">
        <f>IF(S275=0,"NA",SUMIFS(AN_TME_PY[[#All],[Claims: Professional, Primary Care]],AN_TME_PY[[#All],[Insurance Category Code]],7,AN_TME_PY[[#All],[Advanced Network/Insurance Carrier Org ID]],B275)/S275)</f>
        <v>NA</v>
      </c>
      <c r="W275" s="435" t="str">
        <f>IF(S275=0,"NA",SUMIFS(AN_TME_PY[[#All],[Claims: Professional, Primary Care (for Monitoring Purposes)]],AN_TME_PY[[#All],[Insurance Category Code]],7,AN_TME_PY[[#All],[Advanced Network/Insurance Carrier Org ID]],B275)/S275)</f>
        <v>NA</v>
      </c>
      <c r="X275" s="435" t="str">
        <f>IF(S275=0,"NA",SUMIFS(AN_TME_PY[[#All],[Claims: Professional, Specialty]],AN_TME_PY[[#All],[Insurance Category Code]],7,AN_TME_PY[[#All],[Advanced Network/Insurance Carrier Org ID]],B275)/S275)</f>
        <v>NA</v>
      </c>
      <c r="Y275" s="435" t="str">
        <f>IF(S275=0,"NA",SUMIFS(AN_TME_PY[[#All],[Claims: Professional Other]],AN_TME_PY[[#All],[Insurance Category Code]],7,AN_TME_PY[[#All],[Advanced Network/Insurance Carrier Org ID]],B275)/S275)</f>
        <v>NA</v>
      </c>
      <c r="Z275" s="435" t="str">
        <f>IF(S275=0,"NA",SUMIFS(AN_TME_PY[[#All],[Claims: Pharmacy]],AN_TME_PY[[#All],[Insurance Category Code]],7,AN_TME_PY[[#All],[Advanced Network/Insurance Carrier Org ID]],B275)/S275)</f>
        <v>NA</v>
      </c>
      <c r="AA275" s="435" t="str">
        <f>IF(S275=0,"NA",SUMIFS(AN_TME_PY[[#All],[Claims: Long-Term Care]],AN_TME_PY[[#All],[Insurance Category Code]],7,AN_TME_PY[[#All],[Advanced Network/Insurance Carrier Org ID]],B275)/S275)</f>
        <v>NA</v>
      </c>
      <c r="AB275" s="435" t="str">
        <f>IF(S275=0,"NA",SUMIFS(AN_TME_PY[[#All],[Claims: Other]],AN_TME_PY[[#All],[Insurance Category Code]],7,AN_TME_PY[[#All],[Advanced Network/Insurance Carrier Org ID]],B275)/S275)</f>
        <v>NA</v>
      </c>
      <c r="AC275" s="436" t="str">
        <f>IF(S275=0,"NA",SUMIFS(AN_TME_PY[[#All],[TOTAL Non-Truncated Unadjusted Claims Expenses]],AN_TME_PY[[#All],[Insurance Category Code]],7,AN_TME_PY[[#All],[Advanced Network/Insurance Carrier Org ID]],B275)/S275)</f>
        <v>NA</v>
      </c>
      <c r="AD275" s="436" t="str">
        <f>IF(S275=0,"NA",SUMIFS(AN_TME_PY[[#All],[TOTAL Truncated Unadjusted Claims Expenses (A21 -A19)]],AN_TME_PY[[#All],[Insurance Category Code]],7,AN_TME_PY[[#All],[Advanced Network/Insurance Carrier Org ID]],B275)/S275)</f>
        <v>NA</v>
      </c>
      <c r="AE275" s="436" t="str">
        <f>IF(S275=0,"NA",SUMIFS(AN_TME_PY[[#All],[TOTAL Non-Claims Expenses]],AN_TME_PY[[#All],[Insurance Category Code]],7,AN_TME_PY[[#All],[Advanced Network/Insurance Carrier Org ID]],B275)/S275)</f>
        <v>NA</v>
      </c>
      <c r="AF275" s="436" t="str">
        <f>IF(S275=0,"NA",SUMIFS(AN_TME_PY[[#All],[TOTAL Non-Truncated Unadjusted Expenses (A21 + A23)]],AN_TME_PY[[#All],[Insurance Category Code]],7,AN_TME_PY[[#All],[Advanced Network/Insurance Carrier Org ID]],B275)/S275)</f>
        <v>NA</v>
      </c>
      <c r="AG275" s="437" t="str">
        <f>IF(S275=0,"NA",SUMIFS(AN_TME_PY[[#All],[TOTAL Truncated Unadjusted Expenses (A22 + A23)]],AN_TME_PY[[#All],[Insurance Category Code]],7,AN_TME_PY[[#All],[Advanced Network/Insurance Carrier Org ID]],B275)/S275)</f>
        <v>NA</v>
      </c>
      <c r="AH275" s="419" t="str">
        <f t="shared" si="353"/>
        <v>NA</v>
      </c>
      <c r="AI275" s="420" t="str">
        <f t="shared" si="354"/>
        <v>NA</v>
      </c>
      <c r="AJ275" s="421" t="str">
        <f t="shared" si="355"/>
        <v>NA</v>
      </c>
      <c r="AK275" s="421" t="str">
        <f t="shared" si="356"/>
        <v>NA</v>
      </c>
      <c r="AL275" s="421" t="str">
        <f t="shared" si="357"/>
        <v>NA</v>
      </c>
      <c r="AM275" s="421" t="str">
        <f t="shared" si="358"/>
        <v>NA</v>
      </c>
      <c r="AN275" s="421" t="str">
        <f t="shared" si="359"/>
        <v>NA</v>
      </c>
      <c r="AO275" s="421" t="str">
        <f t="shared" si="360"/>
        <v>NA</v>
      </c>
      <c r="AP275" s="421" t="str">
        <f t="shared" si="361"/>
        <v>NA</v>
      </c>
      <c r="AQ275" s="421" t="str">
        <f t="shared" si="362"/>
        <v>NA</v>
      </c>
      <c r="AR275" s="422" t="str">
        <f t="shared" si="363"/>
        <v>NA</v>
      </c>
      <c r="AS275" s="422" t="str">
        <f t="shared" si="364"/>
        <v>NA</v>
      </c>
      <c r="AT275" s="422" t="str">
        <f t="shared" si="365"/>
        <v>NA</v>
      </c>
      <c r="AU275" s="422" t="str">
        <f t="shared" si="366"/>
        <v>NA</v>
      </c>
      <c r="AV275" s="423" t="str">
        <f t="shared" si="367"/>
        <v>NA</v>
      </c>
    </row>
    <row r="276" spans="1:48" ht="15" customHeight="1" x14ac:dyDescent="0.25">
      <c r="A276" s="146"/>
      <c r="B276" s="148">
        <v>123</v>
      </c>
      <c r="C276" s="151" t="str">
        <f>_xlfn.XLOOKUP(B276, LgProvEntOrgIDs[Advanced Network/Insurer Carrier Org ID], LgProvEntOrgIDs[Advanced Network/Insurance Carrier Overall])</f>
        <v>Optimus Health Care, Inc.</v>
      </c>
      <c r="D276" s="448">
        <f>SUMIFS(AN_TME_BY[[#All],[Member Months]],AN_TME_BY[[#All],[Insurance Category Code]],7,AN_TME_BY[[#All],[Advanced Network/Insurance Carrier Org ID]],B276)</f>
        <v>0</v>
      </c>
      <c r="E276" s="137" t="str">
        <f>IF(D276=0,"NA",SUMIFS(AN_TME_BY[[#All],[Claims: Hospital Inpatient]],AN_TME_BY[[#All],[Insurance Category Code]],7,AN_TME_BY[[#All],[Advanced Network/Insurance Carrier Org ID]],B276)/D276)</f>
        <v>NA</v>
      </c>
      <c r="F276" s="108" t="str">
        <f>IF(D276=0,"NA",SUMIFS(AN_TME_BY[[#All],[Claims: Hospital Outpatient]],AN_TME_BY[[#All],[Insurance Category Code]],7,AN_TME_BY[[#All],[Advanced Network/Insurance Carrier Org ID]],B276)/D276)</f>
        <v>NA</v>
      </c>
      <c r="G276" s="108" t="str">
        <f>IF(D276=0,"NA",SUMIFS(AN_TME_BY[[#All],[Claims: Professional, Primary Care]],AN_TME_BY[[#All],[Insurance Category Code]],7,AN_TME_BY[[#All],[Advanced Network/Insurance Carrier Org ID]],B276)/D276)</f>
        <v>NA</v>
      </c>
      <c r="H276" s="108" t="str">
        <f>IF(D276=0,"NA",SUMIFS(AN_TME_BY[[#All],[Claims: Professional, Primary Care (for Monitoring Purposes)]],AN_TME_BY[[#All],[Insurance Category Code]],7,AN_TME_BY[[#All],[Advanced Network/Insurance Carrier Org ID]],B276)/D276)</f>
        <v>NA</v>
      </c>
      <c r="I276" s="108" t="str">
        <f>IF(D276=0,"NA",SUMIFS(AN_TME_BY[[#All],[Claims: Professional, Specialty]],AN_TME_BY[[#All],[Insurance Category Code]],7,AN_TME_BY[[#All],[Advanced Network/Insurance Carrier Org ID]],B276)/D276)</f>
        <v>NA</v>
      </c>
      <c r="J276" s="108" t="str">
        <f>IF(D276=0,"NA",SUMIFS(AN_TME_BY[[#All],[Claims: Professional Other]],AN_TME_BY[[#All],[Insurance Category Code]],7,AN_TME_BY[[#All],[Advanced Network/Insurance Carrier Org ID]],B276)/D276)</f>
        <v>NA</v>
      </c>
      <c r="K276" s="108" t="str">
        <f>IF(D276=0,"NA",SUMIFS(AN_TME_BY[[#All],[Claims: Pharmacy]],AN_TME_BY[[#All],[Insurance Category Code]],7,AN_TME_BY[[#All],[Advanced Network/Insurance Carrier Org ID]],B276)/D276)</f>
        <v>NA</v>
      </c>
      <c r="L276" s="108" t="str">
        <f>IF(D276=0,"NA",SUMIFS(AN_TME_BY[[#All],[Claims: Long-Term Care]],AN_TME_BY[[#All],[Insurance Category Code]],7,AN_TME_BY[[#All],[Advanced Network/Insurance Carrier Org ID]],B276)/D276)</f>
        <v>NA</v>
      </c>
      <c r="M276" s="108" t="str">
        <f>IF(D276=0,"NA",SUMIFS(AN_TME_BY[[#All],[Claims: Other]],AN_TME_BY[[#All],[Insurance Category Code]],7,AN_TME_BY[[#All],[Advanced Network/Insurance Carrier Org ID]],B276)/D276)</f>
        <v>NA</v>
      </c>
      <c r="N276" s="147" t="str">
        <f>IF(D276=0,"NA",SUMIFS(AN_TME_BY[[#All],[TOTAL Non-Truncated Unadjusted Claims Expenses]],AN_TME_BY[[#All],[Insurance Category Code]],7,AN_TME_BY[[#All],[Advanced Network/Insurance Carrier Org ID]],B276)/D276)</f>
        <v>NA</v>
      </c>
      <c r="O276" s="147" t="str">
        <f>IF(D276=0,"NA",SUMIFS(AN_TME_BY[[#All],[TOTAL Truncated Unadjusted Claims Expenses (A21 -A19)]],AN_TME_BY[[#All],[Insurance Category Code]],7,AN_TME_BY[[#All],[Advanced Network/Insurance Carrier Org ID]],B276)/D276)</f>
        <v>NA</v>
      </c>
      <c r="P276" s="147" t="str">
        <f>IF(D276=0,"NA",SUMIFS(AN_TME_BY[[#All],[TOTAL Non-Claims Expenses]],AN_TME_BY[[#All],[Insurance Category Code]],7,AN_TME_BY[[#All],[Advanced Network/Insurance Carrier Org ID]],B276)/D276)</f>
        <v>NA</v>
      </c>
      <c r="Q276" s="147" t="str">
        <f>IF(D276=0,"NA",SUMIFS(AN_TME_BY[[#All],[TOTAL Non-Truncated Unadjusted Expenses (A21 + A23)]],AN_TME_BY[[#All],[Insurance Category Code]],7,AN_TME_BY[[#All],[Advanced Network/Insurance Carrier Org ID]],B276)/D276)</f>
        <v>NA</v>
      </c>
      <c r="R276" s="147" t="str">
        <f>IF(D276=0,"NA",SUMIFS(AN_TME_BY[[#All],[TOTAL Truncated Unadjusted Expenses (A22 + A23)]],AN_TME_BY[[#All],[Insurance Category Code]],7,AN_TME_BY[[#All],[Advanced Network/Insurance Carrier Org ID]],B276)/D276)</f>
        <v>NA</v>
      </c>
      <c r="S276" s="445">
        <f>SUMIFS(AN_TME_PY[[#All],[Member Months]],AN_TME_PY[[#All],[Insurance Category Code]],7,AN_TME_PY[[#All],[Advanced Network/Insurance Carrier Org ID]],B276)</f>
        <v>0</v>
      </c>
      <c r="T276" s="434" t="str">
        <f>IF(S276=0,"NA",SUMIFS(AN_TME_PY[[#All],[Claims: Hospital Inpatient]],AN_TME_PY[[#All],[Insurance Category Code]],7,AN_TME_PY[[#All],[Advanced Network/Insurance Carrier Org ID]],B276)/S276)</f>
        <v>NA</v>
      </c>
      <c r="U276" s="435" t="str">
        <f>IF(S276=0,"NA",SUMIFS(AN_TME_PY[[#All],[Claims: Hospital Outpatient]],AN_TME_PY[[#All],[Insurance Category Code]],7,AN_TME_PY[[#All],[Advanced Network/Insurance Carrier Org ID]],B276)/S276)</f>
        <v>NA</v>
      </c>
      <c r="V276" s="435" t="str">
        <f>IF(S276=0,"NA",SUMIFS(AN_TME_PY[[#All],[Claims: Professional, Primary Care]],AN_TME_PY[[#All],[Insurance Category Code]],7,AN_TME_PY[[#All],[Advanced Network/Insurance Carrier Org ID]],B276)/S276)</f>
        <v>NA</v>
      </c>
      <c r="W276" s="435" t="str">
        <f>IF(S276=0,"NA",SUMIFS(AN_TME_PY[[#All],[Claims: Professional, Primary Care (for Monitoring Purposes)]],AN_TME_PY[[#All],[Insurance Category Code]],7,AN_TME_PY[[#All],[Advanced Network/Insurance Carrier Org ID]],B276)/S276)</f>
        <v>NA</v>
      </c>
      <c r="X276" s="435" t="str">
        <f>IF(S276=0,"NA",SUMIFS(AN_TME_PY[[#All],[Claims: Professional, Specialty]],AN_TME_PY[[#All],[Insurance Category Code]],7,AN_TME_PY[[#All],[Advanced Network/Insurance Carrier Org ID]],B276)/S276)</f>
        <v>NA</v>
      </c>
      <c r="Y276" s="435" t="str">
        <f>IF(S276=0,"NA",SUMIFS(AN_TME_PY[[#All],[Claims: Professional Other]],AN_TME_PY[[#All],[Insurance Category Code]],7,AN_TME_PY[[#All],[Advanced Network/Insurance Carrier Org ID]],B276)/S276)</f>
        <v>NA</v>
      </c>
      <c r="Z276" s="435" t="str">
        <f>IF(S276=0,"NA",SUMIFS(AN_TME_PY[[#All],[Claims: Pharmacy]],AN_TME_PY[[#All],[Insurance Category Code]],7,AN_TME_PY[[#All],[Advanced Network/Insurance Carrier Org ID]],B276)/S276)</f>
        <v>NA</v>
      </c>
      <c r="AA276" s="435" t="str">
        <f>IF(S276=0,"NA",SUMIFS(AN_TME_PY[[#All],[Claims: Long-Term Care]],AN_TME_PY[[#All],[Insurance Category Code]],7,AN_TME_PY[[#All],[Advanced Network/Insurance Carrier Org ID]],B276)/S276)</f>
        <v>NA</v>
      </c>
      <c r="AB276" s="435" t="str">
        <f>IF(S276=0,"NA",SUMIFS(AN_TME_PY[[#All],[Claims: Other]],AN_TME_PY[[#All],[Insurance Category Code]],7,AN_TME_PY[[#All],[Advanced Network/Insurance Carrier Org ID]],B276)/S276)</f>
        <v>NA</v>
      </c>
      <c r="AC276" s="436" t="str">
        <f>IF(S276=0,"NA",SUMIFS(AN_TME_PY[[#All],[TOTAL Non-Truncated Unadjusted Claims Expenses]],AN_TME_PY[[#All],[Insurance Category Code]],7,AN_TME_PY[[#All],[Advanced Network/Insurance Carrier Org ID]],B276)/S276)</f>
        <v>NA</v>
      </c>
      <c r="AD276" s="436" t="str">
        <f>IF(S276=0,"NA",SUMIFS(AN_TME_PY[[#All],[TOTAL Truncated Unadjusted Claims Expenses (A21 -A19)]],AN_TME_PY[[#All],[Insurance Category Code]],7,AN_TME_PY[[#All],[Advanced Network/Insurance Carrier Org ID]],B276)/S276)</f>
        <v>NA</v>
      </c>
      <c r="AE276" s="436" t="str">
        <f>IF(S276=0,"NA",SUMIFS(AN_TME_PY[[#All],[TOTAL Non-Claims Expenses]],AN_TME_PY[[#All],[Insurance Category Code]],7,AN_TME_PY[[#All],[Advanced Network/Insurance Carrier Org ID]],B276)/S276)</f>
        <v>NA</v>
      </c>
      <c r="AF276" s="436" t="str">
        <f>IF(S276=0,"NA",SUMIFS(AN_TME_PY[[#All],[TOTAL Non-Truncated Unadjusted Expenses (A21 + A23)]],AN_TME_PY[[#All],[Insurance Category Code]],7,AN_TME_PY[[#All],[Advanced Network/Insurance Carrier Org ID]],B276)/S276)</f>
        <v>NA</v>
      </c>
      <c r="AG276" s="437" t="str">
        <f>IF(S276=0,"NA",SUMIFS(AN_TME_PY[[#All],[TOTAL Truncated Unadjusted Expenses (A22 + A23)]],AN_TME_PY[[#All],[Insurance Category Code]],7,AN_TME_PY[[#All],[Advanced Network/Insurance Carrier Org ID]],B276)/S276)</f>
        <v>NA</v>
      </c>
      <c r="AH276" s="419" t="str">
        <f t="shared" si="353"/>
        <v>NA</v>
      </c>
      <c r="AI276" s="420" t="str">
        <f t="shared" si="354"/>
        <v>NA</v>
      </c>
      <c r="AJ276" s="421" t="str">
        <f t="shared" si="355"/>
        <v>NA</v>
      </c>
      <c r="AK276" s="421" t="str">
        <f t="shared" si="356"/>
        <v>NA</v>
      </c>
      <c r="AL276" s="421" t="str">
        <f t="shared" si="357"/>
        <v>NA</v>
      </c>
      <c r="AM276" s="421" t="str">
        <f t="shared" si="358"/>
        <v>NA</v>
      </c>
      <c r="AN276" s="421" t="str">
        <f t="shared" si="359"/>
        <v>NA</v>
      </c>
      <c r="AO276" s="421" t="str">
        <f t="shared" si="360"/>
        <v>NA</v>
      </c>
      <c r="AP276" s="421" t="str">
        <f t="shared" si="361"/>
        <v>NA</v>
      </c>
      <c r="AQ276" s="421" t="str">
        <f t="shared" si="362"/>
        <v>NA</v>
      </c>
      <c r="AR276" s="422" t="str">
        <f t="shared" si="363"/>
        <v>NA</v>
      </c>
      <c r="AS276" s="422" t="str">
        <f t="shared" si="364"/>
        <v>NA</v>
      </c>
      <c r="AT276" s="422" t="str">
        <f t="shared" si="365"/>
        <v>NA</v>
      </c>
      <c r="AU276" s="422" t="str">
        <f t="shared" si="366"/>
        <v>NA</v>
      </c>
      <c r="AV276" s="423" t="str">
        <f t="shared" si="367"/>
        <v>NA</v>
      </c>
    </row>
    <row r="277" spans="1:48" ht="15" customHeight="1" x14ac:dyDescent="0.25">
      <c r="A277" s="146"/>
      <c r="B277" s="148">
        <v>124</v>
      </c>
      <c r="C277" s="151" t="str">
        <f>_xlfn.XLOOKUP(B277, LgProvEntOrgIDs[Advanced Network/Insurer Carrier Org ID], LgProvEntOrgIDs[Advanced Network/Insurance Carrier Overall])</f>
        <v>Southwest Community Health Center, Inc.</v>
      </c>
      <c r="D277" s="448">
        <f>SUMIFS(AN_TME_BY[[#All],[Member Months]],AN_TME_BY[[#All],[Insurance Category Code]],7,AN_TME_BY[[#All],[Advanced Network/Insurance Carrier Org ID]],B277)</f>
        <v>0</v>
      </c>
      <c r="E277" s="137" t="str">
        <f>IF(D277=0,"NA",SUMIFS(AN_TME_BY[[#All],[Claims: Hospital Inpatient]],AN_TME_BY[[#All],[Insurance Category Code]],7,AN_TME_BY[[#All],[Advanced Network/Insurance Carrier Org ID]],B277)/D277)</f>
        <v>NA</v>
      </c>
      <c r="F277" s="108" t="str">
        <f>IF(D277=0,"NA",SUMIFS(AN_TME_BY[[#All],[Claims: Hospital Outpatient]],AN_TME_BY[[#All],[Insurance Category Code]],7,AN_TME_BY[[#All],[Advanced Network/Insurance Carrier Org ID]],B277)/D277)</f>
        <v>NA</v>
      </c>
      <c r="G277" s="108" t="str">
        <f>IF(D277=0,"NA",SUMIFS(AN_TME_BY[[#All],[Claims: Professional, Primary Care]],AN_TME_BY[[#All],[Insurance Category Code]],7,AN_TME_BY[[#All],[Advanced Network/Insurance Carrier Org ID]],B277)/D277)</f>
        <v>NA</v>
      </c>
      <c r="H277" s="108" t="str">
        <f>IF(D277=0,"NA",SUMIFS(AN_TME_BY[[#All],[Claims: Professional, Primary Care (for Monitoring Purposes)]],AN_TME_BY[[#All],[Insurance Category Code]],7,AN_TME_BY[[#All],[Advanced Network/Insurance Carrier Org ID]],B277)/D277)</f>
        <v>NA</v>
      </c>
      <c r="I277" s="108" t="str">
        <f>IF(D277=0,"NA",SUMIFS(AN_TME_BY[[#All],[Claims: Professional, Specialty]],AN_TME_BY[[#All],[Insurance Category Code]],7,AN_TME_BY[[#All],[Advanced Network/Insurance Carrier Org ID]],B277)/D277)</f>
        <v>NA</v>
      </c>
      <c r="J277" s="108" t="str">
        <f>IF(D277=0,"NA",SUMIFS(AN_TME_BY[[#All],[Claims: Professional Other]],AN_TME_BY[[#All],[Insurance Category Code]],7,AN_TME_BY[[#All],[Advanced Network/Insurance Carrier Org ID]],B277)/D277)</f>
        <v>NA</v>
      </c>
      <c r="K277" s="108" t="str">
        <f>IF(D277=0,"NA",SUMIFS(AN_TME_BY[[#All],[Claims: Pharmacy]],AN_TME_BY[[#All],[Insurance Category Code]],7,AN_TME_BY[[#All],[Advanced Network/Insurance Carrier Org ID]],B277)/D277)</f>
        <v>NA</v>
      </c>
      <c r="L277" s="108" t="str">
        <f>IF(D277=0,"NA",SUMIFS(AN_TME_BY[[#All],[Claims: Long-Term Care]],AN_TME_BY[[#All],[Insurance Category Code]],7,AN_TME_BY[[#All],[Advanced Network/Insurance Carrier Org ID]],B277)/D277)</f>
        <v>NA</v>
      </c>
      <c r="M277" s="108" t="str">
        <f>IF(D277=0,"NA",SUMIFS(AN_TME_BY[[#All],[Claims: Other]],AN_TME_BY[[#All],[Insurance Category Code]],7,AN_TME_BY[[#All],[Advanced Network/Insurance Carrier Org ID]],B277)/D277)</f>
        <v>NA</v>
      </c>
      <c r="N277" s="147" t="str">
        <f>IF(D277=0,"NA",SUMIFS(AN_TME_BY[[#All],[TOTAL Non-Truncated Unadjusted Claims Expenses]],AN_TME_BY[[#All],[Insurance Category Code]],7,AN_TME_BY[[#All],[Advanced Network/Insurance Carrier Org ID]],B277)/D277)</f>
        <v>NA</v>
      </c>
      <c r="O277" s="147" t="str">
        <f>IF(D277=0,"NA",SUMIFS(AN_TME_BY[[#All],[TOTAL Truncated Unadjusted Claims Expenses (A21 -A19)]],AN_TME_BY[[#All],[Insurance Category Code]],7,AN_TME_BY[[#All],[Advanced Network/Insurance Carrier Org ID]],B277)/D277)</f>
        <v>NA</v>
      </c>
      <c r="P277" s="147" t="str">
        <f>IF(D277=0,"NA",SUMIFS(AN_TME_BY[[#All],[TOTAL Non-Claims Expenses]],AN_TME_BY[[#All],[Insurance Category Code]],7,AN_TME_BY[[#All],[Advanced Network/Insurance Carrier Org ID]],B277)/D277)</f>
        <v>NA</v>
      </c>
      <c r="Q277" s="147" t="str">
        <f>IF(D277=0,"NA",SUMIFS(AN_TME_BY[[#All],[TOTAL Non-Truncated Unadjusted Expenses (A21 + A23)]],AN_TME_BY[[#All],[Insurance Category Code]],7,AN_TME_BY[[#All],[Advanced Network/Insurance Carrier Org ID]],B277)/D277)</f>
        <v>NA</v>
      </c>
      <c r="R277" s="147" t="str">
        <f>IF(D277=0,"NA",SUMIFS(AN_TME_BY[[#All],[TOTAL Truncated Unadjusted Expenses (A22 + A23)]],AN_TME_BY[[#All],[Insurance Category Code]],7,AN_TME_BY[[#All],[Advanced Network/Insurance Carrier Org ID]],B277)/D277)</f>
        <v>NA</v>
      </c>
      <c r="S277" s="445">
        <f>SUMIFS(AN_TME_PY[[#All],[Member Months]],AN_TME_PY[[#All],[Insurance Category Code]],7,AN_TME_PY[[#All],[Advanced Network/Insurance Carrier Org ID]],B277)</f>
        <v>0</v>
      </c>
      <c r="T277" s="434" t="str">
        <f>IF(S277=0,"NA",SUMIFS(AN_TME_PY[[#All],[Claims: Hospital Inpatient]],AN_TME_PY[[#All],[Insurance Category Code]],7,AN_TME_PY[[#All],[Advanced Network/Insurance Carrier Org ID]],B277)/S277)</f>
        <v>NA</v>
      </c>
      <c r="U277" s="435" t="str">
        <f>IF(S277=0,"NA",SUMIFS(AN_TME_PY[[#All],[Claims: Hospital Outpatient]],AN_TME_PY[[#All],[Insurance Category Code]],7,AN_TME_PY[[#All],[Advanced Network/Insurance Carrier Org ID]],B277)/S277)</f>
        <v>NA</v>
      </c>
      <c r="V277" s="435" t="str">
        <f>IF(S277=0,"NA",SUMIFS(AN_TME_PY[[#All],[Claims: Professional, Primary Care]],AN_TME_PY[[#All],[Insurance Category Code]],7,AN_TME_PY[[#All],[Advanced Network/Insurance Carrier Org ID]],B277)/S277)</f>
        <v>NA</v>
      </c>
      <c r="W277" s="435" t="str">
        <f>IF(S277=0,"NA",SUMIFS(AN_TME_PY[[#All],[Claims: Professional, Primary Care (for Monitoring Purposes)]],AN_TME_PY[[#All],[Insurance Category Code]],7,AN_TME_PY[[#All],[Advanced Network/Insurance Carrier Org ID]],B277)/S277)</f>
        <v>NA</v>
      </c>
      <c r="X277" s="435" t="str">
        <f>IF(S277=0,"NA",SUMIFS(AN_TME_PY[[#All],[Claims: Professional, Specialty]],AN_TME_PY[[#All],[Insurance Category Code]],7,AN_TME_PY[[#All],[Advanced Network/Insurance Carrier Org ID]],B277)/S277)</f>
        <v>NA</v>
      </c>
      <c r="Y277" s="435" t="str">
        <f>IF(S277=0,"NA",SUMIFS(AN_TME_PY[[#All],[Claims: Professional Other]],AN_TME_PY[[#All],[Insurance Category Code]],7,AN_TME_PY[[#All],[Advanced Network/Insurance Carrier Org ID]],B277)/S277)</f>
        <v>NA</v>
      </c>
      <c r="Z277" s="435" t="str">
        <f>IF(S277=0,"NA",SUMIFS(AN_TME_PY[[#All],[Claims: Pharmacy]],AN_TME_PY[[#All],[Insurance Category Code]],7,AN_TME_PY[[#All],[Advanced Network/Insurance Carrier Org ID]],B277)/S277)</f>
        <v>NA</v>
      </c>
      <c r="AA277" s="435" t="str">
        <f>IF(S277=0,"NA",SUMIFS(AN_TME_PY[[#All],[Claims: Long-Term Care]],AN_TME_PY[[#All],[Insurance Category Code]],7,AN_TME_PY[[#All],[Advanced Network/Insurance Carrier Org ID]],B277)/S277)</f>
        <v>NA</v>
      </c>
      <c r="AB277" s="435" t="str">
        <f>IF(S277=0,"NA",SUMIFS(AN_TME_PY[[#All],[Claims: Other]],AN_TME_PY[[#All],[Insurance Category Code]],7,AN_TME_PY[[#All],[Advanced Network/Insurance Carrier Org ID]],B277)/S277)</f>
        <v>NA</v>
      </c>
      <c r="AC277" s="436" t="str">
        <f>IF(S277=0,"NA",SUMIFS(AN_TME_PY[[#All],[TOTAL Non-Truncated Unadjusted Claims Expenses]],AN_TME_PY[[#All],[Insurance Category Code]],7,AN_TME_PY[[#All],[Advanced Network/Insurance Carrier Org ID]],B277)/S277)</f>
        <v>NA</v>
      </c>
      <c r="AD277" s="436" t="str">
        <f>IF(S277=0,"NA",SUMIFS(AN_TME_PY[[#All],[TOTAL Truncated Unadjusted Claims Expenses (A21 -A19)]],AN_TME_PY[[#All],[Insurance Category Code]],7,AN_TME_PY[[#All],[Advanced Network/Insurance Carrier Org ID]],B277)/S277)</f>
        <v>NA</v>
      </c>
      <c r="AE277" s="436" t="str">
        <f>IF(S277=0,"NA",SUMIFS(AN_TME_PY[[#All],[TOTAL Non-Claims Expenses]],AN_TME_PY[[#All],[Insurance Category Code]],7,AN_TME_PY[[#All],[Advanced Network/Insurance Carrier Org ID]],B277)/S277)</f>
        <v>NA</v>
      </c>
      <c r="AF277" s="436" t="str">
        <f>IF(S277=0,"NA",SUMIFS(AN_TME_PY[[#All],[TOTAL Non-Truncated Unadjusted Expenses (A21 + A23)]],AN_TME_PY[[#All],[Insurance Category Code]],7,AN_TME_PY[[#All],[Advanced Network/Insurance Carrier Org ID]],B277)/S277)</f>
        <v>NA</v>
      </c>
      <c r="AG277" s="437" t="str">
        <f>IF(S277=0,"NA",SUMIFS(AN_TME_PY[[#All],[TOTAL Truncated Unadjusted Expenses (A22 + A23)]],AN_TME_PY[[#All],[Insurance Category Code]],7,AN_TME_PY[[#All],[Advanced Network/Insurance Carrier Org ID]],B277)/S277)</f>
        <v>NA</v>
      </c>
      <c r="AH277" s="419" t="str">
        <f t="shared" si="353"/>
        <v>NA</v>
      </c>
      <c r="AI277" s="420" t="str">
        <f t="shared" si="354"/>
        <v>NA</v>
      </c>
      <c r="AJ277" s="421" t="str">
        <f t="shared" si="355"/>
        <v>NA</v>
      </c>
      <c r="AK277" s="421" t="str">
        <f t="shared" si="356"/>
        <v>NA</v>
      </c>
      <c r="AL277" s="421" t="str">
        <f t="shared" si="357"/>
        <v>NA</v>
      </c>
      <c r="AM277" s="421" t="str">
        <f t="shared" si="358"/>
        <v>NA</v>
      </c>
      <c r="AN277" s="421" t="str">
        <f t="shared" si="359"/>
        <v>NA</v>
      </c>
      <c r="AO277" s="421" t="str">
        <f t="shared" si="360"/>
        <v>NA</v>
      </c>
      <c r="AP277" s="421" t="str">
        <f t="shared" si="361"/>
        <v>NA</v>
      </c>
      <c r="AQ277" s="421" t="str">
        <f t="shared" si="362"/>
        <v>NA</v>
      </c>
      <c r="AR277" s="422" t="str">
        <f t="shared" si="363"/>
        <v>NA</v>
      </c>
      <c r="AS277" s="422" t="str">
        <f t="shared" si="364"/>
        <v>NA</v>
      </c>
      <c r="AT277" s="422" t="str">
        <f t="shared" si="365"/>
        <v>NA</v>
      </c>
      <c r="AU277" s="422" t="str">
        <f t="shared" si="366"/>
        <v>NA</v>
      </c>
      <c r="AV277" s="423" t="str">
        <f t="shared" si="367"/>
        <v>NA</v>
      </c>
    </row>
    <row r="278" spans="1:48" ht="15" customHeight="1" x14ac:dyDescent="0.25">
      <c r="A278" s="146"/>
      <c r="B278" s="148">
        <v>125</v>
      </c>
      <c r="C278" s="151" t="str">
        <f>_xlfn.XLOOKUP(B278, LgProvEntOrgIDs[Advanced Network/Insurer Carrier Org ID], LgProvEntOrgIDs[Advanced Network/Insurance Carrier Overall])</f>
        <v>Stamford Health Medical Group</v>
      </c>
      <c r="D278" s="448">
        <f>SUMIFS(AN_TME_BY[[#All],[Member Months]],AN_TME_BY[[#All],[Insurance Category Code]],7,AN_TME_BY[[#All],[Advanced Network/Insurance Carrier Org ID]],B278)</f>
        <v>0</v>
      </c>
      <c r="E278" s="137" t="str">
        <f>IF(D278=0,"NA",SUMIFS(AN_TME_BY[[#All],[Claims: Hospital Inpatient]],AN_TME_BY[[#All],[Insurance Category Code]],7,AN_TME_BY[[#All],[Advanced Network/Insurance Carrier Org ID]],B278)/D278)</f>
        <v>NA</v>
      </c>
      <c r="F278" s="108" t="str">
        <f>IF(D278=0,"NA",SUMIFS(AN_TME_BY[[#All],[Claims: Hospital Outpatient]],AN_TME_BY[[#All],[Insurance Category Code]],7,AN_TME_BY[[#All],[Advanced Network/Insurance Carrier Org ID]],B278)/D278)</f>
        <v>NA</v>
      </c>
      <c r="G278" s="108" t="str">
        <f>IF(D278=0,"NA",SUMIFS(AN_TME_BY[[#All],[Claims: Professional, Primary Care]],AN_TME_BY[[#All],[Insurance Category Code]],7,AN_TME_BY[[#All],[Advanced Network/Insurance Carrier Org ID]],B278)/D278)</f>
        <v>NA</v>
      </c>
      <c r="H278" s="108" t="str">
        <f>IF(D278=0,"NA",SUMIFS(AN_TME_BY[[#All],[Claims: Professional, Primary Care (for Monitoring Purposes)]],AN_TME_BY[[#All],[Insurance Category Code]],7,AN_TME_BY[[#All],[Advanced Network/Insurance Carrier Org ID]],B278)/D278)</f>
        <v>NA</v>
      </c>
      <c r="I278" s="108" t="str">
        <f>IF(D278=0,"NA",SUMIFS(AN_TME_BY[[#All],[Claims: Professional, Specialty]],AN_TME_BY[[#All],[Insurance Category Code]],7,AN_TME_BY[[#All],[Advanced Network/Insurance Carrier Org ID]],B278)/D278)</f>
        <v>NA</v>
      </c>
      <c r="J278" s="108" t="str">
        <f>IF(D278=0,"NA",SUMIFS(AN_TME_BY[[#All],[Claims: Professional Other]],AN_TME_BY[[#All],[Insurance Category Code]],7,AN_TME_BY[[#All],[Advanced Network/Insurance Carrier Org ID]],B278)/D278)</f>
        <v>NA</v>
      </c>
      <c r="K278" s="108" t="str">
        <f>IF(D278=0,"NA",SUMIFS(AN_TME_BY[[#All],[Claims: Pharmacy]],AN_TME_BY[[#All],[Insurance Category Code]],7,AN_TME_BY[[#All],[Advanced Network/Insurance Carrier Org ID]],B278)/D278)</f>
        <v>NA</v>
      </c>
      <c r="L278" s="108" t="str">
        <f>IF(D278=0,"NA",SUMIFS(AN_TME_BY[[#All],[Claims: Long-Term Care]],AN_TME_BY[[#All],[Insurance Category Code]],7,AN_TME_BY[[#All],[Advanced Network/Insurance Carrier Org ID]],B278)/D278)</f>
        <v>NA</v>
      </c>
      <c r="M278" s="108" t="str">
        <f>IF(D278=0,"NA",SUMIFS(AN_TME_BY[[#All],[Claims: Other]],AN_TME_BY[[#All],[Insurance Category Code]],7,AN_TME_BY[[#All],[Advanced Network/Insurance Carrier Org ID]],B278)/D278)</f>
        <v>NA</v>
      </c>
      <c r="N278" s="147" t="str">
        <f>IF(D278=0,"NA",SUMIFS(AN_TME_BY[[#All],[TOTAL Non-Truncated Unadjusted Claims Expenses]],AN_TME_BY[[#All],[Insurance Category Code]],7,AN_TME_BY[[#All],[Advanced Network/Insurance Carrier Org ID]],B278)/D278)</f>
        <v>NA</v>
      </c>
      <c r="O278" s="147" t="str">
        <f>IF(D278=0,"NA",SUMIFS(AN_TME_BY[[#All],[TOTAL Truncated Unadjusted Claims Expenses (A21 -A19)]],AN_TME_BY[[#All],[Insurance Category Code]],7,AN_TME_BY[[#All],[Advanced Network/Insurance Carrier Org ID]],B278)/D278)</f>
        <v>NA</v>
      </c>
      <c r="P278" s="147" t="str">
        <f>IF(D278=0,"NA",SUMIFS(AN_TME_BY[[#All],[TOTAL Non-Claims Expenses]],AN_TME_BY[[#All],[Insurance Category Code]],7,AN_TME_BY[[#All],[Advanced Network/Insurance Carrier Org ID]],B278)/D278)</f>
        <v>NA</v>
      </c>
      <c r="Q278" s="147" t="str">
        <f>IF(D278=0,"NA",SUMIFS(AN_TME_BY[[#All],[TOTAL Non-Truncated Unadjusted Expenses (A21 + A23)]],AN_TME_BY[[#All],[Insurance Category Code]],7,AN_TME_BY[[#All],[Advanced Network/Insurance Carrier Org ID]],B278)/D278)</f>
        <v>NA</v>
      </c>
      <c r="R278" s="147" t="str">
        <f>IF(D278=0,"NA",SUMIFS(AN_TME_BY[[#All],[TOTAL Truncated Unadjusted Expenses (A22 + A23)]],AN_TME_BY[[#All],[Insurance Category Code]],7,AN_TME_BY[[#All],[Advanced Network/Insurance Carrier Org ID]],B278)/D278)</f>
        <v>NA</v>
      </c>
      <c r="S278" s="445">
        <f>SUMIFS(AN_TME_PY[[#All],[Member Months]],AN_TME_PY[[#All],[Insurance Category Code]],7,AN_TME_PY[[#All],[Advanced Network/Insurance Carrier Org ID]],B278)</f>
        <v>0</v>
      </c>
      <c r="T278" s="434" t="str">
        <f>IF(S278=0,"NA",SUMIFS(AN_TME_PY[[#All],[Claims: Hospital Inpatient]],AN_TME_PY[[#All],[Insurance Category Code]],7,AN_TME_PY[[#All],[Advanced Network/Insurance Carrier Org ID]],B278)/S278)</f>
        <v>NA</v>
      </c>
      <c r="U278" s="435" t="str">
        <f>IF(S278=0,"NA",SUMIFS(AN_TME_PY[[#All],[Claims: Hospital Outpatient]],AN_TME_PY[[#All],[Insurance Category Code]],7,AN_TME_PY[[#All],[Advanced Network/Insurance Carrier Org ID]],B278)/S278)</f>
        <v>NA</v>
      </c>
      <c r="V278" s="435" t="str">
        <f>IF(S278=0,"NA",SUMIFS(AN_TME_PY[[#All],[Claims: Professional, Primary Care]],AN_TME_PY[[#All],[Insurance Category Code]],7,AN_TME_PY[[#All],[Advanced Network/Insurance Carrier Org ID]],B278)/S278)</f>
        <v>NA</v>
      </c>
      <c r="W278" s="435" t="str">
        <f>IF(S278=0,"NA",SUMIFS(AN_TME_PY[[#All],[Claims: Professional, Primary Care (for Monitoring Purposes)]],AN_TME_PY[[#All],[Insurance Category Code]],7,AN_TME_PY[[#All],[Advanced Network/Insurance Carrier Org ID]],B278)/S278)</f>
        <v>NA</v>
      </c>
      <c r="X278" s="435" t="str">
        <f>IF(S278=0,"NA",SUMIFS(AN_TME_PY[[#All],[Claims: Professional, Specialty]],AN_TME_PY[[#All],[Insurance Category Code]],7,AN_TME_PY[[#All],[Advanced Network/Insurance Carrier Org ID]],B278)/S278)</f>
        <v>NA</v>
      </c>
      <c r="Y278" s="435" t="str">
        <f>IF(S278=0,"NA",SUMIFS(AN_TME_PY[[#All],[Claims: Professional Other]],AN_TME_PY[[#All],[Insurance Category Code]],7,AN_TME_PY[[#All],[Advanced Network/Insurance Carrier Org ID]],B278)/S278)</f>
        <v>NA</v>
      </c>
      <c r="Z278" s="435" t="str">
        <f>IF(S278=0,"NA",SUMIFS(AN_TME_PY[[#All],[Claims: Pharmacy]],AN_TME_PY[[#All],[Insurance Category Code]],7,AN_TME_PY[[#All],[Advanced Network/Insurance Carrier Org ID]],B278)/S278)</f>
        <v>NA</v>
      </c>
      <c r="AA278" s="435" t="str">
        <f>IF(S278=0,"NA",SUMIFS(AN_TME_PY[[#All],[Claims: Long-Term Care]],AN_TME_PY[[#All],[Insurance Category Code]],7,AN_TME_PY[[#All],[Advanced Network/Insurance Carrier Org ID]],B278)/S278)</f>
        <v>NA</v>
      </c>
      <c r="AB278" s="435" t="str">
        <f>IF(S278=0,"NA",SUMIFS(AN_TME_PY[[#All],[Claims: Other]],AN_TME_PY[[#All],[Insurance Category Code]],7,AN_TME_PY[[#All],[Advanced Network/Insurance Carrier Org ID]],B278)/S278)</f>
        <v>NA</v>
      </c>
      <c r="AC278" s="436" t="str">
        <f>IF(S278=0,"NA",SUMIFS(AN_TME_PY[[#All],[TOTAL Non-Truncated Unadjusted Claims Expenses]],AN_TME_PY[[#All],[Insurance Category Code]],7,AN_TME_PY[[#All],[Advanced Network/Insurance Carrier Org ID]],B278)/S278)</f>
        <v>NA</v>
      </c>
      <c r="AD278" s="436" t="str">
        <f>IF(S278=0,"NA",SUMIFS(AN_TME_PY[[#All],[TOTAL Truncated Unadjusted Claims Expenses (A21 -A19)]],AN_TME_PY[[#All],[Insurance Category Code]],7,AN_TME_PY[[#All],[Advanced Network/Insurance Carrier Org ID]],B278)/S278)</f>
        <v>NA</v>
      </c>
      <c r="AE278" s="436" t="str">
        <f>IF(S278=0,"NA",SUMIFS(AN_TME_PY[[#All],[TOTAL Non-Claims Expenses]],AN_TME_PY[[#All],[Insurance Category Code]],7,AN_TME_PY[[#All],[Advanced Network/Insurance Carrier Org ID]],B278)/S278)</f>
        <v>NA</v>
      </c>
      <c r="AF278" s="436" t="str">
        <f>IF(S278=0,"NA",SUMIFS(AN_TME_PY[[#All],[TOTAL Non-Truncated Unadjusted Expenses (A21 + A23)]],AN_TME_PY[[#All],[Insurance Category Code]],7,AN_TME_PY[[#All],[Advanced Network/Insurance Carrier Org ID]],B278)/S278)</f>
        <v>NA</v>
      </c>
      <c r="AG278" s="437" t="str">
        <f>IF(S278=0,"NA",SUMIFS(AN_TME_PY[[#All],[TOTAL Truncated Unadjusted Expenses (A22 + A23)]],AN_TME_PY[[#All],[Insurance Category Code]],7,AN_TME_PY[[#All],[Advanced Network/Insurance Carrier Org ID]],B278)/S278)</f>
        <v>NA</v>
      </c>
      <c r="AH278" s="419" t="str">
        <f t="shared" si="353"/>
        <v>NA</v>
      </c>
      <c r="AI278" s="420" t="str">
        <f t="shared" si="354"/>
        <v>NA</v>
      </c>
      <c r="AJ278" s="421" t="str">
        <f t="shared" si="355"/>
        <v>NA</v>
      </c>
      <c r="AK278" s="421" t="str">
        <f t="shared" si="356"/>
        <v>NA</v>
      </c>
      <c r="AL278" s="421" t="str">
        <f t="shared" si="357"/>
        <v>NA</v>
      </c>
      <c r="AM278" s="421" t="str">
        <f t="shared" si="358"/>
        <v>NA</v>
      </c>
      <c r="AN278" s="421" t="str">
        <f t="shared" si="359"/>
        <v>NA</v>
      </c>
      <c r="AO278" s="421" t="str">
        <f t="shared" si="360"/>
        <v>NA</v>
      </c>
      <c r="AP278" s="421" t="str">
        <f t="shared" si="361"/>
        <v>NA</v>
      </c>
      <c r="AQ278" s="421" t="str">
        <f t="shared" si="362"/>
        <v>NA</v>
      </c>
      <c r="AR278" s="422" t="str">
        <f t="shared" si="363"/>
        <v>NA</v>
      </c>
      <c r="AS278" s="422" t="str">
        <f t="shared" si="364"/>
        <v>NA</v>
      </c>
      <c r="AT278" s="422" t="str">
        <f t="shared" si="365"/>
        <v>NA</v>
      </c>
      <c r="AU278" s="422" t="str">
        <f t="shared" si="366"/>
        <v>NA</v>
      </c>
      <c r="AV278" s="423" t="str">
        <f t="shared" si="367"/>
        <v>NA</v>
      </c>
    </row>
    <row r="279" spans="1:48" ht="15" customHeight="1" x14ac:dyDescent="0.25">
      <c r="A279" s="146"/>
      <c r="B279" s="148">
        <v>126</v>
      </c>
      <c r="C279" s="151" t="str">
        <f>_xlfn.XLOOKUP(B279, LgProvEntOrgIDs[Advanced Network/Insurer Carrier Org ID], LgProvEntOrgIDs[Advanced Network/Insurance Carrier Overall])</f>
        <v>Starling Physicians</v>
      </c>
      <c r="D279" s="448">
        <f>SUMIFS(AN_TME_BY[[#All],[Member Months]],AN_TME_BY[[#All],[Insurance Category Code]],7,AN_TME_BY[[#All],[Advanced Network/Insurance Carrier Org ID]],B279)</f>
        <v>0</v>
      </c>
      <c r="E279" s="137" t="str">
        <f>IF(D279=0,"NA",SUMIFS(AN_TME_BY[[#All],[Claims: Hospital Inpatient]],AN_TME_BY[[#All],[Insurance Category Code]],7,AN_TME_BY[[#All],[Advanced Network/Insurance Carrier Org ID]],B279)/D279)</f>
        <v>NA</v>
      </c>
      <c r="F279" s="108" t="str">
        <f>IF(D279=0,"NA",SUMIFS(AN_TME_BY[[#All],[Claims: Hospital Outpatient]],AN_TME_BY[[#All],[Insurance Category Code]],7,AN_TME_BY[[#All],[Advanced Network/Insurance Carrier Org ID]],B279)/D279)</f>
        <v>NA</v>
      </c>
      <c r="G279" s="108" t="str">
        <f>IF(D279=0,"NA",SUMIFS(AN_TME_BY[[#All],[Claims: Professional, Primary Care]],AN_TME_BY[[#All],[Insurance Category Code]],7,AN_TME_BY[[#All],[Advanced Network/Insurance Carrier Org ID]],B279)/D279)</f>
        <v>NA</v>
      </c>
      <c r="H279" s="108" t="str">
        <f>IF(D279=0,"NA",SUMIFS(AN_TME_BY[[#All],[Claims: Professional, Primary Care (for Monitoring Purposes)]],AN_TME_BY[[#All],[Insurance Category Code]],7,AN_TME_BY[[#All],[Advanced Network/Insurance Carrier Org ID]],B279)/D279)</f>
        <v>NA</v>
      </c>
      <c r="I279" s="108" t="str">
        <f>IF(D279=0,"NA",SUMIFS(AN_TME_BY[[#All],[Claims: Professional, Specialty]],AN_TME_BY[[#All],[Insurance Category Code]],7,AN_TME_BY[[#All],[Advanced Network/Insurance Carrier Org ID]],B279)/D279)</f>
        <v>NA</v>
      </c>
      <c r="J279" s="108" t="str">
        <f>IF(D279=0,"NA",SUMIFS(AN_TME_BY[[#All],[Claims: Professional Other]],AN_TME_BY[[#All],[Insurance Category Code]],7,AN_TME_BY[[#All],[Advanced Network/Insurance Carrier Org ID]],B279)/D279)</f>
        <v>NA</v>
      </c>
      <c r="K279" s="108" t="str">
        <f>IF(D279=0,"NA",SUMIFS(AN_TME_BY[[#All],[Claims: Pharmacy]],AN_TME_BY[[#All],[Insurance Category Code]],7,AN_TME_BY[[#All],[Advanced Network/Insurance Carrier Org ID]],B279)/D279)</f>
        <v>NA</v>
      </c>
      <c r="L279" s="108" t="str">
        <f>IF(D279=0,"NA",SUMIFS(AN_TME_BY[[#All],[Claims: Long-Term Care]],AN_TME_BY[[#All],[Insurance Category Code]],7,AN_TME_BY[[#All],[Advanced Network/Insurance Carrier Org ID]],B279)/D279)</f>
        <v>NA</v>
      </c>
      <c r="M279" s="108" t="str">
        <f>IF(D279=0,"NA",SUMIFS(AN_TME_BY[[#All],[Claims: Other]],AN_TME_BY[[#All],[Insurance Category Code]],7,AN_TME_BY[[#All],[Advanced Network/Insurance Carrier Org ID]],B279)/D279)</f>
        <v>NA</v>
      </c>
      <c r="N279" s="147" t="str">
        <f>IF(D279=0,"NA",SUMIFS(AN_TME_BY[[#All],[TOTAL Non-Truncated Unadjusted Claims Expenses]],AN_TME_BY[[#All],[Insurance Category Code]],7,AN_TME_BY[[#All],[Advanced Network/Insurance Carrier Org ID]],B279)/D279)</f>
        <v>NA</v>
      </c>
      <c r="O279" s="147" t="str">
        <f>IF(D279=0,"NA",SUMIFS(AN_TME_BY[[#All],[TOTAL Truncated Unadjusted Claims Expenses (A21 -A19)]],AN_TME_BY[[#All],[Insurance Category Code]],7,AN_TME_BY[[#All],[Advanced Network/Insurance Carrier Org ID]],B279)/D279)</f>
        <v>NA</v>
      </c>
      <c r="P279" s="147" t="str">
        <f>IF(D279=0,"NA",SUMIFS(AN_TME_BY[[#All],[TOTAL Non-Claims Expenses]],AN_TME_BY[[#All],[Insurance Category Code]],7,AN_TME_BY[[#All],[Advanced Network/Insurance Carrier Org ID]],B279)/D279)</f>
        <v>NA</v>
      </c>
      <c r="Q279" s="147" t="str">
        <f>IF(D279=0,"NA",SUMIFS(AN_TME_BY[[#All],[TOTAL Non-Truncated Unadjusted Expenses (A21 + A23)]],AN_TME_BY[[#All],[Insurance Category Code]],7,AN_TME_BY[[#All],[Advanced Network/Insurance Carrier Org ID]],B279)/D279)</f>
        <v>NA</v>
      </c>
      <c r="R279" s="147" t="str">
        <f>IF(D279=0,"NA",SUMIFS(AN_TME_BY[[#All],[TOTAL Truncated Unadjusted Expenses (A22 + A23)]],AN_TME_BY[[#All],[Insurance Category Code]],7,AN_TME_BY[[#All],[Advanced Network/Insurance Carrier Org ID]],B279)/D279)</f>
        <v>NA</v>
      </c>
      <c r="S279" s="445">
        <f>SUMIFS(AN_TME_PY[[#All],[Member Months]],AN_TME_PY[[#All],[Insurance Category Code]],7,AN_TME_PY[[#All],[Advanced Network/Insurance Carrier Org ID]],B279)</f>
        <v>0</v>
      </c>
      <c r="T279" s="434" t="str">
        <f>IF(S279=0,"NA",SUMIFS(AN_TME_PY[[#All],[Claims: Hospital Inpatient]],AN_TME_PY[[#All],[Insurance Category Code]],7,AN_TME_PY[[#All],[Advanced Network/Insurance Carrier Org ID]],B279)/S279)</f>
        <v>NA</v>
      </c>
      <c r="U279" s="435" t="str">
        <f>IF(S279=0,"NA",SUMIFS(AN_TME_PY[[#All],[Claims: Hospital Outpatient]],AN_TME_PY[[#All],[Insurance Category Code]],7,AN_TME_PY[[#All],[Advanced Network/Insurance Carrier Org ID]],B279)/S279)</f>
        <v>NA</v>
      </c>
      <c r="V279" s="435" t="str">
        <f>IF(S279=0,"NA",SUMIFS(AN_TME_PY[[#All],[Claims: Professional, Primary Care]],AN_TME_PY[[#All],[Insurance Category Code]],7,AN_TME_PY[[#All],[Advanced Network/Insurance Carrier Org ID]],B279)/S279)</f>
        <v>NA</v>
      </c>
      <c r="W279" s="435" t="str">
        <f>IF(S279=0,"NA",SUMIFS(AN_TME_PY[[#All],[Claims: Professional, Primary Care (for Monitoring Purposes)]],AN_TME_PY[[#All],[Insurance Category Code]],7,AN_TME_PY[[#All],[Advanced Network/Insurance Carrier Org ID]],B279)/S279)</f>
        <v>NA</v>
      </c>
      <c r="X279" s="435" t="str">
        <f>IF(S279=0,"NA",SUMIFS(AN_TME_PY[[#All],[Claims: Professional, Specialty]],AN_TME_PY[[#All],[Insurance Category Code]],7,AN_TME_PY[[#All],[Advanced Network/Insurance Carrier Org ID]],B279)/S279)</f>
        <v>NA</v>
      </c>
      <c r="Y279" s="435" t="str">
        <f>IF(S279=0,"NA",SUMIFS(AN_TME_PY[[#All],[Claims: Professional Other]],AN_TME_PY[[#All],[Insurance Category Code]],7,AN_TME_PY[[#All],[Advanced Network/Insurance Carrier Org ID]],B279)/S279)</f>
        <v>NA</v>
      </c>
      <c r="Z279" s="435" t="str">
        <f>IF(S279=0,"NA",SUMIFS(AN_TME_PY[[#All],[Claims: Pharmacy]],AN_TME_PY[[#All],[Insurance Category Code]],7,AN_TME_PY[[#All],[Advanced Network/Insurance Carrier Org ID]],B279)/S279)</f>
        <v>NA</v>
      </c>
      <c r="AA279" s="435" t="str">
        <f>IF(S279=0,"NA",SUMIFS(AN_TME_PY[[#All],[Claims: Long-Term Care]],AN_TME_PY[[#All],[Insurance Category Code]],7,AN_TME_PY[[#All],[Advanced Network/Insurance Carrier Org ID]],B279)/S279)</f>
        <v>NA</v>
      </c>
      <c r="AB279" s="435" t="str">
        <f>IF(S279=0,"NA",SUMIFS(AN_TME_PY[[#All],[Claims: Other]],AN_TME_PY[[#All],[Insurance Category Code]],7,AN_TME_PY[[#All],[Advanced Network/Insurance Carrier Org ID]],B279)/S279)</f>
        <v>NA</v>
      </c>
      <c r="AC279" s="436" t="str">
        <f>IF(S279=0,"NA",SUMIFS(AN_TME_PY[[#All],[TOTAL Non-Truncated Unadjusted Claims Expenses]],AN_TME_PY[[#All],[Insurance Category Code]],7,AN_TME_PY[[#All],[Advanced Network/Insurance Carrier Org ID]],B279)/S279)</f>
        <v>NA</v>
      </c>
      <c r="AD279" s="436" t="str">
        <f>IF(S279=0,"NA",SUMIFS(AN_TME_PY[[#All],[TOTAL Truncated Unadjusted Claims Expenses (A21 -A19)]],AN_TME_PY[[#All],[Insurance Category Code]],7,AN_TME_PY[[#All],[Advanced Network/Insurance Carrier Org ID]],B279)/S279)</f>
        <v>NA</v>
      </c>
      <c r="AE279" s="436" t="str">
        <f>IF(S279=0,"NA",SUMIFS(AN_TME_PY[[#All],[TOTAL Non-Claims Expenses]],AN_TME_PY[[#All],[Insurance Category Code]],7,AN_TME_PY[[#All],[Advanced Network/Insurance Carrier Org ID]],B279)/S279)</f>
        <v>NA</v>
      </c>
      <c r="AF279" s="436" t="str">
        <f>IF(S279=0,"NA",SUMIFS(AN_TME_PY[[#All],[TOTAL Non-Truncated Unadjusted Expenses (A21 + A23)]],AN_TME_PY[[#All],[Insurance Category Code]],7,AN_TME_PY[[#All],[Advanced Network/Insurance Carrier Org ID]],B279)/S279)</f>
        <v>NA</v>
      </c>
      <c r="AG279" s="437" t="str">
        <f>IF(S279=0,"NA",SUMIFS(AN_TME_PY[[#All],[TOTAL Truncated Unadjusted Expenses (A22 + A23)]],AN_TME_PY[[#All],[Insurance Category Code]],7,AN_TME_PY[[#All],[Advanced Network/Insurance Carrier Org ID]],B279)/S279)</f>
        <v>NA</v>
      </c>
      <c r="AH279" s="419" t="str">
        <f t="shared" si="353"/>
        <v>NA</v>
      </c>
      <c r="AI279" s="420" t="str">
        <f t="shared" si="354"/>
        <v>NA</v>
      </c>
      <c r="AJ279" s="421" t="str">
        <f t="shared" si="355"/>
        <v>NA</v>
      </c>
      <c r="AK279" s="421" t="str">
        <f t="shared" si="356"/>
        <v>NA</v>
      </c>
      <c r="AL279" s="421" t="str">
        <f t="shared" si="357"/>
        <v>NA</v>
      </c>
      <c r="AM279" s="421" t="str">
        <f t="shared" si="358"/>
        <v>NA</v>
      </c>
      <c r="AN279" s="421" t="str">
        <f t="shared" si="359"/>
        <v>NA</v>
      </c>
      <c r="AO279" s="421" t="str">
        <f t="shared" si="360"/>
        <v>NA</v>
      </c>
      <c r="AP279" s="421" t="str">
        <f t="shared" si="361"/>
        <v>NA</v>
      </c>
      <c r="AQ279" s="421" t="str">
        <f t="shared" si="362"/>
        <v>NA</v>
      </c>
      <c r="AR279" s="422" t="str">
        <f t="shared" si="363"/>
        <v>NA</v>
      </c>
      <c r="AS279" s="422" t="str">
        <f t="shared" si="364"/>
        <v>NA</v>
      </c>
      <c r="AT279" s="422" t="str">
        <f t="shared" si="365"/>
        <v>NA</v>
      </c>
      <c r="AU279" s="422" t="str">
        <f t="shared" si="366"/>
        <v>NA</v>
      </c>
      <c r="AV279" s="423" t="str">
        <f t="shared" si="367"/>
        <v>NA</v>
      </c>
    </row>
    <row r="280" spans="1:48" ht="15" customHeight="1" x14ac:dyDescent="0.25">
      <c r="A280" s="146"/>
      <c r="B280" s="148">
        <v>127</v>
      </c>
      <c r="C280" s="151" t="str">
        <f>_xlfn.XLOOKUP(B280, LgProvEntOrgIDs[Advanced Network/Insurer Carrier Org ID], LgProvEntOrgIDs[Advanced Network/Insurance Carrier Overall])</f>
        <v>UConn Medical Group</v>
      </c>
      <c r="D280" s="448">
        <f>SUMIFS(AN_TME_BY[[#All],[Member Months]],AN_TME_BY[[#All],[Insurance Category Code]],7,AN_TME_BY[[#All],[Advanced Network/Insurance Carrier Org ID]],B280)</f>
        <v>0</v>
      </c>
      <c r="E280" s="137" t="str">
        <f>IF(D280=0,"NA",SUMIFS(AN_TME_BY[[#All],[Claims: Hospital Inpatient]],AN_TME_BY[[#All],[Insurance Category Code]],7,AN_TME_BY[[#All],[Advanced Network/Insurance Carrier Org ID]],B280)/D280)</f>
        <v>NA</v>
      </c>
      <c r="F280" s="108" t="str">
        <f>IF(D280=0,"NA",SUMIFS(AN_TME_BY[[#All],[Claims: Hospital Outpatient]],AN_TME_BY[[#All],[Insurance Category Code]],7,AN_TME_BY[[#All],[Advanced Network/Insurance Carrier Org ID]],B280)/D280)</f>
        <v>NA</v>
      </c>
      <c r="G280" s="108" t="str">
        <f>IF(D280=0,"NA",SUMIFS(AN_TME_BY[[#All],[Claims: Professional, Primary Care]],AN_TME_BY[[#All],[Insurance Category Code]],7,AN_TME_BY[[#All],[Advanced Network/Insurance Carrier Org ID]],B280)/D280)</f>
        <v>NA</v>
      </c>
      <c r="H280" s="108" t="str">
        <f>IF(D280=0,"NA",SUMIFS(AN_TME_BY[[#All],[Claims: Professional, Primary Care (for Monitoring Purposes)]],AN_TME_BY[[#All],[Insurance Category Code]],7,AN_TME_BY[[#All],[Advanced Network/Insurance Carrier Org ID]],B280)/D280)</f>
        <v>NA</v>
      </c>
      <c r="I280" s="108" t="str">
        <f>IF(D280=0,"NA",SUMIFS(AN_TME_BY[[#All],[Claims: Professional, Specialty]],AN_TME_BY[[#All],[Insurance Category Code]],7,AN_TME_BY[[#All],[Advanced Network/Insurance Carrier Org ID]],B280)/D280)</f>
        <v>NA</v>
      </c>
      <c r="J280" s="108" t="str">
        <f>IF(D280=0,"NA",SUMIFS(AN_TME_BY[[#All],[Claims: Professional Other]],AN_TME_BY[[#All],[Insurance Category Code]],7,AN_TME_BY[[#All],[Advanced Network/Insurance Carrier Org ID]],B280)/D280)</f>
        <v>NA</v>
      </c>
      <c r="K280" s="108" t="str">
        <f>IF(D280=0,"NA",SUMIFS(AN_TME_BY[[#All],[Claims: Pharmacy]],AN_TME_BY[[#All],[Insurance Category Code]],7,AN_TME_BY[[#All],[Advanced Network/Insurance Carrier Org ID]],B280)/D280)</f>
        <v>NA</v>
      </c>
      <c r="L280" s="108" t="str">
        <f>IF(D280=0,"NA",SUMIFS(AN_TME_BY[[#All],[Claims: Long-Term Care]],AN_TME_BY[[#All],[Insurance Category Code]],7,AN_TME_BY[[#All],[Advanced Network/Insurance Carrier Org ID]],B280)/D280)</f>
        <v>NA</v>
      </c>
      <c r="M280" s="108" t="str">
        <f>IF(D280=0,"NA",SUMIFS(AN_TME_BY[[#All],[Claims: Other]],AN_TME_BY[[#All],[Insurance Category Code]],7,AN_TME_BY[[#All],[Advanced Network/Insurance Carrier Org ID]],B280)/D280)</f>
        <v>NA</v>
      </c>
      <c r="N280" s="147" t="str">
        <f>IF(D280=0,"NA",SUMIFS(AN_TME_BY[[#All],[TOTAL Non-Truncated Unadjusted Claims Expenses]],AN_TME_BY[[#All],[Insurance Category Code]],7,AN_TME_BY[[#All],[Advanced Network/Insurance Carrier Org ID]],B280)/D280)</f>
        <v>NA</v>
      </c>
      <c r="O280" s="147" t="str">
        <f>IF(D280=0,"NA",SUMIFS(AN_TME_BY[[#All],[TOTAL Truncated Unadjusted Claims Expenses (A21 -A19)]],AN_TME_BY[[#All],[Insurance Category Code]],7,AN_TME_BY[[#All],[Advanced Network/Insurance Carrier Org ID]],B280)/D280)</f>
        <v>NA</v>
      </c>
      <c r="P280" s="147" t="str">
        <f>IF(D280=0,"NA",SUMIFS(AN_TME_BY[[#All],[TOTAL Non-Claims Expenses]],AN_TME_BY[[#All],[Insurance Category Code]],7,AN_TME_BY[[#All],[Advanced Network/Insurance Carrier Org ID]],B280)/D280)</f>
        <v>NA</v>
      </c>
      <c r="Q280" s="147" t="str">
        <f>IF(D280=0,"NA",SUMIFS(AN_TME_BY[[#All],[TOTAL Non-Truncated Unadjusted Expenses (A21 + A23)]],AN_TME_BY[[#All],[Insurance Category Code]],7,AN_TME_BY[[#All],[Advanced Network/Insurance Carrier Org ID]],B280)/D280)</f>
        <v>NA</v>
      </c>
      <c r="R280" s="147" t="str">
        <f>IF(D280=0,"NA",SUMIFS(AN_TME_BY[[#All],[TOTAL Truncated Unadjusted Expenses (A22 + A23)]],AN_TME_BY[[#All],[Insurance Category Code]],7,AN_TME_BY[[#All],[Advanced Network/Insurance Carrier Org ID]],B280)/D280)</f>
        <v>NA</v>
      </c>
      <c r="S280" s="445">
        <f>SUMIFS(AN_TME_PY[[#All],[Member Months]],AN_TME_PY[[#All],[Insurance Category Code]],7,AN_TME_PY[[#All],[Advanced Network/Insurance Carrier Org ID]],B280)</f>
        <v>0</v>
      </c>
      <c r="T280" s="434" t="str">
        <f>IF(S280=0,"NA",SUMIFS(AN_TME_PY[[#All],[Claims: Hospital Inpatient]],AN_TME_PY[[#All],[Insurance Category Code]],7,AN_TME_PY[[#All],[Advanced Network/Insurance Carrier Org ID]],B280)/S280)</f>
        <v>NA</v>
      </c>
      <c r="U280" s="435" t="str">
        <f>IF(S280=0,"NA",SUMIFS(AN_TME_PY[[#All],[Claims: Hospital Outpatient]],AN_TME_PY[[#All],[Insurance Category Code]],7,AN_TME_PY[[#All],[Advanced Network/Insurance Carrier Org ID]],B280)/S280)</f>
        <v>NA</v>
      </c>
      <c r="V280" s="435" t="str">
        <f>IF(S280=0,"NA",SUMIFS(AN_TME_PY[[#All],[Claims: Professional, Primary Care]],AN_TME_PY[[#All],[Insurance Category Code]],7,AN_TME_PY[[#All],[Advanced Network/Insurance Carrier Org ID]],B280)/S280)</f>
        <v>NA</v>
      </c>
      <c r="W280" s="435" t="str">
        <f>IF(S280=0,"NA",SUMIFS(AN_TME_PY[[#All],[Claims: Professional, Primary Care (for Monitoring Purposes)]],AN_TME_PY[[#All],[Insurance Category Code]],7,AN_TME_PY[[#All],[Advanced Network/Insurance Carrier Org ID]],B280)/S280)</f>
        <v>NA</v>
      </c>
      <c r="X280" s="435" t="str">
        <f>IF(S280=0,"NA",SUMIFS(AN_TME_PY[[#All],[Claims: Professional, Specialty]],AN_TME_PY[[#All],[Insurance Category Code]],7,AN_TME_PY[[#All],[Advanced Network/Insurance Carrier Org ID]],B280)/S280)</f>
        <v>NA</v>
      </c>
      <c r="Y280" s="435" t="str">
        <f>IF(S280=0,"NA",SUMIFS(AN_TME_PY[[#All],[Claims: Professional Other]],AN_TME_PY[[#All],[Insurance Category Code]],7,AN_TME_PY[[#All],[Advanced Network/Insurance Carrier Org ID]],B280)/S280)</f>
        <v>NA</v>
      </c>
      <c r="Z280" s="435" t="str">
        <f>IF(S280=0,"NA",SUMIFS(AN_TME_PY[[#All],[Claims: Pharmacy]],AN_TME_PY[[#All],[Insurance Category Code]],7,AN_TME_PY[[#All],[Advanced Network/Insurance Carrier Org ID]],B280)/S280)</f>
        <v>NA</v>
      </c>
      <c r="AA280" s="435" t="str">
        <f>IF(S280=0,"NA",SUMIFS(AN_TME_PY[[#All],[Claims: Long-Term Care]],AN_TME_PY[[#All],[Insurance Category Code]],7,AN_TME_PY[[#All],[Advanced Network/Insurance Carrier Org ID]],B280)/S280)</f>
        <v>NA</v>
      </c>
      <c r="AB280" s="435" t="str">
        <f>IF(S280=0,"NA",SUMIFS(AN_TME_PY[[#All],[Claims: Other]],AN_TME_PY[[#All],[Insurance Category Code]],7,AN_TME_PY[[#All],[Advanced Network/Insurance Carrier Org ID]],B280)/S280)</f>
        <v>NA</v>
      </c>
      <c r="AC280" s="436" t="str">
        <f>IF(S280=0,"NA",SUMIFS(AN_TME_PY[[#All],[TOTAL Non-Truncated Unadjusted Claims Expenses]],AN_TME_PY[[#All],[Insurance Category Code]],7,AN_TME_PY[[#All],[Advanced Network/Insurance Carrier Org ID]],B280)/S280)</f>
        <v>NA</v>
      </c>
      <c r="AD280" s="436" t="str">
        <f>IF(S280=0,"NA",SUMIFS(AN_TME_PY[[#All],[TOTAL Truncated Unadjusted Claims Expenses (A21 -A19)]],AN_TME_PY[[#All],[Insurance Category Code]],7,AN_TME_PY[[#All],[Advanced Network/Insurance Carrier Org ID]],B280)/S280)</f>
        <v>NA</v>
      </c>
      <c r="AE280" s="436" t="str">
        <f>IF(S280=0,"NA",SUMIFS(AN_TME_PY[[#All],[TOTAL Non-Claims Expenses]],AN_TME_PY[[#All],[Insurance Category Code]],7,AN_TME_PY[[#All],[Advanced Network/Insurance Carrier Org ID]],B280)/S280)</f>
        <v>NA</v>
      </c>
      <c r="AF280" s="436" t="str">
        <f>IF(S280=0,"NA",SUMIFS(AN_TME_PY[[#All],[TOTAL Non-Truncated Unadjusted Expenses (A21 + A23)]],AN_TME_PY[[#All],[Insurance Category Code]],7,AN_TME_PY[[#All],[Advanced Network/Insurance Carrier Org ID]],B280)/S280)</f>
        <v>NA</v>
      </c>
      <c r="AG280" s="437" t="str">
        <f>IF(S280=0,"NA",SUMIFS(AN_TME_PY[[#All],[TOTAL Truncated Unadjusted Expenses (A22 + A23)]],AN_TME_PY[[#All],[Insurance Category Code]],7,AN_TME_PY[[#All],[Advanced Network/Insurance Carrier Org ID]],B280)/S280)</f>
        <v>NA</v>
      </c>
      <c r="AH280" s="419" t="str">
        <f t="shared" si="353"/>
        <v>NA</v>
      </c>
      <c r="AI280" s="420" t="str">
        <f t="shared" si="354"/>
        <v>NA</v>
      </c>
      <c r="AJ280" s="421" t="str">
        <f t="shared" si="355"/>
        <v>NA</v>
      </c>
      <c r="AK280" s="421" t="str">
        <f t="shared" si="356"/>
        <v>NA</v>
      </c>
      <c r="AL280" s="421" t="str">
        <f t="shared" si="357"/>
        <v>NA</v>
      </c>
      <c r="AM280" s="421" t="str">
        <f t="shared" si="358"/>
        <v>NA</v>
      </c>
      <c r="AN280" s="421" t="str">
        <f t="shared" si="359"/>
        <v>NA</v>
      </c>
      <c r="AO280" s="421" t="str">
        <f t="shared" si="360"/>
        <v>NA</v>
      </c>
      <c r="AP280" s="421" t="str">
        <f t="shared" si="361"/>
        <v>NA</v>
      </c>
      <c r="AQ280" s="421" t="str">
        <f t="shared" si="362"/>
        <v>NA</v>
      </c>
      <c r="AR280" s="422" t="str">
        <f t="shared" si="363"/>
        <v>NA</v>
      </c>
      <c r="AS280" s="422" t="str">
        <f t="shared" si="364"/>
        <v>NA</v>
      </c>
      <c r="AT280" s="422" t="str">
        <f t="shared" si="365"/>
        <v>NA</v>
      </c>
      <c r="AU280" s="422" t="str">
        <f t="shared" si="366"/>
        <v>NA</v>
      </c>
      <c r="AV280" s="423" t="str">
        <f t="shared" si="367"/>
        <v>NA</v>
      </c>
    </row>
    <row r="281" spans="1:48" ht="15" customHeight="1" x14ac:dyDescent="0.25">
      <c r="A281" s="146"/>
      <c r="B281" s="148">
        <v>128</v>
      </c>
      <c r="C281" s="151" t="str">
        <f>_xlfn.XLOOKUP(B281, LgProvEntOrgIDs[Advanced Network/Insurer Carrier Org ID], LgProvEntOrgIDs[Advanced Network/Insurance Carrier Overall])</f>
        <v>United Community and Family Services</v>
      </c>
      <c r="D281" s="448">
        <f>SUMIFS(AN_TME_BY[[#All],[Member Months]],AN_TME_BY[[#All],[Insurance Category Code]],7,AN_TME_BY[[#All],[Advanced Network/Insurance Carrier Org ID]],B281)</f>
        <v>0</v>
      </c>
      <c r="E281" s="137" t="str">
        <f>IF(D281=0,"NA",SUMIFS(AN_TME_BY[[#All],[Claims: Hospital Inpatient]],AN_TME_BY[[#All],[Insurance Category Code]],7,AN_TME_BY[[#All],[Advanced Network/Insurance Carrier Org ID]],B281)/D281)</f>
        <v>NA</v>
      </c>
      <c r="F281" s="108" t="str">
        <f>IF(D281=0,"NA",SUMIFS(AN_TME_BY[[#All],[Claims: Hospital Outpatient]],AN_TME_BY[[#All],[Insurance Category Code]],7,AN_TME_BY[[#All],[Advanced Network/Insurance Carrier Org ID]],B281)/D281)</f>
        <v>NA</v>
      </c>
      <c r="G281" s="108" t="str">
        <f>IF(D281=0,"NA",SUMIFS(AN_TME_BY[[#All],[Claims: Professional, Primary Care]],AN_TME_BY[[#All],[Insurance Category Code]],7,AN_TME_BY[[#All],[Advanced Network/Insurance Carrier Org ID]],B281)/D281)</f>
        <v>NA</v>
      </c>
      <c r="H281" s="108" t="str">
        <f>IF(D281=0,"NA",SUMIFS(AN_TME_BY[[#All],[Claims: Professional, Primary Care (for Monitoring Purposes)]],AN_TME_BY[[#All],[Insurance Category Code]],7,AN_TME_BY[[#All],[Advanced Network/Insurance Carrier Org ID]],B281)/D281)</f>
        <v>NA</v>
      </c>
      <c r="I281" s="108" t="str">
        <f>IF(D281=0,"NA",SUMIFS(AN_TME_BY[[#All],[Claims: Professional, Specialty]],AN_TME_BY[[#All],[Insurance Category Code]],7,AN_TME_BY[[#All],[Advanced Network/Insurance Carrier Org ID]],B281)/D281)</f>
        <v>NA</v>
      </c>
      <c r="J281" s="108" t="str">
        <f>IF(D281=0,"NA",SUMIFS(AN_TME_BY[[#All],[Claims: Professional Other]],AN_TME_BY[[#All],[Insurance Category Code]],7,AN_TME_BY[[#All],[Advanced Network/Insurance Carrier Org ID]],B281)/D281)</f>
        <v>NA</v>
      </c>
      <c r="K281" s="108" t="str">
        <f>IF(D281=0,"NA",SUMIFS(AN_TME_BY[[#All],[Claims: Pharmacy]],AN_TME_BY[[#All],[Insurance Category Code]],7,AN_TME_BY[[#All],[Advanced Network/Insurance Carrier Org ID]],B281)/D281)</f>
        <v>NA</v>
      </c>
      <c r="L281" s="108" t="str">
        <f>IF(D281=0,"NA",SUMIFS(AN_TME_BY[[#All],[Claims: Long-Term Care]],AN_TME_BY[[#All],[Insurance Category Code]],7,AN_TME_BY[[#All],[Advanced Network/Insurance Carrier Org ID]],B281)/D281)</f>
        <v>NA</v>
      </c>
      <c r="M281" s="108" t="str">
        <f>IF(D281=0,"NA",SUMIFS(AN_TME_BY[[#All],[Claims: Other]],AN_TME_BY[[#All],[Insurance Category Code]],7,AN_TME_BY[[#All],[Advanced Network/Insurance Carrier Org ID]],B281)/D281)</f>
        <v>NA</v>
      </c>
      <c r="N281" s="147" t="str">
        <f>IF(D281=0,"NA",SUMIFS(AN_TME_BY[[#All],[TOTAL Non-Truncated Unadjusted Claims Expenses]],AN_TME_BY[[#All],[Insurance Category Code]],7,AN_TME_BY[[#All],[Advanced Network/Insurance Carrier Org ID]],B281)/D281)</f>
        <v>NA</v>
      </c>
      <c r="O281" s="147" t="str">
        <f>IF(D281=0,"NA",SUMIFS(AN_TME_BY[[#All],[TOTAL Truncated Unadjusted Claims Expenses (A21 -A19)]],AN_TME_BY[[#All],[Insurance Category Code]],7,AN_TME_BY[[#All],[Advanced Network/Insurance Carrier Org ID]],B281)/D281)</f>
        <v>NA</v>
      </c>
      <c r="P281" s="147" t="str">
        <f>IF(D281=0,"NA",SUMIFS(AN_TME_BY[[#All],[TOTAL Non-Claims Expenses]],AN_TME_BY[[#All],[Insurance Category Code]],7,AN_TME_BY[[#All],[Advanced Network/Insurance Carrier Org ID]],B281)/D281)</f>
        <v>NA</v>
      </c>
      <c r="Q281" s="147" t="str">
        <f>IF(D281=0,"NA",SUMIFS(AN_TME_BY[[#All],[TOTAL Non-Truncated Unadjusted Expenses (A21 + A23)]],AN_TME_BY[[#All],[Insurance Category Code]],7,AN_TME_BY[[#All],[Advanced Network/Insurance Carrier Org ID]],B281)/D281)</f>
        <v>NA</v>
      </c>
      <c r="R281" s="147" t="str">
        <f>IF(D281=0,"NA",SUMIFS(AN_TME_BY[[#All],[TOTAL Truncated Unadjusted Expenses (A22 + A23)]],AN_TME_BY[[#All],[Insurance Category Code]],7,AN_TME_BY[[#All],[Advanced Network/Insurance Carrier Org ID]],B281)/D281)</f>
        <v>NA</v>
      </c>
      <c r="S281" s="445">
        <f>SUMIFS(AN_TME_PY[[#All],[Member Months]],AN_TME_PY[[#All],[Insurance Category Code]],7,AN_TME_PY[[#All],[Advanced Network/Insurance Carrier Org ID]],B281)</f>
        <v>0</v>
      </c>
      <c r="T281" s="434" t="str">
        <f>IF(S281=0,"NA",SUMIFS(AN_TME_PY[[#All],[Claims: Hospital Inpatient]],AN_TME_PY[[#All],[Insurance Category Code]],7,AN_TME_PY[[#All],[Advanced Network/Insurance Carrier Org ID]],B281)/S281)</f>
        <v>NA</v>
      </c>
      <c r="U281" s="435" t="str">
        <f>IF(S281=0,"NA",SUMIFS(AN_TME_PY[[#All],[Claims: Hospital Outpatient]],AN_TME_PY[[#All],[Insurance Category Code]],7,AN_TME_PY[[#All],[Advanced Network/Insurance Carrier Org ID]],B281)/S281)</f>
        <v>NA</v>
      </c>
      <c r="V281" s="435" t="str">
        <f>IF(S281=0,"NA",SUMIFS(AN_TME_PY[[#All],[Claims: Professional, Primary Care]],AN_TME_PY[[#All],[Insurance Category Code]],7,AN_TME_PY[[#All],[Advanced Network/Insurance Carrier Org ID]],B281)/S281)</f>
        <v>NA</v>
      </c>
      <c r="W281" s="435" t="str">
        <f>IF(S281=0,"NA",SUMIFS(AN_TME_PY[[#All],[Claims: Professional, Primary Care (for Monitoring Purposes)]],AN_TME_PY[[#All],[Insurance Category Code]],7,AN_TME_PY[[#All],[Advanced Network/Insurance Carrier Org ID]],B281)/S281)</f>
        <v>NA</v>
      </c>
      <c r="X281" s="435" t="str">
        <f>IF(S281=0,"NA",SUMIFS(AN_TME_PY[[#All],[Claims: Professional, Specialty]],AN_TME_PY[[#All],[Insurance Category Code]],7,AN_TME_PY[[#All],[Advanced Network/Insurance Carrier Org ID]],B281)/S281)</f>
        <v>NA</v>
      </c>
      <c r="Y281" s="435" t="str">
        <f>IF(S281=0,"NA",SUMIFS(AN_TME_PY[[#All],[Claims: Professional Other]],AN_TME_PY[[#All],[Insurance Category Code]],7,AN_TME_PY[[#All],[Advanced Network/Insurance Carrier Org ID]],B281)/S281)</f>
        <v>NA</v>
      </c>
      <c r="Z281" s="435" t="str">
        <f>IF(S281=0,"NA",SUMIFS(AN_TME_PY[[#All],[Claims: Pharmacy]],AN_TME_PY[[#All],[Insurance Category Code]],7,AN_TME_PY[[#All],[Advanced Network/Insurance Carrier Org ID]],B281)/S281)</f>
        <v>NA</v>
      </c>
      <c r="AA281" s="435" t="str">
        <f>IF(S281=0,"NA",SUMIFS(AN_TME_PY[[#All],[Claims: Long-Term Care]],AN_TME_PY[[#All],[Insurance Category Code]],7,AN_TME_PY[[#All],[Advanced Network/Insurance Carrier Org ID]],B281)/S281)</f>
        <v>NA</v>
      </c>
      <c r="AB281" s="435" t="str">
        <f>IF(S281=0,"NA",SUMIFS(AN_TME_PY[[#All],[Claims: Other]],AN_TME_PY[[#All],[Insurance Category Code]],7,AN_TME_PY[[#All],[Advanced Network/Insurance Carrier Org ID]],B281)/S281)</f>
        <v>NA</v>
      </c>
      <c r="AC281" s="436" t="str">
        <f>IF(S281=0,"NA",SUMIFS(AN_TME_PY[[#All],[TOTAL Non-Truncated Unadjusted Claims Expenses]],AN_TME_PY[[#All],[Insurance Category Code]],7,AN_TME_PY[[#All],[Advanced Network/Insurance Carrier Org ID]],B281)/S281)</f>
        <v>NA</v>
      </c>
      <c r="AD281" s="436" t="str">
        <f>IF(S281=0,"NA",SUMIFS(AN_TME_PY[[#All],[TOTAL Truncated Unadjusted Claims Expenses (A21 -A19)]],AN_TME_PY[[#All],[Insurance Category Code]],7,AN_TME_PY[[#All],[Advanced Network/Insurance Carrier Org ID]],B281)/S281)</f>
        <v>NA</v>
      </c>
      <c r="AE281" s="436" t="str">
        <f>IF(S281=0,"NA",SUMIFS(AN_TME_PY[[#All],[TOTAL Non-Claims Expenses]],AN_TME_PY[[#All],[Insurance Category Code]],7,AN_TME_PY[[#All],[Advanced Network/Insurance Carrier Org ID]],B281)/S281)</f>
        <v>NA</v>
      </c>
      <c r="AF281" s="436" t="str">
        <f>IF(S281=0,"NA",SUMIFS(AN_TME_PY[[#All],[TOTAL Non-Truncated Unadjusted Expenses (A21 + A23)]],AN_TME_PY[[#All],[Insurance Category Code]],7,AN_TME_PY[[#All],[Advanced Network/Insurance Carrier Org ID]],B281)/S281)</f>
        <v>NA</v>
      </c>
      <c r="AG281" s="437" t="str">
        <f>IF(S281=0,"NA",SUMIFS(AN_TME_PY[[#All],[TOTAL Truncated Unadjusted Expenses (A22 + A23)]],AN_TME_PY[[#All],[Insurance Category Code]],7,AN_TME_PY[[#All],[Advanced Network/Insurance Carrier Org ID]],B281)/S281)</f>
        <v>NA</v>
      </c>
      <c r="AH281" s="419" t="str">
        <f t="shared" si="353"/>
        <v>NA</v>
      </c>
      <c r="AI281" s="420" t="str">
        <f t="shared" si="354"/>
        <v>NA</v>
      </c>
      <c r="AJ281" s="421" t="str">
        <f t="shared" si="355"/>
        <v>NA</v>
      </c>
      <c r="AK281" s="421" t="str">
        <f t="shared" si="356"/>
        <v>NA</v>
      </c>
      <c r="AL281" s="421" t="str">
        <f t="shared" si="357"/>
        <v>NA</v>
      </c>
      <c r="AM281" s="421" t="str">
        <f t="shared" si="358"/>
        <v>NA</v>
      </c>
      <c r="AN281" s="421" t="str">
        <f t="shared" si="359"/>
        <v>NA</v>
      </c>
      <c r="AO281" s="421" t="str">
        <f t="shared" si="360"/>
        <v>NA</v>
      </c>
      <c r="AP281" s="421" t="str">
        <f t="shared" si="361"/>
        <v>NA</v>
      </c>
      <c r="AQ281" s="421" t="str">
        <f t="shared" si="362"/>
        <v>NA</v>
      </c>
      <c r="AR281" s="422" t="str">
        <f t="shared" si="363"/>
        <v>NA</v>
      </c>
      <c r="AS281" s="422" t="str">
        <f t="shared" si="364"/>
        <v>NA</v>
      </c>
      <c r="AT281" s="422" t="str">
        <f t="shared" si="365"/>
        <v>NA</v>
      </c>
      <c r="AU281" s="422" t="str">
        <f t="shared" si="366"/>
        <v>NA</v>
      </c>
      <c r="AV281" s="423" t="str">
        <f t="shared" si="367"/>
        <v>NA</v>
      </c>
    </row>
    <row r="282" spans="1:48" ht="15" customHeight="1" x14ac:dyDescent="0.25">
      <c r="A282" s="146"/>
      <c r="B282" s="148">
        <v>129</v>
      </c>
      <c r="C282" s="151" t="str">
        <f>_xlfn.XLOOKUP(B282, LgProvEntOrgIDs[Advanced Network/Insurer Carrier Org ID], LgProvEntOrgIDs[Advanced Network/Insurance Carrier Overall])</f>
        <v>Westchester Medical Group PLLC (dba WestMed)</v>
      </c>
      <c r="D282" s="448">
        <f>SUMIFS(AN_TME_BY[[#All],[Member Months]],AN_TME_BY[[#All],[Insurance Category Code]],7,AN_TME_BY[[#All],[Advanced Network/Insurance Carrier Org ID]],B282)</f>
        <v>0</v>
      </c>
      <c r="E282" s="137" t="str">
        <f>IF(D282=0,"NA",SUMIFS(AN_TME_BY[[#All],[Claims: Hospital Inpatient]],AN_TME_BY[[#All],[Insurance Category Code]],7,AN_TME_BY[[#All],[Advanced Network/Insurance Carrier Org ID]],B282)/D282)</f>
        <v>NA</v>
      </c>
      <c r="F282" s="108" t="str">
        <f>IF(D282=0,"NA",SUMIFS(AN_TME_BY[[#All],[Claims: Hospital Outpatient]],AN_TME_BY[[#All],[Insurance Category Code]],7,AN_TME_BY[[#All],[Advanced Network/Insurance Carrier Org ID]],B282)/D282)</f>
        <v>NA</v>
      </c>
      <c r="G282" s="108" t="str">
        <f>IF(D282=0,"NA",SUMIFS(AN_TME_BY[[#All],[Claims: Professional, Primary Care]],AN_TME_BY[[#All],[Insurance Category Code]],7,AN_TME_BY[[#All],[Advanced Network/Insurance Carrier Org ID]],B282)/D282)</f>
        <v>NA</v>
      </c>
      <c r="H282" s="108" t="str">
        <f>IF(D282=0,"NA",SUMIFS(AN_TME_BY[[#All],[Claims: Professional, Primary Care (for Monitoring Purposes)]],AN_TME_BY[[#All],[Insurance Category Code]],7,AN_TME_BY[[#All],[Advanced Network/Insurance Carrier Org ID]],B282)/D282)</f>
        <v>NA</v>
      </c>
      <c r="I282" s="108" t="str">
        <f>IF(D282=0,"NA",SUMIFS(AN_TME_BY[[#All],[Claims: Professional, Specialty]],AN_TME_BY[[#All],[Insurance Category Code]],7,AN_TME_BY[[#All],[Advanced Network/Insurance Carrier Org ID]],B282)/D282)</f>
        <v>NA</v>
      </c>
      <c r="J282" s="108" t="str">
        <f>IF(D282=0,"NA",SUMIFS(AN_TME_BY[[#All],[Claims: Professional Other]],AN_TME_BY[[#All],[Insurance Category Code]],7,AN_TME_BY[[#All],[Advanced Network/Insurance Carrier Org ID]],B282)/D282)</f>
        <v>NA</v>
      </c>
      <c r="K282" s="108" t="str">
        <f>IF(D282=0,"NA",SUMIFS(AN_TME_BY[[#All],[Claims: Pharmacy]],AN_TME_BY[[#All],[Insurance Category Code]],7,AN_TME_BY[[#All],[Advanced Network/Insurance Carrier Org ID]],B282)/D282)</f>
        <v>NA</v>
      </c>
      <c r="L282" s="108" t="str">
        <f>IF(D282=0,"NA",SUMIFS(AN_TME_BY[[#All],[Claims: Long-Term Care]],AN_TME_BY[[#All],[Insurance Category Code]],7,AN_TME_BY[[#All],[Advanced Network/Insurance Carrier Org ID]],B282)/D282)</f>
        <v>NA</v>
      </c>
      <c r="M282" s="108" t="str">
        <f>IF(D282=0,"NA",SUMIFS(AN_TME_BY[[#All],[Claims: Other]],AN_TME_BY[[#All],[Insurance Category Code]],7,AN_TME_BY[[#All],[Advanced Network/Insurance Carrier Org ID]],B282)/D282)</f>
        <v>NA</v>
      </c>
      <c r="N282" s="147" t="str">
        <f>IF(D282=0,"NA",SUMIFS(AN_TME_BY[[#All],[TOTAL Non-Truncated Unadjusted Claims Expenses]],AN_TME_BY[[#All],[Insurance Category Code]],7,AN_TME_BY[[#All],[Advanced Network/Insurance Carrier Org ID]],B282)/D282)</f>
        <v>NA</v>
      </c>
      <c r="O282" s="147" t="str">
        <f>IF(D282=0,"NA",SUMIFS(AN_TME_BY[[#All],[TOTAL Truncated Unadjusted Claims Expenses (A21 -A19)]],AN_TME_BY[[#All],[Insurance Category Code]],7,AN_TME_BY[[#All],[Advanced Network/Insurance Carrier Org ID]],B282)/D282)</f>
        <v>NA</v>
      </c>
      <c r="P282" s="147" t="str">
        <f>IF(D282=0,"NA",SUMIFS(AN_TME_BY[[#All],[TOTAL Non-Claims Expenses]],AN_TME_BY[[#All],[Insurance Category Code]],7,AN_TME_BY[[#All],[Advanced Network/Insurance Carrier Org ID]],B282)/D282)</f>
        <v>NA</v>
      </c>
      <c r="Q282" s="147" t="str">
        <f>IF(D282=0,"NA",SUMIFS(AN_TME_BY[[#All],[TOTAL Non-Truncated Unadjusted Expenses (A21 + A23)]],AN_TME_BY[[#All],[Insurance Category Code]],7,AN_TME_BY[[#All],[Advanced Network/Insurance Carrier Org ID]],B282)/D282)</f>
        <v>NA</v>
      </c>
      <c r="R282" s="147" t="str">
        <f>IF(D282=0,"NA",SUMIFS(AN_TME_BY[[#All],[TOTAL Truncated Unadjusted Expenses (A22 + A23)]],AN_TME_BY[[#All],[Insurance Category Code]],7,AN_TME_BY[[#All],[Advanced Network/Insurance Carrier Org ID]],B282)/D282)</f>
        <v>NA</v>
      </c>
      <c r="S282" s="445">
        <f>SUMIFS(AN_TME_PY[[#All],[Member Months]],AN_TME_PY[[#All],[Insurance Category Code]],7,AN_TME_PY[[#All],[Advanced Network/Insurance Carrier Org ID]],B282)</f>
        <v>0</v>
      </c>
      <c r="T282" s="434" t="str">
        <f>IF(S282=0,"NA",SUMIFS(AN_TME_PY[[#All],[Claims: Hospital Inpatient]],AN_TME_PY[[#All],[Insurance Category Code]],7,AN_TME_PY[[#All],[Advanced Network/Insurance Carrier Org ID]],B282)/S282)</f>
        <v>NA</v>
      </c>
      <c r="U282" s="435" t="str">
        <f>IF(S282=0,"NA",SUMIFS(AN_TME_PY[[#All],[Claims: Hospital Outpatient]],AN_TME_PY[[#All],[Insurance Category Code]],7,AN_TME_PY[[#All],[Advanced Network/Insurance Carrier Org ID]],B282)/S282)</f>
        <v>NA</v>
      </c>
      <c r="V282" s="435" t="str">
        <f>IF(S282=0,"NA",SUMIFS(AN_TME_PY[[#All],[Claims: Professional, Primary Care]],AN_TME_PY[[#All],[Insurance Category Code]],7,AN_TME_PY[[#All],[Advanced Network/Insurance Carrier Org ID]],B282)/S282)</f>
        <v>NA</v>
      </c>
      <c r="W282" s="435" t="str">
        <f>IF(S282=0,"NA",SUMIFS(AN_TME_PY[[#All],[Claims: Professional, Primary Care (for Monitoring Purposes)]],AN_TME_PY[[#All],[Insurance Category Code]],7,AN_TME_PY[[#All],[Advanced Network/Insurance Carrier Org ID]],B282)/S282)</f>
        <v>NA</v>
      </c>
      <c r="X282" s="435" t="str">
        <f>IF(S282=0,"NA",SUMIFS(AN_TME_PY[[#All],[Claims: Professional, Specialty]],AN_TME_PY[[#All],[Insurance Category Code]],7,AN_TME_PY[[#All],[Advanced Network/Insurance Carrier Org ID]],B282)/S282)</f>
        <v>NA</v>
      </c>
      <c r="Y282" s="435" t="str">
        <f>IF(S282=0,"NA",SUMIFS(AN_TME_PY[[#All],[Claims: Professional Other]],AN_TME_PY[[#All],[Insurance Category Code]],7,AN_TME_PY[[#All],[Advanced Network/Insurance Carrier Org ID]],B282)/S282)</f>
        <v>NA</v>
      </c>
      <c r="Z282" s="435" t="str">
        <f>IF(S282=0,"NA",SUMIFS(AN_TME_PY[[#All],[Claims: Pharmacy]],AN_TME_PY[[#All],[Insurance Category Code]],7,AN_TME_PY[[#All],[Advanced Network/Insurance Carrier Org ID]],B282)/S282)</f>
        <v>NA</v>
      </c>
      <c r="AA282" s="435" t="str">
        <f>IF(S282=0,"NA",SUMIFS(AN_TME_PY[[#All],[Claims: Long-Term Care]],AN_TME_PY[[#All],[Insurance Category Code]],7,AN_TME_PY[[#All],[Advanced Network/Insurance Carrier Org ID]],B282)/S282)</f>
        <v>NA</v>
      </c>
      <c r="AB282" s="435" t="str">
        <f>IF(S282=0,"NA",SUMIFS(AN_TME_PY[[#All],[Claims: Other]],AN_TME_PY[[#All],[Insurance Category Code]],7,AN_TME_PY[[#All],[Advanced Network/Insurance Carrier Org ID]],B282)/S282)</f>
        <v>NA</v>
      </c>
      <c r="AC282" s="436" t="str">
        <f>IF(S282=0,"NA",SUMIFS(AN_TME_PY[[#All],[TOTAL Non-Truncated Unadjusted Claims Expenses]],AN_TME_PY[[#All],[Insurance Category Code]],7,AN_TME_PY[[#All],[Advanced Network/Insurance Carrier Org ID]],B282)/S282)</f>
        <v>NA</v>
      </c>
      <c r="AD282" s="436" t="str">
        <f>IF(S282=0,"NA",SUMIFS(AN_TME_PY[[#All],[TOTAL Truncated Unadjusted Claims Expenses (A21 -A19)]],AN_TME_PY[[#All],[Insurance Category Code]],7,AN_TME_PY[[#All],[Advanced Network/Insurance Carrier Org ID]],B282)/S282)</f>
        <v>NA</v>
      </c>
      <c r="AE282" s="436" t="str">
        <f>IF(S282=0,"NA",SUMIFS(AN_TME_PY[[#All],[TOTAL Non-Claims Expenses]],AN_TME_PY[[#All],[Insurance Category Code]],7,AN_TME_PY[[#All],[Advanced Network/Insurance Carrier Org ID]],B282)/S282)</f>
        <v>NA</v>
      </c>
      <c r="AF282" s="436" t="str">
        <f>IF(S282=0,"NA",SUMIFS(AN_TME_PY[[#All],[TOTAL Non-Truncated Unadjusted Expenses (A21 + A23)]],AN_TME_PY[[#All],[Insurance Category Code]],7,AN_TME_PY[[#All],[Advanced Network/Insurance Carrier Org ID]],B282)/S282)</f>
        <v>NA</v>
      </c>
      <c r="AG282" s="437" t="str">
        <f>IF(S282=0,"NA",SUMIFS(AN_TME_PY[[#All],[TOTAL Truncated Unadjusted Expenses (A22 + A23)]],AN_TME_PY[[#All],[Insurance Category Code]],7,AN_TME_PY[[#All],[Advanced Network/Insurance Carrier Org ID]],B282)/S282)</f>
        <v>NA</v>
      </c>
      <c r="AH282" s="419" t="str">
        <f t="shared" si="353"/>
        <v>NA</v>
      </c>
      <c r="AI282" s="420" t="str">
        <f t="shared" si="354"/>
        <v>NA</v>
      </c>
      <c r="AJ282" s="421" t="str">
        <f t="shared" si="355"/>
        <v>NA</v>
      </c>
      <c r="AK282" s="421" t="str">
        <f t="shared" si="356"/>
        <v>NA</v>
      </c>
      <c r="AL282" s="421" t="str">
        <f t="shared" si="357"/>
        <v>NA</v>
      </c>
      <c r="AM282" s="421" t="str">
        <f t="shared" si="358"/>
        <v>NA</v>
      </c>
      <c r="AN282" s="421" t="str">
        <f t="shared" si="359"/>
        <v>NA</v>
      </c>
      <c r="AO282" s="421" t="str">
        <f t="shared" si="360"/>
        <v>NA</v>
      </c>
      <c r="AP282" s="421" t="str">
        <f t="shared" si="361"/>
        <v>NA</v>
      </c>
      <c r="AQ282" s="421" t="str">
        <f t="shared" si="362"/>
        <v>NA</v>
      </c>
      <c r="AR282" s="422" t="str">
        <f t="shared" si="363"/>
        <v>NA</v>
      </c>
      <c r="AS282" s="422" t="str">
        <f t="shared" si="364"/>
        <v>NA</v>
      </c>
      <c r="AT282" s="422" t="str">
        <f t="shared" si="365"/>
        <v>NA</v>
      </c>
      <c r="AU282" s="422" t="str">
        <f t="shared" si="366"/>
        <v>NA</v>
      </c>
      <c r="AV282" s="423" t="str">
        <f t="shared" si="367"/>
        <v>NA</v>
      </c>
    </row>
    <row r="283" spans="1:48" ht="15" customHeight="1" x14ac:dyDescent="0.25">
      <c r="A283" s="146"/>
      <c r="B283" s="148">
        <v>130</v>
      </c>
      <c r="C283" s="151" t="str">
        <f>_xlfn.XLOOKUP(B283, LgProvEntOrgIDs[Advanced Network/Insurer Carrier Org ID], LgProvEntOrgIDs[Advanced Network/Insurance Carrier Overall])</f>
        <v>Wheeler Clinic</v>
      </c>
      <c r="D283" s="448">
        <f>SUMIFS(AN_TME_BY[[#All],[Member Months]],AN_TME_BY[[#All],[Insurance Category Code]],7,AN_TME_BY[[#All],[Advanced Network/Insurance Carrier Org ID]],B283)</f>
        <v>0</v>
      </c>
      <c r="E283" s="137" t="str">
        <f>IF(D283=0,"NA",SUMIFS(AN_TME_BY[[#All],[Claims: Hospital Inpatient]],AN_TME_BY[[#All],[Insurance Category Code]],7,AN_TME_BY[[#All],[Advanced Network/Insurance Carrier Org ID]],B283)/D283)</f>
        <v>NA</v>
      </c>
      <c r="F283" s="108" t="str">
        <f>IF(D283=0,"NA",SUMIFS(AN_TME_BY[[#All],[Claims: Hospital Outpatient]],AN_TME_BY[[#All],[Insurance Category Code]],7,AN_TME_BY[[#All],[Advanced Network/Insurance Carrier Org ID]],B283)/D283)</f>
        <v>NA</v>
      </c>
      <c r="G283" s="108" t="str">
        <f>IF(D283=0,"NA",SUMIFS(AN_TME_BY[[#All],[Claims: Professional, Primary Care]],AN_TME_BY[[#All],[Insurance Category Code]],7,AN_TME_BY[[#All],[Advanced Network/Insurance Carrier Org ID]],B283)/D283)</f>
        <v>NA</v>
      </c>
      <c r="H283" s="108" t="str">
        <f>IF(D283=0,"NA",SUMIFS(AN_TME_BY[[#All],[Claims: Professional, Primary Care (for Monitoring Purposes)]],AN_TME_BY[[#All],[Insurance Category Code]],7,AN_TME_BY[[#All],[Advanced Network/Insurance Carrier Org ID]],B283)/D283)</f>
        <v>NA</v>
      </c>
      <c r="I283" s="108" t="str">
        <f>IF(D283=0,"NA",SUMIFS(AN_TME_BY[[#All],[Claims: Professional, Specialty]],AN_TME_BY[[#All],[Insurance Category Code]],7,AN_TME_BY[[#All],[Advanced Network/Insurance Carrier Org ID]],B283)/D283)</f>
        <v>NA</v>
      </c>
      <c r="J283" s="108" t="str">
        <f>IF(D283=0,"NA",SUMIFS(AN_TME_BY[[#All],[Claims: Professional Other]],AN_TME_BY[[#All],[Insurance Category Code]],7,AN_TME_BY[[#All],[Advanced Network/Insurance Carrier Org ID]],B283)/D283)</f>
        <v>NA</v>
      </c>
      <c r="K283" s="108" t="str">
        <f>IF(D283=0,"NA",SUMIFS(AN_TME_BY[[#All],[Claims: Pharmacy]],AN_TME_BY[[#All],[Insurance Category Code]],7,AN_TME_BY[[#All],[Advanced Network/Insurance Carrier Org ID]],B283)/D283)</f>
        <v>NA</v>
      </c>
      <c r="L283" s="108" t="str">
        <f>IF(D283=0,"NA",SUMIFS(AN_TME_BY[[#All],[Claims: Long-Term Care]],AN_TME_BY[[#All],[Insurance Category Code]],7,AN_TME_BY[[#All],[Advanced Network/Insurance Carrier Org ID]],B283)/D283)</f>
        <v>NA</v>
      </c>
      <c r="M283" s="108" t="str">
        <f>IF(D283=0,"NA",SUMIFS(AN_TME_BY[[#All],[Claims: Other]],AN_TME_BY[[#All],[Insurance Category Code]],7,AN_TME_BY[[#All],[Advanced Network/Insurance Carrier Org ID]],B283)/D283)</f>
        <v>NA</v>
      </c>
      <c r="N283" s="147" t="str">
        <f>IF(D283=0,"NA",SUMIFS(AN_TME_BY[[#All],[TOTAL Non-Truncated Unadjusted Claims Expenses]],AN_TME_BY[[#All],[Insurance Category Code]],7,AN_TME_BY[[#All],[Advanced Network/Insurance Carrier Org ID]],B283)/D283)</f>
        <v>NA</v>
      </c>
      <c r="O283" s="147" t="str">
        <f>IF(D283=0,"NA",SUMIFS(AN_TME_BY[[#All],[TOTAL Truncated Unadjusted Claims Expenses (A21 -A19)]],AN_TME_BY[[#All],[Insurance Category Code]],7,AN_TME_BY[[#All],[Advanced Network/Insurance Carrier Org ID]],B283)/D283)</f>
        <v>NA</v>
      </c>
      <c r="P283" s="147" t="str">
        <f>IF(D283=0,"NA",SUMIFS(AN_TME_BY[[#All],[TOTAL Non-Claims Expenses]],AN_TME_BY[[#All],[Insurance Category Code]],7,AN_TME_BY[[#All],[Advanced Network/Insurance Carrier Org ID]],B283)/D283)</f>
        <v>NA</v>
      </c>
      <c r="Q283" s="147" t="str">
        <f>IF(D283=0,"NA",SUMIFS(AN_TME_BY[[#All],[TOTAL Non-Truncated Unadjusted Expenses (A21 + A23)]],AN_TME_BY[[#All],[Insurance Category Code]],7,AN_TME_BY[[#All],[Advanced Network/Insurance Carrier Org ID]],B283)/D283)</f>
        <v>NA</v>
      </c>
      <c r="R283" s="147" t="str">
        <f>IF(D283=0,"NA",SUMIFS(AN_TME_BY[[#All],[TOTAL Truncated Unadjusted Expenses (A22 + A23)]],AN_TME_BY[[#All],[Insurance Category Code]],7,AN_TME_BY[[#All],[Advanced Network/Insurance Carrier Org ID]],B283)/D283)</f>
        <v>NA</v>
      </c>
      <c r="S283" s="445">
        <f>SUMIFS(AN_TME_PY[[#All],[Member Months]],AN_TME_PY[[#All],[Insurance Category Code]],7,AN_TME_PY[[#All],[Advanced Network/Insurance Carrier Org ID]],B283)</f>
        <v>0</v>
      </c>
      <c r="T283" s="434" t="str">
        <f>IF(S283=0,"NA",SUMIFS(AN_TME_PY[[#All],[Claims: Hospital Inpatient]],AN_TME_PY[[#All],[Insurance Category Code]],7,AN_TME_PY[[#All],[Advanced Network/Insurance Carrier Org ID]],B283)/S283)</f>
        <v>NA</v>
      </c>
      <c r="U283" s="435" t="str">
        <f>IF(S283=0,"NA",SUMIFS(AN_TME_PY[[#All],[Claims: Hospital Outpatient]],AN_TME_PY[[#All],[Insurance Category Code]],7,AN_TME_PY[[#All],[Advanced Network/Insurance Carrier Org ID]],B283)/S283)</f>
        <v>NA</v>
      </c>
      <c r="V283" s="435" t="str">
        <f>IF(S283=0,"NA",SUMIFS(AN_TME_PY[[#All],[Claims: Professional, Primary Care]],AN_TME_PY[[#All],[Insurance Category Code]],7,AN_TME_PY[[#All],[Advanced Network/Insurance Carrier Org ID]],B283)/S283)</f>
        <v>NA</v>
      </c>
      <c r="W283" s="435" t="str">
        <f>IF(S283=0,"NA",SUMIFS(AN_TME_PY[[#All],[Claims: Professional, Primary Care (for Monitoring Purposes)]],AN_TME_PY[[#All],[Insurance Category Code]],7,AN_TME_PY[[#All],[Advanced Network/Insurance Carrier Org ID]],B283)/S283)</f>
        <v>NA</v>
      </c>
      <c r="X283" s="435" t="str">
        <f>IF(S283=0,"NA",SUMIFS(AN_TME_PY[[#All],[Claims: Professional, Specialty]],AN_TME_PY[[#All],[Insurance Category Code]],7,AN_TME_PY[[#All],[Advanced Network/Insurance Carrier Org ID]],B283)/S283)</f>
        <v>NA</v>
      </c>
      <c r="Y283" s="435" t="str">
        <f>IF(S283=0,"NA",SUMIFS(AN_TME_PY[[#All],[Claims: Professional Other]],AN_TME_PY[[#All],[Insurance Category Code]],7,AN_TME_PY[[#All],[Advanced Network/Insurance Carrier Org ID]],B283)/S283)</f>
        <v>NA</v>
      </c>
      <c r="Z283" s="435" t="str">
        <f>IF(S283=0,"NA",SUMIFS(AN_TME_PY[[#All],[Claims: Pharmacy]],AN_TME_PY[[#All],[Insurance Category Code]],7,AN_TME_PY[[#All],[Advanced Network/Insurance Carrier Org ID]],B283)/S283)</f>
        <v>NA</v>
      </c>
      <c r="AA283" s="435" t="str">
        <f>IF(S283=0,"NA",SUMIFS(AN_TME_PY[[#All],[Claims: Long-Term Care]],AN_TME_PY[[#All],[Insurance Category Code]],7,AN_TME_PY[[#All],[Advanced Network/Insurance Carrier Org ID]],B283)/S283)</f>
        <v>NA</v>
      </c>
      <c r="AB283" s="435" t="str">
        <f>IF(S283=0,"NA",SUMIFS(AN_TME_PY[[#All],[Claims: Other]],AN_TME_PY[[#All],[Insurance Category Code]],7,AN_TME_PY[[#All],[Advanced Network/Insurance Carrier Org ID]],B283)/S283)</f>
        <v>NA</v>
      </c>
      <c r="AC283" s="436" t="str">
        <f>IF(S283=0,"NA",SUMIFS(AN_TME_PY[[#All],[TOTAL Non-Truncated Unadjusted Claims Expenses]],AN_TME_PY[[#All],[Insurance Category Code]],7,AN_TME_PY[[#All],[Advanced Network/Insurance Carrier Org ID]],B283)/S283)</f>
        <v>NA</v>
      </c>
      <c r="AD283" s="436" t="str">
        <f>IF(S283=0,"NA",SUMIFS(AN_TME_PY[[#All],[TOTAL Truncated Unadjusted Claims Expenses (A21 -A19)]],AN_TME_PY[[#All],[Insurance Category Code]],7,AN_TME_PY[[#All],[Advanced Network/Insurance Carrier Org ID]],B283)/S283)</f>
        <v>NA</v>
      </c>
      <c r="AE283" s="436" t="str">
        <f>IF(S283=0,"NA",SUMIFS(AN_TME_PY[[#All],[TOTAL Non-Claims Expenses]],AN_TME_PY[[#All],[Insurance Category Code]],7,AN_TME_PY[[#All],[Advanced Network/Insurance Carrier Org ID]],B283)/S283)</f>
        <v>NA</v>
      </c>
      <c r="AF283" s="436" t="str">
        <f>IF(S283=0,"NA",SUMIFS(AN_TME_PY[[#All],[TOTAL Non-Truncated Unadjusted Expenses (A21 + A23)]],AN_TME_PY[[#All],[Insurance Category Code]],7,AN_TME_PY[[#All],[Advanced Network/Insurance Carrier Org ID]],B283)/S283)</f>
        <v>NA</v>
      </c>
      <c r="AG283" s="437" t="str">
        <f>IF(S283=0,"NA",SUMIFS(AN_TME_PY[[#All],[TOTAL Truncated Unadjusted Expenses (A22 + A23)]],AN_TME_PY[[#All],[Insurance Category Code]],7,AN_TME_PY[[#All],[Advanced Network/Insurance Carrier Org ID]],B283)/S283)</f>
        <v>NA</v>
      </c>
      <c r="AH283" s="419" t="str">
        <f t="shared" si="353"/>
        <v>NA</v>
      </c>
      <c r="AI283" s="420" t="str">
        <f t="shared" si="354"/>
        <v>NA</v>
      </c>
      <c r="AJ283" s="421" t="str">
        <f t="shared" si="355"/>
        <v>NA</v>
      </c>
      <c r="AK283" s="421" t="str">
        <f t="shared" si="356"/>
        <v>NA</v>
      </c>
      <c r="AL283" s="421" t="str">
        <f t="shared" si="357"/>
        <v>NA</v>
      </c>
      <c r="AM283" s="421" t="str">
        <f t="shared" si="358"/>
        <v>NA</v>
      </c>
      <c r="AN283" s="421" t="str">
        <f t="shared" si="359"/>
        <v>NA</v>
      </c>
      <c r="AO283" s="421" t="str">
        <f t="shared" si="360"/>
        <v>NA</v>
      </c>
      <c r="AP283" s="421" t="str">
        <f t="shared" si="361"/>
        <v>NA</v>
      </c>
      <c r="AQ283" s="421" t="str">
        <f t="shared" si="362"/>
        <v>NA</v>
      </c>
      <c r="AR283" s="422" t="str">
        <f t="shared" si="363"/>
        <v>NA</v>
      </c>
      <c r="AS283" s="422" t="str">
        <f t="shared" si="364"/>
        <v>NA</v>
      </c>
      <c r="AT283" s="422" t="str">
        <f t="shared" si="365"/>
        <v>NA</v>
      </c>
      <c r="AU283" s="422" t="str">
        <f t="shared" si="366"/>
        <v>NA</v>
      </c>
      <c r="AV283" s="423" t="str">
        <f t="shared" si="367"/>
        <v>NA</v>
      </c>
    </row>
    <row r="284" spans="1:48" ht="15" customHeight="1" x14ac:dyDescent="0.25">
      <c r="A284" s="146"/>
      <c r="B284" s="148">
        <v>131</v>
      </c>
      <c r="C284" s="151" t="str">
        <f>_xlfn.XLOOKUP(B284, LgProvEntOrgIDs[Advanced Network/Insurer Carrier Org ID], LgProvEntOrgIDs[Advanced Network/Insurance Carrier Overall])</f>
        <v>Yale Medicine</v>
      </c>
      <c r="D284" s="448">
        <f>SUMIFS(AN_TME_BY[[#All],[Member Months]],AN_TME_BY[[#All],[Insurance Category Code]],7,AN_TME_BY[[#All],[Advanced Network/Insurance Carrier Org ID]],B284)</f>
        <v>0</v>
      </c>
      <c r="E284" s="137" t="str">
        <f>IF(D284=0,"NA",SUMIFS(AN_TME_BY[[#All],[Claims: Hospital Inpatient]],AN_TME_BY[[#All],[Insurance Category Code]],7,AN_TME_BY[[#All],[Advanced Network/Insurance Carrier Org ID]],B284)/D284)</f>
        <v>NA</v>
      </c>
      <c r="F284" s="108" t="str">
        <f>IF(D284=0,"NA",SUMIFS(AN_TME_BY[[#All],[Claims: Hospital Outpatient]],AN_TME_BY[[#All],[Insurance Category Code]],7,AN_TME_BY[[#All],[Advanced Network/Insurance Carrier Org ID]],B284)/D284)</f>
        <v>NA</v>
      </c>
      <c r="G284" s="108" t="str">
        <f>IF(D284=0,"NA",SUMIFS(AN_TME_BY[[#All],[Claims: Professional, Primary Care]],AN_TME_BY[[#All],[Insurance Category Code]],7,AN_TME_BY[[#All],[Advanced Network/Insurance Carrier Org ID]],B284)/D284)</f>
        <v>NA</v>
      </c>
      <c r="H284" s="108" t="str">
        <f>IF(D284=0,"NA",SUMIFS(AN_TME_BY[[#All],[Claims: Professional, Primary Care (for Monitoring Purposes)]],AN_TME_BY[[#All],[Insurance Category Code]],7,AN_TME_BY[[#All],[Advanced Network/Insurance Carrier Org ID]],B284)/D284)</f>
        <v>NA</v>
      </c>
      <c r="I284" s="108" t="str">
        <f>IF(D284=0,"NA",SUMIFS(AN_TME_BY[[#All],[Claims: Professional, Specialty]],AN_TME_BY[[#All],[Insurance Category Code]],7,AN_TME_BY[[#All],[Advanced Network/Insurance Carrier Org ID]],B284)/D284)</f>
        <v>NA</v>
      </c>
      <c r="J284" s="108" t="str">
        <f>IF(D284=0,"NA",SUMIFS(AN_TME_BY[[#All],[Claims: Professional Other]],AN_TME_BY[[#All],[Insurance Category Code]],7,AN_TME_BY[[#All],[Advanced Network/Insurance Carrier Org ID]],B284)/D284)</f>
        <v>NA</v>
      </c>
      <c r="K284" s="108" t="str">
        <f>IF(D284=0,"NA",SUMIFS(AN_TME_BY[[#All],[Claims: Pharmacy]],AN_TME_BY[[#All],[Insurance Category Code]],7,AN_TME_BY[[#All],[Advanced Network/Insurance Carrier Org ID]],B284)/D284)</f>
        <v>NA</v>
      </c>
      <c r="L284" s="108" t="str">
        <f>IF(D284=0,"NA",SUMIFS(AN_TME_BY[[#All],[Claims: Long-Term Care]],AN_TME_BY[[#All],[Insurance Category Code]],7,AN_TME_BY[[#All],[Advanced Network/Insurance Carrier Org ID]],B284)/D284)</f>
        <v>NA</v>
      </c>
      <c r="M284" s="108" t="str">
        <f>IF(D284=0,"NA",SUMIFS(AN_TME_BY[[#All],[Claims: Other]],AN_TME_BY[[#All],[Insurance Category Code]],7,AN_TME_BY[[#All],[Advanced Network/Insurance Carrier Org ID]],B284)/D284)</f>
        <v>NA</v>
      </c>
      <c r="N284" s="147" t="str">
        <f>IF(D284=0,"NA",SUMIFS(AN_TME_BY[[#All],[TOTAL Non-Truncated Unadjusted Claims Expenses]],AN_TME_BY[[#All],[Insurance Category Code]],7,AN_TME_BY[[#All],[Advanced Network/Insurance Carrier Org ID]],B284)/D284)</f>
        <v>NA</v>
      </c>
      <c r="O284" s="147" t="str">
        <f>IF(D284=0,"NA",SUMIFS(AN_TME_BY[[#All],[TOTAL Truncated Unadjusted Claims Expenses (A21 -A19)]],AN_TME_BY[[#All],[Insurance Category Code]],7,AN_TME_BY[[#All],[Advanced Network/Insurance Carrier Org ID]],B284)/D284)</f>
        <v>NA</v>
      </c>
      <c r="P284" s="147" t="str">
        <f>IF(D284=0,"NA",SUMIFS(AN_TME_BY[[#All],[TOTAL Non-Claims Expenses]],AN_TME_BY[[#All],[Insurance Category Code]],7,AN_TME_BY[[#All],[Advanced Network/Insurance Carrier Org ID]],B284)/D284)</f>
        <v>NA</v>
      </c>
      <c r="Q284" s="147" t="str">
        <f>IF(D284=0,"NA",SUMIFS(AN_TME_BY[[#All],[TOTAL Non-Truncated Unadjusted Expenses (A21 + A23)]],AN_TME_BY[[#All],[Insurance Category Code]],7,AN_TME_BY[[#All],[Advanced Network/Insurance Carrier Org ID]],B284)/D284)</f>
        <v>NA</v>
      </c>
      <c r="R284" s="147" t="str">
        <f>IF(D284=0,"NA",SUMIFS(AN_TME_BY[[#All],[TOTAL Truncated Unadjusted Expenses (A22 + A23)]],AN_TME_BY[[#All],[Insurance Category Code]],7,AN_TME_BY[[#All],[Advanced Network/Insurance Carrier Org ID]],B284)/D284)</f>
        <v>NA</v>
      </c>
      <c r="S284" s="445">
        <f>SUMIFS(AN_TME_PY[[#All],[Member Months]],AN_TME_PY[[#All],[Insurance Category Code]],7,AN_TME_PY[[#All],[Advanced Network/Insurance Carrier Org ID]],B284)</f>
        <v>0</v>
      </c>
      <c r="T284" s="434" t="str">
        <f>IF(S284=0,"NA",SUMIFS(AN_TME_PY[[#All],[Claims: Hospital Inpatient]],AN_TME_PY[[#All],[Insurance Category Code]],7,AN_TME_PY[[#All],[Advanced Network/Insurance Carrier Org ID]],B284)/S284)</f>
        <v>NA</v>
      </c>
      <c r="U284" s="435" t="str">
        <f>IF(S284=0,"NA",SUMIFS(AN_TME_PY[[#All],[Claims: Hospital Outpatient]],AN_TME_PY[[#All],[Insurance Category Code]],7,AN_TME_PY[[#All],[Advanced Network/Insurance Carrier Org ID]],B284)/S284)</f>
        <v>NA</v>
      </c>
      <c r="V284" s="435" t="str">
        <f>IF(S284=0,"NA",SUMIFS(AN_TME_PY[[#All],[Claims: Professional, Primary Care]],AN_TME_PY[[#All],[Insurance Category Code]],7,AN_TME_PY[[#All],[Advanced Network/Insurance Carrier Org ID]],B284)/S284)</f>
        <v>NA</v>
      </c>
      <c r="W284" s="435" t="str">
        <f>IF(S284=0,"NA",SUMIFS(AN_TME_PY[[#All],[Claims: Professional, Primary Care (for Monitoring Purposes)]],AN_TME_PY[[#All],[Insurance Category Code]],7,AN_TME_PY[[#All],[Advanced Network/Insurance Carrier Org ID]],B284)/S284)</f>
        <v>NA</v>
      </c>
      <c r="X284" s="435" t="str">
        <f>IF(S284=0,"NA",SUMIFS(AN_TME_PY[[#All],[Claims: Professional, Specialty]],AN_TME_PY[[#All],[Insurance Category Code]],7,AN_TME_PY[[#All],[Advanced Network/Insurance Carrier Org ID]],B284)/S284)</f>
        <v>NA</v>
      </c>
      <c r="Y284" s="435" t="str">
        <f>IF(S284=0,"NA",SUMIFS(AN_TME_PY[[#All],[Claims: Professional Other]],AN_TME_PY[[#All],[Insurance Category Code]],7,AN_TME_PY[[#All],[Advanced Network/Insurance Carrier Org ID]],B284)/S284)</f>
        <v>NA</v>
      </c>
      <c r="Z284" s="435" t="str">
        <f>IF(S284=0,"NA",SUMIFS(AN_TME_PY[[#All],[Claims: Pharmacy]],AN_TME_PY[[#All],[Insurance Category Code]],7,AN_TME_PY[[#All],[Advanced Network/Insurance Carrier Org ID]],B284)/S284)</f>
        <v>NA</v>
      </c>
      <c r="AA284" s="435" t="str">
        <f>IF(S284=0,"NA",SUMIFS(AN_TME_PY[[#All],[Claims: Long-Term Care]],AN_TME_PY[[#All],[Insurance Category Code]],7,AN_TME_PY[[#All],[Advanced Network/Insurance Carrier Org ID]],B284)/S284)</f>
        <v>NA</v>
      </c>
      <c r="AB284" s="435" t="str">
        <f>IF(S284=0,"NA",SUMIFS(AN_TME_PY[[#All],[Claims: Other]],AN_TME_PY[[#All],[Insurance Category Code]],7,AN_TME_PY[[#All],[Advanced Network/Insurance Carrier Org ID]],B284)/S284)</f>
        <v>NA</v>
      </c>
      <c r="AC284" s="436" t="str">
        <f>IF(S284=0,"NA",SUMIFS(AN_TME_PY[[#All],[TOTAL Non-Truncated Unadjusted Claims Expenses]],AN_TME_PY[[#All],[Insurance Category Code]],7,AN_TME_PY[[#All],[Advanced Network/Insurance Carrier Org ID]],B284)/S284)</f>
        <v>NA</v>
      </c>
      <c r="AD284" s="436" t="str">
        <f>IF(S284=0,"NA",SUMIFS(AN_TME_PY[[#All],[TOTAL Truncated Unadjusted Claims Expenses (A21 -A19)]],AN_TME_PY[[#All],[Insurance Category Code]],7,AN_TME_PY[[#All],[Advanced Network/Insurance Carrier Org ID]],B284)/S284)</f>
        <v>NA</v>
      </c>
      <c r="AE284" s="436" t="str">
        <f>IF(S284=0,"NA",SUMIFS(AN_TME_PY[[#All],[TOTAL Non-Claims Expenses]],AN_TME_PY[[#All],[Insurance Category Code]],7,AN_TME_PY[[#All],[Advanced Network/Insurance Carrier Org ID]],B284)/S284)</f>
        <v>NA</v>
      </c>
      <c r="AF284" s="436" t="str">
        <f>IF(S284=0,"NA",SUMIFS(AN_TME_PY[[#All],[TOTAL Non-Truncated Unadjusted Expenses (A21 + A23)]],AN_TME_PY[[#All],[Insurance Category Code]],7,AN_TME_PY[[#All],[Advanced Network/Insurance Carrier Org ID]],B284)/S284)</f>
        <v>NA</v>
      </c>
      <c r="AG284" s="437" t="str">
        <f>IF(S284=0,"NA",SUMIFS(AN_TME_PY[[#All],[TOTAL Truncated Unadjusted Expenses (A22 + A23)]],AN_TME_PY[[#All],[Insurance Category Code]],7,AN_TME_PY[[#All],[Advanced Network/Insurance Carrier Org ID]],B284)/S284)</f>
        <v>NA</v>
      </c>
      <c r="AH284" s="419" t="str">
        <f t="shared" si="353"/>
        <v>NA</v>
      </c>
      <c r="AI284" s="420" t="str">
        <f t="shared" si="354"/>
        <v>NA</v>
      </c>
      <c r="AJ284" s="421" t="str">
        <f t="shared" si="355"/>
        <v>NA</v>
      </c>
      <c r="AK284" s="421" t="str">
        <f t="shared" si="356"/>
        <v>NA</v>
      </c>
      <c r="AL284" s="421" t="str">
        <f t="shared" si="357"/>
        <v>NA</v>
      </c>
      <c r="AM284" s="421" t="str">
        <f t="shared" si="358"/>
        <v>NA</v>
      </c>
      <c r="AN284" s="421" t="str">
        <f t="shared" si="359"/>
        <v>NA</v>
      </c>
      <c r="AO284" s="421" t="str">
        <f t="shared" si="360"/>
        <v>NA</v>
      </c>
      <c r="AP284" s="421" t="str">
        <f t="shared" si="361"/>
        <v>NA</v>
      </c>
      <c r="AQ284" s="421" t="str">
        <f t="shared" si="362"/>
        <v>NA</v>
      </c>
      <c r="AR284" s="422" t="str">
        <f t="shared" si="363"/>
        <v>NA</v>
      </c>
      <c r="AS284" s="422" t="str">
        <f t="shared" si="364"/>
        <v>NA</v>
      </c>
      <c r="AT284" s="422" t="str">
        <f t="shared" si="365"/>
        <v>NA</v>
      </c>
      <c r="AU284" s="422" t="str">
        <f t="shared" si="366"/>
        <v>NA</v>
      </c>
      <c r="AV284" s="423" t="str">
        <f t="shared" si="367"/>
        <v>NA</v>
      </c>
    </row>
    <row r="285" spans="1:48" ht="15" customHeight="1" x14ac:dyDescent="0.25">
      <c r="A285" s="146"/>
      <c r="B285" s="148">
        <v>132</v>
      </c>
      <c r="C285" s="151" t="str">
        <f>_xlfn.XLOOKUP(B285, LgProvEntOrgIDs[Advanced Network/Insurer Carrier Org ID], LgProvEntOrgIDs[Advanced Network/Insurance Carrier Overall])</f>
        <v>InterCommunity Health Care</v>
      </c>
      <c r="D285" s="448">
        <f>SUMIFS(AN_TME_BY[[#All],[Member Months]],AN_TME_BY[[#All],[Insurance Category Code]],7,AN_TME_BY[[#All],[Advanced Network/Insurance Carrier Org ID]],B285)</f>
        <v>0</v>
      </c>
      <c r="E285" s="137" t="str">
        <f>IF(D285=0,"NA",SUMIFS(AN_TME_BY[[#All],[Claims: Hospital Inpatient]],AN_TME_BY[[#All],[Insurance Category Code]],7,AN_TME_BY[[#All],[Advanced Network/Insurance Carrier Org ID]],B285)/D285)</f>
        <v>NA</v>
      </c>
      <c r="F285" s="108" t="str">
        <f>IF(D285=0,"NA",SUMIFS(AN_TME_BY[[#All],[Claims: Hospital Outpatient]],AN_TME_BY[[#All],[Insurance Category Code]],7,AN_TME_BY[[#All],[Advanced Network/Insurance Carrier Org ID]],B285)/D285)</f>
        <v>NA</v>
      </c>
      <c r="G285" s="108" t="str">
        <f>IF(D285=0,"NA",SUMIFS(AN_TME_BY[[#All],[Claims: Professional, Primary Care]],AN_TME_BY[[#All],[Insurance Category Code]],7,AN_TME_BY[[#All],[Advanced Network/Insurance Carrier Org ID]],B285)/D285)</f>
        <v>NA</v>
      </c>
      <c r="H285" s="108" t="str">
        <f>IF(D285=0,"NA",SUMIFS(AN_TME_BY[[#All],[Claims: Professional, Primary Care (for Monitoring Purposes)]],AN_TME_BY[[#All],[Insurance Category Code]],7,AN_TME_BY[[#All],[Advanced Network/Insurance Carrier Org ID]],B285)/D285)</f>
        <v>NA</v>
      </c>
      <c r="I285" s="108" t="str">
        <f>IF(D285=0,"NA",SUMIFS(AN_TME_BY[[#All],[Claims: Professional, Specialty]],AN_TME_BY[[#All],[Insurance Category Code]],7,AN_TME_BY[[#All],[Advanced Network/Insurance Carrier Org ID]],B285)/D285)</f>
        <v>NA</v>
      </c>
      <c r="J285" s="108" t="str">
        <f>IF(D285=0,"NA",SUMIFS(AN_TME_BY[[#All],[Claims: Professional Other]],AN_TME_BY[[#All],[Insurance Category Code]],7,AN_TME_BY[[#All],[Advanced Network/Insurance Carrier Org ID]],B285)/D285)</f>
        <v>NA</v>
      </c>
      <c r="K285" s="108" t="str">
        <f>IF(D285=0,"NA",SUMIFS(AN_TME_BY[[#All],[Claims: Pharmacy]],AN_TME_BY[[#All],[Insurance Category Code]],7,AN_TME_BY[[#All],[Advanced Network/Insurance Carrier Org ID]],B285)/D285)</f>
        <v>NA</v>
      </c>
      <c r="L285" s="108" t="str">
        <f>IF(D285=0,"NA",SUMIFS(AN_TME_BY[[#All],[Claims: Long-Term Care]],AN_TME_BY[[#All],[Insurance Category Code]],7,AN_TME_BY[[#All],[Advanced Network/Insurance Carrier Org ID]],B285)/D285)</f>
        <v>NA</v>
      </c>
      <c r="M285" s="108" t="str">
        <f>IF(D285=0,"NA",SUMIFS(AN_TME_BY[[#All],[Claims: Other]],AN_TME_BY[[#All],[Insurance Category Code]],7,AN_TME_BY[[#All],[Advanced Network/Insurance Carrier Org ID]],B285)/D285)</f>
        <v>NA</v>
      </c>
      <c r="N285" s="147" t="str">
        <f>IF(D285=0,"NA",SUMIFS(AN_TME_BY[[#All],[TOTAL Non-Truncated Unadjusted Claims Expenses]],AN_TME_BY[[#All],[Insurance Category Code]],7,AN_TME_BY[[#All],[Advanced Network/Insurance Carrier Org ID]],B285)/D285)</f>
        <v>NA</v>
      </c>
      <c r="O285" s="147" t="str">
        <f>IF(D285=0,"NA",SUMIFS(AN_TME_BY[[#All],[TOTAL Truncated Unadjusted Claims Expenses (A21 -A19)]],AN_TME_BY[[#All],[Insurance Category Code]],7,AN_TME_BY[[#All],[Advanced Network/Insurance Carrier Org ID]],B285)/D285)</f>
        <v>NA</v>
      </c>
      <c r="P285" s="147" t="str">
        <f>IF(D285=0,"NA",SUMIFS(AN_TME_BY[[#All],[TOTAL Non-Claims Expenses]],AN_TME_BY[[#All],[Insurance Category Code]],7,AN_TME_BY[[#All],[Advanced Network/Insurance Carrier Org ID]],B285)/D285)</f>
        <v>NA</v>
      </c>
      <c r="Q285" s="147" t="str">
        <f>IF(D285=0,"NA",SUMIFS(AN_TME_BY[[#All],[TOTAL Non-Truncated Unadjusted Expenses (A21 + A23)]],AN_TME_BY[[#All],[Insurance Category Code]],7,AN_TME_BY[[#All],[Advanced Network/Insurance Carrier Org ID]],B285)/D285)</f>
        <v>NA</v>
      </c>
      <c r="R285" s="147" t="str">
        <f>IF(D285=0,"NA",SUMIFS(AN_TME_BY[[#All],[TOTAL Truncated Unadjusted Expenses (A22 + A23)]],AN_TME_BY[[#All],[Insurance Category Code]],7,AN_TME_BY[[#All],[Advanced Network/Insurance Carrier Org ID]],B285)/D285)</f>
        <v>NA</v>
      </c>
      <c r="S285" s="445">
        <f>SUMIFS(AN_TME_PY[[#All],[Member Months]],AN_TME_PY[[#All],[Insurance Category Code]],7,AN_TME_PY[[#All],[Advanced Network/Insurance Carrier Org ID]],B285)</f>
        <v>0</v>
      </c>
      <c r="T285" s="434" t="str">
        <f>IF(S285=0,"NA",SUMIFS(AN_TME_PY[[#All],[Claims: Hospital Inpatient]],AN_TME_PY[[#All],[Insurance Category Code]],7,AN_TME_PY[[#All],[Advanced Network/Insurance Carrier Org ID]],B285)/S285)</f>
        <v>NA</v>
      </c>
      <c r="U285" s="435" t="str">
        <f>IF(S285=0,"NA",SUMIFS(AN_TME_PY[[#All],[Claims: Hospital Outpatient]],AN_TME_PY[[#All],[Insurance Category Code]],7,AN_TME_PY[[#All],[Advanced Network/Insurance Carrier Org ID]],B285)/S285)</f>
        <v>NA</v>
      </c>
      <c r="V285" s="435" t="str">
        <f>IF(S285=0,"NA",SUMIFS(AN_TME_PY[[#All],[Claims: Professional, Primary Care]],AN_TME_PY[[#All],[Insurance Category Code]],7,AN_TME_PY[[#All],[Advanced Network/Insurance Carrier Org ID]],B285)/S285)</f>
        <v>NA</v>
      </c>
      <c r="W285" s="435" t="str">
        <f>IF(S285=0,"NA",SUMIFS(AN_TME_PY[[#All],[Claims: Professional, Primary Care (for Monitoring Purposes)]],AN_TME_PY[[#All],[Insurance Category Code]],7,AN_TME_PY[[#All],[Advanced Network/Insurance Carrier Org ID]],B285)/S285)</f>
        <v>NA</v>
      </c>
      <c r="X285" s="435" t="str">
        <f>IF(S285=0,"NA",SUMIFS(AN_TME_PY[[#All],[Claims: Professional, Specialty]],AN_TME_PY[[#All],[Insurance Category Code]],7,AN_TME_PY[[#All],[Advanced Network/Insurance Carrier Org ID]],B285)/S285)</f>
        <v>NA</v>
      </c>
      <c r="Y285" s="435" t="str">
        <f>IF(S285=0,"NA",SUMIFS(AN_TME_PY[[#All],[Claims: Professional Other]],AN_TME_PY[[#All],[Insurance Category Code]],7,AN_TME_PY[[#All],[Advanced Network/Insurance Carrier Org ID]],B285)/S285)</f>
        <v>NA</v>
      </c>
      <c r="Z285" s="435" t="str">
        <f>IF(S285=0,"NA",SUMIFS(AN_TME_PY[[#All],[Claims: Pharmacy]],AN_TME_PY[[#All],[Insurance Category Code]],7,AN_TME_PY[[#All],[Advanced Network/Insurance Carrier Org ID]],B285)/S285)</f>
        <v>NA</v>
      </c>
      <c r="AA285" s="435" t="str">
        <f>IF(S285=0,"NA",SUMIFS(AN_TME_PY[[#All],[Claims: Long-Term Care]],AN_TME_PY[[#All],[Insurance Category Code]],7,AN_TME_PY[[#All],[Advanced Network/Insurance Carrier Org ID]],B285)/S285)</f>
        <v>NA</v>
      </c>
      <c r="AB285" s="435" t="str">
        <f>IF(S285=0,"NA",SUMIFS(AN_TME_PY[[#All],[Claims: Other]],AN_TME_PY[[#All],[Insurance Category Code]],7,AN_TME_PY[[#All],[Advanced Network/Insurance Carrier Org ID]],B285)/S285)</f>
        <v>NA</v>
      </c>
      <c r="AC285" s="436" t="str">
        <f>IF(S285=0,"NA",SUMIFS(AN_TME_PY[[#All],[TOTAL Non-Truncated Unadjusted Claims Expenses]],AN_TME_PY[[#All],[Insurance Category Code]],7,AN_TME_PY[[#All],[Advanced Network/Insurance Carrier Org ID]],B285)/S285)</f>
        <v>NA</v>
      </c>
      <c r="AD285" s="436" t="str">
        <f>IF(S285=0,"NA",SUMIFS(AN_TME_PY[[#All],[TOTAL Truncated Unadjusted Claims Expenses (A21 -A19)]],AN_TME_PY[[#All],[Insurance Category Code]],7,AN_TME_PY[[#All],[Advanced Network/Insurance Carrier Org ID]],B285)/S285)</f>
        <v>NA</v>
      </c>
      <c r="AE285" s="436" t="str">
        <f>IF(S285=0,"NA",SUMIFS(AN_TME_PY[[#All],[TOTAL Non-Claims Expenses]],AN_TME_PY[[#All],[Insurance Category Code]],7,AN_TME_PY[[#All],[Advanced Network/Insurance Carrier Org ID]],B285)/S285)</f>
        <v>NA</v>
      </c>
      <c r="AF285" s="436" t="str">
        <f>IF(S285=0,"NA",SUMIFS(AN_TME_PY[[#All],[TOTAL Non-Truncated Unadjusted Expenses (A21 + A23)]],AN_TME_PY[[#All],[Insurance Category Code]],7,AN_TME_PY[[#All],[Advanced Network/Insurance Carrier Org ID]],B285)/S285)</f>
        <v>NA</v>
      </c>
      <c r="AG285" s="437" t="str">
        <f>IF(S285=0,"NA",SUMIFS(AN_TME_PY[[#All],[TOTAL Truncated Unadjusted Expenses (A22 + A23)]],AN_TME_PY[[#All],[Insurance Category Code]],7,AN_TME_PY[[#All],[Advanced Network/Insurance Carrier Org ID]],B285)/S285)</f>
        <v>NA</v>
      </c>
      <c r="AH285" s="419" t="str">
        <f t="shared" ref="AH285:AH287" si="368">IF(D285=0,"NA",S285/D285-1)</f>
        <v>NA</v>
      </c>
      <c r="AI285" s="420" t="str">
        <f t="shared" ref="AI285:AI287" si="369">IF(D285=0,"NA",T285/E285-1)</f>
        <v>NA</v>
      </c>
      <c r="AJ285" s="421" t="str">
        <f t="shared" ref="AJ285:AJ287" si="370">IF(D285=0,"NA",U285/F285-1)</f>
        <v>NA</v>
      </c>
      <c r="AK285" s="421" t="str">
        <f t="shared" ref="AK285:AK287" si="371">IF(D285=0,"NA",V285/G285-1)</f>
        <v>NA</v>
      </c>
      <c r="AL285" s="421" t="str">
        <f t="shared" ref="AL285:AL287" si="372">IF(D285=0,"NA",W285/H285-1)</f>
        <v>NA</v>
      </c>
      <c r="AM285" s="421" t="str">
        <f t="shared" ref="AM285:AM287" si="373">IF(D285=0,"NA",X285/I285-1)</f>
        <v>NA</v>
      </c>
      <c r="AN285" s="421" t="str">
        <f t="shared" ref="AN285:AN287" si="374">IF(D285=0,"NA",Y285/J285-1)</f>
        <v>NA</v>
      </c>
      <c r="AO285" s="421" t="str">
        <f t="shared" ref="AO285:AO287" si="375">IF(D285=0,"NA",Z285/K285-1)</f>
        <v>NA</v>
      </c>
      <c r="AP285" s="421" t="str">
        <f t="shared" ref="AP285:AP287" si="376">IF(D285=0,"NA",AA285/L285-1)</f>
        <v>NA</v>
      </c>
      <c r="AQ285" s="421" t="str">
        <f t="shared" ref="AQ285:AQ287" si="377">IF(D285=0,"NA",AB285/M285-1)</f>
        <v>NA</v>
      </c>
      <c r="AR285" s="422" t="str">
        <f t="shared" ref="AR285:AR287" si="378">IF(D285=0,"NA",AC285/N285-1)</f>
        <v>NA</v>
      </c>
      <c r="AS285" s="422" t="str">
        <f t="shared" ref="AS285:AS287" si="379">IF(D285=0,"NA",AD285/O285-1)</f>
        <v>NA</v>
      </c>
      <c r="AT285" s="422" t="str">
        <f t="shared" ref="AT285:AT287" si="380">IF(D285=0,"NA",AE285/P285-1)</f>
        <v>NA</v>
      </c>
      <c r="AU285" s="422" t="str">
        <f t="shared" ref="AU285:AU287" si="381">IF(D285=0,"NA",AF285/Q285-1)</f>
        <v>NA</v>
      </c>
      <c r="AV285" s="423" t="str">
        <f t="shared" ref="AV285:AV287" si="382">IF(D285=0,"NA",AG285/R285-1)</f>
        <v>NA</v>
      </c>
    </row>
    <row r="286" spans="1:48" ht="15" customHeight="1" x14ac:dyDescent="0.25">
      <c r="A286" s="146"/>
      <c r="B286" s="148">
        <v>133</v>
      </c>
      <c r="C286" s="151" t="str">
        <f>_xlfn.XLOOKUP(B286, LgProvEntOrgIDs[Advanced Network/Insurer Carrier Org ID], LgProvEntOrgIDs[Advanced Network/Insurance Carrier Overall])</f>
        <v>Trinity Health, Inc.</v>
      </c>
      <c r="D286" s="448">
        <f>SUMIFS(AN_TME_BY[[#All],[Member Months]],AN_TME_BY[[#All],[Insurance Category Code]],7,AN_TME_BY[[#All],[Advanced Network/Insurance Carrier Org ID]],B286)</f>
        <v>0</v>
      </c>
      <c r="E286" s="137" t="str">
        <f>IF(D286=0,"NA",SUMIFS(AN_TME_BY[[#All],[Claims: Hospital Inpatient]],AN_TME_BY[[#All],[Insurance Category Code]],7,AN_TME_BY[[#All],[Advanced Network/Insurance Carrier Org ID]],B286)/D286)</f>
        <v>NA</v>
      </c>
      <c r="F286" s="108" t="str">
        <f>IF(D286=0,"NA",SUMIFS(AN_TME_BY[[#All],[Claims: Hospital Outpatient]],AN_TME_BY[[#All],[Insurance Category Code]],7,AN_TME_BY[[#All],[Advanced Network/Insurance Carrier Org ID]],B286)/D286)</f>
        <v>NA</v>
      </c>
      <c r="G286" s="108" t="str">
        <f>IF(D286=0,"NA",SUMIFS(AN_TME_BY[[#All],[Claims: Professional, Primary Care]],AN_TME_BY[[#All],[Insurance Category Code]],7,AN_TME_BY[[#All],[Advanced Network/Insurance Carrier Org ID]],B286)/D286)</f>
        <v>NA</v>
      </c>
      <c r="H286" s="108" t="str">
        <f>IF(D286=0,"NA",SUMIFS(AN_TME_BY[[#All],[Claims: Professional, Primary Care (for Monitoring Purposes)]],AN_TME_BY[[#All],[Insurance Category Code]],7,AN_TME_BY[[#All],[Advanced Network/Insurance Carrier Org ID]],B286)/D286)</f>
        <v>NA</v>
      </c>
      <c r="I286" s="108" t="str">
        <f>IF(D286=0,"NA",SUMIFS(AN_TME_BY[[#All],[Claims: Professional, Specialty]],AN_TME_BY[[#All],[Insurance Category Code]],7,AN_TME_BY[[#All],[Advanced Network/Insurance Carrier Org ID]],B286)/D286)</f>
        <v>NA</v>
      </c>
      <c r="J286" s="108" t="str">
        <f>IF(D286=0,"NA",SUMIFS(AN_TME_BY[[#All],[Claims: Professional Other]],AN_TME_BY[[#All],[Insurance Category Code]],7,AN_TME_BY[[#All],[Advanced Network/Insurance Carrier Org ID]],B286)/D286)</f>
        <v>NA</v>
      </c>
      <c r="K286" s="108" t="str">
        <f>IF(D286=0,"NA",SUMIFS(AN_TME_BY[[#All],[Claims: Pharmacy]],AN_TME_BY[[#All],[Insurance Category Code]],7,AN_TME_BY[[#All],[Advanced Network/Insurance Carrier Org ID]],B286)/D286)</f>
        <v>NA</v>
      </c>
      <c r="L286" s="108" t="str">
        <f>IF(D286=0,"NA",SUMIFS(AN_TME_BY[[#All],[Claims: Long-Term Care]],AN_TME_BY[[#All],[Insurance Category Code]],7,AN_TME_BY[[#All],[Advanced Network/Insurance Carrier Org ID]],B286)/D286)</f>
        <v>NA</v>
      </c>
      <c r="M286" s="108" t="str">
        <f>IF(D286=0,"NA",SUMIFS(AN_TME_BY[[#All],[Claims: Other]],AN_TME_BY[[#All],[Insurance Category Code]],7,AN_TME_BY[[#All],[Advanced Network/Insurance Carrier Org ID]],B286)/D286)</f>
        <v>NA</v>
      </c>
      <c r="N286" s="147" t="str">
        <f>IF(D286=0,"NA",SUMIFS(AN_TME_BY[[#All],[TOTAL Non-Truncated Unadjusted Claims Expenses]],AN_TME_BY[[#All],[Insurance Category Code]],7,AN_TME_BY[[#All],[Advanced Network/Insurance Carrier Org ID]],B286)/D286)</f>
        <v>NA</v>
      </c>
      <c r="O286" s="147" t="str">
        <f>IF(D286=0,"NA",SUMIFS(AN_TME_BY[[#All],[TOTAL Truncated Unadjusted Claims Expenses (A21 -A19)]],AN_TME_BY[[#All],[Insurance Category Code]],7,AN_TME_BY[[#All],[Advanced Network/Insurance Carrier Org ID]],B286)/D286)</f>
        <v>NA</v>
      </c>
      <c r="P286" s="147" t="str">
        <f>IF(D286=0,"NA",SUMIFS(AN_TME_BY[[#All],[TOTAL Non-Claims Expenses]],AN_TME_BY[[#All],[Insurance Category Code]],7,AN_TME_BY[[#All],[Advanced Network/Insurance Carrier Org ID]],B286)/D286)</f>
        <v>NA</v>
      </c>
      <c r="Q286" s="147" t="str">
        <f>IF(D286=0,"NA",SUMIFS(AN_TME_BY[[#All],[TOTAL Non-Truncated Unadjusted Expenses (A21 + A23)]],AN_TME_BY[[#All],[Insurance Category Code]],7,AN_TME_BY[[#All],[Advanced Network/Insurance Carrier Org ID]],B286)/D286)</f>
        <v>NA</v>
      </c>
      <c r="R286" s="147" t="str">
        <f>IF(D286=0,"NA",SUMIFS(AN_TME_BY[[#All],[TOTAL Truncated Unadjusted Expenses (A22 + A23)]],AN_TME_BY[[#All],[Insurance Category Code]],7,AN_TME_BY[[#All],[Advanced Network/Insurance Carrier Org ID]],B286)/D286)</f>
        <v>NA</v>
      </c>
      <c r="S286" s="445">
        <f>SUMIFS(AN_TME_PY[[#All],[Member Months]],AN_TME_PY[[#All],[Insurance Category Code]],7,AN_TME_PY[[#All],[Advanced Network/Insurance Carrier Org ID]],B286)</f>
        <v>0</v>
      </c>
      <c r="T286" s="434" t="str">
        <f>IF(S286=0,"NA",SUMIFS(AN_TME_PY[[#All],[Claims: Hospital Inpatient]],AN_TME_PY[[#All],[Insurance Category Code]],7,AN_TME_PY[[#All],[Advanced Network/Insurance Carrier Org ID]],B286)/S286)</f>
        <v>NA</v>
      </c>
      <c r="U286" s="435" t="str">
        <f>IF(S286=0,"NA",SUMIFS(AN_TME_PY[[#All],[Claims: Hospital Outpatient]],AN_TME_PY[[#All],[Insurance Category Code]],7,AN_TME_PY[[#All],[Advanced Network/Insurance Carrier Org ID]],B286)/S286)</f>
        <v>NA</v>
      </c>
      <c r="V286" s="435" t="str">
        <f>IF(S286=0,"NA",SUMIFS(AN_TME_PY[[#All],[Claims: Professional, Primary Care]],AN_TME_PY[[#All],[Insurance Category Code]],7,AN_TME_PY[[#All],[Advanced Network/Insurance Carrier Org ID]],B286)/S286)</f>
        <v>NA</v>
      </c>
      <c r="W286" s="435" t="str">
        <f>IF(S286=0,"NA",SUMIFS(AN_TME_PY[[#All],[Claims: Professional, Primary Care (for Monitoring Purposes)]],AN_TME_PY[[#All],[Insurance Category Code]],7,AN_TME_PY[[#All],[Advanced Network/Insurance Carrier Org ID]],B286)/S286)</f>
        <v>NA</v>
      </c>
      <c r="X286" s="435" t="str">
        <f>IF(S286=0,"NA",SUMIFS(AN_TME_PY[[#All],[Claims: Professional, Specialty]],AN_TME_PY[[#All],[Insurance Category Code]],7,AN_TME_PY[[#All],[Advanced Network/Insurance Carrier Org ID]],B286)/S286)</f>
        <v>NA</v>
      </c>
      <c r="Y286" s="435" t="str">
        <f>IF(S286=0,"NA",SUMIFS(AN_TME_PY[[#All],[Claims: Professional Other]],AN_TME_PY[[#All],[Insurance Category Code]],7,AN_TME_PY[[#All],[Advanced Network/Insurance Carrier Org ID]],B286)/S286)</f>
        <v>NA</v>
      </c>
      <c r="Z286" s="435" t="str">
        <f>IF(S286=0,"NA",SUMIFS(AN_TME_PY[[#All],[Claims: Pharmacy]],AN_TME_PY[[#All],[Insurance Category Code]],7,AN_TME_PY[[#All],[Advanced Network/Insurance Carrier Org ID]],B286)/S286)</f>
        <v>NA</v>
      </c>
      <c r="AA286" s="435" t="str">
        <f>IF(S286=0,"NA",SUMIFS(AN_TME_PY[[#All],[Claims: Long-Term Care]],AN_TME_PY[[#All],[Insurance Category Code]],7,AN_TME_PY[[#All],[Advanced Network/Insurance Carrier Org ID]],B286)/S286)</f>
        <v>NA</v>
      </c>
      <c r="AB286" s="435" t="str">
        <f>IF(S286=0,"NA",SUMIFS(AN_TME_PY[[#All],[Claims: Other]],AN_TME_PY[[#All],[Insurance Category Code]],7,AN_TME_PY[[#All],[Advanced Network/Insurance Carrier Org ID]],B286)/S286)</f>
        <v>NA</v>
      </c>
      <c r="AC286" s="436" t="str">
        <f>IF(S286=0,"NA",SUMIFS(AN_TME_PY[[#All],[TOTAL Non-Truncated Unadjusted Claims Expenses]],AN_TME_PY[[#All],[Insurance Category Code]],7,AN_TME_PY[[#All],[Advanced Network/Insurance Carrier Org ID]],B286)/S286)</f>
        <v>NA</v>
      </c>
      <c r="AD286" s="436" t="str">
        <f>IF(S286=0,"NA",SUMIFS(AN_TME_PY[[#All],[TOTAL Truncated Unadjusted Claims Expenses (A21 -A19)]],AN_TME_PY[[#All],[Insurance Category Code]],7,AN_TME_PY[[#All],[Advanced Network/Insurance Carrier Org ID]],B286)/S286)</f>
        <v>NA</v>
      </c>
      <c r="AE286" s="436" t="str">
        <f>IF(S286=0,"NA",SUMIFS(AN_TME_PY[[#All],[TOTAL Non-Claims Expenses]],AN_TME_PY[[#All],[Insurance Category Code]],7,AN_TME_PY[[#All],[Advanced Network/Insurance Carrier Org ID]],B286)/S286)</f>
        <v>NA</v>
      </c>
      <c r="AF286" s="436" t="str">
        <f>IF(S286=0,"NA",SUMIFS(AN_TME_PY[[#All],[TOTAL Non-Truncated Unadjusted Expenses (A21 + A23)]],AN_TME_PY[[#All],[Insurance Category Code]],7,AN_TME_PY[[#All],[Advanced Network/Insurance Carrier Org ID]],B286)/S286)</f>
        <v>NA</v>
      </c>
      <c r="AG286" s="437" t="str">
        <f>IF(S286=0,"NA",SUMIFS(AN_TME_PY[[#All],[TOTAL Truncated Unadjusted Expenses (A22 + A23)]],AN_TME_PY[[#All],[Insurance Category Code]],7,AN_TME_PY[[#All],[Advanced Network/Insurance Carrier Org ID]],B286)/S286)</f>
        <v>NA</v>
      </c>
      <c r="AH286" s="419" t="str">
        <f t="shared" si="368"/>
        <v>NA</v>
      </c>
      <c r="AI286" s="420" t="str">
        <f t="shared" si="369"/>
        <v>NA</v>
      </c>
      <c r="AJ286" s="421" t="str">
        <f t="shared" si="370"/>
        <v>NA</v>
      </c>
      <c r="AK286" s="421" t="str">
        <f t="shared" si="371"/>
        <v>NA</v>
      </c>
      <c r="AL286" s="421" t="str">
        <f t="shared" si="372"/>
        <v>NA</v>
      </c>
      <c r="AM286" s="421" t="str">
        <f t="shared" si="373"/>
        <v>NA</v>
      </c>
      <c r="AN286" s="421" t="str">
        <f t="shared" si="374"/>
        <v>NA</v>
      </c>
      <c r="AO286" s="421" t="str">
        <f t="shared" si="375"/>
        <v>NA</v>
      </c>
      <c r="AP286" s="421" t="str">
        <f t="shared" si="376"/>
        <v>NA</v>
      </c>
      <c r="AQ286" s="421" t="str">
        <f t="shared" si="377"/>
        <v>NA</v>
      </c>
      <c r="AR286" s="422" t="str">
        <f t="shared" si="378"/>
        <v>NA</v>
      </c>
      <c r="AS286" s="422" t="str">
        <f t="shared" si="379"/>
        <v>NA</v>
      </c>
      <c r="AT286" s="422" t="str">
        <f t="shared" si="380"/>
        <v>NA</v>
      </c>
      <c r="AU286" s="422" t="str">
        <f t="shared" si="381"/>
        <v>NA</v>
      </c>
      <c r="AV286" s="423" t="str">
        <f t="shared" si="382"/>
        <v>NA</v>
      </c>
    </row>
    <row r="287" spans="1:48" ht="15" customHeight="1" x14ac:dyDescent="0.25">
      <c r="A287" s="146"/>
      <c r="B287" s="148">
        <v>134</v>
      </c>
      <c r="C287" s="151" t="str">
        <f>_xlfn.XLOOKUP(B287, LgProvEntOrgIDs[Advanced Network/Insurer Carrier Org ID], LgProvEntOrgIDs[Advanced Network/Insurance Carrier Overall])</f>
        <v>Western Connecticut Health Network (WCHN) Physician Hospital Organization</v>
      </c>
      <c r="D287" s="448">
        <f>SUMIFS(AN_TME_BY[[#All],[Member Months]],AN_TME_BY[[#All],[Insurance Category Code]],7,AN_TME_BY[[#All],[Advanced Network/Insurance Carrier Org ID]],B287)</f>
        <v>0</v>
      </c>
      <c r="E287" s="137" t="str">
        <f>IF(D287=0,"NA",SUMIFS(AN_TME_BY[[#All],[Claims: Hospital Inpatient]],AN_TME_BY[[#All],[Insurance Category Code]],7,AN_TME_BY[[#All],[Advanced Network/Insurance Carrier Org ID]],B287)/D287)</f>
        <v>NA</v>
      </c>
      <c r="F287" s="108" t="str">
        <f>IF(D287=0,"NA",SUMIFS(AN_TME_BY[[#All],[Claims: Hospital Outpatient]],AN_TME_BY[[#All],[Insurance Category Code]],7,AN_TME_BY[[#All],[Advanced Network/Insurance Carrier Org ID]],B287)/D287)</f>
        <v>NA</v>
      </c>
      <c r="G287" s="108" t="str">
        <f>IF(D287=0,"NA",SUMIFS(AN_TME_BY[[#All],[Claims: Professional, Primary Care]],AN_TME_BY[[#All],[Insurance Category Code]],7,AN_TME_BY[[#All],[Advanced Network/Insurance Carrier Org ID]],B287)/D287)</f>
        <v>NA</v>
      </c>
      <c r="H287" s="108" t="str">
        <f>IF(D287=0,"NA",SUMIFS(AN_TME_BY[[#All],[Claims: Professional, Primary Care (for Monitoring Purposes)]],AN_TME_BY[[#All],[Insurance Category Code]],7,AN_TME_BY[[#All],[Advanced Network/Insurance Carrier Org ID]],B287)/D287)</f>
        <v>NA</v>
      </c>
      <c r="I287" s="108" t="str">
        <f>IF(D287=0,"NA",SUMIFS(AN_TME_BY[[#All],[Claims: Professional, Specialty]],AN_TME_BY[[#All],[Insurance Category Code]],7,AN_TME_BY[[#All],[Advanced Network/Insurance Carrier Org ID]],B287)/D287)</f>
        <v>NA</v>
      </c>
      <c r="J287" s="108" t="str">
        <f>IF(D287=0,"NA",SUMIFS(AN_TME_BY[[#All],[Claims: Professional Other]],AN_TME_BY[[#All],[Insurance Category Code]],7,AN_TME_BY[[#All],[Advanced Network/Insurance Carrier Org ID]],B287)/D287)</f>
        <v>NA</v>
      </c>
      <c r="K287" s="108" t="str">
        <f>IF(D287=0,"NA",SUMIFS(AN_TME_BY[[#All],[Claims: Pharmacy]],AN_TME_BY[[#All],[Insurance Category Code]],7,AN_TME_BY[[#All],[Advanced Network/Insurance Carrier Org ID]],B287)/D287)</f>
        <v>NA</v>
      </c>
      <c r="L287" s="108" t="str">
        <f>IF(D287=0,"NA",SUMIFS(AN_TME_BY[[#All],[Claims: Long-Term Care]],AN_TME_BY[[#All],[Insurance Category Code]],7,AN_TME_BY[[#All],[Advanced Network/Insurance Carrier Org ID]],B287)/D287)</f>
        <v>NA</v>
      </c>
      <c r="M287" s="108" t="str">
        <f>IF(D287=0,"NA",SUMIFS(AN_TME_BY[[#All],[Claims: Other]],AN_TME_BY[[#All],[Insurance Category Code]],7,AN_TME_BY[[#All],[Advanced Network/Insurance Carrier Org ID]],B287)/D287)</f>
        <v>NA</v>
      </c>
      <c r="N287" s="147" t="str">
        <f>IF(D287=0,"NA",SUMIFS(AN_TME_BY[[#All],[TOTAL Non-Truncated Unadjusted Claims Expenses]],AN_TME_BY[[#All],[Insurance Category Code]],7,AN_TME_BY[[#All],[Advanced Network/Insurance Carrier Org ID]],B287)/D287)</f>
        <v>NA</v>
      </c>
      <c r="O287" s="147" t="str">
        <f>IF(D287=0,"NA",SUMIFS(AN_TME_BY[[#All],[TOTAL Truncated Unadjusted Claims Expenses (A21 -A19)]],AN_TME_BY[[#All],[Insurance Category Code]],7,AN_TME_BY[[#All],[Advanced Network/Insurance Carrier Org ID]],B287)/D287)</f>
        <v>NA</v>
      </c>
      <c r="P287" s="147" t="str">
        <f>IF(D287=0,"NA",SUMIFS(AN_TME_BY[[#All],[TOTAL Non-Claims Expenses]],AN_TME_BY[[#All],[Insurance Category Code]],7,AN_TME_BY[[#All],[Advanced Network/Insurance Carrier Org ID]],B287)/D287)</f>
        <v>NA</v>
      </c>
      <c r="Q287" s="147" t="str">
        <f>IF(D287=0,"NA",SUMIFS(AN_TME_BY[[#All],[TOTAL Non-Truncated Unadjusted Expenses (A21 + A23)]],AN_TME_BY[[#All],[Insurance Category Code]],7,AN_TME_BY[[#All],[Advanced Network/Insurance Carrier Org ID]],B287)/D287)</f>
        <v>NA</v>
      </c>
      <c r="R287" s="147" t="str">
        <f>IF(D287=0,"NA",SUMIFS(AN_TME_BY[[#All],[TOTAL Truncated Unadjusted Expenses (A22 + A23)]],AN_TME_BY[[#All],[Insurance Category Code]],7,AN_TME_BY[[#All],[Advanced Network/Insurance Carrier Org ID]],B287)/D287)</f>
        <v>NA</v>
      </c>
      <c r="S287" s="445">
        <f>SUMIFS(AN_TME_PY[[#All],[Member Months]],AN_TME_PY[[#All],[Insurance Category Code]],7,AN_TME_PY[[#All],[Advanced Network/Insurance Carrier Org ID]],B287)</f>
        <v>0</v>
      </c>
      <c r="T287" s="434" t="str">
        <f>IF(S287=0,"NA",SUMIFS(AN_TME_PY[[#All],[Claims: Hospital Inpatient]],AN_TME_PY[[#All],[Insurance Category Code]],7,AN_TME_PY[[#All],[Advanced Network/Insurance Carrier Org ID]],B287)/S287)</f>
        <v>NA</v>
      </c>
      <c r="U287" s="435" t="str">
        <f>IF(S287=0,"NA",SUMIFS(AN_TME_PY[[#All],[Claims: Hospital Outpatient]],AN_TME_PY[[#All],[Insurance Category Code]],7,AN_TME_PY[[#All],[Advanced Network/Insurance Carrier Org ID]],B287)/S287)</f>
        <v>NA</v>
      </c>
      <c r="V287" s="435" t="str">
        <f>IF(S287=0,"NA",SUMIFS(AN_TME_PY[[#All],[Claims: Professional, Primary Care]],AN_TME_PY[[#All],[Insurance Category Code]],7,AN_TME_PY[[#All],[Advanced Network/Insurance Carrier Org ID]],B287)/S287)</f>
        <v>NA</v>
      </c>
      <c r="W287" s="435" t="str">
        <f>IF(S287=0,"NA",SUMIFS(AN_TME_PY[[#All],[Claims: Professional, Primary Care (for Monitoring Purposes)]],AN_TME_PY[[#All],[Insurance Category Code]],7,AN_TME_PY[[#All],[Advanced Network/Insurance Carrier Org ID]],B287)/S287)</f>
        <v>NA</v>
      </c>
      <c r="X287" s="435" t="str">
        <f>IF(S287=0,"NA",SUMIFS(AN_TME_PY[[#All],[Claims: Professional, Specialty]],AN_TME_PY[[#All],[Insurance Category Code]],7,AN_TME_PY[[#All],[Advanced Network/Insurance Carrier Org ID]],B287)/S287)</f>
        <v>NA</v>
      </c>
      <c r="Y287" s="435" t="str">
        <f>IF(S287=0,"NA",SUMIFS(AN_TME_PY[[#All],[Claims: Professional Other]],AN_TME_PY[[#All],[Insurance Category Code]],7,AN_TME_PY[[#All],[Advanced Network/Insurance Carrier Org ID]],B287)/S287)</f>
        <v>NA</v>
      </c>
      <c r="Z287" s="435" t="str">
        <f>IF(S287=0,"NA",SUMIFS(AN_TME_PY[[#All],[Claims: Pharmacy]],AN_TME_PY[[#All],[Insurance Category Code]],7,AN_TME_PY[[#All],[Advanced Network/Insurance Carrier Org ID]],B287)/S287)</f>
        <v>NA</v>
      </c>
      <c r="AA287" s="435" t="str">
        <f>IF(S287=0,"NA",SUMIFS(AN_TME_PY[[#All],[Claims: Long-Term Care]],AN_TME_PY[[#All],[Insurance Category Code]],7,AN_TME_PY[[#All],[Advanced Network/Insurance Carrier Org ID]],B287)/S287)</f>
        <v>NA</v>
      </c>
      <c r="AB287" s="435" t="str">
        <f>IF(S287=0,"NA",SUMIFS(AN_TME_PY[[#All],[Claims: Other]],AN_TME_PY[[#All],[Insurance Category Code]],7,AN_TME_PY[[#All],[Advanced Network/Insurance Carrier Org ID]],B287)/S287)</f>
        <v>NA</v>
      </c>
      <c r="AC287" s="436" t="str">
        <f>IF(S287=0,"NA",SUMIFS(AN_TME_PY[[#All],[TOTAL Non-Truncated Unadjusted Claims Expenses]],AN_TME_PY[[#All],[Insurance Category Code]],7,AN_TME_PY[[#All],[Advanced Network/Insurance Carrier Org ID]],B287)/S287)</f>
        <v>NA</v>
      </c>
      <c r="AD287" s="436" t="str">
        <f>IF(S287=0,"NA",SUMIFS(AN_TME_PY[[#All],[TOTAL Truncated Unadjusted Claims Expenses (A21 -A19)]],AN_TME_PY[[#All],[Insurance Category Code]],7,AN_TME_PY[[#All],[Advanced Network/Insurance Carrier Org ID]],B287)/S287)</f>
        <v>NA</v>
      </c>
      <c r="AE287" s="436" t="str">
        <f>IF(S287=0,"NA",SUMIFS(AN_TME_PY[[#All],[TOTAL Non-Claims Expenses]],AN_TME_PY[[#All],[Insurance Category Code]],7,AN_TME_PY[[#All],[Advanced Network/Insurance Carrier Org ID]],B287)/S287)</f>
        <v>NA</v>
      </c>
      <c r="AF287" s="436" t="str">
        <f>IF(S287=0,"NA",SUMIFS(AN_TME_PY[[#All],[TOTAL Non-Truncated Unadjusted Expenses (A21 + A23)]],AN_TME_PY[[#All],[Insurance Category Code]],7,AN_TME_PY[[#All],[Advanced Network/Insurance Carrier Org ID]],B287)/S287)</f>
        <v>NA</v>
      </c>
      <c r="AG287" s="437" t="str">
        <f>IF(S287=0,"NA",SUMIFS(AN_TME_PY[[#All],[TOTAL Truncated Unadjusted Expenses (A22 + A23)]],AN_TME_PY[[#All],[Insurance Category Code]],7,AN_TME_PY[[#All],[Advanced Network/Insurance Carrier Org ID]],B287)/S287)</f>
        <v>NA</v>
      </c>
      <c r="AH287" s="419" t="str">
        <f t="shared" si="368"/>
        <v>NA</v>
      </c>
      <c r="AI287" s="420" t="str">
        <f t="shared" si="369"/>
        <v>NA</v>
      </c>
      <c r="AJ287" s="421" t="str">
        <f t="shared" si="370"/>
        <v>NA</v>
      </c>
      <c r="AK287" s="421" t="str">
        <f t="shared" si="371"/>
        <v>NA</v>
      </c>
      <c r="AL287" s="421" t="str">
        <f t="shared" si="372"/>
        <v>NA</v>
      </c>
      <c r="AM287" s="421" t="str">
        <f t="shared" si="373"/>
        <v>NA</v>
      </c>
      <c r="AN287" s="421" t="str">
        <f t="shared" si="374"/>
        <v>NA</v>
      </c>
      <c r="AO287" s="421" t="str">
        <f t="shared" si="375"/>
        <v>NA</v>
      </c>
      <c r="AP287" s="421" t="str">
        <f t="shared" si="376"/>
        <v>NA</v>
      </c>
      <c r="AQ287" s="421" t="str">
        <f t="shared" si="377"/>
        <v>NA</v>
      </c>
      <c r="AR287" s="422" t="str">
        <f t="shared" si="378"/>
        <v>NA</v>
      </c>
      <c r="AS287" s="422" t="str">
        <f t="shared" si="379"/>
        <v>NA</v>
      </c>
      <c r="AT287" s="422" t="str">
        <f t="shared" si="380"/>
        <v>NA</v>
      </c>
      <c r="AU287" s="422" t="str">
        <f t="shared" si="381"/>
        <v>NA</v>
      </c>
      <c r="AV287" s="423" t="str">
        <f t="shared" si="382"/>
        <v>NA</v>
      </c>
    </row>
    <row r="288" spans="1:48" ht="15" customHeight="1" x14ac:dyDescent="0.25">
      <c r="A288" s="146"/>
      <c r="B288" s="148">
        <v>999</v>
      </c>
      <c r="C288" s="151" t="str">
        <f>_xlfn.XLOOKUP(B288, LgProvEntOrgIDs[Advanced Network/Insurer Carrier Org ID], LgProvEntOrgIDs[Advanced Network/Insurance Carrier Overall])</f>
        <v>Members Not Attributed to an Advanced Network</v>
      </c>
      <c r="D288" s="448">
        <f>SUMIFS(AN_TME_BY[[#All],[Member Months]],AN_TME_BY[[#All],[Insurance Category Code]],7,AN_TME_BY[[#All],[Advanced Network/Insurance Carrier Org ID]],B288)</f>
        <v>0</v>
      </c>
      <c r="E288" s="137" t="str">
        <f>IF(D288=0,"NA",SUMIFS(AN_TME_BY[[#All],[Claims: Hospital Inpatient]],AN_TME_BY[[#All],[Insurance Category Code]],7,AN_TME_BY[[#All],[Advanced Network/Insurance Carrier Org ID]],B288)/D288)</f>
        <v>NA</v>
      </c>
      <c r="F288" s="108" t="str">
        <f>IF(D288=0,"NA",SUMIFS(AN_TME_BY[[#All],[Claims: Hospital Outpatient]],AN_TME_BY[[#All],[Insurance Category Code]],7,AN_TME_BY[[#All],[Advanced Network/Insurance Carrier Org ID]],B288)/D288)</f>
        <v>NA</v>
      </c>
      <c r="G288" s="108" t="str">
        <f>IF(D288=0,"NA",SUMIFS(AN_TME_BY[[#All],[Claims: Professional, Primary Care]],AN_TME_BY[[#All],[Insurance Category Code]],7,AN_TME_BY[[#All],[Advanced Network/Insurance Carrier Org ID]],B288)/D288)</f>
        <v>NA</v>
      </c>
      <c r="H288" s="108" t="str">
        <f>IF(D288=0,"NA",SUMIFS(AN_TME_BY[[#All],[Claims: Professional, Primary Care (for Monitoring Purposes)]],AN_TME_BY[[#All],[Insurance Category Code]],7,AN_TME_BY[[#All],[Advanced Network/Insurance Carrier Org ID]],B288)/D288)</f>
        <v>NA</v>
      </c>
      <c r="I288" s="108" t="str">
        <f>IF(D288=0,"NA",SUMIFS(AN_TME_BY[[#All],[Claims: Professional, Specialty]],AN_TME_BY[[#All],[Insurance Category Code]],7,AN_TME_BY[[#All],[Advanced Network/Insurance Carrier Org ID]],B288)/D288)</f>
        <v>NA</v>
      </c>
      <c r="J288" s="108" t="str">
        <f>IF(D288=0,"NA",SUMIFS(AN_TME_BY[[#All],[Claims: Professional Other]],AN_TME_BY[[#All],[Insurance Category Code]],7,AN_TME_BY[[#All],[Advanced Network/Insurance Carrier Org ID]],B288)/D288)</f>
        <v>NA</v>
      </c>
      <c r="K288" s="108" t="str">
        <f>IF(D288=0,"NA",SUMIFS(AN_TME_BY[[#All],[Claims: Pharmacy]],AN_TME_BY[[#All],[Insurance Category Code]],7,AN_TME_BY[[#All],[Advanced Network/Insurance Carrier Org ID]],B288)/D288)</f>
        <v>NA</v>
      </c>
      <c r="L288" s="108" t="str">
        <f>IF(D288=0,"NA",SUMIFS(AN_TME_BY[[#All],[Claims: Long-Term Care]],AN_TME_BY[[#All],[Insurance Category Code]],7,AN_TME_BY[[#All],[Advanced Network/Insurance Carrier Org ID]],B288)/D288)</f>
        <v>NA</v>
      </c>
      <c r="M288" s="108" t="str">
        <f>IF(D288=0,"NA",SUMIFS(AN_TME_BY[[#All],[Claims: Other]],AN_TME_BY[[#All],[Insurance Category Code]],7,AN_TME_BY[[#All],[Advanced Network/Insurance Carrier Org ID]],B288)/D288)</f>
        <v>NA</v>
      </c>
      <c r="N288" s="147" t="str">
        <f>IF(D288=0,"NA",SUMIFS(AN_TME_BY[[#All],[TOTAL Non-Truncated Unadjusted Claims Expenses]],AN_TME_BY[[#All],[Insurance Category Code]],7,AN_TME_BY[[#All],[Advanced Network/Insurance Carrier Org ID]],B288)/D288)</f>
        <v>NA</v>
      </c>
      <c r="O288" s="147" t="str">
        <f>IF(D288=0,"NA",SUMIFS(AN_TME_BY[[#All],[TOTAL Truncated Unadjusted Claims Expenses (A21 -A19)]],AN_TME_BY[[#All],[Insurance Category Code]],7,AN_TME_BY[[#All],[Advanced Network/Insurance Carrier Org ID]],B288)/D288)</f>
        <v>NA</v>
      </c>
      <c r="P288" s="147" t="str">
        <f>IF(D288=0,"NA",SUMIFS(AN_TME_BY[[#All],[TOTAL Non-Claims Expenses]],AN_TME_BY[[#All],[Insurance Category Code]],7,AN_TME_BY[[#All],[Advanced Network/Insurance Carrier Org ID]],B288)/D288)</f>
        <v>NA</v>
      </c>
      <c r="Q288" s="147" t="str">
        <f>IF(D288=0,"NA",SUMIFS(AN_TME_BY[[#All],[TOTAL Non-Truncated Unadjusted Expenses (A21 + A23)]],AN_TME_BY[[#All],[Insurance Category Code]],7,AN_TME_BY[[#All],[Advanced Network/Insurance Carrier Org ID]],B288)/D288)</f>
        <v>NA</v>
      </c>
      <c r="R288" s="147" t="str">
        <f>IF(D288=0,"NA",SUMIFS(AN_TME_BY[[#All],[TOTAL Truncated Unadjusted Expenses (A22 + A23)]],AN_TME_BY[[#All],[Insurance Category Code]],7,AN_TME_BY[[#All],[Advanced Network/Insurance Carrier Org ID]],B288)/D288)</f>
        <v>NA</v>
      </c>
      <c r="S288" s="445">
        <f>SUMIFS(AN_TME_PY[[#All],[Member Months]],AN_TME_PY[[#All],[Insurance Category Code]],7,AN_TME_PY[[#All],[Advanced Network/Insurance Carrier Org ID]],B288)</f>
        <v>0</v>
      </c>
      <c r="T288" s="434" t="str">
        <f>IF(S288=0,"NA",SUMIFS(AN_TME_PY[[#All],[Claims: Hospital Inpatient]],AN_TME_PY[[#All],[Insurance Category Code]],7,AN_TME_PY[[#All],[Advanced Network/Insurance Carrier Org ID]],B288)/S288)</f>
        <v>NA</v>
      </c>
      <c r="U288" s="435" t="str">
        <f>IF(S288=0,"NA",SUMIFS(AN_TME_PY[[#All],[Claims: Hospital Outpatient]],AN_TME_PY[[#All],[Insurance Category Code]],7,AN_TME_PY[[#All],[Advanced Network/Insurance Carrier Org ID]],B288)/S288)</f>
        <v>NA</v>
      </c>
      <c r="V288" s="435" t="str">
        <f>IF(S288=0,"NA",SUMIFS(AN_TME_PY[[#All],[Claims: Professional, Primary Care]],AN_TME_PY[[#All],[Insurance Category Code]],7,AN_TME_PY[[#All],[Advanced Network/Insurance Carrier Org ID]],B288)/S288)</f>
        <v>NA</v>
      </c>
      <c r="W288" s="435" t="str">
        <f>IF(S288=0,"NA",SUMIFS(AN_TME_PY[[#All],[Claims: Professional, Primary Care (for Monitoring Purposes)]],AN_TME_PY[[#All],[Insurance Category Code]],7,AN_TME_PY[[#All],[Advanced Network/Insurance Carrier Org ID]],B288)/S288)</f>
        <v>NA</v>
      </c>
      <c r="X288" s="435" t="str">
        <f>IF(S288=0,"NA",SUMIFS(AN_TME_PY[[#All],[Claims: Professional, Specialty]],AN_TME_PY[[#All],[Insurance Category Code]],7,AN_TME_PY[[#All],[Advanced Network/Insurance Carrier Org ID]],B288)/S288)</f>
        <v>NA</v>
      </c>
      <c r="Y288" s="435" t="str">
        <f>IF(S288=0,"NA",SUMIFS(AN_TME_PY[[#All],[Claims: Professional Other]],AN_TME_PY[[#All],[Insurance Category Code]],7,AN_TME_PY[[#All],[Advanced Network/Insurance Carrier Org ID]],B288)/S288)</f>
        <v>NA</v>
      </c>
      <c r="Z288" s="435" t="str">
        <f>IF(S288=0,"NA",SUMIFS(AN_TME_PY[[#All],[Claims: Pharmacy]],AN_TME_PY[[#All],[Insurance Category Code]],7,AN_TME_PY[[#All],[Advanced Network/Insurance Carrier Org ID]],B288)/S288)</f>
        <v>NA</v>
      </c>
      <c r="AA288" s="435" t="str">
        <f>IF(S288=0,"NA",SUMIFS(AN_TME_PY[[#All],[Claims: Long-Term Care]],AN_TME_PY[[#All],[Insurance Category Code]],7,AN_TME_PY[[#All],[Advanced Network/Insurance Carrier Org ID]],B288)/S288)</f>
        <v>NA</v>
      </c>
      <c r="AB288" s="435" t="str">
        <f>IF(S288=0,"NA",SUMIFS(AN_TME_PY[[#All],[Claims: Other]],AN_TME_PY[[#All],[Insurance Category Code]],7,AN_TME_PY[[#All],[Advanced Network/Insurance Carrier Org ID]],B288)/S288)</f>
        <v>NA</v>
      </c>
      <c r="AC288" s="436" t="str">
        <f>IF(S288=0,"NA",SUMIFS(AN_TME_PY[[#All],[TOTAL Non-Truncated Unadjusted Claims Expenses]],AN_TME_PY[[#All],[Insurance Category Code]],7,AN_TME_PY[[#All],[Advanced Network/Insurance Carrier Org ID]],B288)/S288)</f>
        <v>NA</v>
      </c>
      <c r="AD288" s="436" t="str">
        <f>IF(S288=0,"NA",SUMIFS(AN_TME_PY[[#All],[TOTAL Truncated Unadjusted Claims Expenses (A21 -A19)]],AN_TME_PY[[#All],[Insurance Category Code]],7,AN_TME_PY[[#All],[Advanced Network/Insurance Carrier Org ID]],B288)/S288)</f>
        <v>NA</v>
      </c>
      <c r="AE288" s="436" t="str">
        <f>IF(S288=0,"NA",SUMIFS(AN_TME_PY[[#All],[TOTAL Non-Claims Expenses]],AN_TME_PY[[#All],[Insurance Category Code]],7,AN_TME_PY[[#All],[Advanced Network/Insurance Carrier Org ID]],B288)/S288)</f>
        <v>NA</v>
      </c>
      <c r="AF288" s="436" t="str">
        <f>IF(S288=0,"NA",SUMIFS(AN_TME_PY[[#All],[TOTAL Non-Truncated Unadjusted Expenses (A21 + A23)]],AN_TME_PY[[#All],[Insurance Category Code]],7,AN_TME_PY[[#All],[Advanced Network/Insurance Carrier Org ID]],B288)/S288)</f>
        <v>NA</v>
      </c>
      <c r="AG288" s="437" t="str">
        <f>IF(S288=0,"NA",SUMIFS(AN_TME_PY[[#All],[TOTAL Truncated Unadjusted Expenses (A22 + A23)]],AN_TME_PY[[#All],[Insurance Category Code]],7,AN_TME_PY[[#All],[Advanced Network/Insurance Carrier Org ID]],B288)/S288)</f>
        <v>NA</v>
      </c>
      <c r="AH288" s="419" t="str">
        <f>IF(D288=0,"NA",S288/D288-1)</f>
        <v>NA</v>
      </c>
      <c r="AI288" s="420" t="str">
        <f>IF(D288=0,"NA",T288/E288-1)</f>
        <v>NA</v>
      </c>
      <c r="AJ288" s="421" t="str">
        <f>IF(D288=0,"NA",U288/F288-1)</f>
        <v>NA</v>
      </c>
      <c r="AK288" s="421" t="str">
        <f>IF(D288=0,"NA",V288/G288-1)</f>
        <v>NA</v>
      </c>
      <c r="AL288" s="421" t="str">
        <f>IF(D288=0,"NA",W288/H288-1)</f>
        <v>NA</v>
      </c>
      <c r="AM288" s="421" t="str">
        <f>IF(D288=0,"NA",X288/I288-1)</f>
        <v>NA</v>
      </c>
      <c r="AN288" s="421" t="str">
        <f>IF(D288=0,"NA",Y288/J288-1)</f>
        <v>NA</v>
      </c>
      <c r="AO288" s="421" t="str">
        <f>IF(D288=0,"NA",Z288/K288-1)</f>
        <v>NA</v>
      </c>
      <c r="AP288" s="421" t="str">
        <f>IF(D288=0,"NA",AA288/L288-1)</f>
        <v>NA</v>
      </c>
      <c r="AQ288" s="421" t="str">
        <f>IF(D288=0,"NA",AB288/M288-1)</f>
        <v>NA</v>
      </c>
      <c r="AR288" s="422" t="str">
        <f>IF(D288=0,"NA",AC288/N288-1)</f>
        <v>NA</v>
      </c>
      <c r="AS288" s="422" t="str">
        <f>IF(D288=0,"NA",AD288/O288-1)</f>
        <v>NA</v>
      </c>
      <c r="AT288" s="422" t="str">
        <f>IF(D288=0,"NA",AE288/P288-1)</f>
        <v>NA</v>
      </c>
      <c r="AU288" s="422" t="str">
        <f>IF(D288=0,"NA",AF288/Q288-1)</f>
        <v>NA</v>
      </c>
      <c r="AV288" s="423" t="str">
        <f>IF(D288=0,"NA",AG288/R288-1)</f>
        <v>NA</v>
      </c>
    </row>
    <row r="289" spans="2:48" ht="15" customHeight="1" x14ac:dyDescent="0.25">
      <c r="B289" s="149"/>
      <c r="C289" s="152" t="s">
        <v>332</v>
      </c>
      <c r="D289" s="449">
        <f>SUM(D254:D288)</f>
        <v>0</v>
      </c>
      <c r="E289" s="139" t="str">
        <f>IF(D289=0,"NA",SUMPRODUCT(E254:E288,D254:D288)/D289)</f>
        <v>NA</v>
      </c>
      <c r="F289" s="109" t="str">
        <f>IF(D289=0,"NA",SUMPRODUCT(F254:F288,D254:D288)/D289)</f>
        <v>NA</v>
      </c>
      <c r="G289" s="109" t="str">
        <f>IF(D289=0,"NA",SUMPRODUCT(G254:G288,D254:D288)/D289)</f>
        <v>NA</v>
      </c>
      <c r="H289" s="109" t="str">
        <f>IF(D289=0,"NA",SUMPRODUCT(H254:H288,D254:D288)/D289)</f>
        <v>NA</v>
      </c>
      <c r="I289" s="109" t="str">
        <f>IF(D289=0,"NA",SUMPRODUCT(I254:I288,D254:D288)/D289)</f>
        <v>NA</v>
      </c>
      <c r="J289" s="109" t="str">
        <f>IF(D289=0,"NA",SUMPRODUCT(J254:J288,D254:D288)/D289)</f>
        <v>NA</v>
      </c>
      <c r="K289" s="109" t="str">
        <f>IF(D289=0,"NA",SUMPRODUCT(K254:K288,D254:D288)/D289)</f>
        <v>NA</v>
      </c>
      <c r="L289" s="109" t="str">
        <f>IF(D289=0,"NA",SUMPRODUCT(L254:L288,D254:D288)/D289)</f>
        <v>NA</v>
      </c>
      <c r="M289" s="109" t="str">
        <f>IF(D289=0,"NA",SUMPRODUCT(M254:M288,D254:D288)/D289)</f>
        <v>NA</v>
      </c>
      <c r="N289" s="140" t="str">
        <f>IF(D289=0,"NA",SUMPRODUCT(N254:N288,D254:D288)/D289)</f>
        <v>NA</v>
      </c>
      <c r="O289" s="140" t="str">
        <f>IF(D289=0,"NA",SUMPRODUCT(O254:O288,D254:D288)/D289)</f>
        <v>NA</v>
      </c>
      <c r="P289" s="140" t="str">
        <f>IF(D289=0,"NA",SUMPRODUCT(P254:P288,D254:D288)/D289)</f>
        <v>NA</v>
      </c>
      <c r="Q289" s="140" t="str">
        <f>IF(D289=0,"NA",SUMPRODUCT(Q254:Q288,D254:D288)/D289)</f>
        <v>NA</v>
      </c>
      <c r="R289" s="140" t="str">
        <f>IF(D289=0,"NA",SUMPRODUCT(R254:R288,D254:D288)/D289)</f>
        <v>NA</v>
      </c>
      <c r="S289" s="446">
        <f>SUM(S254:S288)</f>
        <v>0</v>
      </c>
      <c r="T289" s="438" t="str">
        <f>IF(S289=0,"NA",SUMPRODUCT(T254:T288,S254:S288)/S289)</f>
        <v>NA</v>
      </c>
      <c r="U289" s="439" t="str">
        <f>IF(S289=0,"NA",SUMPRODUCT(U254:U288,S254:S288)/S289)</f>
        <v>NA</v>
      </c>
      <c r="V289" s="439" t="str">
        <f>IF(S289=0,"NA",SUMPRODUCT(V254:V288,S254:S288)/S289)</f>
        <v>NA</v>
      </c>
      <c r="W289" s="439" t="str">
        <f>IF(S289=0,"NA",SUMPRODUCT(W254:W288,S254:S288)/S289)</f>
        <v>NA</v>
      </c>
      <c r="X289" s="439" t="str">
        <f>IF(S289=0,"NA",SUMPRODUCT(X254:X288,S254:S288)/S289)</f>
        <v>NA</v>
      </c>
      <c r="Y289" s="439" t="str">
        <f>IF(S289=0,"NA",SUMPRODUCT(Y254:Y288,S254:S288)/S289)</f>
        <v>NA</v>
      </c>
      <c r="Z289" s="439" t="str">
        <f>IF(S289=0,"NA",SUMPRODUCT(Z254:Z288,S254:S288)/S289)</f>
        <v>NA</v>
      </c>
      <c r="AA289" s="439" t="str">
        <f>IF(S289=0,"NA",SUMPRODUCT(AA254:AA288,S254:S288)/S289)</f>
        <v>NA</v>
      </c>
      <c r="AB289" s="439" t="str">
        <f>IF(S289=0,"NA",SUMPRODUCT(AB254:AB288,S254:S288)/S289)</f>
        <v>NA</v>
      </c>
      <c r="AC289" s="440" t="str">
        <f>IF(S289=0,"NA",SUMPRODUCT(AC254:AC288,S254:S288)/S289)</f>
        <v>NA</v>
      </c>
      <c r="AD289" s="440" t="str">
        <f>IF(S289=0,"NA",SUMPRODUCT(AD254:AD288,S254:S288)/S289)</f>
        <v>NA</v>
      </c>
      <c r="AE289" s="440" t="str">
        <f>IF(S289=0,"NA",SUMPRODUCT(AE254:AE288,S254:S288)/S289)</f>
        <v>NA</v>
      </c>
      <c r="AF289" s="440" t="str">
        <f>IF(S289=0,"NA",SUMPRODUCT(AF254:AF288,S254:S288)/S289)</f>
        <v>NA</v>
      </c>
      <c r="AG289" s="441" t="str">
        <f>IF(S289=0,"NA",SUMPRODUCT(AG254:AG288,S254:S288)/S289)</f>
        <v>NA</v>
      </c>
      <c r="AH289" s="424" t="str">
        <f>IF(D289=0,"NA",S289/D289-1)</f>
        <v>NA</v>
      </c>
      <c r="AI289" s="425" t="str">
        <f>IF(D289=0,"NA",T289/E289-1)</f>
        <v>NA</v>
      </c>
      <c r="AJ289" s="426" t="str">
        <f>IF(D289=0,"NA",U289/F289-1)</f>
        <v>NA</v>
      </c>
      <c r="AK289" s="426" t="str">
        <f>IF(D289=0,"NA",V289/G289-1)</f>
        <v>NA</v>
      </c>
      <c r="AL289" s="426" t="str">
        <f>IF(D289=0,"NA",W289/H289-1)</f>
        <v>NA</v>
      </c>
      <c r="AM289" s="426" t="str">
        <f>IF(D289=0,"NA",X289/I289-1)</f>
        <v>NA</v>
      </c>
      <c r="AN289" s="426" t="str">
        <f>IF(D289=0,"NA",Y289/J289-1)</f>
        <v>NA</v>
      </c>
      <c r="AO289" s="426" t="str">
        <f>IF(D289=0,"NA",Z289/K289-1)</f>
        <v>NA</v>
      </c>
      <c r="AP289" s="426" t="str">
        <f>IF(D289=0,"NA",AA289/L289-1)</f>
        <v>NA</v>
      </c>
      <c r="AQ289" s="426" t="str">
        <f>IF(D289=0,"NA",AB289/M289-1)</f>
        <v>NA</v>
      </c>
      <c r="AR289" s="427" t="str">
        <f>IF(D289=0,"NA",AC289/N289-1)</f>
        <v>NA</v>
      </c>
      <c r="AS289" s="427" t="str">
        <f>IF(D289=0,"NA",AD289/O289-1)</f>
        <v>NA</v>
      </c>
      <c r="AT289" s="427" t="str">
        <f>IF(D289=0,"NA",AE289/P289-1)</f>
        <v>NA</v>
      </c>
      <c r="AU289" s="427" t="str">
        <f>IF(D289=0,"NA",AF289/Q289-1)</f>
        <v>NA</v>
      </c>
      <c r="AV289" s="428" t="str">
        <f>IF(D289=0,"NA",AG289/R289-1)</f>
        <v>NA</v>
      </c>
    </row>
    <row r="290" spans="2:48" ht="15.75" customHeight="1" thickBot="1" x14ac:dyDescent="0.3">
      <c r="B290" s="150"/>
      <c r="C290" s="153" t="s">
        <v>333</v>
      </c>
      <c r="D290" s="450">
        <f t="shared" ref="D290:J290" si="383">D289</f>
        <v>0</v>
      </c>
      <c r="E290" s="142" t="str">
        <f t="shared" si="383"/>
        <v>NA</v>
      </c>
      <c r="F290" s="143" t="str">
        <f t="shared" si="383"/>
        <v>NA</v>
      </c>
      <c r="G290" s="143" t="str">
        <f t="shared" si="383"/>
        <v>NA</v>
      </c>
      <c r="H290" s="143" t="str">
        <f t="shared" si="383"/>
        <v>NA</v>
      </c>
      <c r="I290" s="143" t="str">
        <f t="shared" si="383"/>
        <v>NA</v>
      </c>
      <c r="J290" s="143" t="str">
        <f t="shared" si="383"/>
        <v>NA</v>
      </c>
      <c r="K290" s="143" t="str">
        <f>IF(D290=0,"NA",(SUMPRODUCT(K254:K288,D254:D288)-ABS(SUMIF(RX_REBATES_BY[[#All],[Insurance Category Code]],7,RX_REBATES_BY[[#All],[Total Pharmacy Rebates]])))/D290)</f>
        <v>NA</v>
      </c>
      <c r="L290" s="143" t="str">
        <f>L289</f>
        <v>NA</v>
      </c>
      <c r="M290" s="143" t="str">
        <f>M289</f>
        <v>NA</v>
      </c>
      <c r="N290" s="144" t="str">
        <f>IF(D290=0,"NA",(SUMPRODUCT(N254:N288,D254:D288)-ABS(SUMIF(RX_REBATES_BY[[#All],[Insurance Category Code]],7,RX_REBATES_BY[[#All],[Total Pharmacy Rebates]])))/D290)</f>
        <v>NA</v>
      </c>
      <c r="O290" s="144" t="str">
        <f>IF(D290=0,"NA",(SUMPRODUCT(O254:O288,D254:D288)-ABS(SUMIF(RX_REBATES_BY[[#All],[Insurance Category Code]],7,RX_REBATES_BY[[#All],[Total Pharmacy Rebates]])))/D290)</f>
        <v>NA</v>
      </c>
      <c r="P290" s="144" t="str">
        <f>IF(D290=0,"NA",(SUMPRODUCT(P254:P288,D254:D288)-ABS(SUMIF(RX_REBATES_BY[[#All],[Insurance Category Code]],7,RX_REBATES_BY[[#All],[Total Pharmacy Rebates]])))/D290)</f>
        <v>NA</v>
      </c>
      <c r="Q290" s="144" t="str">
        <f>IF(D290=0,"NA",(SUMPRODUCT(Q254:Q288,D254:D288)-ABS(SUMIF(RX_REBATES_BY[[#All],[Insurance Category Code]],7,RX_REBATES_BY[[#All],[Total Pharmacy Rebates]])))/D290)</f>
        <v>NA</v>
      </c>
      <c r="R290" s="144" t="str">
        <f>IF(D290=0,"NA",(SUMPRODUCT(R254:R288,D254:D288)-ABS(SUMIF(RX_REBATES_BY[[#All],[Insurance Category Code]],7,RX_REBATES_BY[[#All],[Total Pharmacy Rebates]])))/D290)</f>
        <v>NA</v>
      </c>
      <c r="S290" s="447">
        <f t="shared" ref="S290:Y290" si="384">S289</f>
        <v>0</v>
      </c>
      <c r="T290" s="442" t="str">
        <f t="shared" si="384"/>
        <v>NA</v>
      </c>
      <c r="U290" s="443" t="str">
        <f t="shared" si="384"/>
        <v>NA</v>
      </c>
      <c r="V290" s="443" t="str">
        <f t="shared" si="384"/>
        <v>NA</v>
      </c>
      <c r="W290" s="443" t="str">
        <f t="shared" si="384"/>
        <v>NA</v>
      </c>
      <c r="X290" s="443" t="str">
        <f t="shared" si="384"/>
        <v>NA</v>
      </c>
      <c r="Y290" s="443" t="str">
        <f t="shared" si="384"/>
        <v>NA</v>
      </c>
      <c r="Z290" s="443" t="str">
        <f>IF(S290=0,"NA",(SUMPRODUCT(Z254:Z288,S254:S288)-ABS(SUMIF(RX_REBATES_PY[[#All],[Insurance Category Code]],7,RX_REBATES_PY[[#All],[Total Pharmacy Rebates]])))/S290)</f>
        <v>NA</v>
      </c>
      <c r="AA290" s="443" t="str">
        <f>AA289</f>
        <v>NA</v>
      </c>
      <c r="AB290" s="443" t="str">
        <f>AB289</f>
        <v>NA</v>
      </c>
      <c r="AC290" s="444" t="str">
        <f>IF(S290=0,"NA",(SUMPRODUCT(AC254:AC288,S254:S288)-ABS(SUMIF(RX_REBATES_PY[[#All],[Insurance Category Code]],7,RX_REBATES_PY[[#All],[Total Pharmacy Rebates]])))/S290)</f>
        <v>NA</v>
      </c>
      <c r="AD290" s="444" t="str">
        <f>IF(S290=0,"NA",(SUMPRODUCT(AD254:AD288,S254:S288)-ABS(SUMIF(RX_REBATES_PY[[#All],[Insurance Category Code]],7,RX_REBATES_PY[[#All],[Total Pharmacy Rebates]])))/S290)</f>
        <v>NA</v>
      </c>
      <c r="AE290" s="444" t="str">
        <f>IF(S290=0,"NA",(SUMPRODUCT(AE254:AE288,S254:S288)-ABS(SUMIF(RX_REBATES_PY[[#All],[Insurance Category Code]],7,RX_REBATES_PY[[#All],[Total Pharmacy Rebates]])))/S290)</f>
        <v>NA</v>
      </c>
      <c r="AF290" s="444" t="str">
        <f>IF(S290=0,"NA",(SUMPRODUCT(AF254:AF288,S254:S288)-ABS(SUMIF(RX_REBATES_PY[[#All],[Insurance Category Code]],7,RX_REBATES_PY[[#All],[Total Pharmacy Rebates]])))/S290)</f>
        <v>NA</v>
      </c>
      <c r="AG290" s="444" t="str">
        <f>IF(S290=0,"NA",(SUMPRODUCT(AG254:AG288,S254:S288)-ABS(SUMIF(RX_REBATES_PY[[#All],[Insurance Category Code]],7,RX_REBATES_PY[[#All],[Total Pharmacy Rebates]])))/S290)</f>
        <v>NA</v>
      </c>
      <c r="AH290" s="429" t="str">
        <f>IF(D290=0,"NA",S290/D290-1)</f>
        <v>NA</v>
      </c>
      <c r="AI290" s="430" t="str">
        <f>IF(D290=0,"NA",T290/E290-1)</f>
        <v>NA</v>
      </c>
      <c r="AJ290" s="431" t="str">
        <f>IF(D290=0,"NA",U290/F290-1)</f>
        <v>NA</v>
      </c>
      <c r="AK290" s="431" t="str">
        <f>IF(D290=0,"NA",V290/G290-1)</f>
        <v>NA</v>
      </c>
      <c r="AL290" s="431" t="str">
        <f>IF(D290=0,"NA",W290/H290-1)</f>
        <v>NA</v>
      </c>
      <c r="AM290" s="431" t="str">
        <f>IF(D290=0,"NA",X290/I290-1)</f>
        <v>NA</v>
      </c>
      <c r="AN290" s="431" t="str">
        <f>IF(D290=0,"NA",Y290/J290-1)</f>
        <v>NA</v>
      </c>
      <c r="AO290" s="431" t="str">
        <f>IF(D290=0,"NA",Z290/K290-1)</f>
        <v>NA</v>
      </c>
      <c r="AP290" s="431" t="str">
        <f>IF(D290=0,"NA",AA290/L290-1)</f>
        <v>NA</v>
      </c>
      <c r="AQ290" s="431" t="str">
        <f>IF(D290=0,"NA",AB290/M290-1)</f>
        <v>NA</v>
      </c>
      <c r="AR290" s="432" t="str">
        <f>IF(D290=0,"NA",AC290/N290-1)</f>
        <v>NA</v>
      </c>
      <c r="AS290" s="432" t="str">
        <f>IF(D290=0,"NA",AD290/O290-1)</f>
        <v>NA</v>
      </c>
      <c r="AT290" s="432" t="str">
        <f>IF(D290=0,"NA",AE290/P290-1)</f>
        <v>NA</v>
      </c>
      <c r="AU290" s="432" t="str">
        <f>IF(D290=0,"NA",AF290/Q290-1)</f>
        <v>NA</v>
      </c>
      <c r="AV290" s="433" t="str">
        <f>IF(D290=0,"NA",AG290/R290-1)</f>
        <v>NA</v>
      </c>
    </row>
  </sheetData>
  <sheetProtection algorithmName="SHA-512" hashValue="Tc7g67ueo5QCabnYEhWUZCBXVmuaRa4D/ufQdDQfKBI6fBxpx+u0Jbbeoz2aGD/k8XNnqZgKI3bgtOAvveB2TQ==" saltValue="OL4C95AP1T+OTgiiHMOg8g==" spinCount="100000" sheet="1" objects="1" scenarios="1"/>
  <mergeCells count="28">
    <mergeCell ref="B252:C252"/>
    <mergeCell ref="D170:R170"/>
    <mergeCell ref="D252:R252"/>
    <mergeCell ref="D211:R211"/>
    <mergeCell ref="S170:AG170"/>
    <mergeCell ref="S211:AG211"/>
    <mergeCell ref="S252:AG252"/>
    <mergeCell ref="D129:R129"/>
    <mergeCell ref="B129:C129"/>
    <mergeCell ref="B170:C170"/>
    <mergeCell ref="S129:AG129"/>
    <mergeCell ref="B211:C211"/>
    <mergeCell ref="D47:R47"/>
    <mergeCell ref="B88:C88"/>
    <mergeCell ref="D6:R6"/>
    <mergeCell ref="D88:R88"/>
    <mergeCell ref="B6:C6"/>
    <mergeCell ref="B47:C47"/>
    <mergeCell ref="AH211:AV211"/>
    <mergeCell ref="AH252:AV252"/>
    <mergeCell ref="S47:AG47"/>
    <mergeCell ref="AH6:AV6"/>
    <mergeCell ref="AH47:AV47"/>
    <mergeCell ref="AH88:AV88"/>
    <mergeCell ref="AH129:AV129"/>
    <mergeCell ref="AH170:AV170"/>
    <mergeCell ref="S6:AG6"/>
    <mergeCell ref="S88:AG88"/>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224-A80D-44FE-9EED-5BB50F41B4CA}">
  <sheetPr codeName="Sheet1">
    <tabColor rgb="FFF79646"/>
  </sheetPr>
  <dimension ref="B1:AF465"/>
  <sheetViews>
    <sheetView zoomScaleNormal="100" workbookViewId="0"/>
  </sheetViews>
  <sheetFormatPr defaultRowHeight="15" outlineLevelRow="1" x14ac:dyDescent="0.25"/>
  <cols>
    <col min="1" max="1" width="5.42578125" customWidth="1"/>
    <col min="2" max="2" width="39.85546875" customWidth="1"/>
    <col min="3" max="3" width="29.5703125" customWidth="1"/>
    <col min="4" max="4" width="26.5703125" customWidth="1"/>
    <col min="5" max="5" width="28.140625" customWidth="1"/>
    <col min="6" max="6" width="25.42578125" customWidth="1"/>
    <col min="7" max="7" width="28.5703125" customWidth="1"/>
    <col min="8" max="8" width="25.42578125" customWidth="1"/>
    <col min="9" max="9" width="24.85546875" bestFit="1" customWidth="1"/>
    <col min="10" max="10" width="33.85546875" customWidth="1"/>
    <col min="11" max="19" width="26.85546875" customWidth="1"/>
    <col min="20" max="20" width="40.140625" customWidth="1"/>
    <col min="21" max="21" width="37.42578125" customWidth="1"/>
    <col min="22" max="22" width="31.85546875" customWidth="1"/>
    <col min="23" max="24" width="22.85546875" customWidth="1"/>
    <col min="25" max="30" width="33.42578125" customWidth="1"/>
    <col min="32" max="32" width="32.42578125" customWidth="1"/>
  </cols>
  <sheetData>
    <row r="1" spans="2:14" x14ac:dyDescent="0.25">
      <c r="B1" s="1" t="s">
        <v>72</v>
      </c>
      <c r="C1" s="492" t="s">
        <v>73</v>
      </c>
    </row>
    <row r="2" spans="2:14" x14ac:dyDescent="0.25">
      <c r="C2" s="25"/>
      <c r="D2" s="25"/>
    </row>
    <row r="3" spans="2:14" ht="27" customHeight="1" thickBot="1" x14ac:dyDescent="0.45">
      <c r="B3" s="285" t="s">
        <v>341</v>
      </c>
      <c r="C3" s="25"/>
      <c r="D3" s="25"/>
    </row>
    <row r="4" spans="2:14" ht="21.75" thickBot="1" x14ac:dyDescent="0.4">
      <c r="B4" s="299" t="s">
        <v>342</v>
      </c>
      <c r="C4" s="302" t="s">
        <v>343</v>
      </c>
      <c r="D4" s="303" t="s">
        <v>344</v>
      </c>
    </row>
    <row r="5" spans="2:14" ht="60" x14ac:dyDescent="0.25">
      <c r="B5" s="308" t="s">
        <v>345</v>
      </c>
      <c r="C5" s="304">
        <f>COUNTIF(E45:E49, "&lt;&gt;Yes")+COUNTIF(G45:G49, "&lt;&gt;Yes")+COUNTIF(I45:I47, "&lt;&gt;Yes")+COUNTIF(I49, "&lt;&gt;Yes")</f>
        <v>0</v>
      </c>
      <c r="D5" s="305">
        <f>COUNTIF(E55:E59, "&lt;&gt;Yes")+COUNTIF(G55:G59, "&lt;&gt;Yes")+COUNTIF(I55:I57, "&lt;&gt;Yes")+COUNTIF(I59, "&lt;&gt;Yes")</f>
        <v>0</v>
      </c>
    </row>
    <row r="6" spans="2:14" ht="60" x14ac:dyDescent="0.25">
      <c r="B6" s="308" t="s">
        <v>346</v>
      </c>
      <c r="C6" s="306">
        <f>COUNTIF(E64:F69, "&lt;&gt;Yes")</f>
        <v>0</v>
      </c>
      <c r="D6" s="307">
        <f>COUNTIF(I64:J69, "&lt;&gt;Yes")</f>
        <v>0</v>
      </c>
    </row>
    <row r="7" spans="2:14" ht="60.6" customHeight="1" thickBot="1" x14ac:dyDescent="0.3">
      <c r="B7" s="308" t="s">
        <v>347</v>
      </c>
      <c r="C7" s="290">
        <f>COUNTIF(C412:J412, "YES")</f>
        <v>0</v>
      </c>
      <c r="D7" s="292">
        <f>COUNTIF(C425:J425, "YES")</f>
        <v>0</v>
      </c>
    </row>
    <row r="8" spans="2:14" x14ac:dyDescent="0.25">
      <c r="B8" s="287"/>
    </row>
    <row r="9" spans="2:14" ht="15.75" thickBot="1" x14ac:dyDescent="0.3">
      <c r="B9" s="287"/>
      <c r="C9" s="288"/>
      <c r="D9" s="288"/>
    </row>
    <row r="10" spans="2:14" ht="21" x14ac:dyDescent="0.35">
      <c r="B10" s="287"/>
      <c r="C10" s="652" t="s">
        <v>343</v>
      </c>
      <c r="D10" s="653"/>
      <c r="E10" s="653"/>
      <c r="F10" s="653"/>
      <c r="G10" s="653"/>
      <c r="H10" s="654"/>
      <c r="I10" s="652" t="s">
        <v>344</v>
      </c>
      <c r="J10" s="653"/>
      <c r="K10" s="653"/>
      <c r="L10" s="653"/>
      <c r="M10" s="653"/>
      <c r="N10" s="654"/>
    </row>
    <row r="11" spans="2:14" ht="21" x14ac:dyDescent="0.35">
      <c r="B11" s="299" t="s">
        <v>348</v>
      </c>
      <c r="C11" s="297" t="s">
        <v>349</v>
      </c>
      <c r="D11" s="298" t="s">
        <v>350</v>
      </c>
      <c r="E11" s="8" t="s">
        <v>351</v>
      </c>
      <c r="F11" s="8" t="s">
        <v>352</v>
      </c>
      <c r="G11" s="8" t="s">
        <v>353</v>
      </c>
      <c r="H11" s="296" t="s">
        <v>354</v>
      </c>
      <c r="I11" s="297" t="s">
        <v>349</v>
      </c>
      <c r="J11" s="298" t="s">
        <v>350</v>
      </c>
      <c r="K11" s="8" t="s">
        <v>351</v>
      </c>
      <c r="L11" s="8" t="s">
        <v>352</v>
      </c>
      <c r="M11" s="8" t="s">
        <v>353</v>
      </c>
      <c r="N11" s="296" t="s">
        <v>354</v>
      </c>
    </row>
    <row r="12" spans="2:14" ht="60.6" customHeight="1" x14ac:dyDescent="0.25">
      <c r="B12" s="308" t="s">
        <v>355</v>
      </c>
      <c r="C12" s="314">
        <f>COUNTIF(H115:M150, "&lt;&gt;*TRUE*")+COUNTIF(N115:O150, "&lt;&gt;TRUE")</f>
        <v>0</v>
      </c>
      <c r="D12" s="313">
        <f>COUNTIF(H156:M191, "&lt;&gt;*TRUE*")+COUNTIF(N156:O191, "&lt;&gt;TRUE")</f>
        <v>0</v>
      </c>
      <c r="E12" s="497">
        <f>COUNTIF(H197:M232, "&lt;&gt;*TRUE*")+COUNTIF(N197:O232, "&lt;&gt;TRUE")</f>
        <v>0</v>
      </c>
      <c r="F12" s="496">
        <f>COUNTIF(H238:M273, "&lt;&gt;*TRUE*")+COUNTIF(N238:O273, "&lt;&gt;TRUE")</f>
        <v>0</v>
      </c>
      <c r="G12" s="497">
        <f>COUNTIF(H279:M314, "&lt;&gt;*TRUE*")+COUNTIF(N279:O314, "&lt;&gt;TRUE")</f>
        <v>0</v>
      </c>
      <c r="H12" s="315">
        <f>COUNTIF(H320:M355, "&lt;&gt;*TRUE*")+COUNTIF(N320:O355, "&lt;&gt;TRUE")</f>
        <v>0</v>
      </c>
      <c r="I12" s="314">
        <f>COUNTIF(W115:AB150, "&lt;&gt;*TRUE*")+COUNTIF(AC115:AD150, "&lt;&gt;TRUE")</f>
        <v>0</v>
      </c>
      <c r="J12" s="313">
        <f>COUNTIF(W156:AB191, "&lt;&gt;*TRUE*")+COUNTIF(AC156:AD191, "&lt;&gt;TRUE")</f>
        <v>0</v>
      </c>
      <c r="K12" s="312">
        <f>COUNTIF(W197:AB232, "&lt;&gt;*TRUE*")+COUNTIF(AC197:AD232, "&lt;&gt;TRUE")</f>
        <v>0</v>
      </c>
      <c r="L12" s="313">
        <f>COUNTIF(W197:AB232, "&lt;&gt;*TRUE*")+COUNTIF(AC197:AD232, "&lt;&gt;TRUE")</f>
        <v>0</v>
      </c>
      <c r="M12" s="312">
        <f>COUNTIF(W279:AB314, "&lt;&gt;*TRUE*")+COUNTIF(AC279:AD314, "&lt;&gt;TRUE")</f>
        <v>0</v>
      </c>
      <c r="N12" s="315">
        <f>COUNTIF(W320:AB355, "&lt;&gt;*TRUE*")+COUNTIF(AC320:AD355, "&lt;&gt;TRUE")</f>
        <v>0</v>
      </c>
    </row>
    <row r="13" spans="2:14" ht="60.6" customHeight="1" x14ac:dyDescent="0.25">
      <c r="B13" s="308" t="s">
        <v>356</v>
      </c>
      <c r="C13" s="495">
        <f>COUNTIFS(C76:C107,0)</f>
        <v>32</v>
      </c>
      <c r="D13" s="498">
        <v>0</v>
      </c>
      <c r="E13" s="312">
        <f>COUNTIFS(D76:D107,0)</f>
        <v>32</v>
      </c>
      <c r="F13" s="312">
        <f>COUNTIFS(E76:E107,0)</f>
        <v>32</v>
      </c>
      <c r="G13" s="312">
        <f>COUNTIFS(F76:F107,0)</f>
        <v>32</v>
      </c>
      <c r="H13" s="509">
        <v>0</v>
      </c>
      <c r="I13" s="495">
        <f>COUNTIFS(H76:H107,0)</f>
        <v>32</v>
      </c>
      <c r="J13" s="496">
        <v>0</v>
      </c>
      <c r="K13" s="497">
        <f>COUNTIFS(I76:I107,0)</f>
        <v>32</v>
      </c>
      <c r="L13" s="497">
        <f>COUNTIFS(J76:J107,0)</f>
        <v>32</v>
      </c>
      <c r="M13" s="497">
        <f>COUNTIFS(K76:K107,0)</f>
        <v>32</v>
      </c>
      <c r="N13" s="499">
        <v>0</v>
      </c>
    </row>
    <row r="14" spans="2:14" ht="51" customHeight="1" thickBot="1" x14ac:dyDescent="0.3">
      <c r="B14" s="309" t="s">
        <v>357</v>
      </c>
      <c r="C14" s="290" t="str">
        <f>IF(G115&lt;=SUM(G116:G150),"Yes","No")</f>
        <v>Yes</v>
      </c>
      <c r="D14" s="291" t="str">
        <f>IF(G156&lt;=SUM(G157:G191),"Yes","No")</f>
        <v>Yes</v>
      </c>
      <c r="E14" s="500" t="str">
        <f>IF(G197&lt;=SUM(G198:G232),"Yes","No")</f>
        <v>Yes</v>
      </c>
      <c r="F14" s="500" t="str">
        <f>IF(G238&lt;=SUM(G239:G273),"Yes","No")</f>
        <v>Yes</v>
      </c>
      <c r="G14" s="500" t="str">
        <f>IF(G279&lt;=SUM(G280:G314),"Yes","No")</f>
        <v>Yes</v>
      </c>
      <c r="H14" s="292" t="str">
        <f>IF(G320&lt;=SUM(G321:G355),"Yes","No")</f>
        <v>Yes</v>
      </c>
      <c r="I14" s="290" t="str">
        <f>IF(V115&lt;=SUM(V116:V150),"Yes","No")</f>
        <v>Yes</v>
      </c>
      <c r="J14" s="291" t="str">
        <f>IF(V156&lt;=SUM(V157:V191),"Yes","No")</f>
        <v>Yes</v>
      </c>
      <c r="K14" s="291" t="str">
        <f>IF(V197&lt;=SUM(V198:V232),"Yes","No")</f>
        <v>Yes</v>
      </c>
      <c r="L14" s="291" t="str">
        <f>IF(V238&lt;=SUM(V239:V273),"Yes","No")</f>
        <v>Yes</v>
      </c>
      <c r="M14" s="291" t="str">
        <f>IF(V279&lt;=SUM(V280:V314),"Yes","No")</f>
        <v>Yes</v>
      </c>
      <c r="N14" s="292" t="str">
        <f>IF(V320&lt;=SUM(V321:V355),"Yes","No")</f>
        <v>Yes</v>
      </c>
    </row>
    <row r="15" spans="2:14" ht="15.75" thickBot="1" x14ac:dyDescent="0.3">
      <c r="B15" s="309"/>
      <c r="C15" s="293"/>
      <c r="D15" s="294"/>
      <c r="E15" s="294"/>
      <c r="F15" s="294"/>
      <c r="G15" s="294"/>
      <c r="H15" s="294"/>
      <c r="I15" s="293"/>
      <c r="J15" s="294"/>
      <c r="K15" s="294"/>
      <c r="L15" s="294"/>
      <c r="M15" s="294"/>
      <c r="N15" s="294"/>
    </row>
    <row r="16" spans="2:14" ht="15.75" x14ac:dyDescent="0.25">
      <c r="B16" s="309"/>
      <c r="C16" s="502" t="s">
        <v>349</v>
      </c>
      <c r="D16" s="503" t="s">
        <v>350</v>
      </c>
      <c r="E16" s="505" t="s">
        <v>351</v>
      </c>
      <c r="F16" s="507" t="s">
        <v>352</v>
      </c>
      <c r="G16" s="504" t="s">
        <v>353</v>
      </c>
      <c r="H16" s="505" t="s">
        <v>354</v>
      </c>
      <c r="I16" s="293"/>
      <c r="J16" s="294"/>
      <c r="K16" s="294"/>
      <c r="L16" s="294"/>
      <c r="M16" s="294"/>
      <c r="N16" s="294"/>
    </row>
    <row r="17" spans="2:14" ht="60.6" customHeight="1" thickBot="1" x14ac:dyDescent="0.3">
      <c r="B17" s="319" t="s">
        <v>358</v>
      </c>
      <c r="C17" s="290">
        <f>COUNTIF(AF115:AF150, "&gt;10%")+COUNTIF(AF115:AF150, "&lt;-10%")</f>
        <v>0</v>
      </c>
      <c r="D17" s="291">
        <f>COUNTIF(AF156:AF191, "&gt;10%")+COUNTIF(AF156:AF191, "&lt;-10%")</f>
        <v>0</v>
      </c>
      <c r="E17" s="508">
        <f>COUNTIF(AF197:AF232, "&gt;10%")+COUNTIF(AF197:AF232, "&lt;-10%")</f>
        <v>0</v>
      </c>
      <c r="F17" s="317">
        <f>COUNTIF(AF238:AF273, "&gt;10%")+COUNTIF(AF238:AF273, "&lt;-10%")</f>
        <v>0</v>
      </c>
      <c r="G17" s="506">
        <f>COUNTIF(AF279:AF314, "&gt;10%")+COUNTIF(AF279:AF314, "&lt;-10%")</f>
        <v>0</v>
      </c>
      <c r="H17" s="292">
        <f>COUNTIF(AF320:AF355, "&gt;10%")+COUNTIF(AF320:AF355, "&lt;-10%")</f>
        <v>0</v>
      </c>
      <c r="I17" s="293"/>
      <c r="J17" s="294"/>
      <c r="K17" s="294"/>
      <c r="L17" s="294"/>
      <c r="M17" s="294"/>
      <c r="N17" s="294"/>
    </row>
    <row r="18" spans="2:14" ht="15.75" thickBot="1" x14ac:dyDescent="0.3">
      <c r="B18" s="287"/>
      <c r="C18" s="293"/>
      <c r="D18" s="294"/>
      <c r="E18" s="294"/>
      <c r="F18" s="294"/>
      <c r="G18" s="294"/>
      <c r="H18" s="294"/>
      <c r="I18" s="293"/>
      <c r="J18" s="294"/>
      <c r="K18" s="294"/>
      <c r="L18" s="294"/>
      <c r="M18" s="294"/>
      <c r="N18" s="294"/>
    </row>
    <row r="19" spans="2:14" ht="21" x14ac:dyDescent="0.35">
      <c r="B19" s="287"/>
      <c r="C19" s="655" t="s">
        <v>343</v>
      </c>
      <c r="D19" s="656"/>
      <c r="E19" s="657"/>
      <c r="F19" s="658" t="s">
        <v>344</v>
      </c>
      <c r="G19" s="658"/>
      <c r="H19" s="659"/>
      <c r="I19" s="289"/>
      <c r="J19" s="289"/>
      <c r="K19" s="289"/>
      <c r="L19" s="289"/>
      <c r="M19" s="289"/>
      <c r="N19" s="289"/>
    </row>
    <row r="20" spans="2:14" x14ac:dyDescent="0.25">
      <c r="C20" s="295" t="s">
        <v>359</v>
      </c>
      <c r="D20" s="8" t="s">
        <v>360</v>
      </c>
      <c r="E20" s="296" t="s">
        <v>361</v>
      </c>
      <c r="F20" s="316" t="s">
        <v>359</v>
      </c>
      <c r="G20" s="8" t="s">
        <v>360</v>
      </c>
      <c r="H20" s="296" t="s">
        <v>361</v>
      </c>
    </row>
    <row r="21" spans="2:14" ht="44.1" customHeight="1" thickBot="1" x14ac:dyDescent="0.3">
      <c r="B21" s="308" t="s">
        <v>362</v>
      </c>
      <c r="C21" s="290">
        <f>COUNTIF(E364:E399, "&lt;&gt;*TRUE*")</f>
        <v>0</v>
      </c>
      <c r="D21" s="291">
        <f>COUNTIF(M364:M399, "&lt;&gt;*TRUE*")</f>
        <v>0</v>
      </c>
      <c r="E21" s="292">
        <f>COUNTIF(U364:U399, "&lt;&gt;*TRUE*")</f>
        <v>0</v>
      </c>
      <c r="F21" s="317">
        <f>COUNTIF(H364:H399, "&lt;&gt;*TRUE*")</f>
        <v>0</v>
      </c>
      <c r="G21" s="291">
        <f>COUNTIF(P364:P399, "&lt;&gt;*TRUE*")</f>
        <v>0</v>
      </c>
      <c r="H21" s="292">
        <f>COUNTIF(X364:X399, "&lt;&gt;*TRUE*")</f>
        <v>0</v>
      </c>
    </row>
    <row r="22" spans="2:14" x14ac:dyDescent="0.25">
      <c r="C22" s="25"/>
      <c r="D22" s="25"/>
    </row>
    <row r="23" spans="2:14" x14ac:dyDescent="0.25">
      <c r="C23" s="25"/>
      <c r="D23" s="25"/>
    </row>
    <row r="24" spans="2:14" ht="18.75" x14ac:dyDescent="0.3">
      <c r="B24" s="249" t="s">
        <v>363</v>
      </c>
      <c r="C24" s="25"/>
      <c r="D24" s="25"/>
    </row>
    <row r="25" spans="2:14" x14ac:dyDescent="0.25">
      <c r="B25" s="5" t="s">
        <v>364</v>
      </c>
      <c r="C25" s="5">
        <v>2023</v>
      </c>
      <c r="D25" s="5">
        <v>2024</v>
      </c>
    </row>
    <row r="26" spans="2:14" x14ac:dyDescent="0.25">
      <c r="B26" s="9" t="s">
        <v>172</v>
      </c>
      <c r="C26" s="122">
        <f>'HD-TME - 2024'!B11</f>
        <v>0</v>
      </c>
      <c r="D26" s="122">
        <f>'HD-TME - 2024'!B11</f>
        <v>0</v>
      </c>
    </row>
    <row r="27" spans="2:14" x14ac:dyDescent="0.25">
      <c r="B27" s="9" t="s">
        <v>173</v>
      </c>
      <c r="C27" s="122">
        <f>'HD-TME - 2024'!C11</f>
        <v>0</v>
      </c>
      <c r="D27" s="122">
        <f>'HD-TME - 2024'!C11</f>
        <v>0</v>
      </c>
    </row>
    <row r="28" spans="2:14" x14ac:dyDescent="0.25">
      <c r="C28" s="25"/>
      <c r="D28" s="25"/>
    </row>
    <row r="29" spans="2:14" x14ac:dyDescent="0.25">
      <c r="C29" s="25"/>
      <c r="D29" s="25"/>
    </row>
    <row r="30" spans="2:14" ht="18.75" x14ac:dyDescent="0.3">
      <c r="B30" s="249" t="s">
        <v>365</v>
      </c>
      <c r="D30" s="7"/>
      <c r="H30" s="7"/>
    </row>
    <row r="31" spans="2:14" x14ac:dyDescent="0.25">
      <c r="B31" s="26" t="s">
        <v>366</v>
      </c>
      <c r="D31" s="7"/>
      <c r="H31" s="7"/>
    </row>
    <row r="32" spans="2:14" ht="30" x14ac:dyDescent="0.25">
      <c r="B32" s="5" t="s">
        <v>80</v>
      </c>
      <c r="C32" s="5" t="s">
        <v>367</v>
      </c>
      <c r="D32" s="198" t="s">
        <v>368</v>
      </c>
      <c r="E32" s="5" t="s">
        <v>369</v>
      </c>
      <c r="F32" s="198" t="s">
        <v>370</v>
      </c>
      <c r="G32" s="198" t="s">
        <v>371</v>
      </c>
    </row>
    <row r="33" spans="2:9" x14ac:dyDescent="0.25">
      <c r="B33" s="4">
        <v>1</v>
      </c>
      <c r="C33" s="28" t="str">
        <f>IF(VLOOKUP($C$1,ExpectedICC[#All],2,FALSE)=0,"No","Yes")</f>
        <v>Yes</v>
      </c>
      <c r="D33" s="4" t="str">
        <f>IF(COUNTIF(AN_TME_BY[[#All],[Insurance Category Code]],B33)=0,"No","Yes")</f>
        <v>No</v>
      </c>
      <c r="E33" s="28" t="str">
        <f>IF(VLOOKUP($C$1,ExpectedICC[#All],2,FALSE)=0,"No","Yes")</f>
        <v>Yes</v>
      </c>
      <c r="F33" s="4" t="str">
        <f>IF(COUNTIF(AN_TME_PY[[#All],[Insurance Category Code]],B33)=0,"No","Yes")</f>
        <v>No</v>
      </c>
      <c r="G33" s="4" t="str">
        <f>IF(AND(D33=F33),"Yes","No")</f>
        <v>Yes</v>
      </c>
    </row>
    <row r="34" spans="2:9" x14ac:dyDescent="0.25">
      <c r="B34" s="4">
        <v>2</v>
      </c>
      <c r="C34" s="28" t="str">
        <f>IF(VLOOKUP($C$1,ExpectedICC[#All],3,FALSE)=0,"No","Yes")</f>
        <v>No</v>
      </c>
      <c r="D34" s="4" t="str">
        <f>IF(COUNTIF(AN_TME_BY[[#All],[Insurance Category Code]],B34)=0,"No","Yes")</f>
        <v>No</v>
      </c>
      <c r="E34" s="28" t="str">
        <f>IF(VLOOKUP($C$1,ExpectedICC[#All],3,FALSE)=0,"No","Yes")</f>
        <v>No</v>
      </c>
      <c r="F34" s="4" t="str">
        <f>IF(COUNTIF(AN_TME_PY[[#All],[Insurance Category Code]],B34)=0,"No","Yes")</f>
        <v>No</v>
      </c>
      <c r="G34" s="4" t="str">
        <f t="shared" ref="G34:G38" si="0">IF(AND(D34=F34),"Yes","No")</f>
        <v>Yes</v>
      </c>
    </row>
    <row r="35" spans="2:9" x14ac:dyDescent="0.25">
      <c r="B35" s="4">
        <v>3</v>
      </c>
      <c r="C35" s="28" t="str">
        <f>IF(VLOOKUP($C$1,ExpectedICC[#All],4,FALSE)=0,"No","Yes")</f>
        <v>Yes</v>
      </c>
      <c r="D35" s="4" t="str">
        <f>IF(COUNTIF(AN_TME_BY[[#All],[Insurance Category Code]],B35)=0,"No","Yes")</f>
        <v>No</v>
      </c>
      <c r="E35" s="28" t="str">
        <f>IF(VLOOKUP($C$1,ExpectedICC[#All],4,FALSE)=0,"No","Yes")</f>
        <v>Yes</v>
      </c>
      <c r="F35" s="4" t="str">
        <f>IF(COUNTIF(AN_TME_PY[[#All],[Insurance Category Code]],B35)=0,"No","Yes")</f>
        <v>No</v>
      </c>
      <c r="G35" s="4" t="str">
        <f t="shared" si="0"/>
        <v>Yes</v>
      </c>
    </row>
    <row r="36" spans="2:9" x14ac:dyDescent="0.25">
      <c r="B36" s="4">
        <v>4</v>
      </c>
      <c r="C36" s="28" t="str">
        <f>IF(VLOOKUP($C$1,ExpectedICC[#All],5,FALSE)=0,"No","Yes")</f>
        <v>Yes</v>
      </c>
      <c r="D36" s="4" t="str">
        <f>IF(COUNTIF(AN_TME_BY[[#All],[Insurance Category Code]],B36)=0,"No","Yes")</f>
        <v>No</v>
      </c>
      <c r="E36" s="28" t="str">
        <f>IF(VLOOKUP($C$1,ExpectedICC[#All],5,FALSE)=0,"No","Yes")</f>
        <v>Yes</v>
      </c>
      <c r="F36" s="4" t="str">
        <f>IF(COUNTIF(AN_TME_PY[[#All],[Insurance Category Code]],B36)=0,"No","Yes")</f>
        <v>No</v>
      </c>
      <c r="G36" s="4" t="str">
        <f t="shared" si="0"/>
        <v>Yes</v>
      </c>
    </row>
    <row r="37" spans="2:9" x14ac:dyDescent="0.25">
      <c r="B37" s="4">
        <v>5</v>
      </c>
      <c r="C37" s="28" t="str">
        <f>IF(VLOOKUP($C$1,ExpectedICC[#All],6,FALSE)=0,"No","Yes")</f>
        <v>Yes</v>
      </c>
      <c r="D37" s="4" t="str">
        <f>IF(COUNTIF(AN_TME_BY[[#All],[Insurance Category Code]],B37)=0,"No","Yes")</f>
        <v>No</v>
      </c>
      <c r="E37" s="28" t="str">
        <f>IF(VLOOKUP($C$1,ExpectedICC[#All],6,FALSE)=0,"No","Yes")</f>
        <v>Yes</v>
      </c>
      <c r="F37" s="4" t="str">
        <f>IF(COUNTIF(AN_TME_PY[[#All],[Insurance Category Code]],B37)=0,"No","Yes")</f>
        <v>No</v>
      </c>
      <c r="G37" s="4" t="str">
        <f t="shared" si="0"/>
        <v>Yes</v>
      </c>
    </row>
    <row r="38" spans="2:9" x14ac:dyDescent="0.25">
      <c r="B38" s="4">
        <v>6</v>
      </c>
      <c r="C38" s="28" t="str">
        <f>IF(VLOOKUP($C$1,ExpectedICC[#All],7,FALSE)=0,"No","Yes")</f>
        <v>No</v>
      </c>
      <c r="D38" s="4" t="str">
        <f>IF(COUNTIF(AN_TME_BY[[#All],[Insurance Category Code]],B38)=0,"No","Yes")</f>
        <v>No</v>
      </c>
      <c r="E38" s="28" t="str">
        <f>IF(VLOOKUP($C$1,ExpectedICC[#All],7,FALSE)=0,"No","Yes")</f>
        <v>No</v>
      </c>
      <c r="F38" s="4" t="str">
        <f>IF(COUNTIF(AN_TME_PY[[#All],[Insurance Category Code]],B38)=0,"No","Yes")</f>
        <v>No</v>
      </c>
      <c r="G38" s="4" t="str">
        <f t="shared" si="0"/>
        <v>Yes</v>
      </c>
    </row>
    <row r="39" spans="2:9" x14ac:dyDescent="0.25">
      <c r="B39" s="15"/>
      <c r="E39" s="30"/>
      <c r="F39" s="3"/>
      <c r="G39" s="3"/>
    </row>
    <row r="40" spans="2:9" x14ac:dyDescent="0.25">
      <c r="B40" s="15"/>
      <c r="E40" s="30"/>
      <c r="F40" s="3"/>
      <c r="G40" s="3"/>
    </row>
    <row r="41" spans="2:9" x14ac:dyDescent="0.25">
      <c r="B41" s="15"/>
      <c r="E41" s="30"/>
      <c r="F41" s="3"/>
      <c r="G41" s="3"/>
    </row>
    <row r="42" spans="2:9" ht="18.75" x14ac:dyDescent="0.3">
      <c r="B42" s="249" t="s">
        <v>372</v>
      </c>
      <c r="E42" s="30"/>
      <c r="F42" s="3"/>
      <c r="G42" s="3"/>
    </row>
    <row r="43" spans="2:9" ht="15.75" thickBot="1" x14ac:dyDescent="0.3">
      <c r="B43" s="26" t="s">
        <v>373</v>
      </c>
      <c r="E43" s="30"/>
      <c r="F43" s="3"/>
      <c r="G43" s="3"/>
    </row>
    <row r="44" spans="2:9" ht="120" customHeight="1" x14ac:dyDescent="0.25">
      <c r="B44" s="235" t="s">
        <v>374</v>
      </c>
      <c r="C44" s="236" t="s">
        <v>322</v>
      </c>
      <c r="D44" s="236" t="s">
        <v>375</v>
      </c>
      <c r="E44" s="232" t="s">
        <v>376</v>
      </c>
      <c r="F44" s="235" t="s">
        <v>377</v>
      </c>
      <c r="G44" s="232" t="s">
        <v>378</v>
      </c>
      <c r="H44" s="235" t="s">
        <v>379</v>
      </c>
      <c r="I44" s="232" t="s">
        <v>380</v>
      </c>
    </row>
    <row r="45" spans="2:9" x14ac:dyDescent="0.25">
      <c r="B45" s="207" t="s">
        <v>295</v>
      </c>
      <c r="C45" s="226">
        <f>SUM(C64:C69)</f>
        <v>0</v>
      </c>
      <c r="D45" s="226">
        <f>SUM(LOB_ENROLL[[#All],[2023 Member Months]])</f>
        <v>0</v>
      </c>
      <c r="E45" s="218" t="str">
        <f>IF(C45=D45,"Yes",ABS(C45-D45))</f>
        <v>Yes</v>
      </c>
      <c r="F45" s="230">
        <f>SUM(D64:D69)</f>
        <v>0</v>
      </c>
      <c r="G45" s="218" t="str">
        <f>IF(C45=F45,"Yes", C45-F45)</f>
        <v>Yes</v>
      </c>
      <c r="H45" s="230">
        <f>SUMIF(StandardDeviation_BY[[#All],[Advanced Network/Insurance Carrier Org ID]], 100, StandardDeviation_BY[[#All],[Member Months]])</f>
        <v>0</v>
      </c>
      <c r="I45" s="16" t="str">
        <f>IF(C45=H45,"Yes",ABS(C45-H45))</f>
        <v>Yes</v>
      </c>
    </row>
    <row r="46" spans="2:9" x14ac:dyDescent="0.25">
      <c r="B46" s="207" t="s">
        <v>359</v>
      </c>
      <c r="C46" s="226">
        <f>C64</f>
        <v>0</v>
      </c>
      <c r="D46" s="226">
        <f>SUMIF(LOB_ENROLL[[#All],[Line of Business Enrollment Category Code]],906,LOB_ENROLL[[#All],[2023 Member Months]])</f>
        <v>0</v>
      </c>
      <c r="E46" s="218" t="str">
        <f t="shared" ref="E46:E49" si="1">IF(C46=D46,"Yes",ABS(C46-D46))</f>
        <v>Yes</v>
      </c>
      <c r="F46" s="230">
        <f>D64</f>
        <v>0</v>
      </c>
      <c r="G46" s="218" t="str">
        <f>IF(C46=F46,"Yes", C46-F46)</f>
        <v>Yes</v>
      </c>
      <c r="H46" s="230">
        <f>SUMIFS(StandardDeviation_BY[[#All],[Member Months]], StandardDeviation_BY[[#All],[Advanced Network/Insurance Carrier Org ID]], 100, StandardDeviation_BY[[#All],[Market ID]], 1)</f>
        <v>0</v>
      </c>
      <c r="I46" s="16" t="str">
        <f>IF((C64+C68)=H46,"Yes",ABS((C64+C68)-H46))</f>
        <v>Yes</v>
      </c>
    </row>
    <row r="47" spans="2:9" x14ac:dyDescent="0.25">
      <c r="B47" s="207" t="s">
        <v>360</v>
      </c>
      <c r="C47" s="226">
        <f>C65</f>
        <v>0</v>
      </c>
      <c r="D47" s="226">
        <f>SUMIF(LOB_ENROLL[[#All],[Line of Business Enrollment Category Code]],907,LOB_ENROLL[[#All],[2023 Member Months]])</f>
        <v>0</v>
      </c>
      <c r="E47" s="218" t="str">
        <f t="shared" si="1"/>
        <v>Yes</v>
      </c>
      <c r="F47" s="230">
        <f>D65</f>
        <v>0</v>
      </c>
      <c r="G47" s="218" t="str">
        <f>IF(C47=F47,"Yes", C47-F47)</f>
        <v>Yes</v>
      </c>
      <c r="H47" s="230">
        <f>SUMIFS(StandardDeviation_BY[[#All],[Member Months]], StandardDeviation_BY[[#All],[Advanced Network/Insurance Carrier Org ID]], 100, StandardDeviation_BY[[#All],[Market ID]], 2)</f>
        <v>0</v>
      </c>
      <c r="I47" s="16" t="str">
        <f t="shared" ref="I47" si="2">IF(C47=H47,"Yes",ABS(C47-H47))</f>
        <v>Yes</v>
      </c>
    </row>
    <row r="48" spans="2:9" ht="15.75" thickBot="1" x14ac:dyDescent="0.3">
      <c r="B48" s="207" t="s">
        <v>381</v>
      </c>
      <c r="C48" s="226">
        <f>C68+C69</f>
        <v>0</v>
      </c>
      <c r="D48" s="226">
        <f>SUMIF(LOB_ENROLL[[#All],[Line of Business Enrollment Category Code]],908,LOB_ENROLL[[#All],[2023 Member Months]])</f>
        <v>0</v>
      </c>
      <c r="E48" s="218" t="str">
        <f t="shared" si="1"/>
        <v>Yes</v>
      </c>
      <c r="F48" s="230">
        <f>D68+D69</f>
        <v>0</v>
      </c>
      <c r="G48" s="218" t="str">
        <f>IF(C48=F48,"Yes", C48-F48)</f>
        <v>Yes</v>
      </c>
      <c r="H48" s="230">
        <v>0</v>
      </c>
      <c r="I48" s="454" t="s">
        <v>46</v>
      </c>
    </row>
    <row r="49" spans="2:15" ht="15.75" thickBot="1" x14ac:dyDescent="0.3">
      <c r="B49" s="208" t="s">
        <v>382</v>
      </c>
      <c r="C49" s="227">
        <f>SUM(C66:C67)</f>
        <v>0</v>
      </c>
      <c r="D49" s="227">
        <f>SUMIF(LOB_ENROLL[[#All],[Line of Business Enrollment Category Code]],901,LOB_ENROLL[[#All],[2023 Member Months]])+SUMIF(LOB_ENROLL[[#All],[Line of Business Enrollment Category Code]],902,LOB_ENROLL[[#All],[2023 Member Months]])+SUMIF(LOB_ENROLL[[#All],[Line of Business Enrollment Category Code]],903,LOB_ENROLL[[#All],[2023 Member Months]])+SUMIF(LOB_ENROLL[[#All],[Line of Business Enrollment Category Code]],904,LOB_ENROLL[[#All],[2023 Member Months]])+SUMIF(LOB_ENROLL[[#All],[Line of Business Enrollment Category Code]],905,LOB_ENROLL[[#All],[2023 Member Months]])</f>
        <v>0</v>
      </c>
      <c r="E49" s="219" t="str">
        <f t="shared" si="1"/>
        <v>Yes</v>
      </c>
      <c r="F49" s="231">
        <f>SUM(D66:D67)</f>
        <v>0</v>
      </c>
      <c r="G49" s="219" t="str">
        <f>IF(C49=F49,"Yes", C49-F49)</f>
        <v>Yes</v>
      </c>
      <c r="H49" s="231">
        <f>SUMIFS(StandardDeviation_BY[[#All],[Member Months]], StandardDeviation_BY[[#All],[Advanced Network/Insurance Carrier Org ID]], 100, StandardDeviation_BY[[#All],[Market ID]], 3)</f>
        <v>0</v>
      </c>
      <c r="I49" s="16" t="str">
        <f>IF(C49=H49,"Yes",ABS(C49-H49))</f>
        <v>Yes</v>
      </c>
    </row>
    <row r="50" spans="2:15" x14ac:dyDescent="0.25">
      <c r="B50" s="15"/>
      <c r="E50" s="30"/>
      <c r="F50" s="3"/>
      <c r="G50" s="3"/>
    </row>
    <row r="51" spans="2:15" x14ac:dyDescent="0.25">
      <c r="B51" s="15"/>
      <c r="E51" s="30"/>
      <c r="F51" s="3"/>
      <c r="G51" s="3"/>
    </row>
    <row r="52" spans="2:15" ht="18.75" x14ac:dyDescent="0.3">
      <c r="B52" s="249" t="s">
        <v>383</v>
      </c>
      <c r="E52" s="30"/>
      <c r="F52" s="3"/>
      <c r="G52" s="3"/>
    </row>
    <row r="53" spans="2:15" ht="15.75" thickBot="1" x14ac:dyDescent="0.3">
      <c r="B53" s="26" t="s">
        <v>373</v>
      </c>
      <c r="E53" s="30"/>
      <c r="F53" s="3"/>
      <c r="G53" s="3"/>
    </row>
    <row r="54" spans="2:15" ht="60" x14ac:dyDescent="0.25">
      <c r="B54" s="235" t="s">
        <v>374</v>
      </c>
      <c r="C54" s="236" t="s">
        <v>322</v>
      </c>
      <c r="D54" s="236" t="s">
        <v>375</v>
      </c>
      <c r="E54" s="232" t="s">
        <v>376</v>
      </c>
      <c r="F54" s="235" t="s">
        <v>377</v>
      </c>
      <c r="G54" s="232" t="s">
        <v>378</v>
      </c>
      <c r="H54" s="235" t="s">
        <v>379</v>
      </c>
      <c r="I54" s="232" t="s">
        <v>380</v>
      </c>
    </row>
    <row r="55" spans="2:15" x14ac:dyDescent="0.25">
      <c r="B55" s="207" t="s">
        <v>295</v>
      </c>
      <c r="C55" s="228">
        <f>SUM(G64:G69)</f>
        <v>0</v>
      </c>
      <c r="D55" s="228">
        <f>SUM(LOB_ENROLL[[#All],[2024 Member Months]])</f>
        <v>0</v>
      </c>
      <c r="E55" s="218" t="str">
        <f>IF(C55=D55,"Yes",ABS(C55-D55))</f>
        <v>Yes</v>
      </c>
      <c r="F55" s="230">
        <f>SUM(H64:H69)</f>
        <v>0</v>
      </c>
      <c r="G55" s="218" t="str">
        <f>IF(C55=F55,"Yes", C55-F55)</f>
        <v>Yes</v>
      </c>
      <c r="H55" s="230">
        <f>SUMIF(StandardDeviation_PY[[#All],[Advanced Network/Insurance Carrier Org ID]], 100, StandardDeviation_PY[[#All],[Member Months]])</f>
        <v>0</v>
      </c>
      <c r="I55" s="218" t="str">
        <f>IF(C55=H55,"Yes",ABS(C55-H55))</f>
        <v>Yes</v>
      </c>
    </row>
    <row r="56" spans="2:15" x14ac:dyDescent="0.25">
      <c r="B56" s="207" t="s">
        <v>359</v>
      </c>
      <c r="C56" s="228">
        <f>G64</f>
        <v>0</v>
      </c>
      <c r="D56" s="228">
        <f>SUMIF(LOB_ENROLL[[#All],[Line of Business Enrollment Category Code]],906,LOB_ENROLL[[#All],[2024 Member Months]])</f>
        <v>0</v>
      </c>
      <c r="E56" s="218" t="str">
        <f t="shared" ref="E56:E59" si="3">IF(C56=D56,"Yes",ABS(C56-D56))</f>
        <v>Yes</v>
      </c>
      <c r="F56" s="230">
        <f>H64</f>
        <v>0</v>
      </c>
      <c r="G56" s="218" t="str">
        <f>IF(C56=F56,"Yes", C56-F56)</f>
        <v>Yes</v>
      </c>
      <c r="H56" s="230">
        <f>SUMIFS(StandardDeviation_PY[[#All],[Member Months]], StandardDeviation_PY[[#All],[Advanced Network/Insurance Carrier Org ID]], 100, StandardDeviation_PY[[#All],[Market ID]], 1)</f>
        <v>0</v>
      </c>
      <c r="I56" s="218" t="str">
        <f>IF((G64+G68)=H56,"Yes",ABS((G64+G68)-H56))</f>
        <v>Yes</v>
      </c>
    </row>
    <row r="57" spans="2:15" x14ac:dyDescent="0.25">
      <c r="B57" s="207" t="s">
        <v>360</v>
      </c>
      <c r="C57" s="228">
        <f>G65</f>
        <v>0</v>
      </c>
      <c r="D57" s="228">
        <f>SUMIF(LOB_ENROLL[[#All],[Line of Business Enrollment Category Code]],907,LOB_ENROLL[[#All],[2024 Member Months]])</f>
        <v>0</v>
      </c>
      <c r="E57" s="218" t="str">
        <f t="shared" si="3"/>
        <v>Yes</v>
      </c>
      <c r="F57" s="230">
        <f>H65</f>
        <v>0</v>
      </c>
      <c r="G57" s="218" t="str">
        <f>IF(C57=F57,"Yes", C57-F57)</f>
        <v>Yes</v>
      </c>
      <c r="H57" s="230">
        <f>SUMIFS(StandardDeviation_PY[[#All],[Member Months]], StandardDeviation_PY[[#All],[Advanced Network/Insurance Carrier Org ID]], 100, StandardDeviation_PY[[#All],[Market ID]], 2)</f>
        <v>0</v>
      </c>
      <c r="I57" s="218" t="str">
        <f t="shared" ref="I57" si="4">IF(C57=H57,"Yes",ABS(C57-H57))</f>
        <v>Yes</v>
      </c>
    </row>
    <row r="58" spans="2:15" ht="15.75" thickBot="1" x14ac:dyDescent="0.3">
      <c r="B58" s="207" t="s">
        <v>381</v>
      </c>
      <c r="C58" s="228">
        <f>G68+G69</f>
        <v>0</v>
      </c>
      <c r="D58" s="228">
        <f>SUMIF(LOB_ENROLL[[#All],[Line of Business Enrollment Category Code]],908,LOB_ENROLL[[#All],[2024 Member Months]])</f>
        <v>0</v>
      </c>
      <c r="E58" s="218" t="str">
        <f t="shared" si="3"/>
        <v>Yes</v>
      </c>
      <c r="F58" s="230">
        <f>H68+H69</f>
        <v>0</v>
      </c>
      <c r="G58" s="218" t="str">
        <f>IF(C58=F58,"Yes", C58-F58)</f>
        <v>Yes</v>
      </c>
      <c r="H58" s="230">
        <v>0</v>
      </c>
      <c r="I58" s="454" t="s">
        <v>46</v>
      </c>
    </row>
    <row r="59" spans="2:15" ht="15.75" thickBot="1" x14ac:dyDescent="0.3">
      <c r="B59" s="208" t="s">
        <v>382</v>
      </c>
      <c r="C59" s="229">
        <f>SUM(G66:G67)</f>
        <v>0</v>
      </c>
      <c r="D59" s="229">
        <f>SUMIF(LOB_ENROLL[[#All],[Line of Business Enrollment Category Code]],901,LOB_ENROLL[[#All],[2024 Member Months]])+SUMIF(LOB_ENROLL[[#All],[Line of Business Enrollment Category Code]],902,LOB_ENROLL[[#All],[2024 Member Months]])+SUMIF(LOB_ENROLL[[#All],[Line of Business Enrollment Category Code]],903,LOB_ENROLL[[#All],[2024 Member Months]])+SUMIF(LOB_ENROLL[[#All],[Line of Business Enrollment Category Code]],904,LOB_ENROLL[[#All],[2024 Member Months]])+SUMIF(LOB_ENROLL[[#All],[Line of Business Enrollment Category Code]],905,LOB_ENROLL[[#All],[2024 Member Months]])</f>
        <v>0</v>
      </c>
      <c r="E59" s="219" t="str">
        <f t="shared" si="3"/>
        <v>Yes</v>
      </c>
      <c r="F59" s="231">
        <f>SUM(H66:H67)</f>
        <v>0</v>
      </c>
      <c r="G59" s="219" t="str">
        <f>IF(C59=F59,"Yes", C59-F59)</f>
        <v>Yes</v>
      </c>
      <c r="H59" s="231">
        <f>SUMIFS(StandardDeviation_PY[[#All],[Member Months]], StandardDeviation_PY[[#All],[Advanced Network/Insurance Carrier Org ID]], 100, StandardDeviation_PY[[#All],[Market ID]], 3)</f>
        <v>0</v>
      </c>
      <c r="I59" s="218" t="str">
        <f>IF(C59=H59,"Yes",ABS(C59-H59))</f>
        <v>Yes</v>
      </c>
    </row>
    <row r="60" spans="2:15" x14ac:dyDescent="0.25">
      <c r="B60" s="15"/>
      <c r="E60" s="30"/>
      <c r="F60" s="3"/>
      <c r="G60" s="3"/>
    </row>
    <row r="61" spans="2:15" x14ac:dyDescent="0.25">
      <c r="B61" s="318" t="s">
        <v>384</v>
      </c>
      <c r="E61" s="30"/>
      <c r="F61" s="3"/>
      <c r="G61" s="3"/>
    </row>
    <row r="62" spans="2:15" ht="19.5" thickBot="1" x14ac:dyDescent="0.35">
      <c r="B62" s="249" t="s">
        <v>385</v>
      </c>
      <c r="D62" s="3"/>
    </row>
    <row r="63" spans="2:15" s="239" customFormat="1" ht="110.25" customHeight="1" x14ac:dyDescent="0.25">
      <c r="B63" s="255" t="s">
        <v>80</v>
      </c>
      <c r="C63" s="258" t="s">
        <v>386</v>
      </c>
      <c r="D63" s="250" t="s">
        <v>387</v>
      </c>
      <c r="E63" s="250" t="s">
        <v>388</v>
      </c>
      <c r="F63" s="251" t="s">
        <v>389</v>
      </c>
      <c r="G63" s="253" t="s">
        <v>390</v>
      </c>
      <c r="H63" s="254" t="s">
        <v>391</v>
      </c>
      <c r="I63" s="254" t="s">
        <v>392</v>
      </c>
      <c r="J63" s="251" t="s">
        <v>389</v>
      </c>
      <c r="O63"/>
    </row>
    <row r="64" spans="2:15" x14ac:dyDescent="0.25">
      <c r="B64" s="256">
        <v>1</v>
      </c>
      <c r="C64" s="230">
        <f>SUMIFS(AN_TME_BY[[#All],[Member Months]], AN_TME_BY[[#All],[Insurance Category Code]], B64, AN_TME_BY[[#All], [Advanced Network/Insurance Carrier Org ID]], 100)</f>
        <v>0</v>
      </c>
      <c r="D64" s="226">
        <f>SUMIFS(Age_Sex_BY[[#All],[Total Member Months by Age/Sex Band]], Age_Sex_BY[[#All],[Insurance Category Code]], B64, Age_Sex_BY[[#All],[Advanced Network ID]], 100)</f>
        <v>0</v>
      </c>
      <c r="E64" s="16" t="str">
        <f>IF(C64=D64,"Yes",ABS(C64-D64))</f>
        <v>Yes</v>
      </c>
      <c r="F64" s="16" t="str">
        <f>IF(C64=SUM(C116:C150), "Yes", "No")</f>
        <v>Yes</v>
      </c>
      <c r="G64" s="230">
        <f>SUMIFS(AN_TME_PY[[#All],[Member Months]], AN_TME_PY[[#All],[Insurance Category Code]], B64, AN_TME_PY[[#All], [Advanced Network/Insurance Carrier Org ID]], 100)</f>
        <v>0</v>
      </c>
      <c r="H64" s="226">
        <f>SUMIFS(Age_Sex_PY[[#All],[Total Member Months by Age/Sex Band]], Age_Sex_PY[[#All],[Insurance Category Code]], B64, Age_Sex_PY[[#All],[Advanced Network ID]], 100)</f>
        <v>0</v>
      </c>
      <c r="I64" s="16" t="str">
        <f t="shared" ref="I64:I69" si="5">IF(G64=H64,"Yes",ABS(G64-H64))</f>
        <v>Yes</v>
      </c>
      <c r="J64" s="16" t="str">
        <f>IF(G64=SUM(R116:R150), "Yes", "No")</f>
        <v>Yes</v>
      </c>
    </row>
    <row r="65" spans="2:11" x14ac:dyDescent="0.25">
      <c r="B65" s="256">
        <v>2</v>
      </c>
      <c r="C65" s="230">
        <f>SUMIFS(AN_TME_BY[[#All],[Member Months]], AN_TME_BY[[#All],[Insurance Category Code]], B65, AN_TME_BY[[#All], [Advanced Network/Insurance Carrier Org ID]], 100)</f>
        <v>0</v>
      </c>
      <c r="D65" s="226">
        <f>SUMIFS(Age_Sex_BY[[#All],[Total Member Months by Age/Sex Band]], Age_Sex_BY[[#All],[Insurance Category Code]], B65, Age_Sex_BY[[#All],[Advanced Network ID]], 100)</f>
        <v>0</v>
      </c>
      <c r="E65" s="16" t="str">
        <f t="shared" ref="E65:E69" si="6">IF(C65=D65,"Yes",ABS(C65-D65))</f>
        <v>Yes</v>
      </c>
      <c r="F65" s="16" t="str">
        <f>IF(C65=SUM(C157:C191), "Yes", "No")</f>
        <v>Yes</v>
      </c>
      <c r="G65" s="230">
        <f>SUMIFS(AN_TME_PY[[#All],[Member Months]], AN_TME_PY[[#All],[Insurance Category Code]], B65, AN_TME_PY[[#All], [Advanced Network/Insurance Carrier Org ID]], 100)</f>
        <v>0</v>
      </c>
      <c r="H65" s="226">
        <f>SUMIFS(Age_Sex_PY[[#All],[Total Member Months by Age/Sex Band]], Age_Sex_PY[[#All],[Insurance Category Code]], B65, Age_Sex_PY[[#All],[Advanced Network ID]], 100)</f>
        <v>0</v>
      </c>
      <c r="I65" s="16" t="str">
        <f t="shared" si="5"/>
        <v>Yes</v>
      </c>
      <c r="J65" s="16" t="str">
        <f>IF(G65=SUM(R157:HR191), "Yes")</f>
        <v>Yes</v>
      </c>
    </row>
    <row r="66" spans="2:11" x14ac:dyDescent="0.25">
      <c r="B66" s="256">
        <v>3</v>
      </c>
      <c r="C66" s="230">
        <f>SUMIFS(AN_TME_BY[[#All],[Member Months]], AN_TME_BY[[#All],[Insurance Category Code]], B66, AN_TME_BY[[#All], [Advanced Network/Insurance Carrier Org ID]], 100)</f>
        <v>0</v>
      </c>
      <c r="D66" s="226">
        <f>SUMIFS(Age_Sex_BY[[#All],[Total Member Months by Age/Sex Band]], Age_Sex_BY[[#All],[Insurance Category Code]], B66, Age_Sex_BY[[#All],[Advanced Network ID]], 100)</f>
        <v>0</v>
      </c>
      <c r="E66" s="16" t="str">
        <f t="shared" si="6"/>
        <v>Yes</v>
      </c>
      <c r="F66" s="16" t="str">
        <f>IF(C66=SUM(C198:C232), "Yes", "No")</f>
        <v>Yes</v>
      </c>
      <c r="G66" s="230">
        <f>SUMIFS(AN_TME_PY[[#All],[Member Months]], AN_TME_PY[[#All],[Insurance Category Code]], B66, AN_TME_PY[[#All], [Advanced Network/Insurance Carrier Org ID]], 100)</f>
        <v>0</v>
      </c>
      <c r="H66" s="226">
        <f>SUMIFS(Age_Sex_PY[[#All],[Total Member Months by Age/Sex Band]], Age_Sex_PY[[#All],[Insurance Category Code]], B66, Age_Sex_PY[[#All],[Advanced Network ID]], 100)</f>
        <v>0</v>
      </c>
      <c r="I66" s="16" t="str">
        <f t="shared" si="5"/>
        <v>Yes</v>
      </c>
      <c r="J66" s="16" t="str">
        <f>IF(G66=SUM(R198:R232), "Yes", "No")</f>
        <v>Yes</v>
      </c>
    </row>
    <row r="67" spans="2:11" x14ac:dyDescent="0.25">
      <c r="B67" s="256">
        <v>4</v>
      </c>
      <c r="C67" s="230">
        <f>SUMIFS(AN_TME_BY[[#All],[Member Months]], AN_TME_BY[[#All],[Insurance Category Code]], B67, AN_TME_BY[[#All], [Advanced Network/Insurance Carrier Org ID]], 100)</f>
        <v>0</v>
      </c>
      <c r="D67" s="226">
        <f>SUMIFS(Age_Sex_BY[[#All],[Total Member Months by Age/Sex Band]], Age_Sex_BY[[#All],[Insurance Category Code]], B67, Age_Sex_BY[[#All],[Advanced Network ID]], 100)</f>
        <v>0</v>
      </c>
      <c r="E67" s="16" t="str">
        <f t="shared" si="6"/>
        <v>Yes</v>
      </c>
      <c r="F67" s="16" t="str">
        <f>IF(C67=SUM(C239:C273), "Yes", "No")</f>
        <v>Yes</v>
      </c>
      <c r="G67" s="230">
        <f>SUMIFS(AN_TME_PY[[#All],[Member Months]], AN_TME_PY[[#All],[Insurance Category Code]], B67, AN_TME_PY[[#All], [Advanced Network/Insurance Carrier Org ID]], 100)</f>
        <v>0</v>
      </c>
      <c r="H67" s="226">
        <f>SUMIFS(Age_Sex_PY[[#All],[Total Member Months by Age/Sex Band]], Age_Sex_PY[[#All],[Insurance Category Code]], B67, Age_Sex_PY[[#All],[Advanced Network ID]], 100)</f>
        <v>0</v>
      </c>
      <c r="I67" s="16" t="str">
        <f t="shared" si="5"/>
        <v>Yes</v>
      </c>
      <c r="J67" s="16" t="str">
        <f>IF(G66=SUM(R198:R232), "Yes", "No")</f>
        <v>Yes</v>
      </c>
    </row>
    <row r="68" spans="2:11" x14ac:dyDescent="0.25">
      <c r="B68" s="256">
        <v>5</v>
      </c>
      <c r="C68" s="230">
        <f>SUMIFS(AN_TME_BY[[#All],[Member Months]], AN_TME_BY[[#All],[Insurance Category Code]], B68, AN_TME_BY[[#All], [Advanced Network/Insurance Carrier Org ID]], 100)</f>
        <v>0</v>
      </c>
      <c r="D68" s="226">
        <f>SUMIFS(Age_Sex_BY[[#All],[Total Member Months by Age/Sex Band]], Age_Sex_BY[[#All],[Insurance Category Code]], B68, Age_Sex_BY[[#All],[Advanced Network ID]], 100)</f>
        <v>0</v>
      </c>
      <c r="E68" s="16" t="str">
        <f t="shared" si="6"/>
        <v>Yes</v>
      </c>
      <c r="F68" s="16" t="str">
        <f>IF(C68=SUM(C280:C314), "Yes", "No")</f>
        <v>Yes</v>
      </c>
      <c r="G68" s="230">
        <f>SUMIFS(AN_TME_PY[[#All],[Member Months]], AN_TME_PY[[#All],[Insurance Category Code]], B68, AN_TME_PY[[#All], [Advanced Network/Insurance Carrier Org ID]], 100)</f>
        <v>0</v>
      </c>
      <c r="H68" s="226">
        <f>SUMIFS(Age_Sex_PY[[#All],[Total Member Months by Age/Sex Band]], Age_Sex_PY[[#All],[Insurance Category Code]], B68, Age_Sex_PY[[#All],[Advanced Network ID]], 100)</f>
        <v>0</v>
      </c>
      <c r="I68" s="16" t="str">
        <f t="shared" si="5"/>
        <v>Yes</v>
      </c>
      <c r="J68" s="16" t="str">
        <f>IF(G68=SUM(R280:R314), "Yes", "No")</f>
        <v>Yes</v>
      </c>
    </row>
    <row r="69" spans="2:11" ht="15.75" thickBot="1" x14ac:dyDescent="0.3">
      <c r="B69" s="257">
        <v>6</v>
      </c>
      <c r="C69" s="231">
        <f>SUMIFS(AN_TME_BY[[#All],[Member Months]], AN_TME_BY[[#All],[Insurance Category Code]], B69, AN_TME_BY[[#All], [Advanced Network/Insurance Carrier Org ID]], 100)</f>
        <v>0</v>
      </c>
      <c r="D69" s="227">
        <f>SUMIFS(Age_Sex_BY[[#All],[Total Member Months by Age/Sex Band]], Age_Sex_BY[[#All],[Insurance Category Code]], B69, Age_Sex_BY[[#All],[Advanced Network ID]], 100)</f>
        <v>0</v>
      </c>
      <c r="E69" s="252" t="str">
        <f t="shared" si="6"/>
        <v>Yes</v>
      </c>
      <c r="F69" s="252" t="str">
        <f>IF(C69=SUM(C321:C355), "Yes", "No")</f>
        <v>Yes</v>
      </c>
      <c r="G69" s="231">
        <f>SUMIFS(AN_TME_PY[[#All],[Member Months]], AN_TME_PY[[#All],[Insurance Category Code]], B69, AN_TME_PY[[#All], [Advanced Network/Insurance Carrier Org ID]], 100)</f>
        <v>0</v>
      </c>
      <c r="H69" s="227">
        <f>SUMIFS(Age_Sex_PY[[#All],[Total Member Months by Age/Sex Band]], Age_Sex_PY[[#All],[Insurance Category Code]], B69, Age_Sex_PY[[#All],[Advanced Network ID]], 100)</f>
        <v>0</v>
      </c>
      <c r="I69" s="252" t="str">
        <f t="shared" si="5"/>
        <v>Yes</v>
      </c>
      <c r="J69" s="252" t="str">
        <f>IF(G69=SUM(R321:R355), "Yes", "No")</f>
        <v>Yes</v>
      </c>
    </row>
    <row r="70" spans="2:11" x14ac:dyDescent="0.25">
      <c r="B70" s="30"/>
    </row>
    <row r="71" spans="2:11" x14ac:dyDescent="0.25">
      <c r="B71" s="318" t="s">
        <v>384</v>
      </c>
    </row>
    <row r="72" spans="2:11" x14ac:dyDescent="0.25">
      <c r="B72" s="318"/>
    </row>
    <row r="73" spans="2:11" ht="27" thickBot="1" x14ac:dyDescent="0.45">
      <c r="B73" s="501" t="s">
        <v>393</v>
      </c>
      <c r="C73" s="14"/>
      <c r="D73" s="113"/>
    </row>
    <row r="74" spans="2:11" x14ac:dyDescent="0.25">
      <c r="B74" s="510" t="s">
        <v>247</v>
      </c>
      <c r="C74" s="513" t="s">
        <v>394</v>
      </c>
      <c r="D74" s="493" t="s">
        <v>395</v>
      </c>
      <c r="E74" s="493" t="s">
        <v>396</v>
      </c>
      <c r="F74" s="494" t="s">
        <v>397</v>
      </c>
      <c r="G74" s="516"/>
      <c r="H74" s="513" t="s">
        <v>394</v>
      </c>
      <c r="I74" s="493" t="s">
        <v>395</v>
      </c>
      <c r="J74" s="493" t="s">
        <v>396</v>
      </c>
      <c r="K74" s="494" t="s">
        <v>397</v>
      </c>
    </row>
    <row r="75" spans="2:11" x14ac:dyDescent="0.25">
      <c r="B75" s="511">
        <v>100</v>
      </c>
      <c r="C75" s="514">
        <f>SUMIFS(AN_TME_BY[Member Months],AN_TME_BY[Advanced Network/Insurance Carrier Org ID],$B75,AN_TME_BY[Insurance Category Code],RIGHT(C$74,1))</f>
        <v>0</v>
      </c>
      <c r="D75" s="209">
        <f>SUMIFS(AN_TME_BY[Member Months],AN_TME_BY[Advanced Network/Insurance Carrier Org ID],$B75,AN_TME_BY[Insurance Category Code],RIGHT(D$74,1))</f>
        <v>0</v>
      </c>
      <c r="E75" s="209">
        <f>SUMIFS(AN_TME_BY[Member Months],AN_TME_BY[Advanced Network/Insurance Carrier Org ID],$B75,AN_TME_BY[Insurance Category Code],RIGHT(E$74,1))</f>
        <v>0</v>
      </c>
      <c r="F75" s="246">
        <f>SUMIFS(AN_TME_BY[Member Months],AN_TME_BY[Advanced Network/Insurance Carrier Org ID],$B75,AN_TME_BY[Insurance Category Code],RIGHT(F$74,1))</f>
        <v>0</v>
      </c>
      <c r="G75" s="517"/>
      <c r="H75" s="514">
        <f>SUMIFS(AN_TME_PY[Member Months],AN_TME_PY[Advanced Network/Insurance Carrier Org ID],$B75,AN_TME_PY[Insurance Category Code],RIGHT(H$74,1))</f>
        <v>0</v>
      </c>
      <c r="I75" s="209">
        <f>SUMIFS(AN_TME_PY[Member Months],AN_TME_PY[Advanced Network/Insurance Carrier Org ID],$B75,AN_TME_PY[Insurance Category Code],RIGHT(I$74,1))</f>
        <v>0</v>
      </c>
      <c r="J75" s="209">
        <f>SUMIFS(AN_TME_PY[Member Months],AN_TME_PY[Advanced Network/Insurance Carrier Org ID],$B75,AN_TME_PY[Insurance Category Code],RIGHT(J$74,1))</f>
        <v>0</v>
      </c>
      <c r="K75" s="246">
        <f>SUMIFS(AN_TME_PY[Member Months],AN_TME_PY[Advanced Network/Insurance Carrier Org ID],$B75,AN_TME_PY[Insurance Category Code],RIGHT(K$74,1))</f>
        <v>0</v>
      </c>
    </row>
    <row r="76" spans="2:11" x14ac:dyDescent="0.25">
      <c r="B76" s="511">
        <v>101</v>
      </c>
      <c r="C76" s="514">
        <f>SUMIFS(AN_TME_BY[Member Months],AN_TME_BY[Advanced Network/Insurance Carrier Org ID],$B76,AN_TME_BY[Insurance Category Code],RIGHT(C$74,1))</f>
        <v>0</v>
      </c>
      <c r="D76" s="209">
        <f>SUMIFS(AN_TME_BY[Member Months],AN_TME_BY[Advanced Network/Insurance Carrier Org ID],$B76,AN_TME_BY[Insurance Category Code],RIGHT(D$74,1))</f>
        <v>0</v>
      </c>
      <c r="E76" s="209">
        <f>SUMIFS(AN_TME_BY[Member Months],AN_TME_BY[Advanced Network/Insurance Carrier Org ID],$B76,AN_TME_BY[Insurance Category Code],RIGHT(E$74,1))</f>
        <v>0</v>
      </c>
      <c r="F76" s="246">
        <f>SUMIFS(AN_TME_BY[Member Months],AN_TME_BY[Advanced Network/Insurance Carrier Org ID],$B76,AN_TME_BY[Insurance Category Code],RIGHT(F$74,1))</f>
        <v>0</v>
      </c>
      <c r="G76" s="517"/>
      <c r="H76" s="514">
        <f>SUMIFS(AN_TME_PY[Member Months],AN_TME_PY[Advanced Network/Insurance Carrier Org ID],$B76,AN_TME_PY[Insurance Category Code],RIGHT(H$74,1))</f>
        <v>0</v>
      </c>
      <c r="I76" s="209">
        <f>SUMIFS(AN_TME_PY[Member Months],AN_TME_PY[Advanced Network/Insurance Carrier Org ID],$B76,AN_TME_PY[Insurance Category Code],RIGHT(I$74,1))</f>
        <v>0</v>
      </c>
      <c r="J76" s="209">
        <f>SUMIFS(AN_TME_PY[Member Months],AN_TME_PY[Advanced Network/Insurance Carrier Org ID],$B76,AN_TME_PY[Insurance Category Code],RIGHT(J$74,1))</f>
        <v>0</v>
      </c>
      <c r="K76" s="246">
        <f>SUMIFS(AN_TME_PY[Member Months],AN_TME_PY[Advanced Network/Insurance Carrier Org ID],$B76,AN_TME_PY[Insurance Category Code],RIGHT(K$74,1))</f>
        <v>0</v>
      </c>
    </row>
    <row r="77" spans="2:11" x14ac:dyDescent="0.25">
      <c r="B77" s="511">
        <v>102</v>
      </c>
      <c r="C77" s="514">
        <f>SUMIFS(AN_TME_BY[Member Months],AN_TME_BY[Advanced Network/Insurance Carrier Org ID],$B77,AN_TME_BY[Insurance Category Code],RIGHT(C$74,1))</f>
        <v>0</v>
      </c>
      <c r="D77" s="209">
        <f>SUMIFS(AN_TME_BY[Member Months],AN_TME_BY[Advanced Network/Insurance Carrier Org ID],$B77,AN_TME_BY[Insurance Category Code],RIGHT(D$74,1))</f>
        <v>0</v>
      </c>
      <c r="E77" s="209">
        <f>SUMIFS(AN_TME_BY[Member Months],AN_TME_BY[Advanced Network/Insurance Carrier Org ID],$B77,AN_TME_BY[Insurance Category Code],RIGHT(E$74,1))</f>
        <v>0</v>
      </c>
      <c r="F77" s="246">
        <f>SUMIFS(AN_TME_BY[Member Months],AN_TME_BY[Advanced Network/Insurance Carrier Org ID],$B77,AN_TME_BY[Insurance Category Code],RIGHT(F$74,1))</f>
        <v>0</v>
      </c>
      <c r="G77" s="517"/>
      <c r="H77" s="514">
        <f>SUMIFS(AN_TME_PY[Member Months],AN_TME_PY[Advanced Network/Insurance Carrier Org ID],$B77,AN_TME_PY[Insurance Category Code],RIGHT(H$74,1))</f>
        <v>0</v>
      </c>
      <c r="I77" s="209">
        <f>SUMIFS(AN_TME_PY[Member Months],AN_TME_PY[Advanced Network/Insurance Carrier Org ID],$B77,AN_TME_PY[Insurance Category Code],RIGHT(I$74,1))</f>
        <v>0</v>
      </c>
      <c r="J77" s="209">
        <f>SUMIFS(AN_TME_PY[Member Months],AN_TME_PY[Advanced Network/Insurance Carrier Org ID],$B77,AN_TME_PY[Insurance Category Code],RIGHT(J$74,1))</f>
        <v>0</v>
      </c>
      <c r="K77" s="246">
        <f>SUMIFS(AN_TME_PY[Member Months],AN_TME_PY[Advanced Network/Insurance Carrier Org ID],$B77,AN_TME_PY[Insurance Category Code],RIGHT(K$74,1))</f>
        <v>0</v>
      </c>
    </row>
    <row r="78" spans="2:11" x14ac:dyDescent="0.25">
      <c r="B78" s="511">
        <v>103</v>
      </c>
      <c r="C78" s="514">
        <f>SUMIFS(AN_TME_BY[Member Months],AN_TME_BY[Advanced Network/Insurance Carrier Org ID],$B78,AN_TME_BY[Insurance Category Code],RIGHT(C$74,1))</f>
        <v>0</v>
      </c>
      <c r="D78" s="209">
        <f>SUMIFS(AN_TME_BY[Member Months],AN_TME_BY[Advanced Network/Insurance Carrier Org ID],$B78,AN_TME_BY[Insurance Category Code],RIGHT(D$74,1))</f>
        <v>0</v>
      </c>
      <c r="E78" s="209">
        <f>SUMIFS(AN_TME_BY[Member Months],AN_TME_BY[Advanced Network/Insurance Carrier Org ID],$B78,AN_TME_BY[Insurance Category Code],RIGHT(E$74,1))</f>
        <v>0</v>
      </c>
      <c r="F78" s="246">
        <f>SUMIFS(AN_TME_BY[Member Months],AN_TME_BY[Advanced Network/Insurance Carrier Org ID],$B78,AN_TME_BY[Insurance Category Code],RIGHT(F$74,1))</f>
        <v>0</v>
      </c>
      <c r="G78" s="517"/>
      <c r="H78" s="514">
        <f>SUMIFS(AN_TME_PY[Member Months],AN_TME_PY[Advanced Network/Insurance Carrier Org ID],$B78,AN_TME_PY[Insurance Category Code],RIGHT(H$74,1))</f>
        <v>0</v>
      </c>
      <c r="I78" s="209">
        <f>SUMIFS(AN_TME_PY[Member Months],AN_TME_PY[Advanced Network/Insurance Carrier Org ID],$B78,AN_TME_PY[Insurance Category Code],RIGHT(I$74,1))</f>
        <v>0</v>
      </c>
      <c r="J78" s="209">
        <f>SUMIFS(AN_TME_PY[Member Months],AN_TME_PY[Advanced Network/Insurance Carrier Org ID],$B78,AN_TME_PY[Insurance Category Code],RIGHT(J$74,1))</f>
        <v>0</v>
      </c>
      <c r="K78" s="246">
        <f>SUMIFS(AN_TME_PY[Member Months],AN_TME_PY[Advanced Network/Insurance Carrier Org ID],$B78,AN_TME_PY[Insurance Category Code],RIGHT(K$74,1))</f>
        <v>0</v>
      </c>
    </row>
    <row r="79" spans="2:11" x14ac:dyDescent="0.25">
      <c r="B79" s="511">
        <v>104</v>
      </c>
      <c r="C79" s="514">
        <f>SUMIFS(AN_TME_BY[Member Months],AN_TME_BY[Advanced Network/Insurance Carrier Org ID],$B79,AN_TME_BY[Insurance Category Code],RIGHT(C$74,1))</f>
        <v>0</v>
      </c>
      <c r="D79" s="209">
        <f>SUMIFS(AN_TME_BY[Member Months],AN_TME_BY[Advanced Network/Insurance Carrier Org ID],$B79,AN_TME_BY[Insurance Category Code],RIGHT(D$74,1))</f>
        <v>0</v>
      </c>
      <c r="E79" s="209">
        <f>SUMIFS(AN_TME_BY[Member Months],AN_TME_BY[Advanced Network/Insurance Carrier Org ID],$B79,AN_TME_BY[Insurance Category Code],RIGHT(E$74,1))</f>
        <v>0</v>
      </c>
      <c r="F79" s="246">
        <f>SUMIFS(AN_TME_BY[Member Months],AN_TME_BY[Advanced Network/Insurance Carrier Org ID],$B79,AN_TME_BY[Insurance Category Code],RIGHT(F$74,1))</f>
        <v>0</v>
      </c>
      <c r="G79" s="517"/>
      <c r="H79" s="514">
        <f>SUMIFS(AN_TME_PY[Member Months],AN_TME_PY[Advanced Network/Insurance Carrier Org ID],$B79,AN_TME_PY[Insurance Category Code],RIGHT(H$74,1))</f>
        <v>0</v>
      </c>
      <c r="I79" s="209">
        <f>SUMIFS(AN_TME_PY[Member Months],AN_TME_PY[Advanced Network/Insurance Carrier Org ID],$B79,AN_TME_PY[Insurance Category Code],RIGHT(I$74,1))</f>
        <v>0</v>
      </c>
      <c r="J79" s="209">
        <f>SUMIFS(AN_TME_PY[Member Months],AN_TME_PY[Advanced Network/Insurance Carrier Org ID],$B79,AN_TME_PY[Insurance Category Code],RIGHT(J$74,1))</f>
        <v>0</v>
      </c>
      <c r="K79" s="246">
        <f>SUMIFS(AN_TME_PY[Member Months],AN_TME_PY[Advanced Network/Insurance Carrier Org ID],$B79,AN_TME_PY[Insurance Category Code],RIGHT(K$74,1))</f>
        <v>0</v>
      </c>
    </row>
    <row r="80" spans="2:11" x14ac:dyDescent="0.25">
      <c r="B80" s="511">
        <v>106</v>
      </c>
      <c r="C80" s="514">
        <f>SUMIFS(AN_TME_BY[Member Months],AN_TME_BY[Advanced Network/Insurance Carrier Org ID],$B80,AN_TME_BY[Insurance Category Code],RIGHT(C$74,1))</f>
        <v>0</v>
      </c>
      <c r="D80" s="209">
        <f>SUMIFS(AN_TME_BY[Member Months],AN_TME_BY[Advanced Network/Insurance Carrier Org ID],$B80,AN_TME_BY[Insurance Category Code],RIGHT(D$74,1))</f>
        <v>0</v>
      </c>
      <c r="E80" s="209">
        <f>SUMIFS(AN_TME_BY[Member Months],AN_TME_BY[Advanced Network/Insurance Carrier Org ID],$B80,AN_TME_BY[Insurance Category Code],RIGHT(E$74,1))</f>
        <v>0</v>
      </c>
      <c r="F80" s="246">
        <f>SUMIFS(AN_TME_BY[Member Months],AN_TME_BY[Advanced Network/Insurance Carrier Org ID],$B80,AN_TME_BY[Insurance Category Code],RIGHT(F$74,1))</f>
        <v>0</v>
      </c>
      <c r="G80" s="517"/>
      <c r="H80" s="514">
        <f>SUMIFS(AN_TME_PY[Member Months],AN_TME_PY[Advanced Network/Insurance Carrier Org ID],$B80,AN_TME_PY[Insurance Category Code],RIGHT(H$74,1))</f>
        <v>0</v>
      </c>
      <c r="I80" s="209">
        <f>SUMIFS(AN_TME_PY[Member Months],AN_TME_PY[Advanced Network/Insurance Carrier Org ID],$B80,AN_TME_PY[Insurance Category Code],RIGHT(I$74,1))</f>
        <v>0</v>
      </c>
      <c r="J80" s="209">
        <f>SUMIFS(AN_TME_PY[Member Months],AN_TME_PY[Advanced Network/Insurance Carrier Org ID],$B80,AN_TME_PY[Insurance Category Code],RIGHT(J$74,1))</f>
        <v>0</v>
      </c>
      <c r="K80" s="246">
        <f>SUMIFS(AN_TME_PY[Member Months],AN_TME_PY[Advanced Network/Insurance Carrier Org ID],$B80,AN_TME_PY[Insurance Category Code],RIGHT(K$74,1))</f>
        <v>0</v>
      </c>
    </row>
    <row r="81" spans="2:11" x14ac:dyDescent="0.25">
      <c r="B81" s="511">
        <v>107</v>
      </c>
      <c r="C81" s="514">
        <f>SUMIFS(AN_TME_BY[Member Months],AN_TME_BY[Advanced Network/Insurance Carrier Org ID],$B81,AN_TME_BY[Insurance Category Code],RIGHT(C$74,1))</f>
        <v>0</v>
      </c>
      <c r="D81" s="209">
        <f>SUMIFS(AN_TME_BY[Member Months],AN_TME_BY[Advanced Network/Insurance Carrier Org ID],$B81,AN_TME_BY[Insurance Category Code],RIGHT(D$74,1))</f>
        <v>0</v>
      </c>
      <c r="E81" s="209">
        <f>SUMIFS(AN_TME_BY[Member Months],AN_TME_BY[Advanced Network/Insurance Carrier Org ID],$B81,AN_TME_BY[Insurance Category Code],RIGHT(E$74,1))</f>
        <v>0</v>
      </c>
      <c r="F81" s="246">
        <f>SUMIFS(AN_TME_BY[Member Months],AN_TME_BY[Advanced Network/Insurance Carrier Org ID],$B81,AN_TME_BY[Insurance Category Code],RIGHT(F$74,1))</f>
        <v>0</v>
      </c>
      <c r="G81" s="517"/>
      <c r="H81" s="514">
        <f>SUMIFS(AN_TME_PY[Member Months],AN_TME_PY[Advanced Network/Insurance Carrier Org ID],$B81,AN_TME_PY[Insurance Category Code],RIGHT(H$74,1))</f>
        <v>0</v>
      </c>
      <c r="I81" s="209">
        <f>SUMIFS(AN_TME_PY[Member Months],AN_TME_PY[Advanced Network/Insurance Carrier Org ID],$B81,AN_TME_PY[Insurance Category Code],RIGHT(I$74,1))</f>
        <v>0</v>
      </c>
      <c r="J81" s="209">
        <f>SUMIFS(AN_TME_PY[Member Months],AN_TME_PY[Advanced Network/Insurance Carrier Org ID],$B81,AN_TME_PY[Insurance Category Code],RIGHT(J$74,1))</f>
        <v>0</v>
      </c>
      <c r="K81" s="246">
        <f>SUMIFS(AN_TME_PY[Member Months],AN_TME_PY[Advanced Network/Insurance Carrier Org ID],$B81,AN_TME_PY[Insurance Category Code],RIGHT(K$74,1))</f>
        <v>0</v>
      </c>
    </row>
    <row r="82" spans="2:11" x14ac:dyDescent="0.25">
      <c r="B82" s="511">
        <v>108</v>
      </c>
      <c r="C82" s="514">
        <f>SUMIFS(AN_TME_BY[Member Months],AN_TME_BY[Advanced Network/Insurance Carrier Org ID],$B82,AN_TME_BY[Insurance Category Code],RIGHT(C$74,1))</f>
        <v>0</v>
      </c>
      <c r="D82" s="209">
        <f>SUMIFS(AN_TME_BY[Member Months],AN_TME_BY[Advanced Network/Insurance Carrier Org ID],$B82,AN_TME_BY[Insurance Category Code],RIGHT(D$74,1))</f>
        <v>0</v>
      </c>
      <c r="E82" s="209">
        <f>SUMIFS(AN_TME_BY[Member Months],AN_TME_BY[Advanced Network/Insurance Carrier Org ID],$B82,AN_TME_BY[Insurance Category Code],RIGHT(E$74,1))</f>
        <v>0</v>
      </c>
      <c r="F82" s="246">
        <f>SUMIFS(AN_TME_BY[Member Months],AN_TME_BY[Advanced Network/Insurance Carrier Org ID],$B82,AN_TME_BY[Insurance Category Code],RIGHT(F$74,1))</f>
        <v>0</v>
      </c>
      <c r="G82" s="517"/>
      <c r="H82" s="514">
        <f>SUMIFS(AN_TME_PY[Member Months],AN_TME_PY[Advanced Network/Insurance Carrier Org ID],$B82,AN_TME_PY[Insurance Category Code],RIGHT(H$74,1))</f>
        <v>0</v>
      </c>
      <c r="I82" s="209">
        <f>SUMIFS(AN_TME_PY[Member Months],AN_TME_PY[Advanced Network/Insurance Carrier Org ID],$B82,AN_TME_PY[Insurance Category Code],RIGHT(I$74,1))</f>
        <v>0</v>
      </c>
      <c r="J82" s="209">
        <f>SUMIFS(AN_TME_PY[Member Months],AN_TME_PY[Advanced Network/Insurance Carrier Org ID],$B82,AN_TME_PY[Insurance Category Code],RIGHT(J$74,1))</f>
        <v>0</v>
      </c>
      <c r="K82" s="246">
        <f>SUMIFS(AN_TME_PY[Member Months],AN_TME_PY[Advanced Network/Insurance Carrier Org ID],$B82,AN_TME_PY[Insurance Category Code],RIGHT(K$74,1))</f>
        <v>0</v>
      </c>
    </row>
    <row r="83" spans="2:11" x14ac:dyDescent="0.25">
      <c r="B83" s="511">
        <v>109</v>
      </c>
      <c r="C83" s="514">
        <f>SUMIFS(AN_TME_BY[Member Months],AN_TME_BY[Advanced Network/Insurance Carrier Org ID],$B83,AN_TME_BY[Insurance Category Code],RIGHT(C$74,1))</f>
        <v>0</v>
      </c>
      <c r="D83" s="209">
        <f>SUMIFS(AN_TME_BY[Member Months],AN_TME_BY[Advanced Network/Insurance Carrier Org ID],$B83,AN_TME_BY[Insurance Category Code],RIGHT(D$74,1))</f>
        <v>0</v>
      </c>
      <c r="E83" s="209">
        <f>SUMIFS(AN_TME_BY[Member Months],AN_TME_BY[Advanced Network/Insurance Carrier Org ID],$B83,AN_TME_BY[Insurance Category Code],RIGHT(E$74,1))</f>
        <v>0</v>
      </c>
      <c r="F83" s="246">
        <f>SUMIFS(AN_TME_BY[Member Months],AN_TME_BY[Advanced Network/Insurance Carrier Org ID],$B83,AN_TME_BY[Insurance Category Code],RIGHT(F$74,1))</f>
        <v>0</v>
      </c>
      <c r="G83" s="517"/>
      <c r="H83" s="514">
        <f>SUMIFS(AN_TME_PY[Member Months],AN_TME_PY[Advanced Network/Insurance Carrier Org ID],$B83,AN_TME_PY[Insurance Category Code],RIGHT(H$74,1))</f>
        <v>0</v>
      </c>
      <c r="I83" s="209">
        <f>SUMIFS(AN_TME_PY[Member Months],AN_TME_PY[Advanced Network/Insurance Carrier Org ID],$B83,AN_TME_PY[Insurance Category Code],RIGHT(I$74,1))</f>
        <v>0</v>
      </c>
      <c r="J83" s="209">
        <f>SUMIFS(AN_TME_PY[Member Months],AN_TME_PY[Advanced Network/Insurance Carrier Org ID],$B83,AN_TME_PY[Insurance Category Code],RIGHT(J$74,1))</f>
        <v>0</v>
      </c>
      <c r="K83" s="246">
        <f>SUMIFS(AN_TME_PY[Member Months],AN_TME_PY[Advanced Network/Insurance Carrier Org ID],$B83,AN_TME_PY[Insurance Category Code],RIGHT(K$74,1))</f>
        <v>0</v>
      </c>
    </row>
    <row r="84" spans="2:11" x14ac:dyDescent="0.25">
      <c r="B84" s="511">
        <v>110</v>
      </c>
      <c r="C84" s="514">
        <f>SUMIFS(AN_TME_BY[Member Months],AN_TME_BY[Advanced Network/Insurance Carrier Org ID],$B84,AN_TME_BY[Insurance Category Code],RIGHT(C$74,1))</f>
        <v>0</v>
      </c>
      <c r="D84" s="209">
        <f>SUMIFS(AN_TME_BY[Member Months],AN_TME_BY[Advanced Network/Insurance Carrier Org ID],$B84,AN_TME_BY[Insurance Category Code],RIGHT(D$74,1))</f>
        <v>0</v>
      </c>
      <c r="E84" s="209">
        <f>SUMIFS(AN_TME_BY[Member Months],AN_TME_BY[Advanced Network/Insurance Carrier Org ID],$B84,AN_TME_BY[Insurance Category Code],RIGHT(E$74,1))</f>
        <v>0</v>
      </c>
      <c r="F84" s="246">
        <f>SUMIFS(AN_TME_BY[Member Months],AN_TME_BY[Advanced Network/Insurance Carrier Org ID],$B84,AN_TME_BY[Insurance Category Code],RIGHT(F$74,1))</f>
        <v>0</v>
      </c>
      <c r="G84" s="517"/>
      <c r="H84" s="514">
        <f>SUMIFS(AN_TME_PY[Member Months],AN_TME_PY[Advanced Network/Insurance Carrier Org ID],$B84,AN_TME_PY[Insurance Category Code],RIGHT(H$74,1))</f>
        <v>0</v>
      </c>
      <c r="I84" s="209">
        <f>SUMIFS(AN_TME_PY[Member Months],AN_TME_PY[Advanced Network/Insurance Carrier Org ID],$B84,AN_TME_PY[Insurance Category Code],RIGHT(I$74,1))</f>
        <v>0</v>
      </c>
      <c r="J84" s="209">
        <f>SUMIFS(AN_TME_PY[Member Months],AN_TME_PY[Advanced Network/Insurance Carrier Org ID],$B84,AN_TME_PY[Insurance Category Code],RIGHT(J$74,1))</f>
        <v>0</v>
      </c>
      <c r="K84" s="246">
        <f>SUMIFS(AN_TME_PY[Member Months],AN_TME_PY[Advanced Network/Insurance Carrier Org ID],$B84,AN_TME_PY[Insurance Category Code],RIGHT(K$74,1))</f>
        <v>0</v>
      </c>
    </row>
    <row r="85" spans="2:11" x14ac:dyDescent="0.25">
      <c r="B85" s="511">
        <v>112</v>
      </c>
      <c r="C85" s="514">
        <f>SUMIFS(AN_TME_BY[Member Months],AN_TME_BY[Advanced Network/Insurance Carrier Org ID],$B85,AN_TME_BY[Insurance Category Code],RIGHT(C$74,1))</f>
        <v>0</v>
      </c>
      <c r="D85" s="209">
        <f>SUMIFS(AN_TME_BY[Member Months],AN_TME_BY[Advanced Network/Insurance Carrier Org ID],$B85,AN_TME_BY[Insurance Category Code],RIGHT(D$74,1))</f>
        <v>0</v>
      </c>
      <c r="E85" s="209">
        <f>SUMIFS(AN_TME_BY[Member Months],AN_TME_BY[Advanced Network/Insurance Carrier Org ID],$B85,AN_TME_BY[Insurance Category Code],RIGHT(E$74,1))</f>
        <v>0</v>
      </c>
      <c r="F85" s="246">
        <f>SUMIFS(AN_TME_BY[Member Months],AN_TME_BY[Advanced Network/Insurance Carrier Org ID],$B85,AN_TME_BY[Insurance Category Code],RIGHT(F$74,1))</f>
        <v>0</v>
      </c>
      <c r="G85" s="517"/>
      <c r="H85" s="514">
        <f>SUMIFS(AN_TME_PY[Member Months],AN_TME_PY[Advanced Network/Insurance Carrier Org ID],$B85,AN_TME_PY[Insurance Category Code],RIGHT(H$74,1))</f>
        <v>0</v>
      </c>
      <c r="I85" s="209">
        <f>SUMIFS(AN_TME_PY[Member Months],AN_TME_PY[Advanced Network/Insurance Carrier Org ID],$B85,AN_TME_PY[Insurance Category Code],RIGHT(I$74,1))</f>
        <v>0</v>
      </c>
      <c r="J85" s="209">
        <f>SUMIFS(AN_TME_PY[Member Months],AN_TME_PY[Advanced Network/Insurance Carrier Org ID],$B85,AN_TME_PY[Insurance Category Code],RIGHT(J$74,1))</f>
        <v>0</v>
      </c>
      <c r="K85" s="246">
        <f>SUMIFS(AN_TME_PY[Member Months],AN_TME_PY[Advanced Network/Insurance Carrier Org ID],$B85,AN_TME_PY[Insurance Category Code],RIGHT(K$74,1))</f>
        <v>0</v>
      </c>
    </row>
    <row r="86" spans="2:11" x14ac:dyDescent="0.25">
      <c r="B86" s="511">
        <v>113</v>
      </c>
      <c r="C86" s="514">
        <f>SUMIFS(AN_TME_BY[Member Months],AN_TME_BY[Advanced Network/Insurance Carrier Org ID],$B86,AN_TME_BY[Insurance Category Code],RIGHT(C$74,1))</f>
        <v>0</v>
      </c>
      <c r="D86" s="209">
        <f>SUMIFS(AN_TME_BY[Member Months],AN_TME_BY[Advanced Network/Insurance Carrier Org ID],$B86,AN_TME_BY[Insurance Category Code],RIGHT(D$74,1))</f>
        <v>0</v>
      </c>
      <c r="E86" s="209">
        <f>SUMIFS(AN_TME_BY[Member Months],AN_TME_BY[Advanced Network/Insurance Carrier Org ID],$B86,AN_TME_BY[Insurance Category Code],RIGHT(E$74,1))</f>
        <v>0</v>
      </c>
      <c r="F86" s="246">
        <f>SUMIFS(AN_TME_BY[Member Months],AN_TME_BY[Advanced Network/Insurance Carrier Org ID],$B86,AN_TME_BY[Insurance Category Code],RIGHT(F$74,1))</f>
        <v>0</v>
      </c>
      <c r="G86" s="517"/>
      <c r="H86" s="514">
        <f>SUMIFS(AN_TME_PY[Member Months],AN_TME_PY[Advanced Network/Insurance Carrier Org ID],$B86,AN_TME_PY[Insurance Category Code],RIGHT(H$74,1))</f>
        <v>0</v>
      </c>
      <c r="I86" s="209">
        <f>SUMIFS(AN_TME_PY[Member Months],AN_TME_PY[Advanced Network/Insurance Carrier Org ID],$B86,AN_TME_PY[Insurance Category Code],RIGHT(I$74,1))</f>
        <v>0</v>
      </c>
      <c r="J86" s="209">
        <f>SUMIFS(AN_TME_PY[Member Months],AN_TME_PY[Advanced Network/Insurance Carrier Org ID],$B86,AN_TME_PY[Insurance Category Code],RIGHT(J$74,1))</f>
        <v>0</v>
      </c>
      <c r="K86" s="246">
        <f>SUMIFS(AN_TME_PY[Member Months],AN_TME_PY[Advanced Network/Insurance Carrier Org ID],$B86,AN_TME_PY[Insurance Category Code],RIGHT(K$74,1))</f>
        <v>0</v>
      </c>
    </row>
    <row r="87" spans="2:11" x14ac:dyDescent="0.25">
      <c r="B87" s="511">
        <v>114</v>
      </c>
      <c r="C87" s="514">
        <f>SUMIFS(AN_TME_BY[Member Months],AN_TME_BY[Advanced Network/Insurance Carrier Org ID],$B87,AN_TME_BY[Insurance Category Code],RIGHT(C$74,1))</f>
        <v>0</v>
      </c>
      <c r="D87" s="209">
        <f>SUMIFS(AN_TME_BY[Member Months],AN_TME_BY[Advanced Network/Insurance Carrier Org ID],$B87,AN_TME_BY[Insurance Category Code],RIGHT(D$74,1))</f>
        <v>0</v>
      </c>
      <c r="E87" s="209">
        <f>SUMIFS(AN_TME_BY[Member Months],AN_TME_BY[Advanced Network/Insurance Carrier Org ID],$B87,AN_TME_BY[Insurance Category Code],RIGHT(E$74,1))</f>
        <v>0</v>
      </c>
      <c r="F87" s="246">
        <f>SUMIFS(AN_TME_BY[Member Months],AN_TME_BY[Advanced Network/Insurance Carrier Org ID],$B87,AN_TME_BY[Insurance Category Code],RIGHT(F$74,1))</f>
        <v>0</v>
      </c>
      <c r="G87" s="517"/>
      <c r="H87" s="514">
        <f>SUMIFS(AN_TME_PY[Member Months],AN_TME_PY[Advanced Network/Insurance Carrier Org ID],$B87,AN_TME_PY[Insurance Category Code],RIGHT(H$74,1))</f>
        <v>0</v>
      </c>
      <c r="I87" s="209">
        <f>SUMIFS(AN_TME_PY[Member Months],AN_TME_PY[Advanced Network/Insurance Carrier Org ID],$B87,AN_TME_PY[Insurance Category Code],RIGHT(I$74,1))</f>
        <v>0</v>
      </c>
      <c r="J87" s="209">
        <f>SUMIFS(AN_TME_PY[Member Months],AN_TME_PY[Advanced Network/Insurance Carrier Org ID],$B87,AN_TME_PY[Insurance Category Code],RIGHT(J$74,1))</f>
        <v>0</v>
      </c>
      <c r="K87" s="246">
        <f>SUMIFS(AN_TME_PY[Member Months],AN_TME_PY[Advanced Network/Insurance Carrier Org ID],$B87,AN_TME_PY[Insurance Category Code],RIGHT(K$74,1))</f>
        <v>0</v>
      </c>
    </row>
    <row r="88" spans="2:11" x14ac:dyDescent="0.25">
      <c r="B88" s="511">
        <v>115</v>
      </c>
      <c r="C88" s="514">
        <f>SUMIFS(AN_TME_BY[Member Months],AN_TME_BY[Advanced Network/Insurance Carrier Org ID],$B88,AN_TME_BY[Insurance Category Code],RIGHT(C$74,1))</f>
        <v>0</v>
      </c>
      <c r="D88" s="209">
        <f>SUMIFS(AN_TME_BY[Member Months],AN_TME_BY[Advanced Network/Insurance Carrier Org ID],$B88,AN_TME_BY[Insurance Category Code],RIGHT(D$74,1))</f>
        <v>0</v>
      </c>
      <c r="E88" s="209">
        <f>SUMIFS(AN_TME_BY[Member Months],AN_TME_BY[Advanced Network/Insurance Carrier Org ID],$B88,AN_TME_BY[Insurance Category Code],RIGHT(E$74,1))</f>
        <v>0</v>
      </c>
      <c r="F88" s="246">
        <f>SUMIFS(AN_TME_BY[Member Months],AN_TME_BY[Advanced Network/Insurance Carrier Org ID],$B88,AN_TME_BY[Insurance Category Code],RIGHT(F$74,1))</f>
        <v>0</v>
      </c>
      <c r="G88" s="517"/>
      <c r="H88" s="514">
        <f>SUMIFS(AN_TME_PY[Member Months],AN_TME_PY[Advanced Network/Insurance Carrier Org ID],$B88,AN_TME_PY[Insurance Category Code],RIGHT(H$74,1))</f>
        <v>0</v>
      </c>
      <c r="I88" s="209">
        <f>SUMIFS(AN_TME_PY[Member Months],AN_TME_PY[Advanced Network/Insurance Carrier Org ID],$B88,AN_TME_PY[Insurance Category Code],RIGHT(I$74,1))</f>
        <v>0</v>
      </c>
      <c r="J88" s="209">
        <f>SUMIFS(AN_TME_PY[Member Months],AN_TME_PY[Advanced Network/Insurance Carrier Org ID],$B88,AN_TME_PY[Insurance Category Code],RIGHT(J$74,1))</f>
        <v>0</v>
      </c>
      <c r="K88" s="246">
        <f>SUMIFS(AN_TME_PY[Member Months],AN_TME_PY[Advanced Network/Insurance Carrier Org ID],$B88,AN_TME_PY[Insurance Category Code],RIGHT(K$74,1))</f>
        <v>0</v>
      </c>
    </row>
    <row r="89" spans="2:11" x14ac:dyDescent="0.25">
      <c r="B89" s="511">
        <v>116</v>
      </c>
      <c r="C89" s="514">
        <f>SUMIFS(AN_TME_BY[Member Months],AN_TME_BY[Advanced Network/Insurance Carrier Org ID],$B89,AN_TME_BY[Insurance Category Code],RIGHT(C$74,1))</f>
        <v>0</v>
      </c>
      <c r="D89" s="209">
        <f>SUMIFS(AN_TME_BY[Member Months],AN_TME_BY[Advanced Network/Insurance Carrier Org ID],$B89,AN_TME_BY[Insurance Category Code],RIGHT(D$74,1))</f>
        <v>0</v>
      </c>
      <c r="E89" s="209">
        <f>SUMIFS(AN_TME_BY[Member Months],AN_TME_BY[Advanced Network/Insurance Carrier Org ID],$B89,AN_TME_BY[Insurance Category Code],RIGHT(E$74,1))</f>
        <v>0</v>
      </c>
      <c r="F89" s="246">
        <f>SUMIFS(AN_TME_BY[Member Months],AN_TME_BY[Advanced Network/Insurance Carrier Org ID],$B89,AN_TME_BY[Insurance Category Code],RIGHT(F$74,1))</f>
        <v>0</v>
      </c>
      <c r="G89" s="517"/>
      <c r="H89" s="514">
        <f>SUMIFS(AN_TME_PY[Member Months],AN_TME_PY[Advanced Network/Insurance Carrier Org ID],$B89,AN_TME_PY[Insurance Category Code],RIGHT(H$74,1))</f>
        <v>0</v>
      </c>
      <c r="I89" s="209">
        <f>SUMIFS(AN_TME_PY[Member Months],AN_TME_PY[Advanced Network/Insurance Carrier Org ID],$B89,AN_TME_PY[Insurance Category Code],RIGHT(I$74,1))</f>
        <v>0</v>
      </c>
      <c r="J89" s="209">
        <f>SUMIFS(AN_TME_PY[Member Months],AN_TME_PY[Advanced Network/Insurance Carrier Org ID],$B89,AN_TME_PY[Insurance Category Code],RIGHT(J$74,1))</f>
        <v>0</v>
      </c>
      <c r="K89" s="246">
        <f>SUMIFS(AN_TME_PY[Member Months],AN_TME_PY[Advanced Network/Insurance Carrier Org ID],$B89,AN_TME_PY[Insurance Category Code],RIGHT(K$74,1))</f>
        <v>0</v>
      </c>
    </row>
    <row r="90" spans="2:11" x14ac:dyDescent="0.25">
      <c r="B90" s="511">
        <v>117</v>
      </c>
      <c r="C90" s="514">
        <f>SUMIFS(AN_TME_BY[Member Months],AN_TME_BY[Advanced Network/Insurance Carrier Org ID],$B90,AN_TME_BY[Insurance Category Code],RIGHT(C$74,1))</f>
        <v>0</v>
      </c>
      <c r="D90" s="209">
        <f>SUMIFS(AN_TME_BY[Member Months],AN_TME_BY[Advanced Network/Insurance Carrier Org ID],$B90,AN_TME_BY[Insurance Category Code],RIGHT(D$74,1))</f>
        <v>0</v>
      </c>
      <c r="E90" s="209">
        <f>SUMIFS(AN_TME_BY[Member Months],AN_TME_BY[Advanced Network/Insurance Carrier Org ID],$B90,AN_TME_BY[Insurance Category Code],RIGHT(E$74,1))</f>
        <v>0</v>
      </c>
      <c r="F90" s="246">
        <f>SUMIFS(AN_TME_BY[Member Months],AN_TME_BY[Advanced Network/Insurance Carrier Org ID],$B90,AN_TME_BY[Insurance Category Code],RIGHT(F$74,1))</f>
        <v>0</v>
      </c>
      <c r="G90" s="517"/>
      <c r="H90" s="514">
        <f>SUMIFS(AN_TME_PY[Member Months],AN_TME_PY[Advanced Network/Insurance Carrier Org ID],$B90,AN_TME_PY[Insurance Category Code],RIGHT(H$74,1))</f>
        <v>0</v>
      </c>
      <c r="I90" s="209">
        <f>SUMIFS(AN_TME_PY[Member Months],AN_TME_PY[Advanced Network/Insurance Carrier Org ID],$B90,AN_TME_PY[Insurance Category Code],RIGHT(I$74,1))</f>
        <v>0</v>
      </c>
      <c r="J90" s="209">
        <f>SUMIFS(AN_TME_PY[Member Months],AN_TME_PY[Advanced Network/Insurance Carrier Org ID],$B90,AN_TME_PY[Insurance Category Code],RIGHT(J$74,1))</f>
        <v>0</v>
      </c>
      <c r="K90" s="246">
        <f>SUMIFS(AN_TME_PY[Member Months],AN_TME_PY[Advanced Network/Insurance Carrier Org ID],$B90,AN_TME_PY[Insurance Category Code],RIGHT(K$74,1))</f>
        <v>0</v>
      </c>
    </row>
    <row r="91" spans="2:11" x14ac:dyDescent="0.25">
      <c r="B91" s="511">
        <v>118</v>
      </c>
      <c r="C91" s="514">
        <f>SUMIFS(AN_TME_BY[Member Months],AN_TME_BY[Advanced Network/Insurance Carrier Org ID],$B91,AN_TME_BY[Insurance Category Code],RIGHT(C$74,1))</f>
        <v>0</v>
      </c>
      <c r="D91" s="209">
        <f>SUMIFS(AN_TME_BY[Member Months],AN_TME_BY[Advanced Network/Insurance Carrier Org ID],$B91,AN_TME_BY[Insurance Category Code],RIGHT(D$74,1))</f>
        <v>0</v>
      </c>
      <c r="E91" s="209">
        <f>SUMIFS(AN_TME_BY[Member Months],AN_TME_BY[Advanced Network/Insurance Carrier Org ID],$B91,AN_TME_BY[Insurance Category Code],RIGHT(E$74,1))</f>
        <v>0</v>
      </c>
      <c r="F91" s="246">
        <f>SUMIFS(AN_TME_BY[Member Months],AN_TME_BY[Advanced Network/Insurance Carrier Org ID],$B91,AN_TME_BY[Insurance Category Code],RIGHT(F$74,1))</f>
        <v>0</v>
      </c>
      <c r="G91" s="517"/>
      <c r="H91" s="514">
        <f>SUMIFS(AN_TME_PY[Member Months],AN_TME_PY[Advanced Network/Insurance Carrier Org ID],$B91,AN_TME_PY[Insurance Category Code],RIGHT(H$74,1))</f>
        <v>0</v>
      </c>
      <c r="I91" s="209">
        <f>SUMIFS(AN_TME_PY[Member Months],AN_TME_PY[Advanced Network/Insurance Carrier Org ID],$B91,AN_TME_PY[Insurance Category Code],RIGHT(I$74,1))</f>
        <v>0</v>
      </c>
      <c r="J91" s="209">
        <f>SUMIFS(AN_TME_PY[Member Months],AN_TME_PY[Advanced Network/Insurance Carrier Org ID],$B91,AN_TME_PY[Insurance Category Code],RIGHT(J$74,1))</f>
        <v>0</v>
      </c>
      <c r="K91" s="246">
        <f>SUMIFS(AN_TME_PY[Member Months],AN_TME_PY[Advanced Network/Insurance Carrier Org ID],$B91,AN_TME_PY[Insurance Category Code],RIGHT(K$74,1))</f>
        <v>0</v>
      </c>
    </row>
    <row r="92" spans="2:11" x14ac:dyDescent="0.25">
      <c r="B92" s="511">
        <v>119</v>
      </c>
      <c r="C92" s="514">
        <f>SUMIFS(AN_TME_BY[Member Months],AN_TME_BY[Advanced Network/Insurance Carrier Org ID],$B92,AN_TME_BY[Insurance Category Code],RIGHT(C$74,1))</f>
        <v>0</v>
      </c>
      <c r="D92" s="209">
        <f>SUMIFS(AN_TME_BY[Member Months],AN_TME_BY[Advanced Network/Insurance Carrier Org ID],$B92,AN_TME_BY[Insurance Category Code],RIGHT(D$74,1))</f>
        <v>0</v>
      </c>
      <c r="E92" s="209">
        <f>SUMIFS(AN_TME_BY[Member Months],AN_TME_BY[Advanced Network/Insurance Carrier Org ID],$B92,AN_TME_BY[Insurance Category Code],RIGHT(E$74,1))</f>
        <v>0</v>
      </c>
      <c r="F92" s="246">
        <f>SUMIFS(AN_TME_BY[Member Months],AN_TME_BY[Advanced Network/Insurance Carrier Org ID],$B92,AN_TME_BY[Insurance Category Code],RIGHT(F$74,1))</f>
        <v>0</v>
      </c>
      <c r="G92" s="517"/>
      <c r="H92" s="514">
        <f>SUMIFS(AN_TME_PY[Member Months],AN_TME_PY[Advanced Network/Insurance Carrier Org ID],$B92,AN_TME_PY[Insurance Category Code],RIGHT(H$74,1))</f>
        <v>0</v>
      </c>
      <c r="I92" s="209">
        <f>SUMIFS(AN_TME_PY[Member Months],AN_TME_PY[Advanced Network/Insurance Carrier Org ID],$B92,AN_TME_PY[Insurance Category Code],RIGHT(I$74,1))</f>
        <v>0</v>
      </c>
      <c r="J92" s="209">
        <f>SUMIFS(AN_TME_PY[Member Months],AN_TME_PY[Advanced Network/Insurance Carrier Org ID],$B92,AN_TME_PY[Insurance Category Code],RIGHT(J$74,1))</f>
        <v>0</v>
      </c>
      <c r="K92" s="246">
        <f>SUMIFS(AN_TME_PY[Member Months],AN_TME_PY[Advanced Network/Insurance Carrier Org ID],$B92,AN_TME_PY[Insurance Category Code],RIGHT(K$74,1))</f>
        <v>0</v>
      </c>
    </row>
    <row r="93" spans="2:11" x14ac:dyDescent="0.25">
      <c r="B93" s="511">
        <v>120</v>
      </c>
      <c r="C93" s="514">
        <f>SUMIFS(AN_TME_BY[Member Months],AN_TME_BY[Advanced Network/Insurance Carrier Org ID],$B93,AN_TME_BY[Insurance Category Code],RIGHT(C$74,1))</f>
        <v>0</v>
      </c>
      <c r="D93" s="209">
        <f>SUMIFS(AN_TME_BY[Member Months],AN_TME_BY[Advanced Network/Insurance Carrier Org ID],$B93,AN_TME_BY[Insurance Category Code],RIGHT(D$74,1))</f>
        <v>0</v>
      </c>
      <c r="E93" s="209">
        <f>SUMIFS(AN_TME_BY[Member Months],AN_TME_BY[Advanced Network/Insurance Carrier Org ID],$B93,AN_TME_BY[Insurance Category Code],RIGHT(E$74,1))</f>
        <v>0</v>
      </c>
      <c r="F93" s="246">
        <f>SUMIFS(AN_TME_BY[Member Months],AN_TME_BY[Advanced Network/Insurance Carrier Org ID],$B93,AN_TME_BY[Insurance Category Code],RIGHT(F$74,1))</f>
        <v>0</v>
      </c>
      <c r="G93" s="517"/>
      <c r="H93" s="514">
        <f>SUMIFS(AN_TME_PY[Member Months],AN_TME_PY[Advanced Network/Insurance Carrier Org ID],$B93,AN_TME_PY[Insurance Category Code],RIGHT(H$74,1))</f>
        <v>0</v>
      </c>
      <c r="I93" s="209">
        <f>SUMIFS(AN_TME_PY[Member Months],AN_TME_PY[Advanced Network/Insurance Carrier Org ID],$B93,AN_TME_PY[Insurance Category Code],RIGHT(I$74,1))</f>
        <v>0</v>
      </c>
      <c r="J93" s="209">
        <f>SUMIFS(AN_TME_PY[Member Months],AN_TME_PY[Advanced Network/Insurance Carrier Org ID],$B93,AN_TME_PY[Insurance Category Code],RIGHT(J$74,1))</f>
        <v>0</v>
      </c>
      <c r="K93" s="246">
        <f>SUMIFS(AN_TME_PY[Member Months],AN_TME_PY[Advanced Network/Insurance Carrier Org ID],$B93,AN_TME_PY[Insurance Category Code],RIGHT(K$74,1))</f>
        <v>0</v>
      </c>
    </row>
    <row r="94" spans="2:11" x14ac:dyDescent="0.25">
      <c r="B94" s="511">
        <v>121</v>
      </c>
      <c r="C94" s="514">
        <f>SUMIFS(AN_TME_BY[Member Months],AN_TME_BY[Advanced Network/Insurance Carrier Org ID],$B94,AN_TME_BY[Insurance Category Code],RIGHT(C$74,1))</f>
        <v>0</v>
      </c>
      <c r="D94" s="209">
        <f>SUMIFS(AN_TME_BY[Member Months],AN_TME_BY[Advanced Network/Insurance Carrier Org ID],$B94,AN_TME_BY[Insurance Category Code],RIGHT(D$74,1))</f>
        <v>0</v>
      </c>
      <c r="E94" s="209">
        <f>SUMIFS(AN_TME_BY[Member Months],AN_TME_BY[Advanced Network/Insurance Carrier Org ID],$B94,AN_TME_BY[Insurance Category Code],RIGHT(E$74,1))</f>
        <v>0</v>
      </c>
      <c r="F94" s="246">
        <f>SUMIFS(AN_TME_BY[Member Months],AN_TME_BY[Advanced Network/Insurance Carrier Org ID],$B94,AN_TME_BY[Insurance Category Code],RIGHT(F$74,1))</f>
        <v>0</v>
      </c>
      <c r="G94" s="517"/>
      <c r="H94" s="514">
        <f>SUMIFS(AN_TME_PY[Member Months],AN_TME_PY[Advanced Network/Insurance Carrier Org ID],$B94,AN_TME_PY[Insurance Category Code],RIGHT(H$74,1))</f>
        <v>0</v>
      </c>
      <c r="I94" s="209">
        <f>SUMIFS(AN_TME_PY[Member Months],AN_TME_PY[Advanced Network/Insurance Carrier Org ID],$B94,AN_TME_PY[Insurance Category Code],RIGHT(I$74,1))</f>
        <v>0</v>
      </c>
      <c r="J94" s="209">
        <f>SUMIFS(AN_TME_PY[Member Months],AN_TME_PY[Advanced Network/Insurance Carrier Org ID],$B94,AN_TME_PY[Insurance Category Code],RIGHT(J$74,1))</f>
        <v>0</v>
      </c>
      <c r="K94" s="246">
        <f>SUMIFS(AN_TME_PY[Member Months],AN_TME_PY[Advanced Network/Insurance Carrier Org ID],$B94,AN_TME_PY[Insurance Category Code],RIGHT(K$74,1))</f>
        <v>0</v>
      </c>
    </row>
    <row r="95" spans="2:11" x14ac:dyDescent="0.25">
      <c r="B95" s="511">
        <v>122</v>
      </c>
      <c r="C95" s="514">
        <f>SUMIFS(AN_TME_BY[Member Months],AN_TME_BY[Advanced Network/Insurance Carrier Org ID],$B95,AN_TME_BY[Insurance Category Code],RIGHT(C$74,1))</f>
        <v>0</v>
      </c>
      <c r="D95" s="209">
        <f>SUMIFS(AN_TME_BY[Member Months],AN_TME_BY[Advanced Network/Insurance Carrier Org ID],$B95,AN_TME_BY[Insurance Category Code],RIGHT(D$74,1))</f>
        <v>0</v>
      </c>
      <c r="E95" s="209">
        <f>SUMIFS(AN_TME_BY[Member Months],AN_TME_BY[Advanced Network/Insurance Carrier Org ID],$B95,AN_TME_BY[Insurance Category Code],RIGHT(E$74,1))</f>
        <v>0</v>
      </c>
      <c r="F95" s="246">
        <f>SUMIFS(AN_TME_BY[Member Months],AN_TME_BY[Advanced Network/Insurance Carrier Org ID],$B95,AN_TME_BY[Insurance Category Code],RIGHT(F$74,1))</f>
        <v>0</v>
      </c>
      <c r="G95" s="517"/>
      <c r="H95" s="514">
        <f>SUMIFS(AN_TME_PY[Member Months],AN_TME_PY[Advanced Network/Insurance Carrier Org ID],$B95,AN_TME_PY[Insurance Category Code],RIGHT(H$74,1))</f>
        <v>0</v>
      </c>
      <c r="I95" s="209">
        <f>SUMIFS(AN_TME_PY[Member Months],AN_TME_PY[Advanced Network/Insurance Carrier Org ID],$B95,AN_TME_PY[Insurance Category Code],RIGHT(I$74,1))</f>
        <v>0</v>
      </c>
      <c r="J95" s="209">
        <f>SUMIFS(AN_TME_PY[Member Months],AN_TME_PY[Advanced Network/Insurance Carrier Org ID],$B95,AN_TME_PY[Insurance Category Code],RIGHT(J$74,1))</f>
        <v>0</v>
      </c>
      <c r="K95" s="246">
        <f>SUMIFS(AN_TME_PY[Member Months],AN_TME_PY[Advanced Network/Insurance Carrier Org ID],$B95,AN_TME_PY[Insurance Category Code],RIGHT(K$74,1))</f>
        <v>0</v>
      </c>
    </row>
    <row r="96" spans="2:11" x14ac:dyDescent="0.25">
      <c r="B96" s="511">
        <v>123</v>
      </c>
      <c r="C96" s="514">
        <f>SUMIFS(AN_TME_BY[Member Months],AN_TME_BY[Advanced Network/Insurance Carrier Org ID],$B96,AN_TME_BY[Insurance Category Code],RIGHT(C$74,1))</f>
        <v>0</v>
      </c>
      <c r="D96" s="209">
        <f>SUMIFS(AN_TME_BY[Member Months],AN_TME_BY[Advanced Network/Insurance Carrier Org ID],$B96,AN_TME_BY[Insurance Category Code],RIGHT(D$74,1))</f>
        <v>0</v>
      </c>
      <c r="E96" s="209">
        <f>SUMIFS(AN_TME_BY[Member Months],AN_TME_BY[Advanced Network/Insurance Carrier Org ID],$B96,AN_TME_BY[Insurance Category Code],RIGHT(E$74,1))</f>
        <v>0</v>
      </c>
      <c r="F96" s="246">
        <f>SUMIFS(AN_TME_BY[Member Months],AN_TME_BY[Advanced Network/Insurance Carrier Org ID],$B96,AN_TME_BY[Insurance Category Code],RIGHT(F$74,1))</f>
        <v>0</v>
      </c>
      <c r="G96" s="517"/>
      <c r="H96" s="514">
        <f>SUMIFS(AN_TME_PY[Member Months],AN_TME_PY[Advanced Network/Insurance Carrier Org ID],$B96,AN_TME_PY[Insurance Category Code],RIGHT(H$74,1))</f>
        <v>0</v>
      </c>
      <c r="I96" s="209">
        <f>SUMIFS(AN_TME_PY[Member Months],AN_TME_PY[Advanced Network/Insurance Carrier Org ID],$B96,AN_TME_PY[Insurance Category Code],RIGHT(I$74,1))</f>
        <v>0</v>
      </c>
      <c r="J96" s="209">
        <f>SUMIFS(AN_TME_PY[Member Months],AN_TME_PY[Advanced Network/Insurance Carrier Org ID],$B96,AN_TME_PY[Insurance Category Code],RIGHT(J$74,1))</f>
        <v>0</v>
      </c>
      <c r="K96" s="246">
        <f>SUMIFS(AN_TME_PY[Member Months],AN_TME_PY[Advanced Network/Insurance Carrier Org ID],$B96,AN_TME_PY[Insurance Category Code],RIGHT(K$74,1))</f>
        <v>0</v>
      </c>
    </row>
    <row r="97" spans="2:20" x14ac:dyDescent="0.25">
      <c r="B97" s="511">
        <v>124</v>
      </c>
      <c r="C97" s="514">
        <f>SUMIFS(AN_TME_BY[Member Months],AN_TME_BY[Advanced Network/Insurance Carrier Org ID],$B97,AN_TME_BY[Insurance Category Code],RIGHT(C$74,1))</f>
        <v>0</v>
      </c>
      <c r="D97" s="209">
        <f>SUMIFS(AN_TME_BY[Member Months],AN_TME_BY[Advanced Network/Insurance Carrier Org ID],$B97,AN_TME_BY[Insurance Category Code],RIGHT(D$74,1))</f>
        <v>0</v>
      </c>
      <c r="E97" s="209">
        <f>SUMIFS(AN_TME_BY[Member Months],AN_TME_BY[Advanced Network/Insurance Carrier Org ID],$B97,AN_TME_BY[Insurance Category Code],RIGHT(E$74,1))</f>
        <v>0</v>
      </c>
      <c r="F97" s="246">
        <f>SUMIFS(AN_TME_BY[Member Months],AN_TME_BY[Advanced Network/Insurance Carrier Org ID],$B97,AN_TME_BY[Insurance Category Code],RIGHT(F$74,1))</f>
        <v>0</v>
      </c>
      <c r="G97" s="517"/>
      <c r="H97" s="514">
        <f>SUMIFS(AN_TME_PY[Member Months],AN_TME_PY[Advanced Network/Insurance Carrier Org ID],$B97,AN_TME_PY[Insurance Category Code],RIGHT(H$74,1))</f>
        <v>0</v>
      </c>
      <c r="I97" s="209">
        <f>SUMIFS(AN_TME_PY[Member Months],AN_TME_PY[Advanced Network/Insurance Carrier Org ID],$B97,AN_TME_PY[Insurance Category Code],RIGHT(I$74,1))</f>
        <v>0</v>
      </c>
      <c r="J97" s="209">
        <f>SUMIFS(AN_TME_PY[Member Months],AN_TME_PY[Advanced Network/Insurance Carrier Org ID],$B97,AN_TME_PY[Insurance Category Code],RIGHT(J$74,1))</f>
        <v>0</v>
      </c>
      <c r="K97" s="246">
        <f>SUMIFS(AN_TME_PY[Member Months],AN_TME_PY[Advanced Network/Insurance Carrier Org ID],$B97,AN_TME_PY[Insurance Category Code],RIGHT(K$74,1))</f>
        <v>0</v>
      </c>
    </row>
    <row r="98" spans="2:20" x14ac:dyDescent="0.25">
      <c r="B98" s="511">
        <v>125</v>
      </c>
      <c r="C98" s="514">
        <f>SUMIFS(AN_TME_BY[Member Months],AN_TME_BY[Advanced Network/Insurance Carrier Org ID],$B98,AN_TME_BY[Insurance Category Code],RIGHT(C$74,1))</f>
        <v>0</v>
      </c>
      <c r="D98" s="209">
        <f>SUMIFS(AN_TME_BY[Member Months],AN_TME_BY[Advanced Network/Insurance Carrier Org ID],$B98,AN_TME_BY[Insurance Category Code],RIGHT(D$74,1))</f>
        <v>0</v>
      </c>
      <c r="E98" s="209">
        <f>SUMIFS(AN_TME_BY[Member Months],AN_TME_BY[Advanced Network/Insurance Carrier Org ID],$B98,AN_TME_BY[Insurance Category Code],RIGHT(E$74,1))</f>
        <v>0</v>
      </c>
      <c r="F98" s="246">
        <f>SUMIFS(AN_TME_BY[Member Months],AN_TME_BY[Advanced Network/Insurance Carrier Org ID],$B98,AN_TME_BY[Insurance Category Code],RIGHT(F$74,1))</f>
        <v>0</v>
      </c>
      <c r="G98" s="517"/>
      <c r="H98" s="514">
        <f>SUMIFS(AN_TME_PY[Member Months],AN_TME_PY[Advanced Network/Insurance Carrier Org ID],$B98,AN_TME_PY[Insurance Category Code],RIGHT(H$74,1))</f>
        <v>0</v>
      </c>
      <c r="I98" s="209">
        <f>SUMIFS(AN_TME_PY[Member Months],AN_TME_PY[Advanced Network/Insurance Carrier Org ID],$B98,AN_TME_PY[Insurance Category Code],RIGHT(I$74,1))</f>
        <v>0</v>
      </c>
      <c r="J98" s="209">
        <f>SUMIFS(AN_TME_PY[Member Months],AN_TME_PY[Advanced Network/Insurance Carrier Org ID],$B98,AN_TME_PY[Insurance Category Code],RIGHT(J$74,1))</f>
        <v>0</v>
      </c>
      <c r="K98" s="246">
        <f>SUMIFS(AN_TME_PY[Member Months],AN_TME_PY[Advanced Network/Insurance Carrier Org ID],$B98,AN_TME_PY[Insurance Category Code],RIGHT(K$74,1))</f>
        <v>0</v>
      </c>
    </row>
    <row r="99" spans="2:20" x14ac:dyDescent="0.25">
      <c r="B99" s="511">
        <v>126</v>
      </c>
      <c r="C99" s="514">
        <f>SUMIFS(AN_TME_BY[Member Months],AN_TME_BY[Advanced Network/Insurance Carrier Org ID],$B99,AN_TME_BY[Insurance Category Code],RIGHT(C$74,1))</f>
        <v>0</v>
      </c>
      <c r="D99" s="209">
        <f>SUMIFS(AN_TME_BY[Member Months],AN_TME_BY[Advanced Network/Insurance Carrier Org ID],$B99,AN_TME_BY[Insurance Category Code],RIGHT(D$74,1))</f>
        <v>0</v>
      </c>
      <c r="E99" s="209">
        <f>SUMIFS(AN_TME_BY[Member Months],AN_TME_BY[Advanced Network/Insurance Carrier Org ID],$B99,AN_TME_BY[Insurance Category Code],RIGHT(E$74,1))</f>
        <v>0</v>
      </c>
      <c r="F99" s="246">
        <f>SUMIFS(AN_TME_BY[Member Months],AN_TME_BY[Advanced Network/Insurance Carrier Org ID],$B99,AN_TME_BY[Insurance Category Code],RIGHT(F$74,1))</f>
        <v>0</v>
      </c>
      <c r="G99" s="517"/>
      <c r="H99" s="514">
        <f>SUMIFS(AN_TME_PY[Member Months],AN_TME_PY[Advanced Network/Insurance Carrier Org ID],$B99,AN_TME_PY[Insurance Category Code],RIGHT(H$74,1))</f>
        <v>0</v>
      </c>
      <c r="I99" s="209">
        <f>SUMIFS(AN_TME_PY[Member Months],AN_TME_PY[Advanced Network/Insurance Carrier Org ID],$B99,AN_TME_PY[Insurance Category Code],RIGHT(I$74,1))</f>
        <v>0</v>
      </c>
      <c r="J99" s="209">
        <f>SUMIFS(AN_TME_PY[Member Months],AN_TME_PY[Advanced Network/Insurance Carrier Org ID],$B99,AN_TME_PY[Insurance Category Code],RIGHT(J$74,1))</f>
        <v>0</v>
      </c>
      <c r="K99" s="246">
        <f>SUMIFS(AN_TME_PY[Member Months],AN_TME_PY[Advanced Network/Insurance Carrier Org ID],$B99,AN_TME_PY[Insurance Category Code],RIGHT(K$74,1))</f>
        <v>0</v>
      </c>
    </row>
    <row r="100" spans="2:20" x14ac:dyDescent="0.25">
      <c r="B100" s="511">
        <v>127</v>
      </c>
      <c r="C100" s="514">
        <f>SUMIFS(AN_TME_BY[Member Months],AN_TME_BY[Advanced Network/Insurance Carrier Org ID],$B100,AN_TME_BY[Insurance Category Code],RIGHT(C$74,1))</f>
        <v>0</v>
      </c>
      <c r="D100" s="209">
        <f>SUMIFS(AN_TME_BY[Member Months],AN_TME_BY[Advanced Network/Insurance Carrier Org ID],$B100,AN_TME_BY[Insurance Category Code],RIGHT(D$74,1))</f>
        <v>0</v>
      </c>
      <c r="E100" s="209">
        <f>SUMIFS(AN_TME_BY[Member Months],AN_TME_BY[Advanced Network/Insurance Carrier Org ID],$B100,AN_TME_BY[Insurance Category Code],RIGHT(E$74,1))</f>
        <v>0</v>
      </c>
      <c r="F100" s="246">
        <f>SUMIFS(AN_TME_BY[Member Months],AN_TME_BY[Advanced Network/Insurance Carrier Org ID],$B100,AN_TME_BY[Insurance Category Code],RIGHT(F$74,1))</f>
        <v>0</v>
      </c>
      <c r="G100" s="517"/>
      <c r="H100" s="514">
        <f>SUMIFS(AN_TME_PY[Member Months],AN_TME_PY[Advanced Network/Insurance Carrier Org ID],$B100,AN_TME_PY[Insurance Category Code],RIGHT(H$74,1))</f>
        <v>0</v>
      </c>
      <c r="I100" s="209">
        <f>SUMIFS(AN_TME_PY[Member Months],AN_TME_PY[Advanced Network/Insurance Carrier Org ID],$B100,AN_TME_PY[Insurance Category Code],RIGHT(I$74,1))</f>
        <v>0</v>
      </c>
      <c r="J100" s="209">
        <f>SUMIFS(AN_TME_PY[Member Months],AN_TME_PY[Advanced Network/Insurance Carrier Org ID],$B100,AN_TME_PY[Insurance Category Code],RIGHT(J$74,1))</f>
        <v>0</v>
      </c>
      <c r="K100" s="246">
        <f>SUMIFS(AN_TME_PY[Member Months],AN_TME_PY[Advanced Network/Insurance Carrier Org ID],$B100,AN_TME_PY[Insurance Category Code],RIGHT(K$74,1))</f>
        <v>0</v>
      </c>
    </row>
    <row r="101" spans="2:20" x14ac:dyDescent="0.25">
      <c r="B101" s="511">
        <v>128</v>
      </c>
      <c r="C101" s="514">
        <f>SUMIFS(AN_TME_BY[Member Months],AN_TME_BY[Advanced Network/Insurance Carrier Org ID],$B101,AN_TME_BY[Insurance Category Code],RIGHT(C$74,1))</f>
        <v>0</v>
      </c>
      <c r="D101" s="209">
        <f>SUMIFS(AN_TME_BY[Member Months],AN_TME_BY[Advanced Network/Insurance Carrier Org ID],$B101,AN_TME_BY[Insurance Category Code],RIGHT(D$74,1))</f>
        <v>0</v>
      </c>
      <c r="E101" s="209">
        <f>SUMIFS(AN_TME_BY[Member Months],AN_TME_BY[Advanced Network/Insurance Carrier Org ID],$B101,AN_TME_BY[Insurance Category Code],RIGHT(E$74,1))</f>
        <v>0</v>
      </c>
      <c r="F101" s="246">
        <f>SUMIFS(AN_TME_BY[Member Months],AN_TME_BY[Advanced Network/Insurance Carrier Org ID],$B101,AN_TME_BY[Insurance Category Code],RIGHT(F$74,1))</f>
        <v>0</v>
      </c>
      <c r="G101" s="517"/>
      <c r="H101" s="514">
        <f>SUMIFS(AN_TME_PY[Member Months],AN_TME_PY[Advanced Network/Insurance Carrier Org ID],$B101,AN_TME_PY[Insurance Category Code],RIGHT(H$74,1))</f>
        <v>0</v>
      </c>
      <c r="I101" s="209">
        <f>SUMIFS(AN_TME_PY[Member Months],AN_TME_PY[Advanced Network/Insurance Carrier Org ID],$B101,AN_TME_PY[Insurance Category Code],RIGHT(I$74,1))</f>
        <v>0</v>
      </c>
      <c r="J101" s="209">
        <f>SUMIFS(AN_TME_PY[Member Months],AN_TME_PY[Advanced Network/Insurance Carrier Org ID],$B101,AN_TME_PY[Insurance Category Code],RIGHT(J$74,1))</f>
        <v>0</v>
      </c>
      <c r="K101" s="246">
        <f>SUMIFS(AN_TME_PY[Member Months],AN_TME_PY[Advanced Network/Insurance Carrier Org ID],$B101,AN_TME_PY[Insurance Category Code],RIGHT(K$74,1))</f>
        <v>0</v>
      </c>
    </row>
    <row r="102" spans="2:20" x14ac:dyDescent="0.25">
      <c r="B102" s="511">
        <v>129</v>
      </c>
      <c r="C102" s="514">
        <f>SUMIFS(AN_TME_BY[Member Months],AN_TME_BY[Advanced Network/Insurance Carrier Org ID],$B102,AN_TME_BY[Insurance Category Code],RIGHT(C$74,1))</f>
        <v>0</v>
      </c>
      <c r="D102" s="209">
        <f>SUMIFS(AN_TME_BY[Member Months],AN_TME_BY[Advanced Network/Insurance Carrier Org ID],$B102,AN_TME_BY[Insurance Category Code],RIGHT(D$74,1))</f>
        <v>0</v>
      </c>
      <c r="E102" s="209">
        <f>SUMIFS(AN_TME_BY[Member Months],AN_TME_BY[Advanced Network/Insurance Carrier Org ID],$B102,AN_TME_BY[Insurance Category Code],RIGHT(E$74,1))</f>
        <v>0</v>
      </c>
      <c r="F102" s="246">
        <f>SUMIFS(AN_TME_BY[Member Months],AN_TME_BY[Advanced Network/Insurance Carrier Org ID],$B102,AN_TME_BY[Insurance Category Code],RIGHT(F$74,1))</f>
        <v>0</v>
      </c>
      <c r="G102" s="517"/>
      <c r="H102" s="514">
        <f>SUMIFS(AN_TME_PY[Member Months],AN_TME_PY[Advanced Network/Insurance Carrier Org ID],$B102,AN_TME_PY[Insurance Category Code],RIGHT(H$74,1))</f>
        <v>0</v>
      </c>
      <c r="I102" s="209">
        <f>SUMIFS(AN_TME_PY[Member Months],AN_TME_PY[Advanced Network/Insurance Carrier Org ID],$B102,AN_TME_PY[Insurance Category Code],RIGHT(I$74,1))</f>
        <v>0</v>
      </c>
      <c r="J102" s="209">
        <f>SUMIFS(AN_TME_PY[Member Months],AN_TME_PY[Advanced Network/Insurance Carrier Org ID],$B102,AN_TME_PY[Insurance Category Code],RIGHT(J$74,1))</f>
        <v>0</v>
      </c>
      <c r="K102" s="246">
        <f>SUMIFS(AN_TME_PY[Member Months],AN_TME_PY[Advanced Network/Insurance Carrier Org ID],$B102,AN_TME_PY[Insurance Category Code],RIGHT(K$74,1))</f>
        <v>0</v>
      </c>
    </row>
    <row r="103" spans="2:20" x14ac:dyDescent="0.25">
      <c r="B103" s="511">
        <v>130</v>
      </c>
      <c r="C103" s="514">
        <f>SUMIFS(AN_TME_BY[Member Months],AN_TME_BY[Advanced Network/Insurance Carrier Org ID],$B103,AN_TME_BY[Insurance Category Code],RIGHT(C$74,1))</f>
        <v>0</v>
      </c>
      <c r="D103" s="209">
        <f>SUMIFS(AN_TME_BY[Member Months],AN_TME_BY[Advanced Network/Insurance Carrier Org ID],$B103,AN_TME_BY[Insurance Category Code],RIGHT(D$74,1))</f>
        <v>0</v>
      </c>
      <c r="E103" s="209">
        <f>SUMIFS(AN_TME_BY[Member Months],AN_TME_BY[Advanced Network/Insurance Carrier Org ID],$B103,AN_TME_BY[Insurance Category Code],RIGHT(E$74,1))</f>
        <v>0</v>
      </c>
      <c r="F103" s="246">
        <f>SUMIFS(AN_TME_BY[Member Months],AN_TME_BY[Advanced Network/Insurance Carrier Org ID],$B103,AN_TME_BY[Insurance Category Code],RIGHT(F$74,1))</f>
        <v>0</v>
      </c>
      <c r="G103" s="517"/>
      <c r="H103" s="514">
        <f>SUMIFS(AN_TME_PY[Member Months],AN_TME_PY[Advanced Network/Insurance Carrier Org ID],$B103,AN_TME_PY[Insurance Category Code],RIGHT(H$74,1))</f>
        <v>0</v>
      </c>
      <c r="I103" s="209">
        <f>SUMIFS(AN_TME_PY[Member Months],AN_TME_PY[Advanced Network/Insurance Carrier Org ID],$B103,AN_TME_PY[Insurance Category Code],RIGHT(I$74,1))</f>
        <v>0</v>
      </c>
      <c r="J103" s="209">
        <f>SUMIFS(AN_TME_PY[Member Months],AN_TME_PY[Advanced Network/Insurance Carrier Org ID],$B103,AN_TME_PY[Insurance Category Code],RIGHT(J$74,1))</f>
        <v>0</v>
      </c>
      <c r="K103" s="246">
        <f>SUMIFS(AN_TME_PY[Member Months],AN_TME_PY[Advanced Network/Insurance Carrier Org ID],$B103,AN_TME_PY[Insurance Category Code],RIGHT(K$74,1))</f>
        <v>0</v>
      </c>
    </row>
    <row r="104" spans="2:20" x14ac:dyDescent="0.25">
      <c r="B104" s="511">
        <v>131</v>
      </c>
      <c r="C104" s="514">
        <f>SUMIFS(AN_TME_BY[Member Months],AN_TME_BY[Advanced Network/Insurance Carrier Org ID],$B104,AN_TME_BY[Insurance Category Code],RIGHT(C$74,1))</f>
        <v>0</v>
      </c>
      <c r="D104" s="209">
        <f>SUMIFS(AN_TME_BY[Member Months],AN_TME_BY[Advanced Network/Insurance Carrier Org ID],$B104,AN_TME_BY[Insurance Category Code],RIGHT(D$74,1))</f>
        <v>0</v>
      </c>
      <c r="E104" s="209">
        <f>SUMIFS(AN_TME_BY[Member Months],AN_TME_BY[Advanced Network/Insurance Carrier Org ID],$B104,AN_TME_BY[Insurance Category Code],RIGHT(E$74,1))</f>
        <v>0</v>
      </c>
      <c r="F104" s="246">
        <f>SUMIFS(AN_TME_BY[Member Months],AN_TME_BY[Advanced Network/Insurance Carrier Org ID],$B104,AN_TME_BY[Insurance Category Code],RIGHT(F$74,1))</f>
        <v>0</v>
      </c>
      <c r="G104" s="517"/>
      <c r="H104" s="514">
        <f>SUMIFS(AN_TME_PY[Member Months],AN_TME_PY[Advanced Network/Insurance Carrier Org ID],$B104,AN_TME_PY[Insurance Category Code],RIGHT(H$74,1))</f>
        <v>0</v>
      </c>
      <c r="I104" s="209">
        <f>SUMIFS(AN_TME_PY[Member Months],AN_TME_PY[Advanced Network/Insurance Carrier Org ID],$B104,AN_TME_PY[Insurance Category Code],RIGHT(I$74,1))</f>
        <v>0</v>
      </c>
      <c r="J104" s="209">
        <f>SUMIFS(AN_TME_PY[Member Months],AN_TME_PY[Advanced Network/Insurance Carrier Org ID],$B104,AN_TME_PY[Insurance Category Code],RIGHT(J$74,1))</f>
        <v>0</v>
      </c>
      <c r="K104" s="246">
        <f>SUMIFS(AN_TME_PY[Member Months],AN_TME_PY[Advanced Network/Insurance Carrier Org ID],$B104,AN_TME_PY[Insurance Category Code],RIGHT(K$74,1))</f>
        <v>0</v>
      </c>
    </row>
    <row r="105" spans="2:20" x14ac:dyDescent="0.25">
      <c r="B105" s="511">
        <v>132</v>
      </c>
      <c r="C105" s="514">
        <f>SUMIFS(AN_TME_BY[Member Months],AN_TME_BY[Advanced Network/Insurance Carrier Org ID],$B105,AN_TME_BY[Insurance Category Code],RIGHT(C$74,1))</f>
        <v>0</v>
      </c>
      <c r="D105" s="209">
        <f>SUMIFS(AN_TME_BY[Member Months],AN_TME_BY[Advanced Network/Insurance Carrier Org ID],$B105,AN_TME_BY[Insurance Category Code],RIGHT(D$74,1))</f>
        <v>0</v>
      </c>
      <c r="E105" s="209">
        <f>SUMIFS(AN_TME_BY[Member Months],AN_TME_BY[Advanced Network/Insurance Carrier Org ID],$B105,AN_TME_BY[Insurance Category Code],RIGHT(E$74,1))</f>
        <v>0</v>
      </c>
      <c r="F105" s="246">
        <f>SUMIFS(AN_TME_BY[Member Months],AN_TME_BY[Advanced Network/Insurance Carrier Org ID],$B105,AN_TME_BY[Insurance Category Code],RIGHT(F$74,1))</f>
        <v>0</v>
      </c>
      <c r="G105" s="517"/>
      <c r="H105" s="514">
        <f>SUMIFS(AN_TME_PY[Member Months],AN_TME_PY[Advanced Network/Insurance Carrier Org ID],$B105,AN_TME_PY[Insurance Category Code],RIGHT(H$74,1))</f>
        <v>0</v>
      </c>
      <c r="I105" s="209">
        <f>SUMIFS(AN_TME_PY[Member Months],AN_TME_PY[Advanced Network/Insurance Carrier Org ID],$B105,AN_TME_PY[Insurance Category Code],RIGHT(I$74,1))</f>
        <v>0</v>
      </c>
      <c r="J105" s="209">
        <f>SUMIFS(AN_TME_PY[Member Months],AN_TME_PY[Advanced Network/Insurance Carrier Org ID],$B105,AN_TME_PY[Insurance Category Code],RIGHT(J$74,1))</f>
        <v>0</v>
      </c>
      <c r="K105" s="246">
        <f>SUMIFS(AN_TME_PY[Member Months],AN_TME_PY[Advanced Network/Insurance Carrier Org ID],$B105,AN_TME_PY[Insurance Category Code],RIGHT(K$74,1))</f>
        <v>0</v>
      </c>
    </row>
    <row r="106" spans="2:20" x14ac:dyDescent="0.25">
      <c r="B106" s="511">
        <v>133</v>
      </c>
      <c r="C106" s="514">
        <f>SUMIFS(AN_TME_BY[Member Months],AN_TME_BY[Advanced Network/Insurance Carrier Org ID],$B106,AN_TME_BY[Insurance Category Code],RIGHT(C$74,1))</f>
        <v>0</v>
      </c>
      <c r="D106" s="209">
        <f>SUMIFS(AN_TME_BY[Member Months],AN_TME_BY[Advanced Network/Insurance Carrier Org ID],$B106,AN_TME_BY[Insurance Category Code],RIGHT(D$74,1))</f>
        <v>0</v>
      </c>
      <c r="E106" s="209">
        <f>SUMIFS(AN_TME_BY[Member Months],AN_TME_BY[Advanced Network/Insurance Carrier Org ID],$B106,AN_TME_BY[Insurance Category Code],RIGHT(E$74,1))</f>
        <v>0</v>
      </c>
      <c r="F106" s="246">
        <f>SUMIFS(AN_TME_BY[Member Months],AN_TME_BY[Advanced Network/Insurance Carrier Org ID],$B106,AN_TME_BY[Insurance Category Code],RIGHT(F$74,1))</f>
        <v>0</v>
      </c>
      <c r="G106" s="517"/>
      <c r="H106" s="514">
        <f>SUMIFS(AN_TME_PY[Member Months],AN_TME_PY[Advanced Network/Insurance Carrier Org ID],$B106,AN_TME_PY[Insurance Category Code],RIGHT(H$74,1))</f>
        <v>0</v>
      </c>
      <c r="I106" s="209">
        <f>SUMIFS(AN_TME_PY[Member Months],AN_TME_PY[Advanced Network/Insurance Carrier Org ID],$B106,AN_TME_PY[Insurance Category Code],RIGHT(I$74,1))</f>
        <v>0</v>
      </c>
      <c r="J106" s="209">
        <f>SUMIFS(AN_TME_PY[Member Months],AN_TME_PY[Advanced Network/Insurance Carrier Org ID],$B106,AN_TME_PY[Insurance Category Code],RIGHT(J$74,1))</f>
        <v>0</v>
      </c>
      <c r="K106" s="246">
        <f>SUMIFS(AN_TME_PY[Member Months],AN_TME_PY[Advanced Network/Insurance Carrier Org ID],$B106,AN_TME_PY[Insurance Category Code],RIGHT(K$74,1))</f>
        <v>0</v>
      </c>
    </row>
    <row r="107" spans="2:20" x14ac:dyDescent="0.25">
      <c r="B107" s="511">
        <v>134</v>
      </c>
      <c r="C107" s="514">
        <f>SUMIFS(AN_TME_BY[Member Months],AN_TME_BY[Advanced Network/Insurance Carrier Org ID],$B107,AN_TME_BY[Insurance Category Code],RIGHT(C$74,1))</f>
        <v>0</v>
      </c>
      <c r="D107" s="209">
        <f>SUMIFS(AN_TME_BY[Member Months],AN_TME_BY[Advanced Network/Insurance Carrier Org ID],$B107,AN_TME_BY[Insurance Category Code],RIGHT(D$74,1))</f>
        <v>0</v>
      </c>
      <c r="E107" s="209">
        <f>SUMIFS(AN_TME_BY[Member Months],AN_TME_BY[Advanced Network/Insurance Carrier Org ID],$B107,AN_TME_BY[Insurance Category Code],RIGHT(E$74,1))</f>
        <v>0</v>
      </c>
      <c r="F107" s="246">
        <f>SUMIFS(AN_TME_BY[Member Months],AN_TME_BY[Advanced Network/Insurance Carrier Org ID],$B107,AN_TME_BY[Insurance Category Code],RIGHT(F$74,1))</f>
        <v>0</v>
      </c>
      <c r="G107" s="517"/>
      <c r="H107" s="514">
        <f>SUMIFS(AN_TME_PY[Member Months],AN_TME_PY[Advanced Network/Insurance Carrier Org ID],$B107,AN_TME_PY[Insurance Category Code],RIGHT(H$74,1))</f>
        <v>0</v>
      </c>
      <c r="I107" s="209">
        <f>SUMIFS(AN_TME_PY[Member Months],AN_TME_PY[Advanced Network/Insurance Carrier Org ID],$B107,AN_TME_PY[Insurance Category Code],RIGHT(I$74,1))</f>
        <v>0</v>
      </c>
      <c r="J107" s="209">
        <f>SUMIFS(AN_TME_PY[Member Months],AN_TME_PY[Advanced Network/Insurance Carrier Org ID],$B107,AN_TME_PY[Insurance Category Code],RIGHT(J$74,1))</f>
        <v>0</v>
      </c>
      <c r="K107" s="246">
        <f>SUMIFS(AN_TME_PY[Member Months],AN_TME_PY[Advanced Network/Insurance Carrier Org ID],$B107,AN_TME_PY[Insurance Category Code],RIGHT(K$74,1))</f>
        <v>0</v>
      </c>
    </row>
    <row r="108" spans="2:20" ht="15.75" thickBot="1" x14ac:dyDescent="0.3">
      <c r="B108" s="512">
        <v>999</v>
      </c>
      <c r="C108" s="515">
        <f>SUMIFS(AN_TME_BY[Member Months],AN_TME_BY[Advanced Network/Insurance Carrier Org ID],$B108,AN_TME_BY[Insurance Category Code],RIGHT(C$74,1))</f>
        <v>0</v>
      </c>
      <c r="D108" s="213">
        <f>SUMIFS(AN_TME_BY[Member Months],AN_TME_BY[Advanced Network/Insurance Carrier Org ID],$B108,AN_TME_BY[Insurance Category Code],RIGHT(D$74,1))</f>
        <v>0</v>
      </c>
      <c r="E108" s="213">
        <f>SUMIFS(AN_TME_BY[Member Months],AN_TME_BY[Advanced Network/Insurance Carrier Org ID],$B108,AN_TME_BY[Insurance Category Code],RIGHT(E$74,1))</f>
        <v>0</v>
      </c>
      <c r="F108" s="247">
        <f>SUMIFS(AN_TME_BY[Member Months],AN_TME_BY[Advanced Network/Insurance Carrier Org ID],$B108,AN_TME_BY[Insurance Category Code],RIGHT(F$74,1))</f>
        <v>0</v>
      </c>
      <c r="G108" s="518"/>
      <c r="H108" s="515">
        <f>SUMIFS(AN_TME_PY[Member Months],AN_TME_PY[Advanced Network/Insurance Carrier Org ID],$B108,AN_TME_PY[Insurance Category Code],RIGHT(H$74,1))</f>
        <v>0</v>
      </c>
      <c r="I108" s="213">
        <f>SUMIFS(AN_TME_PY[Member Months],AN_TME_PY[Advanced Network/Insurance Carrier Org ID],$B108,AN_TME_PY[Insurance Category Code],RIGHT(I$74,1))</f>
        <v>0</v>
      </c>
      <c r="J108" s="213">
        <f>SUMIFS(AN_TME_PY[Member Months],AN_TME_PY[Advanced Network/Insurance Carrier Org ID],$B108,AN_TME_PY[Insurance Category Code],RIGHT(J$74,1))</f>
        <v>0</v>
      </c>
      <c r="K108" s="247">
        <f>SUMIFS(AN_TME_PY[Member Months],AN_TME_PY[Advanced Network/Insurance Carrier Org ID],$B108,AN_TME_PY[Insurance Category Code],RIGHT(K$74,1))</f>
        <v>0</v>
      </c>
    </row>
    <row r="109" spans="2:20" x14ac:dyDescent="0.25">
      <c r="B109" s="318"/>
    </row>
    <row r="110" spans="2:20" x14ac:dyDescent="0.25">
      <c r="B110" s="318"/>
    </row>
    <row r="111" spans="2:20" ht="33.75" x14ac:dyDescent="0.5">
      <c r="B111" s="286" t="s">
        <v>398</v>
      </c>
      <c r="C111" s="310"/>
      <c r="D111" s="311"/>
      <c r="E111" s="237"/>
    </row>
    <row r="112" spans="2:20" ht="19.5" thickBot="1" x14ac:dyDescent="0.35">
      <c r="B112" s="249" t="s">
        <v>399</v>
      </c>
      <c r="C112" s="211"/>
      <c r="D112" s="14"/>
      <c r="E112" s="113"/>
      <c r="Q112" s="249" t="s">
        <v>400</v>
      </c>
      <c r="R112" s="211"/>
      <c r="S112" s="14"/>
      <c r="T112" s="113"/>
    </row>
    <row r="113" spans="2:32" ht="24" outlineLevel="1" thickBot="1" x14ac:dyDescent="0.4">
      <c r="B113" s="269" t="s">
        <v>401</v>
      </c>
      <c r="C113" s="640" t="s">
        <v>402</v>
      </c>
      <c r="D113" s="641"/>
      <c r="E113" s="641"/>
      <c r="F113" s="641"/>
      <c r="G113" s="642"/>
      <c r="H113" s="643" t="s">
        <v>403</v>
      </c>
      <c r="I113" s="644"/>
      <c r="J113" s="644"/>
      <c r="K113" s="644"/>
      <c r="L113" s="645"/>
      <c r="M113" s="637" t="s">
        <v>404</v>
      </c>
      <c r="N113" s="638"/>
      <c r="O113" s="639"/>
      <c r="Q113" s="269"/>
      <c r="R113" s="640" t="s">
        <v>405</v>
      </c>
      <c r="S113" s="641"/>
      <c r="T113" s="641"/>
      <c r="U113" s="641"/>
      <c r="V113" s="642"/>
      <c r="W113" s="643" t="s">
        <v>406</v>
      </c>
      <c r="X113" s="644"/>
      <c r="Y113" s="644"/>
      <c r="Z113" s="644"/>
      <c r="AA113" s="645"/>
      <c r="AB113" s="637" t="s">
        <v>404</v>
      </c>
      <c r="AC113" s="638"/>
      <c r="AD113" s="639"/>
    </row>
    <row r="114" spans="2:32" ht="90" customHeight="1" outlineLevel="1" thickBot="1" x14ac:dyDescent="0.3">
      <c r="B114" s="259" t="s">
        <v>247</v>
      </c>
      <c r="C114" s="260" t="s">
        <v>156</v>
      </c>
      <c r="D114" s="261" t="s">
        <v>248</v>
      </c>
      <c r="E114" s="261" t="s">
        <v>407</v>
      </c>
      <c r="F114" s="261" t="s">
        <v>157</v>
      </c>
      <c r="G114" s="262" t="s">
        <v>159</v>
      </c>
      <c r="H114" s="263" t="s">
        <v>212</v>
      </c>
      <c r="I114" s="264" t="s">
        <v>408</v>
      </c>
      <c r="J114" s="264" t="s">
        <v>409</v>
      </c>
      <c r="K114" s="264" t="s">
        <v>410</v>
      </c>
      <c r="L114" s="265" t="s">
        <v>411</v>
      </c>
      <c r="M114" s="266" t="s">
        <v>412</v>
      </c>
      <c r="N114" s="267" t="s">
        <v>413</v>
      </c>
      <c r="O114" s="268" t="s">
        <v>414</v>
      </c>
      <c r="Q114" s="259" t="s">
        <v>247</v>
      </c>
      <c r="R114" s="260" t="s">
        <v>156</v>
      </c>
      <c r="S114" s="261" t="s">
        <v>248</v>
      </c>
      <c r="T114" s="261" t="s">
        <v>407</v>
      </c>
      <c r="U114" s="261" t="s">
        <v>157</v>
      </c>
      <c r="V114" s="262" t="s">
        <v>159</v>
      </c>
      <c r="W114" s="263" t="s">
        <v>212</v>
      </c>
      <c r="X114" s="264" t="s">
        <v>408</v>
      </c>
      <c r="Y114" s="264" t="s">
        <v>409</v>
      </c>
      <c r="Z114" s="264" t="s">
        <v>410</v>
      </c>
      <c r="AA114" s="265" t="s">
        <v>411</v>
      </c>
      <c r="AB114" s="266" t="s">
        <v>412</v>
      </c>
      <c r="AC114" s="267" t="s">
        <v>413</v>
      </c>
      <c r="AD114" s="268" t="s">
        <v>414</v>
      </c>
      <c r="AF114" s="274" t="s">
        <v>415</v>
      </c>
    </row>
    <row r="115" spans="2:32" outlineLevel="1" x14ac:dyDescent="0.25">
      <c r="B115" s="216">
        <v>100</v>
      </c>
      <c r="C115" s="404">
        <f>ROUND(SUMIFS(Age_Sex_BY[[#All],[Total Member Months by Age/Sex Band]], Age_Sex_BY[[#All],[Advanced Network ID]], $B115, Age_Sex_BY[[#All],[Insurance Category Code]],1), 2)</f>
        <v>0</v>
      </c>
      <c r="D115" s="238">
        <f>ROUND(SUMIFS(Age_Sex_BY[[#All],[Total Dollars Excluded from Spending After Applying Truncation at the Member Level]], Age_Sex_BY[[#All],[Advanced Network ID]], $B115, Age_Sex_BY[[#All],[Insurance Category Code]],1), 2)</f>
        <v>0</v>
      </c>
      <c r="E115" s="209">
        <f>ROUND(SUMIFS(Age_Sex_BY[[#All],[Count of Members whose Spending was Truncated]], Age_Sex_BY[[#All],[Advanced Network ID]], $B115, Age_Sex_BY[[#All],[Insurance Category Code]],1),2)</f>
        <v>0</v>
      </c>
      <c r="F115" s="210">
        <f>ROUND(SUMIFS(Age_Sex_BY[[#All],[Total Spending before Truncation is Applied]], Age_Sex_BY[[#All],[Advanced Network ID]], $B115, Age_Sex_BY[[#All],[Insurance Category Code]],1), 2)</f>
        <v>0</v>
      </c>
      <c r="G115" s="212">
        <f>ROUND(SUMIFS(Age_Sex_BY[[#All],[Total Spending After Applying Truncation at the Member Level]], Age_Sex_BY[[#All],[Advanced Network ID]], $B115, Age_Sex_BY[[#All],[Insurance Category Code]],1), 2)</f>
        <v>0</v>
      </c>
      <c r="H115" s="525" t="str">
        <f>IF(ROUND(C115,0)=ROUND(SUMIFS(AN_TME_BY[[#All],[Member Months]], AN_TME_BY[[#All],[Insurance Category Code]],1, AN_TME_BY[[#All],[Advanced Network/Insurance Carrier Org ID]],B115),0), "TRUE", ROUND(C115-SUMIFS(AN_TME_BY[[#All],[Member Months]], AN_TME_BY[[#All],[Insurance Category Code]],1, AN_TME_BY[[#All],[Advanced Network/Insurance Carrier Org ID]],B115),2))</f>
        <v>TRUE</v>
      </c>
      <c r="I115" s="533" t="str">
        <f>IF(ROUND(D115,0)=ROUND(SUMIFS(AN_TME_BY[[#All],[Total Claims Excluded because of Truncation]], AN_TME_BY[[#All],[Insurance Category Code]],1, AN_TME_BY[[#All],[Advanced Network/Insurance Carrier Org ID]],B115),0), "TRUE", ROUND(D115-SUMIFS(AN_TME_BY[[#All],[Total Claims Excluded because of Truncation]], AN_TME_BY[[#All],[Insurance Category Code]],1, AN_TME_BY[[#All],[Advanced Network/Insurance Carrier Org ID]],B115),2))</f>
        <v>TRUE</v>
      </c>
      <c r="J115" s="537" t="str">
        <f>IF(ROUND(E115,0)=ROUND(SUMIFS(AN_TME_BY[[#All],[Count of Members with Claims Truncated]], AN_TME_BY[[#All],[Insurance Category Code]],1, AN_TME_BY[[#All],[Advanced Network/Insurance Carrier Org ID]],B115),0), "TRUE", ROUND(E115-SUMIFS(AN_TME_BY[[#All],[Count of Members with Claims Truncated]], AN_TME_BY[[#All],[Insurance Category Code]],1, AN_TME_BY[[#All],[Advanced Network/Insurance Carrier Org ID]],B115),2))</f>
        <v>TRUE</v>
      </c>
      <c r="K115" s="533" t="str">
        <f>IF(ROUND(F115,0)=ROUND(SUMIFS(AN_TME_BY[[#All],[TOTAL Non-Truncated Unadjusted Claims Expenses]], AN_TME_BY[[#All],[Insurance Category Code]],1, AN_TME_BY[[#All],[Advanced Network/Insurance Carrier Org ID]],B115),0), "TRUE", ROUND(F115-SUMIFS(AN_TME_BY[[#All],[TOTAL Non-Truncated Unadjusted Claims Expenses]], AN_TME_BY[[#All],[Insurance Category Code]],1, AN_TME_BY[[#All],[Advanced Network/Insurance Carrier Org ID]],B115),2))</f>
        <v>TRUE</v>
      </c>
      <c r="L115" s="534" t="str">
        <f>IF(ROUND(G115,0)=ROUND(SUMIFS(AN_TME_BY[[#All],[TOTAL Truncated Unadjusted Claims Expenses (A21 -A19)]], AN_TME_BY[[#All],[Insurance Category Code]],1, AN_TME_BY[[#All],[Advanced Network/Insurance Carrier Org ID]],B115),0), "TRUE", ROUND(G115-SUMIFS(AN_TME_BY[[#All],[TOTAL Truncated Unadjusted Claims Expenses (A21 -A19)]], AN_TME_BY[[#All],[Insurance Category Code]],1, AN_TME_BY[[#All],[Advanced Network/Insurance Carrier Org ID]],B115),2))</f>
        <v>TRUE</v>
      </c>
      <c r="M115" s="525" t="str">
        <f t="shared" ref="M115:M146" si="7">IF(E115=0, "TRUE",IF((C115/12)&gt;E115,"TRUE",(C115/12)-E115))</f>
        <v>TRUE</v>
      </c>
      <c r="N115" s="533" t="b">
        <f>ROUND(SUMIFS(AN_TME_BY[[#All],[TOTAL Non-Truncated Unadjusted Claims Expenses]], AN_TME_BY[[#All],[Insurance Category Code]],1, AN_TME_BY[[#All],[Advanced Network/Insurance Carrier Org ID]],B115), 2)&gt;=ROUND(SUMIFS(AN_TME_BY[[#All],[TOTAL Truncated Unadjusted Claims Expenses (A21 -A19)]], AN_TME_BY[[#All],[Insurance Category Code]],1, AN_TME_BY[[#All],[Advanced Network/Insurance Carrier Org ID]],B115),2)</f>
        <v>1</v>
      </c>
      <c r="O115" s="534" t="b">
        <f>ROUND(SUMIFS(AN_TME_BY[[#All],[TOTAL Truncated Unadjusted Claims Expenses (A21 -A19)]], AN_TME_BY[[#All],[Insurance Category Code]],1, AN_TME_BY[[#All],[Advanced Network/Insurance Carrier Org ID]],B115)+SUMIFS(AN_TME_BY[[#All],[Total Claims Excluded because of Truncation]], AN_TME_BY[[#All],[Insurance Category Code]],1, AN_TME_BY[[#All],[Advanced Network/Insurance Carrier Org ID]],B115),2)=ROUND(SUMIFS(AN_TME_BY[[#All],[TOTAL Non-Truncated Unadjusted Claims Expenses]], AN_TME_BY[[#All],[Insurance Category Code]],1, AN_TME_BY[[#All],[Advanced Network/Insurance Carrier Org ID]],B115), 2)</f>
        <v>1</v>
      </c>
      <c r="Q115" s="216">
        <v>100</v>
      </c>
      <c r="R115" s="404">
        <f>ROUND(SUMIFS(Age_Sex_PY[[#All],[Total Member Months by Age/Sex Band]], Age_Sex_PY[[#All],[Advanced Network ID]], $Q115, Age_Sex_PY[[#All],[Insurance Category Code]],1), 2)</f>
        <v>0</v>
      </c>
      <c r="S115" s="238">
        <f>ROUND(SUMIFS(Age_Sex_PY[[#All],[Total Dollars Excluded from Spending After Applying Truncation at the Member Level]], Age_Sex_PY[[#All],[Advanced Network ID]], $B115, Age_Sex_PY[[#All],[Insurance Category Code]],1),2)</f>
        <v>0</v>
      </c>
      <c r="T115" s="209">
        <f>ROUND(SUMIFS(Age_Sex_PY[[#All],[Count of Members whose Spending was Truncated]], Age_Sex_PY[[#All],[Advanced Network ID]], $B115, Age_Sex_PY[[#All],[Insurance Category Code]],1), 2)</f>
        <v>0</v>
      </c>
      <c r="U115" s="210">
        <f>ROUND(SUMIFS(Age_Sex_PY[[#All],[Total Spending before Truncation is Applied]], Age_Sex_PY[[#All],[Advanced Network ID]], $B115, Age_Sex_PY[[#All],[Insurance Category Code]],1), 2)</f>
        <v>0</v>
      </c>
      <c r="V115" s="212">
        <f>ROUND(SUMIFS(Age_Sex_PY[[#All],[Total Spending After Applying Truncation at the Member Level]], Age_Sex_PY[[#All],[Advanced Network ID]], $B115, Age_Sex_PY[[#All],[Insurance Category Code]],1),2)</f>
        <v>0</v>
      </c>
      <c r="W115" s="525" t="str">
        <f>IF(ROUND(R115,0)=ROUND(SUMIFS(AN_TME_PY[[#All],[Member Months]], AN_TME_PY[[#All],[Insurance Category Code]],1, AN_TME_PY[[#All],[Advanced Network/Insurance Carrier Org ID]],Q115),0), "TRUE", ROUND(R115-SUMIFS(AN_TME_PY[[#All],[Member Months]], AN_TME_PY[[#All],[Insurance Category Code]],1, AN_TME_PY[[#All],[Advanced Network/Insurance Carrier Org ID]],Q115),2))</f>
        <v>TRUE</v>
      </c>
      <c r="X115" s="527" t="str">
        <f>IF(ROUND(S115,0)=ROUND(SUMIFS(AN_TME_PY[[#All],[Total Claims Excluded because of Truncation]], AN_TME_PY[[#All],[Insurance Category Code]],1, AN_TME_PY[[#All],[Advanced Network/Insurance Carrier Org ID]],Q115),0), "TRUE", ROUND(S115-SUMIFS(AN_TME_PY[[#All],[Total Claims Excluded because of Truncation]], AN_TME_PY[[#All],[Insurance Category Code]],1, AN_TME_PY[[#All],[Advanced Network/Insurance Carrier Org ID]],Q115),2))</f>
        <v>TRUE</v>
      </c>
      <c r="Y115" s="537" t="str">
        <f>IF(ROUND(T115,0)=ROUND(SUMIFS(AN_TME_PY[[#All],[Count of Members with Claims Truncated]], AN_TME_PY[[#All],[Insurance Category Code]],1, AN_TME_PY[[#All],[Advanced Network/Insurance Carrier Org ID]],Q115),0), "TRUE", ROUND(T115-SUMIFS(AN_TME_PY[[#All],[Count of Members with Claims Truncated]], AN_TME_PY[[#All],[Insurance Category Code]],1, AN_TME_PY[[#All],[Advanced Network/Insurance Carrier Org ID]],Q115),2))</f>
        <v>TRUE</v>
      </c>
      <c r="Z115" s="528" t="str">
        <f>IF(ROUND(U115,0)=ROUND(SUMIFS(AN_TME_PY[[#All],[TOTAL Non-Truncated Unadjusted Claims Expenses]], AN_TME_PY[[#All],[Insurance Category Code]],1, AN_TME_PY[[#All],[Advanced Network/Insurance Carrier Org ID]],Q115),0), "TRUE", ROUND(U115-SUMIFS(AN_TME_PY[[#All],[TOTAL Non-Truncated Unadjusted Claims Expenses]], AN_TME_PY[[#All],[Insurance Category Code]],1, AN_TME_PY[[#All],[Advanced Network/Insurance Carrier Org ID]],Q115),2))</f>
        <v>TRUE</v>
      </c>
      <c r="AA115" s="529" t="str">
        <f>IF(ROUND(V115,0)=ROUND(SUMIFS(AN_TME_PY[[#All],[TOTAL Truncated Unadjusted Claims Expenses (A21 -A19)]], AN_TME_PY[[#All],[Insurance Category Code]],1, AN_TME_PY[[#All],[Advanced Network/Insurance Carrier Org ID]],Q115),0), "TRUE", ROUND(V115-SUMIFS(AN_TME_PY[[#All],[TOTAL Truncated Unadjusted Claims Expenses (A21 -A19)]], AN_TME_PY[[#All],[Insurance Category Code]],1, AN_TME_PY[[#All],[Advanced Network/Insurance Carrier Org ID]],Q115),2))</f>
        <v>TRUE</v>
      </c>
      <c r="AB115" s="525" t="str">
        <f>IF(T115=0,"TRUE",IF((R115/12)&gt;T115,"TRUE",ROUND(((R115/12)-T115),2)))</f>
        <v>TRUE</v>
      </c>
      <c r="AC115" s="528" t="b">
        <f>ROUND(SUMIFS(AN_TME_PY[[#All],[TOTAL Non-Truncated Unadjusted Claims Expenses]], AN_TME_PY[[#All],[Insurance Category Code]],1, AN_TME_PY[[#All],[Advanced Network/Insurance Carrier Org ID]],Q115),2)&gt;=ROUND(SUMIFS(AN_TME_PY[[#All],[TOTAL Truncated Unadjusted Claims Expenses (A21 -A19)]], AN_TME_PY[[#All],[Insurance Category Code]],1, AN_TME_PY[[#All],[Advanced Network/Insurance Carrier Org ID]],Q115), 2)</f>
        <v>1</v>
      </c>
      <c r="AD115" s="529" t="b">
        <f>ROUND(SUMIFS(AN_TME_PY[[#All],[TOTAL Truncated Unadjusted Claims Expenses (A21 -A19)]], AN_TME_PY[[#All],[Insurance Category Code]],1, AN_TME_PY[[#All],[Advanced Network/Insurance Carrier Org ID]],Q115)+SUMIFS(AN_TME_PY[[#All],[Total Claims Excluded because of Truncation]], AN_TME_PY[[#All],[Insurance Category Code]],1, AN_TME_PY[[#All],[Advanced Network/Insurance Carrier Org ID]],Q115), 2)=ROUND(SUMIFS(AN_TME_PY[[#All],[TOTAL Non-Truncated Unadjusted Claims Expenses]], AN_TME_PY[[#All],[Insurance Category Code]],1, AN_TME_PY[[#All],[Advanced Network/Insurance Carrier Org ID]],Q115), 2)</f>
        <v>1</v>
      </c>
      <c r="AF115" s="282" t="str">
        <f t="shared" ref="AF115:AF150" si="8">IFERROR(R115/C115-1, "NA")</f>
        <v>NA</v>
      </c>
    </row>
    <row r="116" spans="2:32" outlineLevel="1" x14ac:dyDescent="0.25">
      <c r="B116" s="216">
        <v>101</v>
      </c>
      <c r="C116" s="404">
        <f>ROUND(SUMIFS(Age_Sex_BY[[#All],[Total Member Months by Age/Sex Band]], Age_Sex_BY[[#All],[Advanced Network ID]], $B116, Age_Sex_BY[[#All],[Insurance Category Code]],1), 2)</f>
        <v>0</v>
      </c>
      <c r="D116" s="238">
        <f>ROUND(SUMIFS(Age_Sex_BY[[#All],[Total Dollars Excluded from Spending After Applying Truncation at the Member Level]], Age_Sex_BY[[#All],[Advanced Network ID]], $B116, Age_Sex_BY[[#All],[Insurance Category Code]],1), 2)</f>
        <v>0</v>
      </c>
      <c r="E116" s="209">
        <f>ROUND(SUMIFS(Age_Sex_BY[[#All],[Count of Members whose Spending was Truncated]], Age_Sex_BY[[#All],[Advanced Network ID]], $B116, Age_Sex_BY[[#All],[Insurance Category Code]],1),2)</f>
        <v>0</v>
      </c>
      <c r="F116" s="210">
        <f>ROUND(SUMIFS(Age_Sex_BY[[#All],[Total Spending before Truncation is Applied]], Age_Sex_BY[[#All],[Advanced Network ID]], $B116, Age_Sex_BY[[#All],[Insurance Category Code]],1), 2)</f>
        <v>0</v>
      </c>
      <c r="G116" s="212">
        <f>ROUND(SUMIFS(Age_Sex_BY[[#All],[Total Spending After Applying Truncation at the Member Level]], Age_Sex_BY[[#All],[Advanced Network ID]], $B116, Age_Sex_BY[[#All],[Insurance Category Code]],1), 2)</f>
        <v>0</v>
      </c>
      <c r="H116" s="525" t="str">
        <f>IF(ROUND(C116,0)=ROUND(SUMIFS(AN_TME_BY[[#All],[Member Months]], AN_TME_BY[[#All],[Insurance Category Code]],1, AN_TME_BY[[#All],[Advanced Network/Insurance Carrier Org ID]],B116),0), "TRUE", ROUND(C116-SUMIFS(AN_TME_BY[[#All],[Member Months]], AN_TME_BY[[#All],[Insurance Category Code]],1, AN_TME_BY[[#All],[Advanced Network/Insurance Carrier Org ID]],B116),2))</f>
        <v>TRUE</v>
      </c>
      <c r="I116" s="533" t="str">
        <f>IF(ROUND(D116,0)=ROUND(SUMIFS(AN_TME_BY[[#All],[Total Claims Excluded because of Truncation]], AN_TME_BY[[#All],[Insurance Category Code]],1, AN_TME_BY[[#All],[Advanced Network/Insurance Carrier Org ID]],B116),0), "TRUE", ROUND(D116-SUMIFS(AN_TME_BY[[#All],[Total Claims Excluded because of Truncation]], AN_TME_BY[[#All],[Insurance Category Code]],1, AN_TME_BY[[#All],[Advanced Network/Insurance Carrier Org ID]],B116),2))</f>
        <v>TRUE</v>
      </c>
      <c r="J116" s="537" t="str">
        <f>IF(ROUND(E116,0)=ROUND(SUMIFS(AN_TME_BY[[#All],[Count of Members with Claims Truncated]], AN_TME_BY[[#All],[Insurance Category Code]],1, AN_TME_BY[[#All],[Advanced Network/Insurance Carrier Org ID]],B116),0), "TRUE", ROUND(E116-SUMIFS(AN_TME_BY[[#All],[Count of Members with Claims Truncated]], AN_TME_BY[[#All],[Insurance Category Code]],1, AN_TME_BY[[#All],[Advanced Network/Insurance Carrier Org ID]],B116),2))</f>
        <v>TRUE</v>
      </c>
      <c r="K116" s="533" t="str">
        <f>IF(ROUND(F116,0)=ROUND(SUMIFS(AN_TME_BY[[#All],[TOTAL Non-Truncated Unadjusted Claims Expenses]], AN_TME_BY[[#All],[Insurance Category Code]],1, AN_TME_BY[[#All],[Advanced Network/Insurance Carrier Org ID]],B116),0), "TRUE", ROUND(F116-SUMIFS(AN_TME_BY[[#All],[TOTAL Non-Truncated Unadjusted Claims Expenses]], AN_TME_BY[[#All],[Insurance Category Code]],1, AN_TME_BY[[#All],[Advanced Network/Insurance Carrier Org ID]],B116),2))</f>
        <v>TRUE</v>
      </c>
      <c r="L116" s="534" t="str">
        <f>IF(ROUND(G116,0)=ROUND(SUMIFS(AN_TME_BY[[#All],[TOTAL Truncated Unadjusted Claims Expenses (A21 -A19)]], AN_TME_BY[[#All],[Insurance Category Code]],1, AN_TME_BY[[#All],[Advanced Network/Insurance Carrier Org ID]],B116),0), "TRUE", ROUND(G116-SUMIFS(AN_TME_BY[[#All],[TOTAL Truncated Unadjusted Claims Expenses (A21 -A19)]], AN_TME_BY[[#All],[Insurance Category Code]],1, AN_TME_BY[[#All],[Advanced Network/Insurance Carrier Org ID]],B116),2))</f>
        <v>TRUE</v>
      </c>
      <c r="M116" s="525" t="str">
        <f t="shared" si="7"/>
        <v>TRUE</v>
      </c>
      <c r="N116" s="533" t="b">
        <f>ROUND(SUMIFS(AN_TME_BY[[#All],[TOTAL Non-Truncated Unadjusted Claims Expenses]], AN_TME_BY[[#All],[Insurance Category Code]],1, AN_TME_BY[[#All],[Advanced Network/Insurance Carrier Org ID]],B116), 2)&gt;=ROUND(SUMIFS(AN_TME_BY[[#All],[TOTAL Truncated Unadjusted Claims Expenses (A21 -A19)]], AN_TME_BY[[#All],[Insurance Category Code]],1, AN_TME_BY[[#All],[Advanced Network/Insurance Carrier Org ID]],B116),2)</f>
        <v>1</v>
      </c>
      <c r="O116" s="534" t="b">
        <f>ROUND(SUMIFS(AN_TME_BY[[#All],[TOTAL Truncated Unadjusted Claims Expenses (A21 -A19)]], AN_TME_BY[[#All],[Insurance Category Code]],1, AN_TME_BY[[#All],[Advanced Network/Insurance Carrier Org ID]],B116)+SUMIFS(AN_TME_BY[[#All],[Total Claims Excluded because of Truncation]], AN_TME_BY[[#All],[Insurance Category Code]],1, AN_TME_BY[[#All],[Advanced Network/Insurance Carrier Org ID]],B116),2)=ROUND(SUMIFS(AN_TME_BY[[#All],[TOTAL Non-Truncated Unadjusted Claims Expenses]], AN_TME_BY[[#All],[Insurance Category Code]],1, AN_TME_BY[[#All],[Advanced Network/Insurance Carrier Org ID]],B116), 2)</f>
        <v>1</v>
      </c>
      <c r="Q116" s="216">
        <v>101</v>
      </c>
      <c r="R116" s="404">
        <f>ROUND(SUMIFS(Age_Sex_PY[[#All],[Total Member Months by Age/Sex Band]], Age_Sex_PY[[#All],[Advanced Network ID]], $Q116, Age_Sex_PY[[#All],[Insurance Category Code]],1), 2)</f>
        <v>0</v>
      </c>
      <c r="S116" s="238">
        <f>ROUND(SUMIFS(Age_Sex_PY[[#All],[Total Dollars Excluded from Spending After Applying Truncation at the Member Level]], Age_Sex_PY[[#All],[Advanced Network ID]], $B116, Age_Sex_PY[[#All],[Insurance Category Code]],1),2)</f>
        <v>0</v>
      </c>
      <c r="T116" s="209">
        <f>ROUND(SUMIFS(Age_Sex_PY[[#All],[Count of Members whose Spending was Truncated]], Age_Sex_PY[[#All],[Advanced Network ID]], $B116, Age_Sex_PY[[#All],[Insurance Category Code]],1), 2)</f>
        <v>0</v>
      </c>
      <c r="U116" s="210">
        <f>ROUND(SUMIFS(Age_Sex_PY[[#All],[Total Spending before Truncation is Applied]], Age_Sex_PY[[#All],[Advanced Network ID]], $B116, Age_Sex_PY[[#All],[Insurance Category Code]],1), 2)</f>
        <v>0</v>
      </c>
      <c r="V116" s="212">
        <f>ROUND(SUMIFS(Age_Sex_PY[[#All],[Total Spending After Applying Truncation at the Member Level]], Age_Sex_PY[[#All],[Advanced Network ID]], $B116, Age_Sex_PY[[#All],[Insurance Category Code]],1),2)</f>
        <v>0</v>
      </c>
      <c r="W116" s="525" t="str">
        <f>IF(ROUND(R116,0)=ROUND(SUMIFS(AN_TME_PY[[#All],[Member Months]], AN_TME_PY[[#All],[Insurance Category Code]],1, AN_TME_PY[[#All],[Advanced Network/Insurance Carrier Org ID]],Q116),0), "TRUE", ROUND(R116-SUMIFS(AN_TME_PY[[#All],[Member Months]], AN_TME_PY[[#All],[Insurance Category Code]],1, AN_TME_PY[[#All],[Advanced Network/Insurance Carrier Org ID]],Q116),2))</f>
        <v>TRUE</v>
      </c>
      <c r="X116" s="527" t="str">
        <f>IF(ROUND(S116,0)=ROUND(SUMIFS(AN_TME_PY[[#All],[Total Claims Excluded because of Truncation]], AN_TME_PY[[#All],[Insurance Category Code]],1, AN_TME_PY[[#All],[Advanced Network/Insurance Carrier Org ID]],Q116),0), "TRUE", ROUND(S116-SUMIFS(AN_TME_PY[[#All],[Total Claims Excluded because of Truncation]], AN_TME_PY[[#All],[Insurance Category Code]],1, AN_TME_PY[[#All],[Advanced Network/Insurance Carrier Org ID]],Q116),2))</f>
        <v>TRUE</v>
      </c>
      <c r="Y116" s="537" t="str">
        <f>IF(ROUND(T116,0)=ROUND(SUMIFS(AN_TME_PY[[#All],[Count of Members with Claims Truncated]], AN_TME_PY[[#All],[Insurance Category Code]],1, AN_TME_PY[[#All],[Advanced Network/Insurance Carrier Org ID]],Q116),0), "TRUE", ROUND(T116-SUMIFS(AN_TME_PY[[#All],[Count of Members with Claims Truncated]], AN_TME_PY[[#All],[Insurance Category Code]],1, AN_TME_PY[[#All],[Advanced Network/Insurance Carrier Org ID]],Q116),2))</f>
        <v>TRUE</v>
      </c>
      <c r="Z116" s="528" t="str">
        <f>IF(ROUND(U116,0)=ROUND(SUMIFS(AN_TME_PY[[#All],[TOTAL Non-Truncated Unadjusted Claims Expenses]], AN_TME_PY[[#All],[Insurance Category Code]],1, AN_TME_PY[[#All],[Advanced Network/Insurance Carrier Org ID]],Q116),0), "TRUE", ROUND(U116-SUMIFS(AN_TME_PY[[#All],[TOTAL Non-Truncated Unadjusted Claims Expenses]], AN_TME_PY[[#All],[Insurance Category Code]],1, AN_TME_PY[[#All],[Advanced Network/Insurance Carrier Org ID]],Q116),2))</f>
        <v>TRUE</v>
      </c>
      <c r="AA116" s="529" t="str">
        <f>IF(ROUND(V116,0)=ROUND(SUMIFS(AN_TME_PY[[#All],[TOTAL Truncated Unadjusted Claims Expenses (A21 -A19)]], AN_TME_PY[[#All],[Insurance Category Code]],1, AN_TME_PY[[#All],[Advanced Network/Insurance Carrier Org ID]],Q116),0), "TRUE", ROUND(V116-SUMIFS(AN_TME_PY[[#All],[TOTAL Truncated Unadjusted Claims Expenses (A21 -A19)]], AN_TME_PY[[#All],[Insurance Category Code]],1, AN_TME_PY[[#All],[Advanced Network/Insurance Carrier Org ID]],Q116),2))</f>
        <v>TRUE</v>
      </c>
      <c r="AB116" s="525" t="str">
        <f t="shared" ref="AB116:AB150" si="9">IF(T116=0,"TRUE",IF((R116/12)&gt;T116,"TRUE",ROUND(((R116/12)-T116),2)))</f>
        <v>TRUE</v>
      </c>
      <c r="AC116" s="528" t="b">
        <f>ROUND(SUMIFS(AN_TME_PY[[#All],[TOTAL Non-Truncated Unadjusted Claims Expenses]], AN_TME_PY[[#All],[Insurance Category Code]],1, AN_TME_PY[[#All],[Advanced Network/Insurance Carrier Org ID]],Q116),2)&gt;=ROUND(SUMIFS(AN_TME_PY[[#All],[TOTAL Truncated Unadjusted Claims Expenses (A21 -A19)]], AN_TME_PY[[#All],[Insurance Category Code]],1, AN_TME_PY[[#All],[Advanced Network/Insurance Carrier Org ID]],Q116), 2)</f>
        <v>1</v>
      </c>
      <c r="AD116" s="529" t="b">
        <f>ROUND(SUMIFS(AN_TME_PY[[#All],[TOTAL Truncated Unadjusted Claims Expenses (A21 -A19)]], AN_TME_PY[[#All],[Insurance Category Code]],1, AN_TME_PY[[#All],[Advanced Network/Insurance Carrier Org ID]],Q116)+SUMIFS(AN_TME_PY[[#All],[Total Claims Excluded because of Truncation]], AN_TME_PY[[#All],[Insurance Category Code]],1, AN_TME_PY[[#All],[Advanced Network/Insurance Carrier Org ID]],Q116), 2)=ROUND(SUMIFS(AN_TME_PY[[#All],[TOTAL Non-Truncated Unadjusted Claims Expenses]], AN_TME_PY[[#All],[Insurance Category Code]],1, AN_TME_PY[[#All],[Advanced Network/Insurance Carrier Org ID]],Q116), 2)</f>
        <v>1</v>
      </c>
      <c r="AF116" s="283" t="str">
        <f t="shared" si="8"/>
        <v>NA</v>
      </c>
    </row>
    <row r="117" spans="2:32" outlineLevel="1" x14ac:dyDescent="0.25">
      <c r="B117" s="216">
        <v>102</v>
      </c>
      <c r="C117" s="404">
        <f>ROUND(SUMIFS(Age_Sex_BY[[#All],[Total Member Months by Age/Sex Band]], Age_Sex_BY[[#All],[Advanced Network ID]], $B117, Age_Sex_BY[[#All],[Insurance Category Code]],1), 2)</f>
        <v>0</v>
      </c>
      <c r="D117" s="238">
        <f>ROUND(SUMIFS(Age_Sex_BY[[#All],[Total Dollars Excluded from Spending After Applying Truncation at the Member Level]], Age_Sex_BY[[#All],[Advanced Network ID]], $B117, Age_Sex_BY[[#All],[Insurance Category Code]],1), 2)</f>
        <v>0</v>
      </c>
      <c r="E117" s="209">
        <f>ROUND(SUMIFS(Age_Sex_BY[[#All],[Count of Members whose Spending was Truncated]], Age_Sex_BY[[#All],[Advanced Network ID]], $B117, Age_Sex_BY[[#All],[Insurance Category Code]],1),2)</f>
        <v>0</v>
      </c>
      <c r="F117" s="210">
        <f>ROUND(SUMIFS(Age_Sex_BY[[#All],[Total Spending before Truncation is Applied]], Age_Sex_BY[[#All],[Advanced Network ID]], $B117, Age_Sex_BY[[#All],[Insurance Category Code]],1), 2)</f>
        <v>0</v>
      </c>
      <c r="G117" s="212">
        <f>ROUND(SUMIFS(Age_Sex_BY[[#All],[Total Spending After Applying Truncation at the Member Level]], Age_Sex_BY[[#All],[Advanced Network ID]], $B117, Age_Sex_BY[[#All],[Insurance Category Code]],1), 2)</f>
        <v>0</v>
      </c>
      <c r="H117" s="525" t="str">
        <f>IF(ROUND(C117,0)=ROUND(SUMIFS(AN_TME_BY[[#All],[Member Months]], AN_TME_BY[[#All],[Insurance Category Code]],1, AN_TME_BY[[#All],[Advanced Network/Insurance Carrier Org ID]],B117),0), "TRUE", ROUND(C117-SUMIFS(AN_TME_BY[[#All],[Member Months]], AN_TME_BY[[#All],[Insurance Category Code]],1, AN_TME_BY[[#All],[Advanced Network/Insurance Carrier Org ID]],B117),2))</f>
        <v>TRUE</v>
      </c>
      <c r="I117" s="533" t="str">
        <f>IF(ROUND(D117,0)=ROUND(SUMIFS(AN_TME_BY[[#All],[Total Claims Excluded because of Truncation]], AN_TME_BY[[#All],[Insurance Category Code]],1, AN_TME_BY[[#All],[Advanced Network/Insurance Carrier Org ID]],B117),0), "TRUE", ROUND(D117-SUMIFS(AN_TME_BY[[#All],[Total Claims Excluded because of Truncation]], AN_TME_BY[[#All],[Insurance Category Code]],1, AN_TME_BY[[#All],[Advanced Network/Insurance Carrier Org ID]],B117),2))</f>
        <v>TRUE</v>
      </c>
      <c r="J117" s="537" t="str">
        <f>IF(ROUND(E117,0)=ROUND(SUMIFS(AN_TME_BY[[#All],[Count of Members with Claims Truncated]], AN_TME_BY[[#All],[Insurance Category Code]],1, AN_TME_BY[[#All],[Advanced Network/Insurance Carrier Org ID]],B117),0), "TRUE", ROUND(E117-SUMIFS(AN_TME_BY[[#All],[Count of Members with Claims Truncated]], AN_TME_BY[[#All],[Insurance Category Code]],1, AN_TME_BY[[#All],[Advanced Network/Insurance Carrier Org ID]],B117),2))</f>
        <v>TRUE</v>
      </c>
      <c r="K117" s="533" t="str">
        <f>IF(ROUND(F117,0)=ROUND(SUMIFS(AN_TME_BY[[#All],[TOTAL Non-Truncated Unadjusted Claims Expenses]], AN_TME_BY[[#All],[Insurance Category Code]],1, AN_TME_BY[[#All],[Advanced Network/Insurance Carrier Org ID]],B117),0), "TRUE", ROUND(F117-SUMIFS(AN_TME_BY[[#All],[TOTAL Non-Truncated Unadjusted Claims Expenses]], AN_TME_BY[[#All],[Insurance Category Code]],1, AN_TME_BY[[#All],[Advanced Network/Insurance Carrier Org ID]],B117),2))</f>
        <v>TRUE</v>
      </c>
      <c r="L117" s="534" t="str">
        <f>IF(ROUND(G117,0)=ROUND(SUMIFS(AN_TME_BY[[#All],[TOTAL Truncated Unadjusted Claims Expenses (A21 -A19)]], AN_TME_BY[[#All],[Insurance Category Code]],1, AN_TME_BY[[#All],[Advanced Network/Insurance Carrier Org ID]],B117),0), "TRUE", ROUND(G117-SUMIFS(AN_TME_BY[[#All],[TOTAL Truncated Unadjusted Claims Expenses (A21 -A19)]], AN_TME_BY[[#All],[Insurance Category Code]],1, AN_TME_BY[[#All],[Advanced Network/Insurance Carrier Org ID]],B117),2))</f>
        <v>TRUE</v>
      </c>
      <c r="M117" s="525" t="str">
        <f t="shared" si="7"/>
        <v>TRUE</v>
      </c>
      <c r="N117" s="533" t="b">
        <f>ROUND(SUMIFS(AN_TME_BY[[#All],[TOTAL Non-Truncated Unadjusted Claims Expenses]], AN_TME_BY[[#All],[Insurance Category Code]],1, AN_TME_BY[[#All],[Advanced Network/Insurance Carrier Org ID]],B117), 2)&gt;=ROUND(SUMIFS(AN_TME_BY[[#All],[TOTAL Truncated Unadjusted Claims Expenses (A21 -A19)]], AN_TME_BY[[#All],[Insurance Category Code]],1, AN_TME_BY[[#All],[Advanced Network/Insurance Carrier Org ID]],B117),2)</f>
        <v>1</v>
      </c>
      <c r="O117" s="534" t="b">
        <f>ROUND(SUMIFS(AN_TME_BY[[#All],[TOTAL Truncated Unadjusted Claims Expenses (A21 -A19)]], AN_TME_BY[[#All],[Insurance Category Code]],1, AN_TME_BY[[#All],[Advanced Network/Insurance Carrier Org ID]],B117)+SUMIFS(AN_TME_BY[[#All],[Total Claims Excluded because of Truncation]], AN_TME_BY[[#All],[Insurance Category Code]],1, AN_TME_BY[[#All],[Advanced Network/Insurance Carrier Org ID]],B117),2)=ROUND(SUMIFS(AN_TME_BY[[#All],[TOTAL Non-Truncated Unadjusted Claims Expenses]], AN_TME_BY[[#All],[Insurance Category Code]],1, AN_TME_BY[[#All],[Advanced Network/Insurance Carrier Org ID]],B117), 2)</f>
        <v>1</v>
      </c>
      <c r="Q117" s="216">
        <v>102</v>
      </c>
      <c r="R117" s="404">
        <f>ROUND(SUMIFS(Age_Sex_PY[[#All],[Total Member Months by Age/Sex Band]], Age_Sex_PY[[#All],[Advanced Network ID]], $Q117, Age_Sex_PY[[#All],[Insurance Category Code]],1), 2)</f>
        <v>0</v>
      </c>
      <c r="S117" s="238">
        <f>ROUND(SUMIFS(Age_Sex_PY[[#All],[Total Dollars Excluded from Spending After Applying Truncation at the Member Level]], Age_Sex_PY[[#All],[Advanced Network ID]], $B117, Age_Sex_PY[[#All],[Insurance Category Code]],1),2)</f>
        <v>0</v>
      </c>
      <c r="T117" s="209">
        <f>ROUND(SUMIFS(Age_Sex_PY[[#All],[Count of Members whose Spending was Truncated]], Age_Sex_PY[[#All],[Advanced Network ID]], $B117, Age_Sex_PY[[#All],[Insurance Category Code]],1), 2)</f>
        <v>0</v>
      </c>
      <c r="U117" s="210">
        <f>ROUND(SUMIFS(Age_Sex_PY[[#All],[Total Spending before Truncation is Applied]], Age_Sex_PY[[#All],[Advanced Network ID]], $B117, Age_Sex_PY[[#All],[Insurance Category Code]],1), 2)</f>
        <v>0</v>
      </c>
      <c r="V117" s="212">
        <f>ROUND(SUMIFS(Age_Sex_PY[[#All],[Total Spending After Applying Truncation at the Member Level]], Age_Sex_PY[[#All],[Advanced Network ID]], $B117, Age_Sex_PY[[#All],[Insurance Category Code]],1),2)</f>
        <v>0</v>
      </c>
      <c r="W117" s="525" t="str">
        <f>IF(ROUND(R117,0)=ROUND(SUMIFS(AN_TME_PY[[#All],[Member Months]], AN_TME_PY[[#All],[Insurance Category Code]],1, AN_TME_PY[[#All],[Advanced Network/Insurance Carrier Org ID]],Q117),0), "TRUE", ROUND(R117-SUMIFS(AN_TME_PY[[#All],[Member Months]], AN_TME_PY[[#All],[Insurance Category Code]],1, AN_TME_PY[[#All],[Advanced Network/Insurance Carrier Org ID]],Q117),2))</f>
        <v>TRUE</v>
      </c>
      <c r="X117" s="527" t="str">
        <f>IF(ROUND(S117,0)=ROUND(SUMIFS(AN_TME_PY[[#All],[Total Claims Excluded because of Truncation]], AN_TME_PY[[#All],[Insurance Category Code]],1, AN_TME_PY[[#All],[Advanced Network/Insurance Carrier Org ID]],Q117),0), "TRUE", ROUND(S117-SUMIFS(AN_TME_PY[[#All],[Total Claims Excluded because of Truncation]], AN_TME_PY[[#All],[Insurance Category Code]],1, AN_TME_PY[[#All],[Advanced Network/Insurance Carrier Org ID]],Q117),2))</f>
        <v>TRUE</v>
      </c>
      <c r="Y117" s="537" t="str">
        <f>IF(ROUND(T117,0)=ROUND(SUMIFS(AN_TME_PY[[#All],[Count of Members with Claims Truncated]], AN_TME_PY[[#All],[Insurance Category Code]],1, AN_TME_PY[[#All],[Advanced Network/Insurance Carrier Org ID]],Q117),0), "TRUE", ROUND(T117-SUMIFS(AN_TME_PY[[#All],[Count of Members with Claims Truncated]], AN_TME_PY[[#All],[Insurance Category Code]],1, AN_TME_PY[[#All],[Advanced Network/Insurance Carrier Org ID]],Q117),2))</f>
        <v>TRUE</v>
      </c>
      <c r="Z117" s="528" t="str">
        <f>IF(ROUND(U117,0)=ROUND(SUMIFS(AN_TME_PY[[#All],[TOTAL Non-Truncated Unadjusted Claims Expenses]], AN_TME_PY[[#All],[Insurance Category Code]],1, AN_TME_PY[[#All],[Advanced Network/Insurance Carrier Org ID]],Q117),0), "TRUE", ROUND(U117-SUMIFS(AN_TME_PY[[#All],[TOTAL Non-Truncated Unadjusted Claims Expenses]], AN_TME_PY[[#All],[Insurance Category Code]],1, AN_TME_PY[[#All],[Advanced Network/Insurance Carrier Org ID]],Q117),2))</f>
        <v>TRUE</v>
      </c>
      <c r="AA117" s="529" t="str">
        <f>IF(ROUND(V117,0)=ROUND(SUMIFS(AN_TME_PY[[#All],[TOTAL Truncated Unadjusted Claims Expenses (A21 -A19)]], AN_TME_PY[[#All],[Insurance Category Code]],1, AN_TME_PY[[#All],[Advanced Network/Insurance Carrier Org ID]],Q117),0), "TRUE", ROUND(V117-SUMIFS(AN_TME_PY[[#All],[TOTAL Truncated Unadjusted Claims Expenses (A21 -A19)]], AN_TME_PY[[#All],[Insurance Category Code]],1, AN_TME_PY[[#All],[Advanced Network/Insurance Carrier Org ID]],Q117),2))</f>
        <v>TRUE</v>
      </c>
      <c r="AB117" s="525" t="str">
        <f t="shared" si="9"/>
        <v>TRUE</v>
      </c>
      <c r="AC117" s="528" t="b">
        <f>ROUND(SUMIFS(AN_TME_PY[[#All],[TOTAL Non-Truncated Unadjusted Claims Expenses]], AN_TME_PY[[#All],[Insurance Category Code]],1, AN_TME_PY[[#All],[Advanced Network/Insurance Carrier Org ID]],Q117),2)&gt;=ROUND(SUMIFS(AN_TME_PY[[#All],[TOTAL Truncated Unadjusted Claims Expenses (A21 -A19)]], AN_TME_PY[[#All],[Insurance Category Code]],1, AN_TME_PY[[#All],[Advanced Network/Insurance Carrier Org ID]],Q117), 2)</f>
        <v>1</v>
      </c>
      <c r="AD117" s="529" t="b">
        <f>ROUND(SUMIFS(AN_TME_PY[[#All],[TOTAL Truncated Unadjusted Claims Expenses (A21 -A19)]], AN_TME_PY[[#All],[Insurance Category Code]],1, AN_TME_PY[[#All],[Advanced Network/Insurance Carrier Org ID]],Q117)+SUMIFS(AN_TME_PY[[#All],[Total Claims Excluded because of Truncation]], AN_TME_PY[[#All],[Insurance Category Code]],1, AN_TME_PY[[#All],[Advanced Network/Insurance Carrier Org ID]],Q117), 2)=ROUND(SUMIFS(AN_TME_PY[[#All],[TOTAL Non-Truncated Unadjusted Claims Expenses]], AN_TME_PY[[#All],[Insurance Category Code]],1, AN_TME_PY[[#All],[Advanced Network/Insurance Carrier Org ID]],Q117), 2)</f>
        <v>1</v>
      </c>
      <c r="AF117" s="283" t="str">
        <f t="shared" si="8"/>
        <v>NA</v>
      </c>
    </row>
    <row r="118" spans="2:32" outlineLevel="1" x14ac:dyDescent="0.25">
      <c r="B118" s="216">
        <v>103</v>
      </c>
      <c r="C118" s="404">
        <f>ROUND(SUMIFS(Age_Sex_BY[[#All],[Total Member Months by Age/Sex Band]], Age_Sex_BY[[#All],[Advanced Network ID]], $B118, Age_Sex_BY[[#All],[Insurance Category Code]],1), 2)</f>
        <v>0</v>
      </c>
      <c r="D118" s="238">
        <f>ROUND(SUMIFS(Age_Sex_BY[[#All],[Total Dollars Excluded from Spending After Applying Truncation at the Member Level]], Age_Sex_BY[[#All],[Advanced Network ID]], $B118, Age_Sex_BY[[#All],[Insurance Category Code]],1), 2)</f>
        <v>0</v>
      </c>
      <c r="E118" s="209">
        <f>ROUND(SUMIFS(Age_Sex_BY[[#All],[Count of Members whose Spending was Truncated]], Age_Sex_BY[[#All],[Advanced Network ID]], $B118, Age_Sex_BY[[#All],[Insurance Category Code]],1),2)</f>
        <v>0</v>
      </c>
      <c r="F118" s="210">
        <f>ROUND(SUMIFS(Age_Sex_BY[[#All],[Total Spending before Truncation is Applied]], Age_Sex_BY[[#All],[Advanced Network ID]], $B118, Age_Sex_BY[[#All],[Insurance Category Code]],1), 2)</f>
        <v>0</v>
      </c>
      <c r="G118" s="212">
        <f>ROUND(SUMIFS(Age_Sex_BY[[#All],[Total Spending After Applying Truncation at the Member Level]], Age_Sex_BY[[#All],[Advanced Network ID]], $B118, Age_Sex_BY[[#All],[Insurance Category Code]],1), 2)</f>
        <v>0</v>
      </c>
      <c r="H118" s="525" t="str">
        <f>IF(ROUND(C118,0)=ROUND(SUMIFS(AN_TME_BY[[#All],[Member Months]], AN_TME_BY[[#All],[Insurance Category Code]],1, AN_TME_BY[[#All],[Advanced Network/Insurance Carrier Org ID]],B118),0), "TRUE", ROUND(C118-SUMIFS(AN_TME_BY[[#All],[Member Months]], AN_TME_BY[[#All],[Insurance Category Code]],1, AN_TME_BY[[#All],[Advanced Network/Insurance Carrier Org ID]],B118),2))</f>
        <v>TRUE</v>
      </c>
      <c r="I118" s="533" t="str">
        <f>IF(ROUND(D118,0)=ROUND(SUMIFS(AN_TME_BY[[#All],[Total Claims Excluded because of Truncation]], AN_TME_BY[[#All],[Insurance Category Code]],1, AN_TME_BY[[#All],[Advanced Network/Insurance Carrier Org ID]],B118),0), "TRUE", ROUND(D118-SUMIFS(AN_TME_BY[[#All],[Total Claims Excluded because of Truncation]], AN_TME_BY[[#All],[Insurance Category Code]],1, AN_TME_BY[[#All],[Advanced Network/Insurance Carrier Org ID]],B118),2))</f>
        <v>TRUE</v>
      </c>
      <c r="J118" s="537" t="str">
        <f>IF(ROUND(E118,0)=ROUND(SUMIFS(AN_TME_BY[[#All],[Count of Members with Claims Truncated]], AN_TME_BY[[#All],[Insurance Category Code]],1, AN_TME_BY[[#All],[Advanced Network/Insurance Carrier Org ID]],B118),0), "TRUE", ROUND(E118-SUMIFS(AN_TME_BY[[#All],[Count of Members with Claims Truncated]], AN_TME_BY[[#All],[Insurance Category Code]],1, AN_TME_BY[[#All],[Advanced Network/Insurance Carrier Org ID]],B118),2))</f>
        <v>TRUE</v>
      </c>
      <c r="K118" s="533" t="str">
        <f>IF(ROUND(F118,0)=ROUND(SUMIFS(AN_TME_BY[[#All],[TOTAL Non-Truncated Unadjusted Claims Expenses]], AN_TME_BY[[#All],[Insurance Category Code]],1, AN_TME_BY[[#All],[Advanced Network/Insurance Carrier Org ID]],B118),0), "TRUE", ROUND(F118-SUMIFS(AN_TME_BY[[#All],[TOTAL Non-Truncated Unadjusted Claims Expenses]], AN_TME_BY[[#All],[Insurance Category Code]],1, AN_TME_BY[[#All],[Advanced Network/Insurance Carrier Org ID]],B118),2))</f>
        <v>TRUE</v>
      </c>
      <c r="L118" s="534" t="str">
        <f>IF(ROUND(G118,0)=ROUND(SUMIFS(AN_TME_BY[[#All],[TOTAL Truncated Unadjusted Claims Expenses (A21 -A19)]], AN_TME_BY[[#All],[Insurance Category Code]],1, AN_TME_BY[[#All],[Advanced Network/Insurance Carrier Org ID]],B118),0), "TRUE", ROUND(G118-SUMIFS(AN_TME_BY[[#All],[TOTAL Truncated Unadjusted Claims Expenses (A21 -A19)]], AN_TME_BY[[#All],[Insurance Category Code]],1, AN_TME_BY[[#All],[Advanced Network/Insurance Carrier Org ID]],B118),2))</f>
        <v>TRUE</v>
      </c>
      <c r="M118" s="525" t="str">
        <f t="shared" si="7"/>
        <v>TRUE</v>
      </c>
      <c r="N118" s="533" t="b">
        <f>ROUND(SUMIFS(AN_TME_BY[[#All],[TOTAL Non-Truncated Unadjusted Claims Expenses]], AN_TME_BY[[#All],[Insurance Category Code]],1, AN_TME_BY[[#All],[Advanced Network/Insurance Carrier Org ID]],B118), 2)&gt;=ROUND(SUMIFS(AN_TME_BY[[#All],[TOTAL Truncated Unadjusted Claims Expenses (A21 -A19)]], AN_TME_BY[[#All],[Insurance Category Code]],1, AN_TME_BY[[#All],[Advanced Network/Insurance Carrier Org ID]],B118),2)</f>
        <v>1</v>
      </c>
      <c r="O118" s="534" t="b">
        <f>ROUND(SUMIFS(AN_TME_BY[[#All],[TOTAL Truncated Unadjusted Claims Expenses (A21 -A19)]], AN_TME_BY[[#All],[Insurance Category Code]],1, AN_TME_BY[[#All],[Advanced Network/Insurance Carrier Org ID]],B118)+SUMIFS(AN_TME_BY[[#All],[Total Claims Excluded because of Truncation]], AN_TME_BY[[#All],[Insurance Category Code]],1, AN_TME_BY[[#All],[Advanced Network/Insurance Carrier Org ID]],B118),2)=ROUND(SUMIFS(AN_TME_BY[[#All],[TOTAL Non-Truncated Unadjusted Claims Expenses]], AN_TME_BY[[#All],[Insurance Category Code]],1, AN_TME_BY[[#All],[Advanced Network/Insurance Carrier Org ID]],B118), 2)</f>
        <v>1</v>
      </c>
      <c r="Q118" s="216">
        <v>103</v>
      </c>
      <c r="R118" s="404">
        <f>ROUND(SUMIFS(Age_Sex_PY[[#All],[Total Member Months by Age/Sex Band]], Age_Sex_PY[[#All],[Advanced Network ID]], $Q118, Age_Sex_PY[[#All],[Insurance Category Code]],1), 2)</f>
        <v>0</v>
      </c>
      <c r="S118" s="238">
        <f>ROUND(SUMIFS(Age_Sex_PY[[#All],[Total Dollars Excluded from Spending After Applying Truncation at the Member Level]], Age_Sex_PY[[#All],[Advanced Network ID]], $B118, Age_Sex_PY[[#All],[Insurance Category Code]],1),2)</f>
        <v>0</v>
      </c>
      <c r="T118" s="209">
        <f>ROUND(SUMIFS(Age_Sex_PY[[#All],[Count of Members whose Spending was Truncated]], Age_Sex_PY[[#All],[Advanced Network ID]], $B118, Age_Sex_PY[[#All],[Insurance Category Code]],1), 2)</f>
        <v>0</v>
      </c>
      <c r="U118" s="210">
        <f>ROUND(SUMIFS(Age_Sex_PY[[#All],[Total Spending before Truncation is Applied]], Age_Sex_PY[[#All],[Advanced Network ID]], $B118, Age_Sex_PY[[#All],[Insurance Category Code]],1), 2)</f>
        <v>0</v>
      </c>
      <c r="V118" s="212">
        <f>ROUND(SUMIFS(Age_Sex_PY[[#All],[Total Spending After Applying Truncation at the Member Level]], Age_Sex_PY[[#All],[Advanced Network ID]], $B118, Age_Sex_PY[[#All],[Insurance Category Code]],1),2)</f>
        <v>0</v>
      </c>
      <c r="W118" s="525" t="str">
        <f>IF(ROUND(R118,0)=ROUND(SUMIFS(AN_TME_PY[[#All],[Member Months]], AN_TME_PY[[#All],[Insurance Category Code]],1, AN_TME_PY[[#All],[Advanced Network/Insurance Carrier Org ID]],Q118),0), "TRUE", ROUND(R118-SUMIFS(AN_TME_PY[[#All],[Member Months]], AN_TME_PY[[#All],[Insurance Category Code]],1, AN_TME_PY[[#All],[Advanced Network/Insurance Carrier Org ID]],Q118),2))</f>
        <v>TRUE</v>
      </c>
      <c r="X118" s="527" t="str">
        <f>IF(ROUND(S118,0)=ROUND(SUMIFS(AN_TME_PY[[#All],[Total Claims Excluded because of Truncation]], AN_TME_PY[[#All],[Insurance Category Code]],1, AN_TME_PY[[#All],[Advanced Network/Insurance Carrier Org ID]],Q118),0), "TRUE", ROUND(S118-SUMIFS(AN_TME_PY[[#All],[Total Claims Excluded because of Truncation]], AN_TME_PY[[#All],[Insurance Category Code]],1, AN_TME_PY[[#All],[Advanced Network/Insurance Carrier Org ID]],Q118),2))</f>
        <v>TRUE</v>
      </c>
      <c r="Y118" s="537" t="str">
        <f>IF(ROUND(T118,0)=ROUND(SUMIFS(AN_TME_PY[[#All],[Count of Members with Claims Truncated]], AN_TME_PY[[#All],[Insurance Category Code]],1, AN_TME_PY[[#All],[Advanced Network/Insurance Carrier Org ID]],Q118),0), "TRUE", ROUND(T118-SUMIFS(AN_TME_PY[[#All],[Count of Members with Claims Truncated]], AN_TME_PY[[#All],[Insurance Category Code]],1, AN_TME_PY[[#All],[Advanced Network/Insurance Carrier Org ID]],Q118),2))</f>
        <v>TRUE</v>
      </c>
      <c r="Z118" s="528" t="str">
        <f>IF(ROUND(U118,0)=ROUND(SUMIFS(AN_TME_PY[[#All],[TOTAL Non-Truncated Unadjusted Claims Expenses]], AN_TME_PY[[#All],[Insurance Category Code]],1, AN_TME_PY[[#All],[Advanced Network/Insurance Carrier Org ID]],Q118),0), "TRUE", ROUND(U118-SUMIFS(AN_TME_PY[[#All],[TOTAL Non-Truncated Unadjusted Claims Expenses]], AN_TME_PY[[#All],[Insurance Category Code]],1, AN_TME_PY[[#All],[Advanced Network/Insurance Carrier Org ID]],Q118),2))</f>
        <v>TRUE</v>
      </c>
      <c r="AA118" s="529" t="str">
        <f>IF(ROUND(V118,0)=ROUND(SUMIFS(AN_TME_PY[[#All],[TOTAL Truncated Unadjusted Claims Expenses (A21 -A19)]], AN_TME_PY[[#All],[Insurance Category Code]],1, AN_TME_PY[[#All],[Advanced Network/Insurance Carrier Org ID]],Q118),0), "TRUE", ROUND(V118-SUMIFS(AN_TME_PY[[#All],[TOTAL Truncated Unadjusted Claims Expenses (A21 -A19)]], AN_TME_PY[[#All],[Insurance Category Code]],1, AN_TME_PY[[#All],[Advanced Network/Insurance Carrier Org ID]],Q118),2))</f>
        <v>TRUE</v>
      </c>
      <c r="AB118" s="525" t="str">
        <f t="shared" si="9"/>
        <v>TRUE</v>
      </c>
      <c r="AC118" s="528" t="b">
        <f>ROUND(SUMIFS(AN_TME_PY[[#All],[TOTAL Non-Truncated Unadjusted Claims Expenses]], AN_TME_PY[[#All],[Insurance Category Code]],1, AN_TME_PY[[#All],[Advanced Network/Insurance Carrier Org ID]],Q118),2)&gt;=ROUND(SUMIFS(AN_TME_PY[[#All],[TOTAL Truncated Unadjusted Claims Expenses (A21 -A19)]], AN_TME_PY[[#All],[Insurance Category Code]],1, AN_TME_PY[[#All],[Advanced Network/Insurance Carrier Org ID]],Q118), 2)</f>
        <v>1</v>
      </c>
      <c r="AD118" s="529" t="b">
        <f>ROUND(SUMIFS(AN_TME_PY[[#All],[TOTAL Truncated Unadjusted Claims Expenses (A21 -A19)]], AN_TME_PY[[#All],[Insurance Category Code]],1, AN_TME_PY[[#All],[Advanced Network/Insurance Carrier Org ID]],Q118)+SUMIFS(AN_TME_PY[[#All],[Total Claims Excluded because of Truncation]], AN_TME_PY[[#All],[Insurance Category Code]],1, AN_TME_PY[[#All],[Advanced Network/Insurance Carrier Org ID]],Q118), 2)=ROUND(SUMIFS(AN_TME_PY[[#All],[TOTAL Non-Truncated Unadjusted Claims Expenses]], AN_TME_PY[[#All],[Insurance Category Code]],1, AN_TME_PY[[#All],[Advanced Network/Insurance Carrier Org ID]],Q118), 2)</f>
        <v>1</v>
      </c>
      <c r="AF118" s="283" t="str">
        <f t="shared" si="8"/>
        <v>NA</v>
      </c>
    </row>
    <row r="119" spans="2:32" outlineLevel="1" x14ac:dyDescent="0.25">
      <c r="B119" s="216">
        <v>104</v>
      </c>
      <c r="C119" s="404">
        <f>ROUND(SUMIFS(Age_Sex_BY[[#All],[Total Member Months by Age/Sex Band]], Age_Sex_BY[[#All],[Advanced Network ID]], $B119, Age_Sex_BY[[#All],[Insurance Category Code]],1), 2)</f>
        <v>0</v>
      </c>
      <c r="D119" s="238">
        <f>ROUND(SUMIFS(Age_Sex_BY[[#All],[Total Dollars Excluded from Spending After Applying Truncation at the Member Level]], Age_Sex_BY[[#All],[Advanced Network ID]], $B119, Age_Sex_BY[[#All],[Insurance Category Code]],1), 2)</f>
        <v>0</v>
      </c>
      <c r="E119" s="209">
        <f>ROUND(SUMIFS(Age_Sex_BY[[#All],[Count of Members whose Spending was Truncated]], Age_Sex_BY[[#All],[Advanced Network ID]], $B119, Age_Sex_BY[[#All],[Insurance Category Code]],1),2)</f>
        <v>0</v>
      </c>
      <c r="F119" s="210">
        <f>ROUND(SUMIFS(Age_Sex_BY[[#All],[Total Spending before Truncation is Applied]], Age_Sex_BY[[#All],[Advanced Network ID]], $B119, Age_Sex_BY[[#All],[Insurance Category Code]],1), 2)</f>
        <v>0</v>
      </c>
      <c r="G119" s="212">
        <f>ROUND(SUMIFS(Age_Sex_BY[[#All],[Total Spending After Applying Truncation at the Member Level]], Age_Sex_BY[[#All],[Advanced Network ID]], $B119, Age_Sex_BY[[#All],[Insurance Category Code]],1), 2)</f>
        <v>0</v>
      </c>
      <c r="H119" s="525" t="str">
        <f>IF(ROUND(C119,0)=ROUND(SUMIFS(AN_TME_BY[[#All],[Member Months]], AN_TME_BY[[#All],[Insurance Category Code]],1, AN_TME_BY[[#All],[Advanced Network/Insurance Carrier Org ID]],B119),0), "TRUE", ROUND(C119-SUMIFS(AN_TME_BY[[#All],[Member Months]], AN_TME_BY[[#All],[Insurance Category Code]],1, AN_TME_BY[[#All],[Advanced Network/Insurance Carrier Org ID]],B119),2))</f>
        <v>TRUE</v>
      </c>
      <c r="I119" s="533" t="str">
        <f>IF(ROUND(D119,0)=ROUND(SUMIFS(AN_TME_BY[[#All],[Total Claims Excluded because of Truncation]], AN_TME_BY[[#All],[Insurance Category Code]],1, AN_TME_BY[[#All],[Advanced Network/Insurance Carrier Org ID]],B119),0), "TRUE", ROUND(D119-SUMIFS(AN_TME_BY[[#All],[Total Claims Excluded because of Truncation]], AN_TME_BY[[#All],[Insurance Category Code]],1, AN_TME_BY[[#All],[Advanced Network/Insurance Carrier Org ID]],B119),2))</f>
        <v>TRUE</v>
      </c>
      <c r="J119" s="537" t="str">
        <f>IF(ROUND(E119,0)=ROUND(SUMIFS(AN_TME_BY[[#All],[Count of Members with Claims Truncated]], AN_TME_BY[[#All],[Insurance Category Code]],1, AN_TME_BY[[#All],[Advanced Network/Insurance Carrier Org ID]],B119),0), "TRUE", ROUND(E119-SUMIFS(AN_TME_BY[[#All],[Count of Members with Claims Truncated]], AN_TME_BY[[#All],[Insurance Category Code]],1, AN_TME_BY[[#All],[Advanced Network/Insurance Carrier Org ID]],B119),2))</f>
        <v>TRUE</v>
      </c>
      <c r="K119" s="533" t="str">
        <f>IF(ROUND(F119,0)=ROUND(SUMIFS(AN_TME_BY[[#All],[TOTAL Non-Truncated Unadjusted Claims Expenses]], AN_TME_BY[[#All],[Insurance Category Code]],1, AN_TME_BY[[#All],[Advanced Network/Insurance Carrier Org ID]],B119),0), "TRUE", ROUND(F119-SUMIFS(AN_TME_BY[[#All],[TOTAL Non-Truncated Unadjusted Claims Expenses]], AN_TME_BY[[#All],[Insurance Category Code]],1, AN_TME_BY[[#All],[Advanced Network/Insurance Carrier Org ID]],B119),2))</f>
        <v>TRUE</v>
      </c>
      <c r="L119" s="534" t="str">
        <f>IF(ROUND(G119,0)=ROUND(SUMIFS(AN_TME_BY[[#All],[TOTAL Truncated Unadjusted Claims Expenses (A21 -A19)]], AN_TME_BY[[#All],[Insurance Category Code]],1, AN_TME_BY[[#All],[Advanced Network/Insurance Carrier Org ID]],B119),0), "TRUE", ROUND(G119-SUMIFS(AN_TME_BY[[#All],[TOTAL Truncated Unadjusted Claims Expenses (A21 -A19)]], AN_TME_BY[[#All],[Insurance Category Code]],1, AN_TME_BY[[#All],[Advanced Network/Insurance Carrier Org ID]],B119),2))</f>
        <v>TRUE</v>
      </c>
      <c r="M119" s="525" t="str">
        <f t="shared" si="7"/>
        <v>TRUE</v>
      </c>
      <c r="N119" s="533" t="b">
        <f>ROUND(SUMIFS(AN_TME_BY[[#All],[TOTAL Non-Truncated Unadjusted Claims Expenses]], AN_TME_BY[[#All],[Insurance Category Code]],1, AN_TME_BY[[#All],[Advanced Network/Insurance Carrier Org ID]],B119), 2)&gt;=ROUND(SUMIFS(AN_TME_BY[[#All],[TOTAL Truncated Unadjusted Claims Expenses (A21 -A19)]], AN_TME_BY[[#All],[Insurance Category Code]],1, AN_TME_BY[[#All],[Advanced Network/Insurance Carrier Org ID]],B119),2)</f>
        <v>1</v>
      </c>
      <c r="O119" s="534" t="b">
        <f>ROUND(SUMIFS(AN_TME_BY[[#All],[TOTAL Truncated Unadjusted Claims Expenses (A21 -A19)]], AN_TME_BY[[#All],[Insurance Category Code]],1, AN_TME_BY[[#All],[Advanced Network/Insurance Carrier Org ID]],B119)+SUMIFS(AN_TME_BY[[#All],[Total Claims Excluded because of Truncation]], AN_TME_BY[[#All],[Insurance Category Code]],1, AN_TME_BY[[#All],[Advanced Network/Insurance Carrier Org ID]],B119),2)=ROUND(SUMIFS(AN_TME_BY[[#All],[TOTAL Non-Truncated Unadjusted Claims Expenses]], AN_TME_BY[[#All],[Insurance Category Code]],1, AN_TME_BY[[#All],[Advanced Network/Insurance Carrier Org ID]],B119), 2)</f>
        <v>1</v>
      </c>
      <c r="Q119" s="216">
        <v>104</v>
      </c>
      <c r="R119" s="404">
        <f>ROUND(SUMIFS(Age_Sex_PY[[#All],[Total Member Months by Age/Sex Band]], Age_Sex_PY[[#All],[Advanced Network ID]], $Q119, Age_Sex_PY[[#All],[Insurance Category Code]],1), 2)</f>
        <v>0</v>
      </c>
      <c r="S119" s="238">
        <f>ROUND(SUMIFS(Age_Sex_PY[[#All],[Total Dollars Excluded from Spending After Applying Truncation at the Member Level]], Age_Sex_PY[[#All],[Advanced Network ID]], $B119, Age_Sex_PY[[#All],[Insurance Category Code]],1),2)</f>
        <v>0</v>
      </c>
      <c r="T119" s="209">
        <f>ROUND(SUMIFS(Age_Sex_PY[[#All],[Count of Members whose Spending was Truncated]], Age_Sex_PY[[#All],[Advanced Network ID]], $B119, Age_Sex_PY[[#All],[Insurance Category Code]],1), 2)</f>
        <v>0</v>
      </c>
      <c r="U119" s="210">
        <f>ROUND(SUMIFS(Age_Sex_PY[[#All],[Total Spending before Truncation is Applied]], Age_Sex_PY[[#All],[Advanced Network ID]], $B119, Age_Sex_PY[[#All],[Insurance Category Code]],1), 2)</f>
        <v>0</v>
      </c>
      <c r="V119" s="212">
        <f>ROUND(SUMIFS(Age_Sex_PY[[#All],[Total Spending After Applying Truncation at the Member Level]], Age_Sex_PY[[#All],[Advanced Network ID]], $B119, Age_Sex_PY[[#All],[Insurance Category Code]],1),2)</f>
        <v>0</v>
      </c>
      <c r="W119" s="525" t="str">
        <f>IF(ROUND(R119,0)=ROUND(SUMIFS(AN_TME_PY[[#All],[Member Months]], AN_TME_PY[[#All],[Insurance Category Code]],1, AN_TME_PY[[#All],[Advanced Network/Insurance Carrier Org ID]],Q119),0), "TRUE", ROUND(R119-SUMIFS(AN_TME_PY[[#All],[Member Months]], AN_TME_PY[[#All],[Insurance Category Code]],1, AN_TME_PY[[#All],[Advanced Network/Insurance Carrier Org ID]],Q119),2))</f>
        <v>TRUE</v>
      </c>
      <c r="X119" s="527" t="str">
        <f>IF(ROUND(S119,0)=ROUND(SUMIFS(AN_TME_PY[[#All],[Total Claims Excluded because of Truncation]], AN_TME_PY[[#All],[Insurance Category Code]],1, AN_TME_PY[[#All],[Advanced Network/Insurance Carrier Org ID]],Q119),0), "TRUE", ROUND(S119-SUMIFS(AN_TME_PY[[#All],[Total Claims Excluded because of Truncation]], AN_TME_PY[[#All],[Insurance Category Code]],1, AN_TME_PY[[#All],[Advanced Network/Insurance Carrier Org ID]],Q119),2))</f>
        <v>TRUE</v>
      </c>
      <c r="Y119" s="537" t="str">
        <f>IF(ROUND(T119,0)=ROUND(SUMIFS(AN_TME_PY[[#All],[Count of Members with Claims Truncated]], AN_TME_PY[[#All],[Insurance Category Code]],1, AN_TME_PY[[#All],[Advanced Network/Insurance Carrier Org ID]],Q119),0), "TRUE", ROUND(T119-SUMIFS(AN_TME_PY[[#All],[Count of Members with Claims Truncated]], AN_TME_PY[[#All],[Insurance Category Code]],1, AN_TME_PY[[#All],[Advanced Network/Insurance Carrier Org ID]],Q119),2))</f>
        <v>TRUE</v>
      </c>
      <c r="Z119" s="528" t="str">
        <f>IF(ROUND(U119,0)=ROUND(SUMIFS(AN_TME_PY[[#All],[TOTAL Non-Truncated Unadjusted Claims Expenses]], AN_TME_PY[[#All],[Insurance Category Code]],1, AN_TME_PY[[#All],[Advanced Network/Insurance Carrier Org ID]],Q119),0), "TRUE", ROUND(U119-SUMIFS(AN_TME_PY[[#All],[TOTAL Non-Truncated Unadjusted Claims Expenses]], AN_TME_PY[[#All],[Insurance Category Code]],1, AN_TME_PY[[#All],[Advanced Network/Insurance Carrier Org ID]],Q119),2))</f>
        <v>TRUE</v>
      </c>
      <c r="AA119" s="529" t="str">
        <f>IF(ROUND(V119,0)=ROUND(SUMIFS(AN_TME_PY[[#All],[TOTAL Truncated Unadjusted Claims Expenses (A21 -A19)]], AN_TME_PY[[#All],[Insurance Category Code]],1, AN_TME_PY[[#All],[Advanced Network/Insurance Carrier Org ID]],Q119),0), "TRUE", ROUND(V119-SUMIFS(AN_TME_PY[[#All],[TOTAL Truncated Unadjusted Claims Expenses (A21 -A19)]], AN_TME_PY[[#All],[Insurance Category Code]],1, AN_TME_PY[[#All],[Advanced Network/Insurance Carrier Org ID]],Q119),2))</f>
        <v>TRUE</v>
      </c>
      <c r="AB119" s="525" t="str">
        <f t="shared" si="9"/>
        <v>TRUE</v>
      </c>
      <c r="AC119" s="528" t="b">
        <f>ROUND(SUMIFS(AN_TME_PY[[#All],[TOTAL Non-Truncated Unadjusted Claims Expenses]], AN_TME_PY[[#All],[Insurance Category Code]],1, AN_TME_PY[[#All],[Advanced Network/Insurance Carrier Org ID]],Q119),2)&gt;=ROUND(SUMIFS(AN_TME_PY[[#All],[TOTAL Truncated Unadjusted Claims Expenses (A21 -A19)]], AN_TME_PY[[#All],[Insurance Category Code]],1, AN_TME_PY[[#All],[Advanced Network/Insurance Carrier Org ID]],Q119), 2)</f>
        <v>1</v>
      </c>
      <c r="AD119" s="529" t="b">
        <f>ROUND(SUMIFS(AN_TME_PY[[#All],[TOTAL Truncated Unadjusted Claims Expenses (A21 -A19)]], AN_TME_PY[[#All],[Insurance Category Code]],1, AN_TME_PY[[#All],[Advanced Network/Insurance Carrier Org ID]],Q119)+SUMIFS(AN_TME_PY[[#All],[Total Claims Excluded because of Truncation]], AN_TME_PY[[#All],[Insurance Category Code]],1, AN_TME_PY[[#All],[Advanced Network/Insurance Carrier Org ID]],Q119), 2)=ROUND(SUMIFS(AN_TME_PY[[#All],[TOTAL Non-Truncated Unadjusted Claims Expenses]], AN_TME_PY[[#All],[Insurance Category Code]],1, AN_TME_PY[[#All],[Advanced Network/Insurance Carrier Org ID]],Q119), 2)</f>
        <v>1</v>
      </c>
      <c r="AF119" s="283" t="str">
        <f t="shared" si="8"/>
        <v>NA</v>
      </c>
    </row>
    <row r="120" spans="2:32" outlineLevel="1" x14ac:dyDescent="0.25">
      <c r="B120" s="216">
        <v>105</v>
      </c>
      <c r="C120" s="404">
        <f>ROUND(SUMIFS(Age_Sex_BY[[#All],[Total Member Months by Age/Sex Band]], Age_Sex_BY[[#All],[Advanced Network ID]], $B120, Age_Sex_BY[[#All],[Insurance Category Code]],1), 2)</f>
        <v>0</v>
      </c>
      <c r="D120" s="238">
        <f>ROUND(SUMIFS(Age_Sex_BY[[#All],[Total Dollars Excluded from Spending After Applying Truncation at the Member Level]], Age_Sex_BY[[#All],[Advanced Network ID]], $B120, Age_Sex_BY[[#All],[Insurance Category Code]],1), 2)</f>
        <v>0</v>
      </c>
      <c r="E120" s="209">
        <f>ROUND(SUMIFS(Age_Sex_BY[[#All],[Count of Members whose Spending was Truncated]], Age_Sex_BY[[#All],[Advanced Network ID]], $B120, Age_Sex_BY[[#All],[Insurance Category Code]],1),2)</f>
        <v>0</v>
      </c>
      <c r="F120" s="210">
        <f>ROUND(SUMIFS(Age_Sex_BY[[#All],[Total Spending before Truncation is Applied]], Age_Sex_BY[[#All],[Advanced Network ID]], $B120, Age_Sex_BY[[#All],[Insurance Category Code]],1), 2)</f>
        <v>0</v>
      </c>
      <c r="G120" s="212">
        <f>ROUND(SUMIFS(Age_Sex_BY[[#All],[Total Spending After Applying Truncation at the Member Level]], Age_Sex_BY[[#All],[Advanced Network ID]], $B120, Age_Sex_BY[[#All],[Insurance Category Code]],1), 2)</f>
        <v>0</v>
      </c>
      <c r="H120" s="525" t="str">
        <f>IF(ROUND(C120,0)=ROUND(SUMIFS(AN_TME_BY[[#All],[Member Months]], AN_TME_BY[[#All],[Insurance Category Code]],1, AN_TME_BY[[#All],[Advanced Network/Insurance Carrier Org ID]],B120),0), "TRUE", ROUND(C120-SUMIFS(AN_TME_BY[[#All],[Member Months]], AN_TME_BY[[#All],[Insurance Category Code]],1, AN_TME_BY[[#All],[Advanced Network/Insurance Carrier Org ID]],B120),2))</f>
        <v>TRUE</v>
      </c>
      <c r="I120" s="533" t="str">
        <f>IF(ROUND(D120,0)=ROUND(SUMIFS(AN_TME_BY[[#All],[Total Claims Excluded because of Truncation]], AN_TME_BY[[#All],[Insurance Category Code]],1, AN_TME_BY[[#All],[Advanced Network/Insurance Carrier Org ID]],B120),0), "TRUE", ROUND(D120-SUMIFS(AN_TME_BY[[#All],[Total Claims Excluded because of Truncation]], AN_TME_BY[[#All],[Insurance Category Code]],1, AN_TME_BY[[#All],[Advanced Network/Insurance Carrier Org ID]],B120),2))</f>
        <v>TRUE</v>
      </c>
      <c r="J120" s="537" t="str">
        <f>IF(ROUND(E120,0)=ROUND(SUMIFS(AN_TME_BY[[#All],[Count of Members with Claims Truncated]], AN_TME_BY[[#All],[Insurance Category Code]],1, AN_TME_BY[[#All],[Advanced Network/Insurance Carrier Org ID]],B120),0), "TRUE", ROUND(E120-SUMIFS(AN_TME_BY[[#All],[Count of Members with Claims Truncated]], AN_TME_BY[[#All],[Insurance Category Code]],1, AN_TME_BY[[#All],[Advanced Network/Insurance Carrier Org ID]],B120),2))</f>
        <v>TRUE</v>
      </c>
      <c r="K120" s="533" t="str">
        <f>IF(ROUND(F120,0)=ROUND(SUMIFS(AN_TME_BY[[#All],[TOTAL Non-Truncated Unadjusted Claims Expenses]], AN_TME_BY[[#All],[Insurance Category Code]],1, AN_TME_BY[[#All],[Advanced Network/Insurance Carrier Org ID]],B120),0), "TRUE", ROUND(F120-SUMIFS(AN_TME_BY[[#All],[TOTAL Non-Truncated Unadjusted Claims Expenses]], AN_TME_BY[[#All],[Insurance Category Code]],1, AN_TME_BY[[#All],[Advanced Network/Insurance Carrier Org ID]],B120),2))</f>
        <v>TRUE</v>
      </c>
      <c r="L120" s="534" t="str">
        <f>IF(ROUND(G120,0)=ROUND(SUMIFS(AN_TME_BY[[#All],[TOTAL Truncated Unadjusted Claims Expenses (A21 -A19)]], AN_TME_BY[[#All],[Insurance Category Code]],1, AN_TME_BY[[#All],[Advanced Network/Insurance Carrier Org ID]],B120),0), "TRUE", ROUND(G120-SUMIFS(AN_TME_BY[[#All],[TOTAL Truncated Unadjusted Claims Expenses (A21 -A19)]], AN_TME_BY[[#All],[Insurance Category Code]],1, AN_TME_BY[[#All],[Advanced Network/Insurance Carrier Org ID]],B120),2))</f>
        <v>TRUE</v>
      </c>
      <c r="M120" s="525" t="str">
        <f t="shared" si="7"/>
        <v>TRUE</v>
      </c>
      <c r="N120" s="533" t="b">
        <f>ROUND(SUMIFS(AN_TME_BY[[#All],[TOTAL Non-Truncated Unadjusted Claims Expenses]], AN_TME_BY[[#All],[Insurance Category Code]],1, AN_TME_BY[[#All],[Advanced Network/Insurance Carrier Org ID]],B120), 2)&gt;=ROUND(SUMIFS(AN_TME_BY[[#All],[TOTAL Truncated Unadjusted Claims Expenses (A21 -A19)]], AN_TME_BY[[#All],[Insurance Category Code]],1, AN_TME_BY[[#All],[Advanced Network/Insurance Carrier Org ID]],B120),2)</f>
        <v>1</v>
      </c>
      <c r="O120" s="534" t="b">
        <f>ROUND(SUMIFS(AN_TME_BY[[#All],[TOTAL Truncated Unadjusted Claims Expenses (A21 -A19)]], AN_TME_BY[[#All],[Insurance Category Code]],1, AN_TME_BY[[#All],[Advanced Network/Insurance Carrier Org ID]],B120)+SUMIFS(AN_TME_BY[[#All],[Total Claims Excluded because of Truncation]], AN_TME_BY[[#All],[Insurance Category Code]],1, AN_TME_BY[[#All],[Advanced Network/Insurance Carrier Org ID]],B120),2)=ROUND(SUMIFS(AN_TME_BY[[#All],[TOTAL Non-Truncated Unadjusted Claims Expenses]], AN_TME_BY[[#All],[Insurance Category Code]],1, AN_TME_BY[[#All],[Advanced Network/Insurance Carrier Org ID]],B120), 2)</f>
        <v>1</v>
      </c>
      <c r="Q120" s="216">
        <v>105</v>
      </c>
      <c r="R120" s="404">
        <f>ROUND(SUMIFS(Age_Sex_PY[[#All],[Total Member Months by Age/Sex Band]], Age_Sex_PY[[#All],[Advanced Network ID]], $Q120, Age_Sex_PY[[#All],[Insurance Category Code]],1), 2)</f>
        <v>0</v>
      </c>
      <c r="S120" s="238">
        <f>ROUND(SUMIFS(Age_Sex_PY[[#All],[Total Dollars Excluded from Spending After Applying Truncation at the Member Level]], Age_Sex_PY[[#All],[Advanced Network ID]], $B120, Age_Sex_PY[[#All],[Insurance Category Code]],1),2)</f>
        <v>0</v>
      </c>
      <c r="T120" s="209">
        <f>ROUND(SUMIFS(Age_Sex_PY[[#All],[Count of Members whose Spending was Truncated]], Age_Sex_PY[[#All],[Advanced Network ID]], $B120, Age_Sex_PY[[#All],[Insurance Category Code]],1), 2)</f>
        <v>0</v>
      </c>
      <c r="U120" s="210">
        <f>ROUND(SUMIFS(Age_Sex_PY[[#All],[Total Spending before Truncation is Applied]], Age_Sex_PY[[#All],[Advanced Network ID]], $B120, Age_Sex_PY[[#All],[Insurance Category Code]],1), 2)</f>
        <v>0</v>
      </c>
      <c r="V120" s="212">
        <f>ROUND(SUMIFS(Age_Sex_PY[[#All],[Total Spending After Applying Truncation at the Member Level]], Age_Sex_PY[[#All],[Advanced Network ID]], $B120, Age_Sex_PY[[#All],[Insurance Category Code]],1),2)</f>
        <v>0</v>
      </c>
      <c r="W120" s="525" t="str">
        <f>IF(ROUND(R120,0)=ROUND(SUMIFS(AN_TME_PY[[#All],[Member Months]], AN_TME_PY[[#All],[Insurance Category Code]],1, AN_TME_PY[[#All],[Advanced Network/Insurance Carrier Org ID]],Q120),0), "TRUE", ROUND(R120-SUMIFS(AN_TME_PY[[#All],[Member Months]], AN_TME_PY[[#All],[Insurance Category Code]],1, AN_TME_PY[[#All],[Advanced Network/Insurance Carrier Org ID]],Q120),2))</f>
        <v>TRUE</v>
      </c>
      <c r="X120" s="527" t="str">
        <f>IF(ROUND(S120,0)=ROUND(SUMIFS(AN_TME_PY[[#All],[Total Claims Excluded because of Truncation]], AN_TME_PY[[#All],[Insurance Category Code]],1, AN_TME_PY[[#All],[Advanced Network/Insurance Carrier Org ID]],Q120),0), "TRUE", ROUND(S120-SUMIFS(AN_TME_PY[[#All],[Total Claims Excluded because of Truncation]], AN_TME_PY[[#All],[Insurance Category Code]],1, AN_TME_PY[[#All],[Advanced Network/Insurance Carrier Org ID]],Q120),2))</f>
        <v>TRUE</v>
      </c>
      <c r="Y120" s="537" t="str">
        <f>IF(ROUND(T120,0)=ROUND(SUMIFS(AN_TME_PY[[#All],[Count of Members with Claims Truncated]], AN_TME_PY[[#All],[Insurance Category Code]],1, AN_TME_PY[[#All],[Advanced Network/Insurance Carrier Org ID]],Q120),0), "TRUE", ROUND(T120-SUMIFS(AN_TME_PY[[#All],[Count of Members with Claims Truncated]], AN_TME_PY[[#All],[Insurance Category Code]],1, AN_TME_PY[[#All],[Advanced Network/Insurance Carrier Org ID]],Q120),2))</f>
        <v>TRUE</v>
      </c>
      <c r="Z120" s="528" t="str">
        <f>IF(ROUND(U120,0)=ROUND(SUMIFS(AN_TME_PY[[#All],[TOTAL Non-Truncated Unadjusted Claims Expenses]], AN_TME_PY[[#All],[Insurance Category Code]],1, AN_TME_PY[[#All],[Advanced Network/Insurance Carrier Org ID]],Q120),0), "TRUE", ROUND(U120-SUMIFS(AN_TME_PY[[#All],[TOTAL Non-Truncated Unadjusted Claims Expenses]], AN_TME_PY[[#All],[Insurance Category Code]],1, AN_TME_PY[[#All],[Advanced Network/Insurance Carrier Org ID]],Q120),2))</f>
        <v>TRUE</v>
      </c>
      <c r="AA120" s="529" t="str">
        <f>IF(ROUND(V120,0)=ROUND(SUMIFS(AN_TME_PY[[#All],[TOTAL Truncated Unadjusted Claims Expenses (A21 -A19)]], AN_TME_PY[[#All],[Insurance Category Code]],1, AN_TME_PY[[#All],[Advanced Network/Insurance Carrier Org ID]],Q120),0), "TRUE", ROUND(V120-SUMIFS(AN_TME_PY[[#All],[TOTAL Truncated Unadjusted Claims Expenses (A21 -A19)]], AN_TME_PY[[#All],[Insurance Category Code]],1, AN_TME_PY[[#All],[Advanced Network/Insurance Carrier Org ID]],Q120),2))</f>
        <v>TRUE</v>
      </c>
      <c r="AB120" s="525" t="str">
        <f t="shared" si="9"/>
        <v>TRUE</v>
      </c>
      <c r="AC120" s="528" t="b">
        <f>ROUND(SUMIFS(AN_TME_PY[[#All],[TOTAL Non-Truncated Unadjusted Claims Expenses]], AN_TME_PY[[#All],[Insurance Category Code]],1, AN_TME_PY[[#All],[Advanced Network/Insurance Carrier Org ID]],Q120),2)&gt;=ROUND(SUMIFS(AN_TME_PY[[#All],[TOTAL Truncated Unadjusted Claims Expenses (A21 -A19)]], AN_TME_PY[[#All],[Insurance Category Code]],1, AN_TME_PY[[#All],[Advanced Network/Insurance Carrier Org ID]],Q120), 2)</f>
        <v>1</v>
      </c>
      <c r="AD120" s="529" t="b">
        <f>ROUND(SUMIFS(AN_TME_PY[[#All],[TOTAL Truncated Unadjusted Claims Expenses (A21 -A19)]], AN_TME_PY[[#All],[Insurance Category Code]],1, AN_TME_PY[[#All],[Advanced Network/Insurance Carrier Org ID]],Q120)+SUMIFS(AN_TME_PY[[#All],[Total Claims Excluded because of Truncation]], AN_TME_PY[[#All],[Insurance Category Code]],1, AN_TME_PY[[#All],[Advanced Network/Insurance Carrier Org ID]],Q120), 2)=ROUND(SUMIFS(AN_TME_PY[[#All],[TOTAL Non-Truncated Unadjusted Claims Expenses]], AN_TME_PY[[#All],[Insurance Category Code]],1, AN_TME_PY[[#All],[Advanced Network/Insurance Carrier Org ID]],Q120), 2)</f>
        <v>1</v>
      </c>
      <c r="AF120" s="283" t="str">
        <f t="shared" si="8"/>
        <v>NA</v>
      </c>
    </row>
    <row r="121" spans="2:32" outlineLevel="1" x14ac:dyDescent="0.25">
      <c r="B121" s="216">
        <v>106</v>
      </c>
      <c r="C121" s="404">
        <f>ROUND(SUMIFS(Age_Sex_BY[[#All],[Total Member Months by Age/Sex Band]], Age_Sex_BY[[#All],[Advanced Network ID]], $B121, Age_Sex_BY[[#All],[Insurance Category Code]],1), 2)</f>
        <v>0</v>
      </c>
      <c r="D121" s="238">
        <f>ROUND(SUMIFS(Age_Sex_BY[[#All],[Total Dollars Excluded from Spending After Applying Truncation at the Member Level]], Age_Sex_BY[[#All],[Advanced Network ID]], $B121, Age_Sex_BY[[#All],[Insurance Category Code]],1), 2)</f>
        <v>0</v>
      </c>
      <c r="E121" s="209">
        <f>ROUND(SUMIFS(Age_Sex_BY[[#All],[Count of Members whose Spending was Truncated]], Age_Sex_BY[[#All],[Advanced Network ID]], $B121, Age_Sex_BY[[#All],[Insurance Category Code]],1),2)</f>
        <v>0</v>
      </c>
      <c r="F121" s="210">
        <f>ROUND(SUMIFS(Age_Sex_BY[[#All],[Total Spending before Truncation is Applied]], Age_Sex_BY[[#All],[Advanced Network ID]], $B121, Age_Sex_BY[[#All],[Insurance Category Code]],1), 2)</f>
        <v>0</v>
      </c>
      <c r="G121" s="212">
        <f>ROUND(SUMIFS(Age_Sex_BY[[#All],[Total Spending After Applying Truncation at the Member Level]], Age_Sex_BY[[#All],[Advanced Network ID]], $B121, Age_Sex_BY[[#All],[Insurance Category Code]],1), 2)</f>
        <v>0</v>
      </c>
      <c r="H121" s="525" t="str">
        <f>IF(ROUND(C121,0)=ROUND(SUMIFS(AN_TME_BY[[#All],[Member Months]], AN_TME_BY[[#All],[Insurance Category Code]],1, AN_TME_BY[[#All],[Advanced Network/Insurance Carrier Org ID]],B121),0), "TRUE", ROUND(C121-SUMIFS(AN_TME_BY[[#All],[Member Months]], AN_TME_BY[[#All],[Insurance Category Code]],1, AN_TME_BY[[#All],[Advanced Network/Insurance Carrier Org ID]],B121),2))</f>
        <v>TRUE</v>
      </c>
      <c r="I121" s="533" t="str">
        <f>IF(ROUND(D121,0)=ROUND(SUMIFS(AN_TME_BY[[#All],[Total Claims Excluded because of Truncation]], AN_TME_BY[[#All],[Insurance Category Code]],1, AN_TME_BY[[#All],[Advanced Network/Insurance Carrier Org ID]],B121),0), "TRUE", ROUND(D121-SUMIFS(AN_TME_BY[[#All],[Total Claims Excluded because of Truncation]], AN_TME_BY[[#All],[Insurance Category Code]],1, AN_TME_BY[[#All],[Advanced Network/Insurance Carrier Org ID]],B121),2))</f>
        <v>TRUE</v>
      </c>
      <c r="J121" s="537" t="str">
        <f>IF(ROUND(E121,0)=ROUND(SUMIFS(AN_TME_BY[[#All],[Count of Members with Claims Truncated]], AN_TME_BY[[#All],[Insurance Category Code]],1, AN_TME_BY[[#All],[Advanced Network/Insurance Carrier Org ID]],B121),0), "TRUE", ROUND(E121-SUMIFS(AN_TME_BY[[#All],[Count of Members with Claims Truncated]], AN_TME_BY[[#All],[Insurance Category Code]],1, AN_TME_BY[[#All],[Advanced Network/Insurance Carrier Org ID]],B121),2))</f>
        <v>TRUE</v>
      </c>
      <c r="K121" s="533" t="str">
        <f>IF(ROUND(F121,0)=ROUND(SUMIFS(AN_TME_BY[[#All],[TOTAL Non-Truncated Unadjusted Claims Expenses]], AN_TME_BY[[#All],[Insurance Category Code]],1, AN_TME_BY[[#All],[Advanced Network/Insurance Carrier Org ID]],B121),0), "TRUE", ROUND(F121-SUMIFS(AN_TME_BY[[#All],[TOTAL Non-Truncated Unadjusted Claims Expenses]], AN_TME_BY[[#All],[Insurance Category Code]],1, AN_TME_BY[[#All],[Advanced Network/Insurance Carrier Org ID]],B121),2))</f>
        <v>TRUE</v>
      </c>
      <c r="L121" s="534" t="str">
        <f>IF(ROUND(G121,0)=ROUND(SUMIFS(AN_TME_BY[[#All],[TOTAL Truncated Unadjusted Claims Expenses (A21 -A19)]], AN_TME_BY[[#All],[Insurance Category Code]],1, AN_TME_BY[[#All],[Advanced Network/Insurance Carrier Org ID]],B121),0), "TRUE", ROUND(G121-SUMIFS(AN_TME_BY[[#All],[TOTAL Truncated Unadjusted Claims Expenses (A21 -A19)]], AN_TME_BY[[#All],[Insurance Category Code]],1, AN_TME_BY[[#All],[Advanced Network/Insurance Carrier Org ID]],B121),2))</f>
        <v>TRUE</v>
      </c>
      <c r="M121" s="525" t="str">
        <f t="shared" si="7"/>
        <v>TRUE</v>
      </c>
      <c r="N121" s="533" t="b">
        <f>ROUND(SUMIFS(AN_TME_BY[[#All],[TOTAL Non-Truncated Unadjusted Claims Expenses]], AN_TME_BY[[#All],[Insurance Category Code]],1, AN_TME_BY[[#All],[Advanced Network/Insurance Carrier Org ID]],B121), 2)&gt;=ROUND(SUMIFS(AN_TME_BY[[#All],[TOTAL Truncated Unadjusted Claims Expenses (A21 -A19)]], AN_TME_BY[[#All],[Insurance Category Code]],1, AN_TME_BY[[#All],[Advanced Network/Insurance Carrier Org ID]],B121),2)</f>
        <v>1</v>
      </c>
      <c r="O121" s="534" t="b">
        <f>ROUND(SUMIFS(AN_TME_BY[[#All],[TOTAL Truncated Unadjusted Claims Expenses (A21 -A19)]], AN_TME_BY[[#All],[Insurance Category Code]],1, AN_TME_BY[[#All],[Advanced Network/Insurance Carrier Org ID]],B121)+SUMIFS(AN_TME_BY[[#All],[Total Claims Excluded because of Truncation]], AN_TME_BY[[#All],[Insurance Category Code]],1, AN_TME_BY[[#All],[Advanced Network/Insurance Carrier Org ID]],B121),2)=ROUND(SUMIFS(AN_TME_BY[[#All],[TOTAL Non-Truncated Unadjusted Claims Expenses]], AN_TME_BY[[#All],[Insurance Category Code]],1, AN_TME_BY[[#All],[Advanced Network/Insurance Carrier Org ID]],B121), 2)</f>
        <v>1</v>
      </c>
      <c r="Q121" s="216">
        <v>106</v>
      </c>
      <c r="R121" s="404">
        <f>ROUND(SUMIFS(Age_Sex_PY[[#All],[Total Member Months by Age/Sex Band]], Age_Sex_PY[[#All],[Advanced Network ID]], $Q121, Age_Sex_PY[[#All],[Insurance Category Code]],1), 2)</f>
        <v>0</v>
      </c>
      <c r="S121" s="238">
        <f>ROUND(SUMIFS(Age_Sex_PY[[#All],[Total Dollars Excluded from Spending After Applying Truncation at the Member Level]], Age_Sex_PY[[#All],[Advanced Network ID]], $B121, Age_Sex_PY[[#All],[Insurance Category Code]],1),2)</f>
        <v>0</v>
      </c>
      <c r="T121" s="209">
        <f>ROUND(SUMIFS(Age_Sex_PY[[#All],[Count of Members whose Spending was Truncated]], Age_Sex_PY[[#All],[Advanced Network ID]], $B121, Age_Sex_PY[[#All],[Insurance Category Code]],1), 2)</f>
        <v>0</v>
      </c>
      <c r="U121" s="210">
        <f>ROUND(SUMIFS(Age_Sex_PY[[#All],[Total Spending before Truncation is Applied]], Age_Sex_PY[[#All],[Advanced Network ID]], $B121, Age_Sex_PY[[#All],[Insurance Category Code]],1), 2)</f>
        <v>0</v>
      </c>
      <c r="V121" s="212">
        <f>ROUND(SUMIFS(Age_Sex_PY[[#All],[Total Spending After Applying Truncation at the Member Level]], Age_Sex_PY[[#All],[Advanced Network ID]], $B121, Age_Sex_PY[[#All],[Insurance Category Code]],1),2)</f>
        <v>0</v>
      </c>
      <c r="W121" s="525" t="str">
        <f>IF(ROUND(R121,0)=ROUND(SUMIFS(AN_TME_PY[[#All],[Member Months]], AN_TME_PY[[#All],[Insurance Category Code]],1, AN_TME_PY[[#All],[Advanced Network/Insurance Carrier Org ID]],Q121),0), "TRUE", ROUND(R121-SUMIFS(AN_TME_PY[[#All],[Member Months]], AN_TME_PY[[#All],[Insurance Category Code]],1, AN_TME_PY[[#All],[Advanced Network/Insurance Carrier Org ID]],Q121),2))</f>
        <v>TRUE</v>
      </c>
      <c r="X121" s="527" t="str">
        <f>IF(ROUND(S121,0)=ROUND(SUMIFS(AN_TME_PY[[#All],[Total Claims Excluded because of Truncation]], AN_TME_PY[[#All],[Insurance Category Code]],1, AN_TME_PY[[#All],[Advanced Network/Insurance Carrier Org ID]],Q121),0), "TRUE", ROUND(S121-SUMIFS(AN_TME_PY[[#All],[Total Claims Excluded because of Truncation]], AN_TME_PY[[#All],[Insurance Category Code]],1, AN_TME_PY[[#All],[Advanced Network/Insurance Carrier Org ID]],Q121),2))</f>
        <v>TRUE</v>
      </c>
      <c r="Y121" s="537" t="str">
        <f>IF(ROUND(T121,0)=ROUND(SUMIFS(AN_TME_PY[[#All],[Count of Members with Claims Truncated]], AN_TME_PY[[#All],[Insurance Category Code]],1, AN_TME_PY[[#All],[Advanced Network/Insurance Carrier Org ID]],Q121),0), "TRUE", ROUND(T121-SUMIFS(AN_TME_PY[[#All],[Count of Members with Claims Truncated]], AN_TME_PY[[#All],[Insurance Category Code]],1, AN_TME_PY[[#All],[Advanced Network/Insurance Carrier Org ID]],Q121),2))</f>
        <v>TRUE</v>
      </c>
      <c r="Z121" s="528" t="str">
        <f>IF(ROUND(U121,0)=ROUND(SUMIFS(AN_TME_PY[[#All],[TOTAL Non-Truncated Unadjusted Claims Expenses]], AN_TME_PY[[#All],[Insurance Category Code]],1, AN_TME_PY[[#All],[Advanced Network/Insurance Carrier Org ID]],Q121),0), "TRUE", ROUND(U121-SUMIFS(AN_TME_PY[[#All],[TOTAL Non-Truncated Unadjusted Claims Expenses]], AN_TME_PY[[#All],[Insurance Category Code]],1, AN_TME_PY[[#All],[Advanced Network/Insurance Carrier Org ID]],Q121),2))</f>
        <v>TRUE</v>
      </c>
      <c r="AA121" s="529" t="str">
        <f>IF(ROUND(V121,0)=ROUND(SUMIFS(AN_TME_PY[[#All],[TOTAL Truncated Unadjusted Claims Expenses (A21 -A19)]], AN_TME_PY[[#All],[Insurance Category Code]],1, AN_TME_PY[[#All],[Advanced Network/Insurance Carrier Org ID]],Q121),0), "TRUE", ROUND(V121-SUMIFS(AN_TME_PY[[#All],[TOTAL Truncated Unadjusted Claims Expenses (A21 -A19)]], AN_TME_PY[[#All],[Insurance Category Code]],1, AN_TME_PY[[#All],[Advanced Network/Insurance Carrier Org ID]],Q121),2))</f>
        <v>TRUE</v>
      </c>
      <c r="AB121" s="525" t="str">
        <f t="shared" si="9"/>
        <v>TRUE</v>
      </c>
      <c r="AC121" s="528" t="b">
        <f>ROUND(SUMIFS(AN_TME_PY[[#All],[TOTAL Non-Truncated Unadjusted Claims Expenses]], AN_TME_PY[[#All],[Insurance Category Code]],1, AN_TME_PY[[#All],[Advanced Network/Insurance Carrier Org ID]],Q121),2)&gt;=ROUND(SUMIFS(AN_TME_PY[[#All],[TOTAL Truncated Unadjusted Claims Expenses (A21 -A19)]], AN_TME_PY[[#All],[Insurance Category Code]],1, AN_TME_PY[[#All],[Advanced Network/Insurance Carrier Org ID]],Q121), 2)</f>
        <v>1</v>
      </c>
      <c r="AD121" s="529" t="b">
        <f>ROUND(SUMIFS(AN_TME_PY[[#All],[TOTAL Truncated Unadjusted Claims Expenses (A21 -A19)]], AN_TME_PY[[#All],[Insurance Category Code]],1, AN_TME_PY[[#All],[Advanced Network/Insurance Carrier Org ID]],Q121)+SUMIFS(AN_TME_PY[[#All],[Total Claims Excluded because of Truncation]], AN_TME_PY[[#All],[Insurance Category Code]],1, AN_TME_PY[[#All],[Advanced Network/Insurance Carrier Org ID]],Q121), 2)=ROUND(SUMIFS(AN_TME_PY[[#All],[TOTAL Non-Truncated Unadjusted Claims Expenses]], AN_TME_PY[[#All],[Insurance Category Code]],1, AN_TME_PY[[#All],[Advanced Network/Insurance Carrier Org ID]],Q121), 2)</f>
        <v>1</v>
      </c>
      <c r="AF121" s="283" t="str">
        <f t="shared" si="8"/>
        <v>NA</v>
      </c>
    </row>
    <row r="122" spans="2:32" outlineLevel="1" x14ac:dyDescent="0.25">
      <c r="B122" s="216">
        <v>107</v>
      </c>
      <c r="C122" s="404">
        <f>ROUND(SUMIFS(Age_Sex_BY[[#All],[Total Member Months by Age/Sex Band]], Age_Sex_BY[[#All],[Advanced Network ID]], $B122, Age_Sex_BY[[#All],[Insurance Category Code]],1), 2)</f>
        <v>0</v>
      </c>
      <c r="D122" s="238">
        <f>ROUND(SUMIFS(Age_Sex_BY[[#All],[Total Dollars Excluded from Spending After Applying Truncation at the Member Level]], Age_Sex_BY[[#All],[Advanced Network ID]], $B122, Age_Sex_BY[[#All],[Insurance Category Code]],1), 2)</f>
        <v>0</v>
      </c>
      <c r="E122" s="209">
        <f>ROUND(SUMIFS(Age_Sex_BY[[#All],[Count of Members whose Spending was Truncated]], Age_Sex_BY[[#All],[Advanced Network ID]], $B122, Age_Sex_BY[[#All],[Insurance Category Code]],1),2)</f>
        <v>0</v>
      </c>
      <c r="F122" s="210">
        <f>ROUND(SUMIFS(Age_Sex_BY[[#All],[Total Spending before Truncation is Applied]], Age_Sex_BY[[#All],[Advanced Network ID]], $B122, Age_Sex_BY[[#All],[Insurance Category Code]],1), 2)</f>
        <v>0</v>
      </c>
      <c r="G122" s="212">
        <f>ROUND(SUMIFS(Age_Sex_BY[[#All],[Total Spending After Applying Truncation at the Member Level]], Age_Sex_BY[[#All],[Advanced Network ID]], $B122, Age_Sex_BY[[#All],[Insurance Category Code]],1), 2)</f>
        <v>0</v>
      </c>
      <c r="H122" s="525" t="str">
        <f>IF(ROUND(C122,0)=ROUND(SUMIFS(AN_TME_BY[[#All],[Member Months]], AN_TME_BY[[#All],[Insurance Category Code]],1, AN_TME_BY[[#All],[Advanced Network/Insurance Carrier Org ID]],B122),0), "TRUE", ROUND(C122-SUMIFS(AN_TME_BY[[#All],[Member Months]], AN_TME_BY[[#All],[Insurance Category Code]],1, AN_TME_BY[[#All],[Advanced Network/Insurance Carrier Org ID]],B122),2))</f>
        <v>TRUE</v>
      </c>
      <c r="I122" s="533" t="str">
        <f>IF(ROUND(D122,0)=ROUND(SUMIFS(AN_TME_BY[[#All],[Total Claims Excluded because of Truncation]], AN_TME_BY[[#All],[Insurance Category Code]],1, AN_TME_BY[[#All],[Advanced Network/Insurance Carrier Org ID]],B122),0), "TRUE", ROUND(D122-SUMIFS(AN_TME_BY[[#All],[Total Claims Excluded because of Truncation]], AN_TME_BY[[#All],[Insurance Category Code]],1, AN_TME_BY[[#All],[Advanced Network/Insurance Carrier Org ID]],B122),2))</f>
        <v>TRUE</v>
      </c>
      <c r="J122" s="537" t="str">
        <f>IF(ROUND(E122,0)=ROUND(SUMIFS(AN_TME_BY[[#All],[Count of Members with Claims Truncated]], AN_TME_BY[[#All],[Insurance Category Code]],1, AN_TME_BY[[#All],[Advanced Network/Insurance Carrier Org ID]],B122),0), "TRUE", ROUND(E122-SUMIFS(AN_TME_BY[[#All],[Count of Members with Claims Truncated]], AN_TME_BY[[#All],[Insurance Category Code]],1, AN_TME_BY[[#All],[Advanced Network/Insurance Carrier Org ID]],B122),2))</f>
        <v>TRUE</v>
      </c>
      <c r="K122" s="533" t="str">
        <f>IF(ROUND(F122,0)=ROUND(SUMIFS(AN_TME_BY[[#All],[TOTAL Non-Truncated Unadjusted Claims Expenses]], AN_TME_BY[[#All],[Insurance Category Code]],1, AN_TME_BY[[#All],[Advanced Network/Insurance Carrier Org ID]],B122),0), "TRUE", ROUND(F122-SUMIFS(AN_TME_BY[[#All],[TOTAL Non-Truncated Unadjusted Claims Expenses]], AN_TME_BY[[#All],[Insurance Category Code]],1, AN_TME_BY[[#All],[Advanced Network/Insurance Carrier Org ID]],B122),2))</f>
        <v>TRUE</v>
      </c>
      <c r="L122" s="534" t="str">
        <f>IF(ROUND(G122,0)=ROUND(SUMIFS(AN_TME_BY[[#All],[TOTAL Truncated Unadjusted Claims Expenses (A21 -A19)]], AN_TME_BY[[#All],[Insurance Category Code]],1, AN_TME_BY[[#All],[Advanced Network/Insurance Carrier Org ID]],B122),0), "TRUE", ROUND(G122-SUMIFS(AN_TME_BY[[#All],[TOTAL Truncated Unadjusted Claims Expenses (A21 -A19)]], AN_TME_BY[[#All],[Insurance Category Code]],1, AN_TME_BY[[#All],[Advanced Network/Insurance Carrier Org ID]],B122),2))</f>
        <v>TRUE</v>
      </c>
      <c r="M122" s="525" t="str">
        <f t="shared" si="7"/>
        <v>TRUE</v>
      </c>
      <c r="N122" s="533" t="b">
        <f>ROUND(SUMIFS(AN_TME_BY[[#All],[TOTAL Non-Truncated Unadjusted Claims Expenses]], AN_TME_BY[[#All],[Insurance Category Code]],1, AN_TME_BY[[#All],[Advanced Network/Insurance Carrier Org ID]],B122), 2)&gt;=ROUND(SUMIFS(AN_TME_BY[[#All],[TOTAL Truncated Unadjusted Claims Expenses (A21 -A19)]], AN_TME_BY[[#All],[Insurance Category Code]],1, AN_TME_BY[[#All],[Advanced Network/Insurance Carrier Org ID]],B122),2)</f>
        <v>1</v>
      </c>
      <c r="O122" s="534" t="b">
        <f>ROUND(SUMIFS(AN_TME_BY[[#All],[TOTAL Truncated Unadjusted Claims Expenses (A21 -A19)]], AN_TME_BY[[#All],[Insurance Category Code]],1, AN_TME_BY[[#All],[Advanced Network/Insurance Carrier Org ID]],B122)+SUMIFS(AN_TME_BY[[#All],[Total Claims Excluded because of Truncation]], AN_TME_BY[[#All],[Insurance Category Code]],1, AN_TME_BY[[#All],[Advanced Network/Insurance Carrier Org ID]],B122),2)=ROUND(SUMIFS(AN_TME_BY[[#All],[TOTAL Non-Truncated Unadjusted Claims Expenses]], AN_TME_BY[[#All],[Insurance Category Code]],1, AN_TME_BY[[#All],[Advanced Network/Insurance Carrier Org ID]],B122), 2)</f>
        <v>1</v>
      </c>
      <c r="Q122" s="216">
        <v>107</v>
      </c>
      <c r="R122" s="404">
        <f>ROUND(SUMIFS(Age_Sex_PY[[#All],[Total Member Months by Age/Sex Band]], Age_Sex_PY[[#All],[Advanced Network ID]], $Q122, Age_Sex_PY[[#All],[Insurance Category Code]],1), 2)</f>
        <v>0</v>
      </c>
      <c r="S122" s="238">
        <f>ROUND(SUMIFS(Age_Sex_PY[[#All],[Total Dollars Excluded from Spending After Applying Truncation at the Member Level]], Age_Sex_PY[[#All],[Advanced Network ID]], $B122, Age_Sex_PY[[#All],[Insurance Category Code]],1),2)</f>
        <v>0</v>
      </c>
      <c r="T122" s="209">
        <f>ROUND(SUMIFS(Age_Sex_PY[[#All],[Count of Members whose Spending was Truncated]], Age_Sex_PY[[#All],[Advanced Network ID]], $B122, Age_Sex_PY[[#All],[Insurance Category Code]],1), 2)</f>
        <v>0</v>
      </c>
      <c r="U122" s="210">
        <f>ROUND(SUMIFS(Age_Sex_PY[[#All],[Total Spending before Truncation is Applied]], Age_Sex_PY[[#All],[Advanced Network ID]], $B122, Age_Sex_PY[[#All],[Insurance Category Code]],1), 2)</f>
        <v>0</v>
      </c>
      <c r="V122" s="212">
        <f>ROUND(SUMIFS(Age_Sex_PY[[#All],[Total Spending After Applying Truncation at the Member Level]], Age_Sex_PY[[#All],[Advanced Network ID]], $B122, Age_Sex_PY[[#All],[Insurance Category Code]],1),2)</f>
        <v>0</v>
      </c>
      <c r="W122" s="525" t="str">
        <f>IF(ROUND(R122,0)=ROUND(SUMIFS(AN_TME_PY[[#All],[Member Months]], AN_TME_PY[[#All],[Insurance Category Code]],1, AN_TME_PY[[#All],[Advanced Network/Insurance Carrier Org ID]],Q122),0), "TRUE", ROUND(R122-SUMIFS(AN_TME_PY[[#All],[Member Months]], AN_TME_PY[[#All],[Insurance Category Code]],1, AN_TME_PY[[#All],[Advanced Network/Insurance Carrier Org ID]],Q122),2))</f>
        <v>TRUE</v>
      </c>
      <c r="X122" s="527" t="str">
        <f>IF(ROUND(S122,0)=ROUND(SUMIFS(AN_TME_PY[[#All],[Total Claims Excluded because of Truncation]], AN_TME_PY[[#All],[Insurance Category Code]],1, AN_TME_PY[[#All],[Advanced Network/Insurance Carrier Org ID]],Q122),0), "TRUE", ROUND(S122-SUMIFS(AN_TME_PY[[#All],[Total Claims Excluded because of Truncation]], AN_TME_PY[[#All],[Insurance Category Code]],1, AN_TME_PY[[#All],[Advanced Network/Insurance Carrier Org ID]],Q122),2))</f>
        <v>TRUE</v>
      </c>
      <c r="Y122" s="537" t="str">
        <f>IF(ROUND(T122,0)=ROUND(SUMIFS(AN_TME_PY[[#All],[Count of Members with Claims Truncated]], AN_TME_PY[[#All],[Insurance Category Code]],1, AN_TME_PY[[#All],[Advanced Network/Insurance Carrier Org ID]],Q122),0), "TRUE", ROUND(T122-SUMIFS(AN_TME_PY[[#All],[Count of Members with Claims Truncated]], AN_TME_PY[[#All],[Insurance Category Code]],1, AN_TME_PY[[#All],[Advanced Network/Insurance Carrier Org ID]],Q122),2))</f>
        <v>TRUE</v>
      </c>
      <c r="Z122" s="528" t="str">
        <f>IF(ROUND(U122,0)=ROUND(SUMIFS(AN_TME_PY[[#All],[TOTAL Non-Truncated Unadjusted Claims Expenses]], AN_TME_PY[[#All],[Insurance Category Code]],1, AN_TME_PY[[#All],[Advanced Network/Insurance Carrier Org ID]],Q122),0), "TRUE", ROUND(U122-SUMIFS(AN_TME_PY[[#All],[TOTAL Non-Truncated Unadjusted Claims Expenses]], AN_TME_PY[[#All],[Insurance Category Code]],1, AN_TME_PY[[#All],[Advanced Network/Insurance Carrier Org ID]],Q122),2))</f>
        <v>TRUE</v>
      </c>
      <c r="AA122" s="529" t="str">
        <f>IF(ROUND(V122,0)=ROUND(SUMIFS(AN_TME_PY[[#All],[TOTAL Truncated Unadjusted Claims Expenses (A21 -A19)]], AN_TME_PY[[#All],[Insurance Category Code]],1, AN_TME_PY[[#All],[Advanced Network/Insurance Carrier Org ID]],Q122),0), "TRUE", ROUND(V122-SUMIFS(AN_TME_PY[[#All],[TOTAL Truncated Unadjusted Claims Expenses (A21 -A19)]], AN_TME_PY[[#All],[Insurance Category Code]],1, AN_TME_PY[[#All],[Advanced Network/Insurance Carrier Org ID]],Q122),2))</f>
        <v>TRUE</v>
      </c>
      <c r="AB122" s="525" t="str">
        <f t="shared" si="9"/>
        <v>TRUE</v>
      </c>
      <c r="AC122" s="528" t="b">
        <f>ROUND(SUMIFS(AN_TME_PY[[#All],[TOTAL Non-Truncated Unadjusted Claims Expenses]], AN_TME_PY[[#All],[Insurance Category Code]],1, AN_TME_PY[[#All],[Advanced Network/Insurance Carrier Org ID]],Q122),2)&gt;=ROUND(SUMIFS(AN_TME_PY[[#All],[TOTAL Truncated Unadjusted Claims Expenses (A21 -A19)]], AN_TME_PY[[#All],[Insurance Category Code]],1, AN_TME_PY[[#All],[Advanced Network/Insurance Carrier Org ID]],Q122), 2)</f>
        <v>1</v>
      </c>
      <c r="AD122" s="529" t="b">
        <f>ROUND(SUMIFS(AN_TME_PY[[#All],[TOTAL Truncated Unadjusted Claims Expenses (A21 -A19)]], AN_TME_PY[[#All],[Insurance Category Code]],1, AN_TME_PY[[#All],[Advanced Network/Insurance Carrier Org ID]],Q122)+SUMIFS(AN_TME_PY[[#All],[Total Claims Excluded because of Truncation]], AN_TME_PY[[#All],[Insurance Category Code]],1, AN_TME_PY[[#All],[Advanced Network/Insurance Carrier Org ID]],Q122), 2)=ROUND(SUMIFS(AN_TME_PY[[#All],[TOTAL Non-Truncated Unadjusted Claims Expenses]], AN_TME_PY[[#All],[Insurance Category Code]],1, AN_TME_PY[[#All],[Advanced Network/Insurance Carrier Org ID]],Q122), 2)</f>
        <v>1</v>
      </c>
      <c r="AF122" s="283" t="str">
        <f t="shared" si="8"/>
        <v>NA</v>
      </c>
    </row>
    <row r="123" spans="2:32" outlineLevel="1" x14ac:dyDescent="0.25">
      <c r="B123" s="216">
        <v>108</v>
      </c>
      <c r="C123" s="404">
        <f>ROUND(SUMIFS(Age_Sex_BY[[#All],[Total Member Months by Age/Sex Band]], Age_Sex_BY[[#All],[Advanced Network ID]], $B123, Age_Sex_BY[[#All],[Insurance Category Code]],1), 2)</f>
        <v>0</v>
      </c>
      <c r="D123" s="238">
        <f>ROUND(SUMIFS(Age_Sex_BY[[#All],[Total Dollars Excluded from Spending After Applying Truncation at the Member Level]], Age_Sex_BY[[#All],[Advanced Network ID]], $B123, Age_Sex_BY[[#All],[Insurance Category Code]],1), 2)</f>
        <v>0</v>
      </c>
      <c r="E123" s="209">
        <f>ROUND(SUMIFS(Age_Sex_BY[[#All],[Count of Members whose Spending was Truncated]], Age_Sex_BY[[#All],[Advanced Network ID]], $B123, Age_Sex_BY[[#All],[Insurance Category Code]],1),2)</f>
        <v>0</v>
      </c>
      <c r="F123" s="210">
        <f>ROUND(SUMIFS(Age_Sex_BY[[#All],[Total Spending before Truncation is Applied]], Age_Sex_BY[[#All],[Advanced Network ID]], $B123, Age_Sex_BY[[#All],[Insurance Category Code]],1), 2)</f>
        <v>0</v>
      </c>
      <c r="G123" s="212">
        <f>ROUND(SUMIFS(Age_Sex_BY[[#All],[Total Spending After Applying Truncation at the Member Level]], Age_Sex_BY[[#All],[Advanced Network ID]], $B123, Age_Sex_BY[[#All],[Insurance Category Code]],1), 2)</f>
        <v>0</v>
      </c>
      <c r="H123" s="525" t="str">
        <f>IF(ROUND(C123,0)=ROUND(SUMIFS(AN_TME_BY[[#All],[Member Months]], AN_TME_BY[[#All],[Insurance Category Code]],1, AN_TME_BY[[#All],[Advanced Network/Insurance Carrier Org ID]],B123),0), "TRUE", ROUND(C123-SUMIFS(AN_TME_BY[[#All],[Member Months]], AN_TME_BY[[#All],[Insurance Category Code]],1, AN_TME_BY[[#All],[Advanced Network/Insurance Carrier Org ID]],B123),2))</f>
        <v>TRUE</v>
      </c>
      <c r="I123" s="533" t="str">
        <f>IF(ROUND(D123,0)=ROUND(SUMIFS(AN_TME_BY[[#All],[Total Claims Excluded because of Truncation]], AN_TME_BY[[#All],[Insurance Category Code]],1, AN_TME_BY[[#All],[Advanced Network/Insurance Carrier Org ID]],B123),0), "TRUE", ROUND(D123-SUMIFS(AN_TME_BY[[#All],[Total Claims Excluded because of Truncation]], AN_TME_BY[[#All],[Insurance Category Code]],1, AN_TME_BY[[#All],[Advanced Network/Insurance Carrier Org ID]],B123),2))</f>
        <v>TRUE</v>
      </c>
      <c r="J123" s="537" t="str">
        <f>IF(ROUND(E123,0)=ROUND(SUMIFS(AN_TME_BY[[#All],[Count of Members with Claims Truncated]], AN_TME_BY[[#All],[Insurance Category Code]],1, AN_TME_BY[[#All],[Advanced Network/Insurance Carrier Org ID]],B123),0), "TRUE", ROUND(E123-SUMIFS(AN_TME_BY[[#All],[Count of Members with Claims Truncated]], AN_TME_BY[[#All],[Insurance Category Code]],1, AN_TME_BY[[#All],[Advanced Network/Insurance Carrier Org ID]],B123),2))</f>
        <v>TRUE</v>
      </c>
      <c r="K123" s="533" t="str">
        <f>IF(ROUND(F123,0)=ROUND(SUMIFS(AN_TME_BY[[#All],[TOTAL Non-Truncated Unadjusted Claims Expenses]], AN_TME_BY[[#All],[Insurance Category Code]],1, AN_TME_BY[[#All],[Advanced Network/Insurance Carrier Org ID]],B123),0), "TRUE", ROUND(F123-SUMIFS(AN_TME_BY[[#All],[TOTAL Non-Truncated Unadjusted Claims Expenses]], AN_TME_BY[[#All],[Insurance Category Code]],1, AN_TME_BY[[#All],[Advanced Network/Insurance Carrier Org ID]],B123),2))</f>
        <v>TRUE</v>
      </c>
      <c r="L123" s="534" t="str">
        <f>IF(ROUND(G123,0)=ROUND(SUMIFS(AN_TME_BY[[#All],[TOTAL Truncated Unadjusted Claims Expenses (A21 -A19)]], AN_TME_BY[[#All],[Insurance Category Code]],1, AN_TME_BY[[#All],[Advanced Network/Insurance Carrier Org ID]],B123),0), "TRUE", ROUND(G123-SUMIFS(AN_TME_BY[[#All],[TOTAL Truncated Unadjusted Claims Expenses (A21 -A19)]], AN_TME_BY[[#All],[Insurance Category Code]],1, AN_TME_BY[[#All],[Advanced Network/Insurance Carrier Org ID]],B123),2))</f>
        <v>TRUE</v>
      </c>
      <c r="M123" s="525" t="str">
        <f t="shared" si="7"/>
        <v>TRUE</v>
      </c>
      <c r="N123" s="533" t="b">
        <f>ROUND(SUMIFS(AN_TME_BY[[#All],[TOTAL Non-Truncated Unadjusted Claims Expenses]], AN_TME_BY[[#All],[Insurance Category Code]],1, AN_TME_BY[[#All],[Advanced Network/Insurance Carrier Org ID]],B123), 2)&gt;=ROUND(SUMIFS(AN_TME_BY[[#All],[TOTAL Truncated Unadjusted Claims Expenses (A21 -A19)]], AN_TME_BY[[#All],[Insurance Category Code]],1, AN_TME_BY[[#All],[Advanced Network/Insurance Carrier Org ID]],B123),2)</f>
        <v>1</v>
      </c>
      <c r="O123" s="534" t="b">
        <f>ROUND(SUMIFS(AN_TME_BY[[#All],[TOTAL Truncated Unadjusted Claims Expenses (A21 -A19)]], AN_TME_BY[[#All],[Insurance Category Code]],1, AN_TME_BY[[#All],[Advanced Network/Insurance Carrier Org ID]],B123)+SUMIFS(AN_TME_BY[[#All],[Total Claims Excluded because of Truncation]], AN_TME_BY[[#All],[Insurance Category Code]],1, AN_TME_BY[[#All],[Advanced Network/Insurance Carrier Org ID]],B123),2)=ROUND(SUMIFS(AN_TME_BY[[#All],[TOTAL Non-Truncated Unadjusted Claims Expenses]], AN_TME_BY[[#All],[Insurance Category Code]],1, AN_TME_BY[[#All],[Advanced Network/Insurance Carrier Org ID]],B123), 2)</f>
        <v>1</v>
      </c>
      <c r="Q123" s="216">
        <v>108</v>
      </c>
      <c r="R123" s="404">
        <f>ROUND(SUMIFS(Age_Sex_PY[[#All],[Total Member Months by Age/Sex Band]], Age_Sex_PY[[#All],[Advanced Network ID]], $Q123, Age_Sex_PY[[#All],[Insurance Category Code]],1), 2)</f>
        <v>0</v>
      </c>
      <c r="S123" s="238">
        <f>ROUND(SUMIFS(Age_Sex_PY[[#All],[Total Dollars Excluded from Spending After Applying Truncation at the Member Level]], Age_Sex_PY[[#All],[Advanced Network ID]], $B123, Age_Sex_PY[[#All],[Insurance Category Code]],1),2)</f>
        <v>0</v>
      </c>
      <c r="T123" s="209">
        <f>ROUND(SUMIFS(Age_Sex_PY[[#All],[Count of Members whose Spending was Truncated]], Age_Sex_PY[[#All],[Advanced Network ID]], $B123, Age_Sex_PY[[#All],[Insurance Category Code]],1), 2)</f>
        <v>0</v>
      </c>
      <c r="U123" s="210">
        <f>ROUND(SUMIFS(Age_Sex_PY[[#All],[Total Spending before Truncation is Applied]], Age_Sex_PY[[#All],[Advanced Network ID]], $B123, Age_Sex_PY[[#All],[Insurance Category Code]],1), 2)</f>
        <v>0</v>
      </c>
      <c r="V123" s="212">
        <f>ROUND(SUMIFS(Age_Sex_PY[[#All],[Total Spending After Applying Truncation at the Member Level]], Age_Sex_PY[[#All],[Advanced Network ID]], $B123, Age_Sex_PY[[#All],[Insurance Category Code]],1),2)</f>
        <v>0</v>
      </c>
      <c r="W123" s="525" t="str">
        <f>IF(ROUND(R123,0)=ROUND(SUMIFS(AN_TME_PY[[#All],[Member Months]], AN_TME_PY[[#All],[Insurance Category Code]],1, AN_TME_PY[[#All],[Advanced Network/Insurance Carrier Org ID]],Q123),0), "TRUE", ROUND(R123-SUMIFS(AN_TME_PY[[#All],[Member Months]], AN_TME_PY[[#All],[Insurance Category Code]],1, AN_TME_PY[[#All],[Advanced Network/Insurance Carrier Org ID]],Q123),2))</f>
        <v>TRUE</v>
      </c>
      <c r="X123" s="527" t="str">
        <f>IF(ROUND(S123,0)=ROUND(SUMIFS(AN_TME_PY[[#All],[Total Claims Excluded because of Truncation]], AN_TME_PY[[#All],[Insurance Category Code]],1, AN_TME_PY[[#All],[Advanced Network/Insurance Carrier Org ID]],Q123),0), "TRUE", ROUND(S123-SUMIFS(AN_TME_PY[[#All],[Total Claims Excluded because of Truncation]], AN_TME_PY[[#All],[Insurance Category Code]],1, AN_TME_PY[[#All],[Advanced Network/Insurance Carrier Org ID]],Q123),2))</f>
        <v>TRUE</v>
      </c>
      <c r="Y123" s="537" t="str">
        <f>IF(ROUND(T123,0)=ROUND(SUMIFS(AN_TME_PY[[#All],[Count of Members with Claims Truncated]], AN_TME_PY[[#All],[Insurance Category Code]],1, AN_TME_PY[[#All],[Advanced Network/Insurance Carrier Org ID]],Q123),0), "TRUE", ROUND(T123-SUMIFS(AN_TME_PY[[#All],[Count of Members with Claims Truncated]], AN_TME_PY[[#All],[Insurance Category Code]],1, AN_TME_PY[[#All],[Advanced Network/Insurance Carrier Org ID]],Q123),2))</f>
        <v>TRUE</v>
      </c>
      <c r="Z123" s="528" t="str">
        <f>IF(ROUND(U123,0)=ROUND(SUMIFS(AN_TME_PY[[#All],[TOTAL Non-Truncated Unadjusted Claims Expenses]], AN_TME_PY[[#All],[Insurance Category Code]],1, AN_TME_PY[[#All],[Advanced Network/Insurance Carrier Org ID]],Q123),0), "TRUE", ROUND(U123-SUMIFS(AN_TME_PY[[#All],[TOTAL Non-Truncated Unadjusted Claims Expenses]], AN_TME_PY[[#All],[Insurance Category Code]],1, AN_TME_PY[[#All],[Advanced Network/Insurance Carrier Org ID]],Q123),2))</f>
        <v>TRUE</v>
      </c>
      <c r="AA123" s="529" t="str">
        <f>IF(ROUND(V123,0)=ROUND(SUMIFS(AN_TME_PY[[#All],[TOTAL Truncated Unadjusted Claims Expenses (A21 -A19)]], AN_TME_PY[[#All],[Insurance Category Code]],1, AN_TME_PY[[#All],[Advanced Network/Insurance Carrier Org ID]],Q123),0), "TRUE", ROUND(V123-SUMIFS(AN_TME_PY[[#All],[TOTAL Truncated Unadjusted Claims Expenses (A21 -A19)]], AN_TME_PY[[#All],[Insurance Category Code]],1, AN_TME_PY[[#All],[Advanced Network/Insurance Carrier Org ID]],Q123),2))</f>
        <v>TRUE</v>
      </c>
      <c r="AB123" s="525" t="str">
        <f t="shared" si="9"/>
        <v>TRUE</v>
      </c>
      <c r="AC123" s="528" t="b">
        <f>ROUND(SUMIFS(AN_TME_PY[[#All],[TOTAL Non-Truncated Unadjusted Claims Expenses]], AN_TME_PY[[#All],[Insurance Category Code]],1, AN_TME_PY[[#All],[Advanced Network/Insurance Carrier Org ID]],Q123),2)&gt;=ROUND(SUMIFS(AN_TME_PY[[#All],[TOTAL Truncated Unadjusted Claims Expenses (A21 -A19)]], AN_TME_PY[[#All],[Insurance Category Code]],1, AN_TME_PY[[#All],[Advanced Network/Insurance Carrier Org ID]],Q123), 2)</f>
        <v>1</v>
      </c>
      <c r="AD123" s="529" t="b">
        <f>ROUND(SUMIFS(AN_TME_PY[[#All],[TOTAL Truncated Unadjusted Claims Expenses (A21 -A19)]], AN_TME_PY[[#All],[Insurance Category Code]],1, AN_TME_PY[[#All],[Advanced Network/Insurance Carrier Org ID]],Q123)+SUMIFS(AN_TME_PY[[#All],[Total Claims Excluded because of Truncation]], AN_TME_PY[[#All],[Insurance Category Code]],1, AN_TME_PY[[#All],[Advanced Network/Insurance Carrier Org ID]],Q123), 2)=ROUND(SUMIFS(AN_TME_PY[[#All],[TOTAL Non-Truncated Unadjusted Claims Expenses]], AN_TME_PY[[#All],[Insurance Category Code]],1, AN_TME_PY[[#All],[Advanced Network/Insurance Carrier Org ID]],Q123), 2)</f>
        <v>1</v>
      </c>
      <c r="AF123" s="283" t="str">
        <f t="shared" si="8"/>
        <v>NA</v>
      </c>
    </row>
    <row r="124" spans="2:32" outlineLevel="1" x14ac:dyDescent="0.25">
      <c r="B124" s="216">
        <v>109</v>
      </c>
      <c r="C124" s="404">
        <f>ROUND(SUMIFS(Age_Sex_BY[[#All],[Total Member Months by Age/Sex Band]], Age_Sex_BY[[#All],[Advanced Network ID]], $B124, Age_Sex_BY[[#All],[Insurance Category Code]],1), 2)</f>
        <v>0</v>
      </c>
      <c r="D124" s="238">
        <f>ROUND(SUMIFS(Age_Sex_BY[[#All],[Total Dollars Excluded from Spending After Applying Truncation at the Member Level]], Age_Sex_BY[[#All],[Advanced Network ID]], $B124, Age_Sex_BY[[#All],[Insurance Category Code]],1), 2)</f>
        <v>0</v>
      </c>
      <c r="E124" s="209">
        <f>ROUND(SUMIFS(Age_Sex_BY[[#All],[Count of Members whose Spending was Truncated]], Age_Sex_BY[[#All],[Advanced Network ID]], $B124, Age_Sex_BY[[#All],[Insurance Category Code]],1),2)</f>
        <v>0</v>
      </c>
      <c r="F124" s="210">
        <f>ROUND(SUMIFS(Age_Sex_BY[[#All],[Total Spending before Truncation is Applied]], Age_Sex_BY[[#All],[Advanced Network ID]], $B124, Age_Sex_BY[[#All],[Insurance Category Code]],1), 2)</f>
        <v>0</v>
      </c>
      <c r="G124" s="212">
        <f>ROUND(SUMIFS(Age_Sex_BY[[#All],[Total Spending After Applying Truncation at the Member Level]], Age_Sex_BY[[#All],[Advanced Network ID]], $B124, Age_Sex_BY[[#All],[Insurance Category Code]],1), 2)</f>
        <v>0</v>
      </c>
      <c r="H124" s="525" t="str">
        <f>IF(ROUND(C124,0)=ROUND(SUMIFS(AN_TME_BY[[#All],[Member Months]], AN_TME_BY[[#All],[Insurance Category Code]],1, AN_TME_BY[[#All],[Advanced Network/Insurance Carrier Org ID]],B124),0), "TRUE", ROUND(C124-SUMIFS(AN_TME_BY[[#All],[Member Months]], AN_TME_BY[[#All],[Insurance Category Code]],1, AN_TME_BY[[#All],[Advanced Network/Insurance Carrier Org ID]],B124),2))</f>
        <v>TRUE</v>
      </c>
      <c r="I124" s="533" t="str">
        <f>IF(ROUND(D124,0)=ROUND(SUMIFS(AN_TME_BY[[#All],[Total Claims Excluded because of Truncation]], AN_TME_BY[[#All],[Insurance Category Code]],1, AN_TME_BY[[#All],[Advanced Network/Insurance Carrier Org ID]],B124),0), "TRUE", ROUND(D124-SUMIFS(AN_TME_BY[[#All],[Total Claims Excluded because of Truncation]], AN_TME_BY[[#All],[Insurance Category Code]],1, AN_TME_BY[[#All],[Advanced Network/Insurance Carrier Org ID]],B124),2))</f>
        <v>TRUE</v>
      </c>
      <c r="J124" s="537" t="str">
        <f>IF(ROUND(E124,0)=ROUND(SUMIFS(AN_TME_BY[[#All],[Count of Members with Claims Truncated]], AN_TME_BY[[#All],[Insurance Category Code]],1, AN_TME_BY[[#All],[Advanced Network/Insurance Carrier Org ID]],B124),0), "TRUE", ROUND(E124-SUMIFS(AN_TME_BY[[#All],[Count of Members with Claims Truncated]], AN_TME_BY[[#All],[Insurance Category Code]],1, AN_TME_BY[[#All],[Advanced Network/Insurance Carrier Org ID]],B124),2))</f>
        <v>TRUE</v>
      </c>
      <c r="K124" s="533" t="str">
        <f>IF(ROUND(F124,0)=ROUND(SUMIFS(AN_TME_BY[[#All],[TOTAL Non-Truncated Unadjusted Claims Expenses]], AN_TME_BY[[#All],[Insurance Category Code]],1, AN_TME_BY[[#All],[Advanced Network/Insurance Carrier Org ID]],B124),0), "TRUE", ROUND(F124-SUMIFS(AN_TME_BY[[#All],[TOTAL Non-Truncated Unadjusted Claims Expenses]], AN_TME_BY[[#All],[Insurance Category Code]],1, AN_TME_BY[[#All],[Advanced Network/Insurance Carrier Org ID]],B124),2))</f>
        <v>TRUE</v>
      </c>
      <c r="L124" s="534" t="str">
        <f>IF(ROUND(G124,0)=ROUND(SUMIFS(AN_TME_BY[[#All],[TOTAL Truncated Unadjusted Claims Expenses (A21 -A19)]], AN_TME_BY[[#All],[Insurance Category Code]],1, AN_TME_BY[[#All],[Advanced Network/Insurance Carrier Org ID]],B124),0), "TRUE", ROUND(G124-SUMIFS(AN_TME_BY[[#All],[TOTAL Truncated Unadjusted Claims Expenses (A21 -A19)]], AN_TME_BY[[#All],[Insurance Category Code]],1, AN_TME_BY[[#All],[Advanced Network/Insurance Carrier Org ID]],B124),2))</f>
        <v>TRUE</v>
      </c>
      <c r="M124" s="525" t="str">
        <f t="shared" si="7"/>
        <v>TRUE</v>
      </c>
      <c r="N124" s="533" t="b">
        <f>ROUND(SUMIFS(AN_TME_BY[[#All],[TOTAL Non-Truncated Unadjusted Claims Expenses]], AN_TME_BY[[#All],[Insurance Category Code]],1, AN_TME_BY[[#All],[Advanced Network/Insurance Carrier Org ID]],B124), 2)&gt;=ROUND(SUMIFS(AN_TME_BY[[#All],[TOTAL Truncated Unadjusted Claims Expenses (A21 -A19)]], AN_TME_BY[[#All],[Insurance Category Code]],1, AN_TME_BY[[#All],[Advanced Network/Insurance Carrier Org ID]],B124),2)</f>
        <v>1</v>
      </c>
      <c r="O124" s="534" t="b">
        <f>ROUND(SUMIFS(AN_TME_BY[[#All],[TOTAL Truncated Unadjusted Claims Expenses (A21 -A19)]], AN_TME_BY[[#All],[Insurance Category Code]],1, AN_TME_BY[[#All],[Advanced Network/Insurance Carrier Org ID]],B124)+SUMIFS(AN_TME_BY[[#All],[Total Claims Excluded because of Truncation]], AN_TME_BY[[#All],[Insurance Category Code]],1, AN_TME_BY[[#All],[Advanced Network/Insurance Carrier Org ID]],B124),2)=ROUND(SUMIFS(AN_TME_BY[[#All],[TOTAL Non-Truncated Unadjusted Claims Expenses]], AN_TME_BY[[#All],[Insurance Category Code]],1, AN_TME_BY[[#All],[Advanced Network/Insurance Carrier Org ID]],B124), 2)</f>
        <v>1</v>
      </c>
      <c r="Q124" s="216">
        <v>109</v>
      </c>
      <c r="R124" s="404">
        <f>ROUND(SUMIFS(Age_Sex_PY[[#All],[Total Member Months by Age/Sex Band]], Age_Sex_PY[[#All],[Advanced Network ID]], $Q124, Age_Sex_PY[[#All],[Insurance Category Code]],1), 2)</f>
        <v>0</v>
      </c>
      <c r="S124" s="238">
        <f>ROUND(SUMIFS(Age_Sex_PY[[#All],[Total Dollars Excluded from Spending After Applying Truncation at the Member Level]], Age_Sex_PY[[#All],[Advanced Network ID]], $B124, Age_Sex_PY[[#All],[Insurance Category Code]],1),2)</f>
        <v>0</v>
      </c>
      <c r="T124" s="209">
        <f>ROUND(SUMIFS(Age_Sex_PY[[#All],[Count of Members whose Spending was Truncated]], Age_Sex_PY[[#All],[Advanced Network ID]], $B124, Age_Sex_PY[[#All],[Insurance Category Code]],1), 2)</f>
        <v>0</v>
      </c>
      <c r="U124" s="210">
        <f>ROUND(SUMIFS(Age_Sex_PY[[#All],[Total Spending before Truncation is Applied]], Age_Sex_PY[[#All],[Advanced Network ID]], $B124, Age_Sex_PY[[#All],[Insurance Category Code]],1), 2)</f>
        <v>0</v>
      </c>
      <c r="V124" s="212">
        <f>ROUND(SUMIFS(Age_Sex_PY[[#All],[Total Spending After Applying Truncation at the Member Level]], Age_Sex_PY[[#All],[Advanced Network ID]], $B124, Age_Sex_PY[[#All],[Insurance Category Code]],1),2)</f>
        <v>0</v>
      </c>
      <c r="W124" s="525" t="str">
        <f>IF(ROUND(R124,0)=ROUND(SUMIFS(AN_TME_PY[[#All],[Member Months]], AN_TME_PY[[#All],[Insurance Category Code]],1, AN_TME_PY[[#All],[Advanced Network/Insurance Carrier Org ID]],Q124),0), "TRUE", ROUND(R124-SUMIFS(AN_TME_PY[[#All],[Member Months]], AN_TME_PY[[#All],[Insurance Category Code]],1, AN_TME_PY[[#All],[Advanced Network/Insurance Carrier Org ID]],Q124),2))</f>
        <v>TRUE</v>
      </c>
      <c r="X124" s="527" t="str">
        <f>IF(ROUND(S124,0)=ROUND(SUMIFS(AN_TME_PY[[#All],[Total Claims Excluded because of Truncation]], AN_TME_PY[[#All],[Insurance Category Code]],1, AN_TME_PY[[#All],[Advanced Network/Insurance Carrier Org ID]],Q124),0), "TRUE", ROUND(S124-SUMIFS(AN_TME_PY[[#All],[Total Claims Excluded because of Truncation]], AN_TME_PY[[#All],[Insurance Category Code]],1, AN_TME_PY[[#All],[Advanced Network/Insurance Carrier Org ID]],Q124),2))</f>
        <v>TRUE</v>
      </c>
      <c r="Y124" s="537" t="str">
        <f>IF(ROUND(T124,0)=ROUND(SUMIFS(AN_TME_PY[[#All],[Count of Members with Claims Truncated]], AN_TME_PY[[#All],[Insurance Category Code]],1, AN_TME_PY[[#All],[Advanced Network/Insurance Carrier Org ID]],Q124),0), "TRUE", ROUND(T124-SUMIFS(AN_TME_PY[[#All],[Count of Members with Claims Truncated]], AN_TME_PY[[#All],[Insurance Category Code]],1, AN_TME_PY[[#All],[Advanced Network/Insurance Carrier Org ID]],Q124),2))</f>
        <v>TRUE</v>
      </c>
      <c r="Z124" s="528" t="str">
        <f>IF(ROUND(U124,0)=ROUND(SUMIFS(AN_TME_PY[[#All],[TOTAL Non-Truncated Unadjusted Claims Expenses]], AN_TME_PY[[#All],[Insurance Category Code]],1, AN_TME_PY[[#All],[Advanced Network/Insurance Carrier Org ID]],Q124),0), "TRUE", ROUND(U124-SUMIFS(AN_TME_PY[[#All],[TOTAL Non-Truncated Unadjusted Claims Expenses]], AN_TME_PY[[#All],[Insurance Category Code]],1, AN_TME_PY[[#All],[Advanced Network/Insurance Carrier Org ID]],Q124),2))</f>
        <v>TRUE</v>
      </c>
      <c r="AA124" s="529" t="str">
        <f>IF(ROUND(V124,0)=ROUND(SUMIFS(AN_TME_PY[[#All],[TOTAL Truncated Unadjusted Claims Expenses (A21 -A19)]], AN_TME_PY[[#All],[Insurance Category Code]],1, AN_TME_PY[[#All],[Advanced Network/Insurance Carrier Org ID]],Q124),0), "TRUE", ROUND(V124-SUMIFS(AN_TME_PY[[#All],[TOTAL Truncated Unadjusted Claims Expenses (A21 -A19)]], AN_TME_PY[[#All],[Insurance Category Code]],1, AN_TME_PY[[#All],[Advanced Network/Insurance Carrier Org ID]],Q124),2))</f>
        <v>TRUE</v>
      </c>
      <c r="AB124" s="525" t="str">
        <f t="shared" si="9"/>
        <v>TRUE</v>
      </c>
      <c r="AC124" s="528" t="b">
        <f>ROUND(SUMIFS(AN_TME_PY[[#All],[TOTAL Non-Truncated Unadjusted Claims Expenses]], AN_TME_PY[[#All],[Insurance Category Code]],1, AN_TME_PY[[#All],[Advanced Network/Insurance Carrier Org ID]],Q124),2)&gt;=ROUND(SUMIFS(AN_TME_PY[[#All],[TOTAL Truncated Unadjusted Claims Expenses (A21 -A19)]], AN_TME_PY[[#All],[Insurance Category Code]],1, AN_TME_PY[[#All],[Advanced Network/Insurance Carrier Org ID]],Q124), 2)</f>
        <v>1</v>
      </c>
      <c r="AD124" s="529" t="b">
        <f>ROUND(SUMIFS(AN_TME_PY[[#All],[TOTAL Truncated Unadjusted Claims Expenses (A21 -A19)]], AN_TME_PY[[#All],[Insurance Category Code]],1, AN_TME_PY[[#All],[Advanced Network/Insurance Carrier Org ID]],Q124)+SUMIFS(AN_TME_PY[[#All],[Total Claims Excluded because of Truncation]], AN_TME_PY[[#All],[Insurance Category Code]],1, AN_TME_PY[[#All],[Advanced Network/Insurance Carrier Org ID]],Q124), 2)=ROUND(SUMIFS(AN_TME_PY[[#All],[TOTAL Non-Truncated Unadjusted Claims Expenses]], AN_TME_PY[[#All],[Insurance Category Code]],1, AN_TME_PY[[#All],[Advanced Network/Insurance Carrier Org ID]],Q124), 2)</f>
        <v>1</v>
      </c>
      <c r="AF124" s="283" t="str">
        <f t="shared" si="8"/>
        <v>NA</v>
      </c>
    </row>
    <row r="125" spans="2:32" outlineLevel="1" x14ac:dyDescent="0.25">
      <c r="B125" s="216">
        <v>110</v>
      </c>
      <c r="C125" s="404">
        <f>ROUND(SUMIFS(Age_Sex_BY[[#All],[Total Member Months by Age/Sex Band]], Age_Sex_BY[[#All],[Advanced Network ID]], $B125, Age_Sex_BY[[#All],[Insurance Category Code]],1), 2)</f>
        <v>0</v>
      </c>
      <c r="D125" s="238">
        <f>ROUND(SUMIFS(Age_Sex_BY[[#All],[Total Dollars Excluded from Spending After Applying Truncation at the Member Level]], Age_Sex_BY[[#All],[Advanced Network ID]], $B125, Age_Sex_BY[[#All],[Insurance Category Code]],1), 2)</f>
        <v>0</v>
      </c>
      <c r="E125" s="209">
        <f>ROUND(SUMIFS(Age_Sex_BY[[#All],[Count of Members whose Spending was Truncated]], Age_Sex_BY[[#All],[Advanced Network ID]], $B125, Age_Sex_BY[[#All],[Insurance Category Code]],1),2)</f>
        <v>0</v>
      </c>
      <c r="F125" s="210">
        <f>ROUND(SUMIFS(Age_Sex_BY[[#All],[Total Spending before Truncation is Applied]], Age_Sex_BY[[#All],[Advanced Network ID]], $B125, Age_Sex_BY[[#All],[Insurance Category Code]],1), 2)</f>
        <v>0</v>
      </c>
      <c r="G125" s="212">
        <f>ROUND(SUMIFS(Age_Sex_BY[[#All],[Total Spending After Applying Truncation at the Member Level]], Age_Sex_BY[[#All],[Advanced Network ID]], $B125, Age_Sex_BY[[#All],[Insurance Category Code]],1), 2)</f>
        <v>0</v>
      </c>
      <c r="H125" s="525" t="str">
        <f>IF(ROUND(C125,0)=ROUND(SUMIFS(AN_TME_BY[[#All],[Member Months]], AN_TME_BY[[#All],[Insurance Category Code]],1, AN_TME_BY[[#All],[Advanced Network/Insurance Carrier Org ID]],B125),0), "TRUE", ROUND(C125-SUMIFS(AN_TME_BY[[#All],[Member Months]], AN_TME_BY[[#All],[Insurance Category Code]],1, AN_TME_BY[[#All],[Advanced Network/Insurance Carrier Org ID]],B125),2))</f>
        <v>TRUE</v>
      </c>
      <c r="I125" s="533" t="str">
        <f>IF(ROUND(D125,0)=ROUND(SUMIFS(AN_TME_BY[[#All],[Total Claims Excluded because of Truncation]], AN_TME_BY[[#All],[Insurance Category Code]],1, AN_TME_BY[[#All],[Advanced Network/Insurance Carrier Org ID]],B125),0), "TRUE", ROUND(D125-SUMIFS(AN_TME_BY[[#All],[Total Claims Excluded because of Truncation]], AN_TME_BY[[#All],[Insurance Category Code]],1, AN_TME_BY[[#All],[Advanced Network/Insurance Carrier Org ID]],B125),2))</f>
        <v>TRUE</v>
      </c>
      <c r="J125" s="537" t="str">
        <f>IF(ROUND(E125,0)=ROUND(SUMIFS(AN_TME_BY[[#All],[Count of Members with Claims Truncated]], AN_TME_BY[[#All],[Insurance Category Code]],1, AN_TME_BY[[#All],[Advanced Network/Insurance Carrier Org ID]],B125),0), "TRUE", ROUND(E125-SUMIFS(AN_TME_BY[[#All],[Count of Members with Claims Truncated]], AN_TME_BY[[#All],[Insurance Category Code]],1, AN_TME_BY[[#All],[Advanced Network/Insurance Carrier Org ID]],B125),2))</f>
        <v>TRUE</v>
      </c>
      <c r="K125" s="533" t="str">
        <f>IF(ROUND(F125,0)=ROUND(SUMIFS(AN_TME_BY[[#All],[TOTAL Non-Truncated Unadjusted Claims Expenses]], AN_TME_BY[[#All],[Insurance Category Code]],1, AN_TME_BY[[#All],[Advanced Network/Insurance Carrier Org ID]],B125),0), "TRUE", ROUND(F125-SUMIFS(AN_TME_BY[[#All],[TOTAL Non-Truncated Unadjusted Claims Expenses]], AN_TME_BY[[#All],[Insurance Category Code]],1, AN_TME_BY[[#All],[Advanced Network/Insurance Carrier Org ID]],B125),2))</f>
        <v>TRUE</v>
      </c>
      <c r="L125" s="534" t="str">
        <f>IF(ROUND(G125,0)=ROUND(SUMIFS(AN_TME_BY[[#All],[TOTAL Truncated Unadjusted Claims Expenses (A21 -A19)]], AN_TME_BY[[#All],[Insurance Category Code]],1, AN_TME_BY[[#All],[Advanced Network/Insurance Carrier Org ID]],B125),0), "TRUE", ROUND(G125-SUMIFS(AN_TME_BY[[#All],[TOTAL Truncated Unadjusted Claims Expenses (A21 -A19)]], AN_TME_BY[[#All],[Insurance Category Code]],1, AN_TME_BY[[#All],[Advanced Network/Insurance Carrier Org ID]],B125),2))</f>
        <v>TRUE</v>
      </c>
      <c r="M125" s="525" t="str">
        <f t="shared" si="7"/>
        <v>TRUE</v>
      </c>
      <c r="N125" s="533" t="b">
        <f>ROUND(SUMIFS(AN_TME_BY[[#All],[TOTAL Non-Truncated Unadjusted Claims Expenses]], AN_TME_BY[[#All],[Insurance Category Code]],1, AN_TME_BY[[#All],[Advanced Network/Insurance Carrier Org ID]],B125), 2)&gt;=ROUND(SUMIFS(AN_TME_BY[[#All],[TOTAL Truncated Unadjusted Claims Expenses (A21 -A19)]], AN_TME_BY[[#All],[Insurance Category Code]],1, AN_TME_BY[[#All],[Advanced Network/Insurance Carrier Org ID]],B125),2)</f>
        <v>1</v>
      </c>
      <c r="O125" s="534" t="b">
        <f>ROUND(SUMIFS(AN_TME_BY[[#All],[TOTAL Truncated Unadjusted Claims Expenses (A21 -A19)]], AN_TME_BY[[#All],[Insurance Category Code]],1, AN_TME_BY[[#All],[Advanced Network/Insurance Carrier Org ID]],B125)+SUMIFS(AN_TME_BY[[#All],[Total Claims Excluded because of Truncation]], AN_TME_BY[[#All],[Insurance Category Code]],1, AN_TME_BY[[#All],[Advanced Network/Insurance Carrier Org ID]],B125),2)=ROUND(SUMIFS(AN_TME_BY[[#All],[TOTAL Non-Truncated Unadjusted Claims Expenses]], AN_TME_BY[[#All],[Insurance Category Code]],1, AN_TME_BY[[#All],[Advanced Network/Insurance Carrier Org ID]],B125), 2)</f>
        <v>1</v>
      </c>
      <c r="Q125" s="216">
        <v>110</v>
      </c>
      <c r="R125" s="404">
        <f>ROUND(SUMIFS(Age_Sex_PY[[#All],[Total Member Months by Age/Sex Band]], Age_Sex_PY[[#All],[Advanced Network ID]], $Q125, Age_Sex_PY[[#All],[Insurance Category Code]],1), 2)</f>
        <v>0</v>
      </c>
      <c r="S125" s="238">
        <f>ROUND(SUMIFS(Age_Sex_PY[[#All],[Total Dollars Excluded from Spending After Applying Truncation at the Member Level]], Age_Sex_PY[[#All],[Advanced Network ID]], $B125, Age_Sex_PY[[#All],[Insurance Category Code]],1),2)</f>
        <v>0</v>
      </c>
      <c r="T125" s="209">
        <f>ROUND(SUMIFS(Age_Sex_PY[[#All],[Count of Members whose Spending was Truncated]], Age_Sex_PY[[#All],[Advanced Network ID]], $B125, Age_Sex_PY[[#All],[Insurance Category Code]],1), 2)</f>
        <v>0</v>
      </c>
      <c r="U125" s="210">
        <f>ROUND(SUMIFS(Age_Sex_PY[[#All],[Total Spending before Truncation is Applied]], Age_Sex_PY[[#All],[Advanced Network ID]], $B125, Age_Sex_PY[[#All],[Insurance Category Code]],1), 2)</f>
        <v>0</v>
      </c>
      <c r="V125" s="212">
        <f>ROUND(SUMIFS(Age_Sex_PY[[#All],[Total Spending After Applying Truncation at the Member Level]], Age_Sex_PY[[#All],[Advanced Network ID]], $B125, Age_Sex_PY[[#All],[Insurance Category Code]],1),2)</f>
        <v>0</v>
      </c>
      <c r="W125" s="525" t="str">
        <f>IF(ROUND(R125,0)=ROUND(SUMIFS(AN_TME_PY[[#All],[Member Months]], AN_TME_PY[[#All],[Insurance Category Code]],1, AN_TME_PY[[#All],[Advanced Network/Insurance Carrier Org ID]],Q125),0), "TRUE", ROUND(R125-SUMIFS(AN_TME_PY[[#All],[Member Months]], AN_TME_PY[[#All],[Insurance Category Code]],1, AN_TME_PY[[#All],[Advanced Network/Insurance Carrier Org ID]],Q125),2))</f>
        <v>TRUE</v>
      </c>
      <c r="X125" s="527" t="str">
        <f>IF(ROUND(S125,0)=ROUND(SUMIFS(AN_TME_PY[[#All],[Total Claims Excluded because of Truncation]], AN_TME_PY[[#All],[Insurance Category Code]],1, AN_TME_PY[[#All],[Advanced Network/Insurance Carrier Org ID]],Q125),0), "TRUE", ROUND(S125-SUMIFS(AN_TME_PY[[#All],[Total Claims Excluded because of Truncation]], AN_TME_PY[[#All],[Insurance Category Code]],1, AN_TME_PY[[#All],[Advanced Network/Insurance Carrier Org ID]],Q125),2))</f>
        <v>TRUE</v>
      </c>
      <c r="Y125" s="537" t="str">
        <f>IF(ROUND(T125,0)=ROUND(SUMIFS(AN_TME_PY[[#All],[Count of Members with Claims Truncated]], AN_TME_PY[[#All],[Insurance Category Code]],1, AN_TME_PY[[#All],[Advanced Network/Insurance Carrier Org ID]],Q125),0), "TRUE", ROUND(T125-SUMIFS(AN_TME_PY[[#All],[Count of Members with Claims Truncated]], AN_TME_PY[[#All],[Insurance Category Code]],1, AN_TME_PY[[#All],[Advanced Network/Insurance Carrier Org ID]],Q125),2))</f>
        <v>TRUE</v>
      </c>
      <c r="Z125" s="528" t="str">
        <f>IF(ROUND(U125,0)=ROUND(SUMIFS(AN_TME_PY[[#All],[TOTAL Non-Truncated Unadjusted Claims Expenses]], AN_TME_PY[[#All],[Insurance Category Code]],1, AN_TME_PY[[#All],[Advanced Network/Insurance Carrier Org ID]],Q125),0), "TRUE", ROUND(U125-SUMIFS(AN_TME_PY[[#All],[TOTAL Non-Truncated Unadjusted Claims Expenses]], AN_TME_PY[[#All],[Insurance Category Code]],1, AN_TME_PY[[#All],[Advanced Network/Insurance Carrier Org ID]],Q125),2))</f>
        <v>TRUE</v>
      </c>
      <c r="AA125" s="529" t="str">
        <f>IF(ROUND(V125,0)=ROUND(SUMIFS(AN_TME_PY[[#All],[TOTAL Truncated Unadjusted Claims Expenses (A21 -A19)]], AN_TME_PY[[#All],[Insurance Category Code]],1, AN_TME_PY[[#All],[Advanced Network/Insurance Carrier Org ID]],Q125),0), "TRUE", ROUND(V125-SUMIFS(AN_TME_PY[[#All],[TOTAL Truncated Unadjusted Claims Expenses (A21 -A19)]], AN_TME_PY[[#All],[Insurance Category Code]],1, AN_TME_PY[[#All],[Advanced Network/Insurance Carrier Org ID]],Q125),2))</f>
        <v>TRUE</v>
      </c>
      <c r="AB125" s="525" t="str">
        <f t="shared" si="9"/>
        <v>TRUE</v>
      </c>
      <c r="AC125" s="528" t="b">
        <f>ROUND(SUMIFS(AN_TME_PY[[#All],[TOTAL Non-Truncated Unadjusted Claims Expenses]], AN_TME_PY[[#All],[Insurance Category Code]],1, AN_TME_PY[[#All],[Advanced Network/Insurance Carrier Org ID]],Q125),2)&gt;=ROUND(SUMIFS(AN_TME_PY[[#All],[TOTAL Truncated Unadjusted Claims Expenses (A21 -A19)]], AN_TME_PY[[#All],[Insurance Category Code]],1, AN_TME_PY[[#All],[Advanced Network/Insurance Carrier Org ID]],Q125), 2)</f>
        <v>1</v>
      </c>
      <c r="AD125" s="529" t="b">
        <f>ROUND(SUMIFS(AN_TME_PY[[#All],[TOTAL Truncated Unadjusted Claims Expenses (A21 -A19)]], AN_TME_PY[[#All],[Insurance Category Code]],1, AN_TME_PY[[#All],[Advanced Network/Insurance Carrier Org ID]],Q125)+SUMIFS(AN_TME_PY[[#All],[Total Claims Excluded because of Truncation]], AN_TME_PY[[#All],[Insurance Category Code]],1, AN_TME_PY[[#All],[Advanced Network/Insurance Carrier Org ID]],Q125), 2)=ROUND(SUMIFS(AN_TME_PY[[#All],[TOTAL Non-Truncated Unadjusted Claims Expenses]], AN_TME_PY[[#All],[Insurance Category Code]],1, AN_TME_PY[[#All],[Advanced Network/Insurance Carrier Org ID]],Q125), 2)</f>
        <v>1</v>
      </c>
      <c r="AF125" s="283" t="str">
        <f t="shared" si="8"/>
        <v>NA</v>
      </c>
    </row>
    <row r="126" spans="2:32" outlineLevel="1" x14ac:dyDescent="0.25">
      <c r="B126" s="216">
        <v>111</v>
      </c>
      <c r="C126" s="404">
        <f>ROUND(SUMIFS(Age_Sex_BY[[#All],[Total Member Months by Age/Sex Band]], Age_Sex_BY[[#All],[Advanced Network ID]], $B126, Age_Sex_BY[[#All],[Insurance Category Code]],1), 2)</f>
        <v>0</v>
      </c>
      <c r="D126" s="238">
        <f>ROUND(SUMIFS(Age_Sex_BY[[#All],[Total Dollars Excluded from Spending After Applying Truncation at the Member Level]], Age_Sex_BY[[#All],[Advanced Network ID]], $B126, Age_Sex_BY[[#All],[Insurance Category Code]],1), 2)</f>
        <v>0</v>
      </c>
      <c r="E126" s="209">
        <f>ROUND(SUMIFS(Age_Sex_BY[[#All],[Count of Members whose Spending was Truncated]], Age_Sex_BY[[#All],[Advanced Network ID]], $B126, Age_Sex_BY[[#All],[Insurance Category Code]],1),2)</f>
        <v>0</v>
      </c>
      <c r="F126" s="210">
        <f>ROUND(SUMIFS(Age_Sex_BY[[#All],[Total Spending before Truncation is Applied]], Age_Sex_BY[[#All],[Advanced Network ID]], $B126, Age_Sex_BY[[#All],[Insurance Category Code]],1), 2)</f>
        <v>0</v>
      </c>
      <c r="G126" s="212">
        <f>ROUND(SUMIFS(Age_Sex_BY[[#All],[Total Spending After Applying Truncation at the Member Level]], Age_Sex_BY[[#All],[Advanced Network ID]], $B126, Age_Sex_BY[[#All],[Insurance Category Code]],1), 2)</f>
        <v>0</v>
      </c>
      <c r="H126" s="525" t="str">
        <f>IF(ROUND(C126,0)=ROUND(SUMIFS(AN_TME_BY[[#All],[Member Months]], AN_TME_BY[[#All],[Insurance Category Code]],1, AN_TME_BY[[#All],[Advanced Network/Insurance Carrier Org ID]],B126),0), "TRUE", ROUND(C126-SUMIFS(AN_TME_BY[[#All],[Member Months]], AN_TME_BY[[#All],[Insurance Category Code]],1, AN_TME_BY[[#All],[Advanced Network/Insurance Carrier Org ID]],B126),2))</f>
        <v>TRUE</v>
      </c>
      <c r="I126" s="533" t="str">
        <f>IF(ROUND(D126,0)=ROUND(SUMIFS(AN_TME_BY[[#All],[Total Claims Excluded because of Truncation]], AN_TME_BY[[#All],[Insurance Category Code]],1, AN_TME_BY[[#All],[Advanced Network/Insurance Carrier Org ID]],B126),0), "TRUE", ROUND(D126-SUMIFS(AN_TME_BY[[#All],[Total Claims Excluded because of Truncation]], AN_TME_BY[[#All],[Insurance Category Code]],1, AN_TME_BY[[#All],[Advanced Network/Insurance Carrier Org ID]],B126),2))</f>
        <v>TRUE</v>
      </c>
      <c r="J126" s="537" t="str">
        <f>IF(ROUND(E126,0)=ROUND(SUMIFS(AN_TME_BY[[#All],[Count of Members with Claims Truncated]], AN_TME_BY[[#All],[Insurance Category Code]],1, AN_TME_BY[[#All],[Advanced Network/Insurance Carrier Org ID]],B126),0), "TRUE", ROUND(E126-SUMIFS(AN_TME_BY[[#All],[Count of Members with Claims Truncated]], AN_TME_BY[[#All],[Insurance Category Code]],1, AN_TME_BY[[#All],[Advanced Network/Insurance Carrier Org ID]],B126),2))</f>
        <v>TRUE</v>
      </c>
      <c r="K126" s="533" t="str">
        <f>IF(ROUND(F126,0)=ROUND(SUMIFS(AN_TME_BY[[#All],[TOTAL Non-Truncated Unadjusted Claims Expenses]], AN_TME_BY[[#All],[Insurance Category Code]],1, AN_TME_BY[[#All],[Advanced Network/Insurance Carrier Org ID]],B126),0), "TRUE", ROUND(F126-SUMIFS(AN_TME_BY[[#All],[TOTAL Non-Truncated Unadjusted Claims Expenses]], AN_TME_BY[[#All],[Insurance Category Code]],1, AN_TME_BY[[#All],[Advanced Network/Insurance Carrier Org ID]],B126),2))</f>
        <v>TRUE</v>
      </c>
      <c r="L126" s="534" t="str">
        <f>IF(ROUND(G126,0)=ROUND(SUMIFS(AN_TME_BY[[#All],[TOTAL Truncated Unadjusted Claims Expenses (A21 -A19)]], AN_TME_BY[[#All],[Insurance Category Code]],1, AN_TME_BY[[#All],[Advanced Network/Insurance Carrier Org ID]],B126),0), "TRUE", ROUND(G126-SUMIFS(AN_TME_BY[[#All],[TOTAL Truncated Unadjusted Claims Expenses (A21 -A19)]], AN_TME_BY[[#All],[Insurance Category Code]],1, AN_TME_BY[[#All],[Advanced Network/Insurance Carrier Org ID]],B126),2))</f>
        <v>TRUE</v>
      </c>
      <c r="M126" s="525" t="str">
        <f t="shared" si="7"/>
        <v>TRUE</v>
      </c>
      <c r="N126" s="533" t="b">
        <f>ROUND(SUMIFS(AN_TME_BY[[#All],[TOTAL Non-Truncated Unadjusted Claims Expenses]], AN_TME_BY[[#All],[Insurance Category Code]],1, AN_TME_BY[[#All],[Advanced Network/Insurance Carrier Org ID]],B126), 2)&gt;=ROUND(SUMIFS(AN_TME_BY[[#All],[TOTAL Truncated Unadjusted Claims Expenses (A21 -A19)]], AN_TME_BY[[#All],[Insurance Category Code]],1, AN_TME_BY[[#All],[Advanced Network/Insurance Carrier Org ID]],B126),2)</f>
        <v>1</v>
      </c>
      <c r="O126" s="534" t="b">
        <f>ROUND(SUMIFS(AN_TME_BY[[#All],[TOTAL Truncated Unadjusted Claims Expenses (A21 -A19)]], AN_TME_BY[[#All],[Insurance Category Code]],1, AN_TME_BY[[#All],[Advanced Network/Insurance Carrier Org ID]],B126)+SUMIFS(AN_TME_BY[[#All],[Total Claims Excluded because of Truncation]], AN_TME_BY[[#All],[Insurance Category Code]],1, AN_TME_BY[[#All],[Advanced Network/Insurance Carrier Org ID]],B126),2)=ROUND(SUMIFS(AN_TME_BY[[#All],[TOTAL Non-Truncated Unadjusted Claims Expenses]], AN_TME_BY[[#All],[Insurance Category Code]],1, AN_TME_BY[[#All],[Advanced Network/Insurance Carrier Org ID]],B126), 2)</f>
        <v>1</v>
      </c>
      <c r="Q126" s="216">
        <v>111</v>
      </c>
      <c r="R126" s="404">
        <f>ROUND(SUMIFS(Age_Sex_PY[[#All],[Total Member Months by Age/Sex Band]], Age_Sex_PY[[#All],[Advanced Network ID]], $Q126, Age_Sex_PY[[#All],[Insurance Category Code]],1), 2)</f>
        <v>0</v>
      </c>
      <c r="S126" s="238">
        <f>ROUND(SUMIFS(Age_Sex_PY[[#All],[Total Dollars Excluded from Spending After Applying Truncation at the Member Level]], Age_Sex_PY[[#All],[Advanced Network ID]], $B126, Age_Sex_PY[[#All],[Insurance Category Code]],1),2)</f>
        <v>0</v>
      </c>
      <c r="T126" s="209">
        <f>ROUND(SUMIFS(Age_Sex_PY[[#All],[Count of Members whose Spending was Truncated]], Age_Sex_PY[[#All],[Advanced Network ID]], $B126, Age_Sex_PY[[#All],[Insurance Category Code]],1), 2)</f>
        <v>0</v>
      </c>
      <c r="U126" s="210">
        <f>ROUND(SUMIFS(Age_Sex_PY[[#All],[Total Spending before Truncation is Applied]], Age_Sex_PY[[#All],[Advanced Network ID]], $B126, Age_Sex_PY[[#All],[Insurance Category Code]],1), 2)</f>
        <v>0</v>
      </c>
      <c r="V126" s="212">
        <f>ROUND(SUMIFS(Age_Sex_PY[[#All],[Total Spending After Applying Truncation at the Member Level]], Age_Sex_PY[[#All],[Advanced Network ID]], $B126, Age_Sex_PY[[#All],[Insurance Category Code]],1),2)</f>
        <v>0</v>
      </c>
      <c r="W126" s="525" t="str">
        <f>IF(ROUND(R126,0)=ROUND(SUMIFS(AN_TME_PY[[#All],[Member Months]], AN_TME_PY[[#All],[Insurance Category Code]],1, AN_TME_PY[[#All],[Advanced Network/Insurance Carrier Org ID]],Q126),0), "TRUE", ROUND(R126-SUMIFS(AN_TME_PY[[#All],[Member Months]], AN_TME_PY[[#All],[Insurance Category Code]],1, AN_TME_PY[[#All],[Advanced Network/Insurance Carrier Org ID]],Q126),2))</f>
        <v>TRUE</v>
      </c>
      <c r="X126" s="527" t="str">
        <f>IF(ROUND(S126,0)=ROUND(SUMIFS(AN_TME_PY[[#All],[Total Claims Excluded because of Truncation]], AN_TME_PY[[#All],[Insurance Category Code]],1, AN_TME_PY[[#All],[Advanced Network/Insurance Carrier Org ID]],Q126),0), "TRUE", ROUND(S126-SUMIFS(AN_TME_PY[[#All],[Total Claims Excluded because of Truncation]], AN_TME_PY[[#All],[Insurance Category Code]],1, AN_TME_PY[[#All],[Advanced Network/Insurance Carrier Org ID]],Q126),2))</f>
        <v>TRUE</v>
      </c>
      <c r="Y126" s="537" t="str">
        <f>IF(ROUND(T126,0)=ROUND(SUMIFS(AN_TME_PY[[#All],[Count of Members with Claims Truncated]], AN_TME_PY[[#All],[Insurance Category Code]],1, AN_TME_PY[[#All],[Advanced Network/Insurance Carrier Org ID]],Q126),0), "TRUE", ROUND(T126-SUMIFS(AN_TME_PY[[#All],[Count of Members with Claims Truncated]], AN_TME_PY[[#All],[Insurance Category Code]],1, AN_TME_PY[[#All],[Advanced Network/Insurance Carrier Org ID]],Q126),2))</f>
        <v>TRUE</v>
      </c>
      <c r="Z126" s="528" t="str">
        <f>IF(ROUND(U126,0)=ROUND(SUMIFS(AN_TME_PY[[#All],[TOTAL Non-Truncated Unadjusted Claims Expenses]], AN_TME_PY[[#All],[Insurance Category Code]],1, AN_TME_PY[[#All],[Advanced Network/Insurance Carrier Org ID]],Q126),0), "TRUE", ROUND(U126-SUMIFS(AN_TME_PY[[#All],[TOTAL Non-Truncated Unadjusted Claims Expenses]], AN_TME_PY[[#All],[Insurance Category Code]],1, AN_TME_PY[[#All],[Advanced Network/Insurance Carrier Org ID]],Q126),2))</f>
        <v>TRUE</v>
      </c>
      <c r="AA126" s="529" t="str">
        <f>IF(ROUND(V126,0)=ROUND(SUMIFS(AN_TME_PY[[#All],[TOTAL Truncated Unadjusted Claims Expenses (A21 -A19)]], AN_TME_PY[[#All],[Insurance Category Code]],1, AN_TME_PY[[#All],[Advanced Network/Insurance Carrier Org ID]],Q126),0), "TRUE", ROUND(V126-SUMIFS(AN_TME_PY[[#All],[TOTAL Truncated Unadjusted Claims Expenses (A21 -A19)]], AN_TME_PY[[#All],[Insurance Category Code]],1, AN_TME_PY[[#All],[Advanced Network/Insurance Carrier Org ID]],Q126),2))</f>
        <v>TRUE</v>
      </c>
      <c r="AB126" s="525" t="str">
        <f t="shared" si="9"/>
        <v>TRUE</v>
      </c>
      <c r="AC126" s="528" t="b">
        <f>ROUND(SUMIFS(AN_TME_PY[[#All],[TOTAL Non-Truncated Unadjusted Claims Expenses]], AN_TME_PY[[#All],[Insurance Category Code]],1, AN_TME_PY[[#All],[Advanced Network/Insurance Carrier Org ID]],Q126),2)&gt;=ROUND(SUMIFS(AN_TME_PY[[#All],[TOTAL Truncated Unadjusted Claims Expenses (A21 -A19)]], AN_TME_PY[[#All],[Insurance Category Code]],1, AN_TME_PY[[#All],[Advanced Network/Insurance Carrier Org ID]],Q126), 2)</f>
        <v>1</v>
      </c>
      <c r="AD126" s="529" t="b">
        <f>ROUND(SUMIFS(AN_TME_PY[[#All],[TOTAL Truncated Unadjusted Claims Expenses (A21 -A19)]], AN_TME_PY[[#All],[Insurance Category Code]],1, AN_TME_PY[[#All],[Advanced Network/Insurance Carrier Org ID]],Q126)+SUMIFS(AN_TME_PY[[#All],[Total Claims Excluded because of Truncation]], AN_TME_PY[[#All],[Insurance Category Code]],1, AN_TME_PY[[#All],[Advanced Network/Insurance Carrier Org ID]],Q126), 2)=ROUND(SUMIFS(AN_TME_PY[[#All],[TOTAL Non-Truncated Unadjusted Claims Expenses]], AN_TME_PY[[#All],[Insurance Category Code]],1, AN_TME_PY[[#All],[Advanced Network/Insurance Carrier Org ID]],Q126), 2)</f>
        <v>1</v>
      </c>
      <c r="AF126" s="283" t="str">
        <f t="shared" si="8"/>
        <v>NA</v>
      </c>
    </row>
    <row r="127" spans="2:32" outlineLevel="1" x14ac:dyDescent="0.25">
      <c r="B127" s="216">
        <v>112</v>
      </c>
      <c r="C127" s="404">
        <f>ROUND(SUMIFS(Age_Sex_BY[[#All],[Total Member Months by Age/Sex Band]], Age_Sex_BY[[#All],[Advanced Network ID]], $B127, Age_Sex_BY[[#All],[Insurance Category Code]],1), 2)</f>
        <v>0</v>
      </c>
      <c r="D127" s="238">
        <f>ROUND(SUMIFS(Age_Sex_BY[[#All],[Total Dollars Excluded from Spending After Applying Truncation at the Member Level]], Age_Sex_BY[[#All],[Advanced Network ID]], $B127, Age_Sex_BY[[#All],[Insurance Category Code]],1), 2)</f>
        <v>0</v>
      </c>
      <c r="E127" s="209">
        <f>ROUND(SUMIFS(Age_Sex_BY[[#All],[Count of Members whose Spending was Truncated]], Age_Sex_BY[[#All],[Advanced Network ID]], $B127, Age_Sex_BY[[#All],[Insurance Category Code]],1),2)</f>
        <v>0</v>
      </c>
      <c r="F127" s="210">
        <f>ROUND(SUMIFS(Age_Sex_BY[[#All],[Total Spending before Truncation is Applied]], Age_Sex_BY[[#All],[Advanced Network ID]], $B127, Age_Sex_BY[[#All],[Insurance Category Code]],1), 2)</f>
        <v>0</v>
      </c>
      <c r="G127" s="212">
        <f>ROUND(SUMIFS(Age_Sex_BY[[#All],[Total Spending After Applying Truncation at the Member Level]], Age_Sex_BY[[#All],[Advanced Network ID]], $B127, Age_Sex_BY[[#All],[Insurance Category Code]],1), 2)</f>
        <v>0</v>
      </c>
      <c r="H127" s="525" t="str">
        <f>IF(ROUND(C127,0)=ROUND(SUMIFS(AN_TME_BY[[#All],[Member Months]], AN_TME_BY[[#All],[Insurance Category Code]],1, AN_TME_BY[[#All],[Advanced Network/Insurance Carrier Org ID]],B127),0), "TRUE", ROUND(C127-SUMIFS(AN_TME_BY[[#All],[Member Months]], AN_TME_BY[[#All],[Insurance Category Code]],1, AN_TME_BY[[#All],[Advanced Network/Insurance Carrier Org ID]],B127),2))</f>
        <v>TRUE</v>
      </c>
      <c r="I127" s="533" t="str">
        <f>IF(ROUND(D127,0)=ROUND(SUMIFS(AN_TME_BY[[#All],[Total Claims Excluded because of Truncation]], AN_TME_BY[[#All],[Insurance Category Code]],1, AN_TME_BY[[#All],[Advanced Network/Insurance Carrier Org ID]],B127),0), "TRUE", ROUND(D127-SUMIFS(AN_TME_BY[[#All],[Total Claims Excluded because of Truncation]], AN_TME_BY[[#All],[Insurance Category Code]],1, AN_TME_BY[[#All],[Advanced Network/Insurance Carrier Org ID]],B127),2))</f>
        <v>TRUE</v>
      </c>
      <c r="J127" s="537" t="str">
        <f>IF(ROUND(E127,0)=ROUND(SUMIFS(AN_TME_BY[[#All],[Count of Members with Claims Truncated]], AN_TME_BY[[#All],[Insurance Category Code]],1, AN_TME_BY[[#All],[Advanced Network/Insurance Carrier Org ID]],B127),0), "TRUE", ROUND(E127-SUMIFS(AN_TME_BY[[#All],[Count of Members with Claims Truncated]], AN_TME_BY[[#All],[Insurance Category Code]],1, AN_TME_BY[[#All],[Advanced Network/Insurance Carrier Org ID]],B127),2))</f>
        <v>TRUE</v>
      </c>
      <c r="K127" s="533" t="str">
        <f>IF(ROUND(F127,0)=ROUND(SUMIFS(AN_TME_BY[[#All],[TOTAL Non-Truncated Unadjusted Claims Expenses]], AN_TME_BY[[#All],[Insurance Category Code]],1, AN_TME_BY[[#All],[Advanced Network/Insurance Carrier Org ID]],B127),0), "TRUE", ROUND(F127-SUMIFS(AN_TME_BY[[#All],[TOTAL Non-Truncated Unadjusted Claims Expenses]], AN_TME_BY[[#All],[Insurance Category Code]],1, AN_TME_BY[[#All],[Advanced Network/Insurance Carrier Org ID]],B127),2))</f>
        <v>TRUE</v>
      </c>
      <c r="L127" s="534" t="str">
        <f>IF(ROUND(G127,0)=ROUND(SUMIFS(AN_TME_BY[[#All],[TOTAL Truncated Unadjusted Claims Expenses (A21 -A19)]], AN_TME_BY[[#All],[Insurance Category Code]],1, AN_TME_BY[[#All],[Advanced Network/Insurance Carrier Org ID]],B127),0), "TRUE", ROUND(G127-SUMIFS(AN_TME_BY[[#All],[TOTAL Truncated Unadjusted Claims Expenses (A21 -A19)]], AN_TME_BY[[#All],[Insurance Category Code]],1, AN_TME_BY[[#All],[Advanced Network/Insurance Carrier Org ID]],B127),2))</f>
        <v>TRUE</v>
      </c>
      <c r="M127" s="525" t="str">
        <f t="shared" si="7"/>
        <v>TRUE</v>
      </c>
      <c r="N127" s="533" t="b">
        <f>ROUND(SUMIFS(AN_TME_BY[[#All],[TOTAL Non-Truncated Unadjusted Claims Expenses]], AN_TME_BY[[#All],[Insurance Category Code]],1, AN_TME_BY[[#All],[Advanced Network/Insurance Carrier Org ID]],B127), 2)&gt;=ROUND(SUMIFS(AN_TME_BY[[#All],[TOTAL Truncated Unadjusted Claims Expenses (A21 -A19)]], AN_TME_BY[[#All],[Insurance Category Code]],1, AN_TME_BY[[#All],[Advanced Network/Insurance Carrier Org ID]],B127),2)</f>
        <v>1</v>
      </c>
      <c r="O127" s="534" t="b">
        <f>ROUND(SUMIFS(AN_TME_BY[[#All],[TOTAL Truncated Unadjusted Claims Expenses (A21 -A19)]], AN_TME_BY[[#All],[Insurance Category Code]],1, AN_TME_BY[[#All],[Advanced Network/Insurance Carrier Org ID]],B127)+SUMIFS(AN_TME_BY[[#All],[Total Claims Excluded because of Truncation]], AN_TME_BY[[#All],[Insurance Category Code]],1, AN_TME_BY[[#All],[Advanced Network/Insurance Carrier Org ID]],B127),2)=ROUND(SUMIFS(AN_TME_BY[[#All],[TOTAL Non-Truncated Unadjusted Claims Expenses]], AN_TME_BY[[#All],[Insurance Category Code]],1, AN_TME_BY[[#All],[Advanced Network/Insurance Carrier Org ID]],B127), 2)</f>
        <v>1</v>
      </c>
      <c r="Q127" s="216">
        <v>112</v>
      </c>
      <c r="R127" s="404">
        <f>ROUND(SUMIFS(Age_Sex_PY[[#All],[Total Member Months by Age/Sex Band]], Age_Sex_PY[[#All],[Advanced Network ID]], $Q127, Age_Sex_PY[[#All],[Insurance Category Code]],1), 2)</f>
        <v>0</v>
      </c>
      <c r="S127" s="238">
        <f>ROUND(SUMIFS(Age_Sex_PY[[#All],[Total Dollars Excluded from Spending After Applying Truncation at the Member Level]], Age_Sex_PY[[#All],[Advanced Network ID]], $B127, Age_Sex_PY[[#All],[Insurance Category Code]],1),2)</f>
        <v>0</v>
      </c>
      <c r="T127" s="209">
        <f>ROUND(SUMIFS(Age_Sex_PY[[#All],[Count of Members whose Spending was Truncated]], Age_Sex_PY[[#All],[Advanced Network ID]], $B127, Age_Sex_PY[[#All],[Insurance Category Code]],1), 2)</f>
        <v>0</v>
      </c>
      <c r="U127" s="210">
        <f>ROUND(SUMIFS(Age_Sex_PY[[#All],[Total Spending before Truncation is Applied]], Age_Sex_PY[[#All],[Advanced Network ID]], $B127, Age_Sex_PY[[#All],[Insurance Category Code]],1), 2)</f>
        <v>0</v>
      </c>
      <c r="V127" s="212">
        <f>ROUND(SUMIFS(Age_Sex_PY[[#All],[Total Spending After Applying Truncation at the Member Level]], Age_Sex_PY[[#All],[Advanced Network ID]], $B127, Age_Sex_PY[[#All],[Insurance Category Code]],1),2)</f>
        <v>0</v>
      </c>
      <c r="W127" s="525" t="str">
        <f>IF(ROUND(R127,0)=ROUND(SUMIFS(AN_TME_PY[[#All],[Member Months]], AN_TME_PY[[#All],[Insurance Category Code]],1, AN_TME_PY[[#All],[Advanced Network/Insurance Carrier Org ID]],Q127),0), "TRUE", ROUND(R127-SUMIFS(AN_TME_PY[[#All],[Member Months]], AN_TME_PY[[#All],[Insurance Category Code]],1, AN_TME_PY[[#All],[Advanced Network/Insurance Carrier Org ID]],Q127),2))</f>
        <v>TRUE</v>
      </c>
      <c r="X127" s="527" t="str">
        <f>IF(ROUND(S127,0)=ROUND(SUMIFS(AN_TME_PY[[#All],[Total Claims Excluded because of Truncation]], AN_TME_PY[[#All],[Insurance Category Code]],1, AN_TME_PY[[#All],[Advanced Network/Insurance Carrier Org ID]],Q127),0), "TRUE", ROUND(S127-SUMIFS(AN_TME_PY[[#All],[Total Claims Excluded because of Truncation]], AN_TME_PY[[#All],[Insurance Category Code]],1, AN_TME_PY[[#All],[Advanced Network/Insurance Carrier Org ID]],Q127),2))</f>
        <v>TRUE</v>
      </c>
      <c r="Y127" s="537" t="str">
        <f>IF(ROUND(T127,0)=ROUND(SUMIFS(AN_TME_PY[[#All],[Count of Members with Claims Truncated]], AN_TME_PY[[#All],[Insurance Category Code]],1, AN_TME_PY[[#All],[Advanced Network/Insurance Carrier Org ID]],Q127),0), "TRUE", ROUND(T127-SUMIFS(AN_TME_PY[[#All],[Count of Members with Claims Truncated]], AN_TME_PY[[#All],[Insurance Category Code]],1, AN_TME_PY[[#All],[Advanced Network/Insurance Carrier Org ID]],Q127),2))</f>
        <v>TRUE</v>
      </c>
      <c r="Z127" s="528" t="str">
        <f>IF(ROUND(U127,0)=ROUND(SUMIFS(AN_TME_PY[[#All],[TOTAL Non-Truncated Unadjusted Claims Expenses]], AN_TME_PY[[#All],[Insurance Category Code]],1, AN_TME_PY[[#All],[Advanced Network/Insurance Carrier Org ID]],Q127),0), "TRUE", ROUND(U127-SUMIFS(AN_TME_PY[[#All],[TOTAL Non-Truncated Unadjusted Claims Expenses]], AN_TME_PY[[#All],[Insurance Category Code]],1, AN_TME_PY[[#All],[Advanced Network/Insurance Carrier Org ID]],Q127),2))</f>
        <v>TRUE</v>
      </c>
      <c r="AA127" s="529" t="str">
        <f>IF(ROUND(V127,0)=ROUND(SUMIFS(AN_TME_PY[[#All],[TOTAL Truncated Unadjusted Claims Expenses (A21 -A19)]], AN_TME_PY[[#All],[Insurance Category Code]],1, AN_TME_PY[[#All],[Advanced Network/Insurance Carrier Org ID]],Q127),0), "TRUE", ROUND(V127-SUMIFS(AN_TME_PY[[#All],[TOTAL Truncated Unadjusted Claims Expenses (A21 -A19)]], AN_TME_PY[[#All],[Insurance Category Code]],1, AN_TME_PY[[#All],[Advanced Network/Insurance Carrier Org ID]],Q127),2))</f>
        <v>TRUE</v>
      </c>
      <c r="AB127" s="525" t="str">
        <f t="shared" si="9"/>
        <v>TRUE</v>
      </c>
      <c r="AC127" s="528" t="b">
        <f>ROUND(SUMIFS(AN_TME_PY[[#All],[TOTAL Non-Truncated Unadjusted Claims Expenses]], AN_TME_PY[[#All],[Insurance Category Code]],1, AN_TME_PY[[#All],[Advanced Network/Insurance Carrier Org ID]],Q127),2)&gt;=ROUND(SUMIFS(AN_TME_PY[[#All],[TOTAL Truncated Unadjusted Claims Expenses (A21 -A19)]], AN_TME_PY[[#All],[Insurance Category Code]],1, AN_TME_PY[[#All],[Advanced Network/Insurance Carrier Org ID]],Q127), 2)</f>
        <v>1</v>
      </c>
      <c r="AD127" s="529" t="b">
        <f>ROUND(SUMIFS(AN_TME_PY[[#All],[TOTAL Truncated Unadjusted Claims Expenses (A21 -A19)]], AN_TME_PY[[#All],[Insurance Category Code]],1, AN_TME_PY[[#All],[Advanced Network/Insurance Carrier Org ID]],Q127)+SUMIFS(AN_TME_PY[[#All],[Total Claims Excluded because of Truncation]], AN_TME_PY[[#All],[Insurance Category Code]],1, AN_TME_PY[[#All],[Advanced Network/Insurance Carrier Org ID]],Q127), 2)=ROUND(SUMIFS(AN_TME_PY[[#All],[TOTAL Non-Truncated Unadjusted Claims Expenses]], AN_TME_PY[[#All],[Insurance Category Code]],1, AN_TME_PY[[#All],[Advanced Network/Insurance Carrier Org ID]],Q127), 2)</f>
        <v>1</v>
      </c>
      <c r="AF127" s="283" t="str">
        <f t="shared" si="8"/>
        <v>NA</v>
      </c>
    </row>
    <row r="128" spans="2:32" outlineLevel="1" x14ac:dyDescent="0.25">
      <c r="B128" s="216">
        <v>113</v>
      </c>
      <c r="C128" s="404">
        <f>ROUND(SUMIFS(Age_Sex_BY[[#All],[Total Member Months by Age/Sex Band]], Age_Sex_BY[[#All],[Advanced Network ID]], $B128, Age_Sex_BY[[#All],[Insurance Category Code]],1), 2)</f>
        <v>0</v>
      </c>
      <c r="D128" s="238">
        <f>ROUND(SUMIFS(Age_Sex_BY[[#All],[Total Dollars Excluded from Spending After Applying Truncation at the Member Level]], Age_Sex_BY[[#All],[Advanced Network ID]], $B128, Age_Sex_BY[[#All],[Insurance Category Code]],1), 2)</f>
        <v>0</v>
      </c>
      <c r="E128" s="209">
        <f>ROUND(SUMIFS(Age_Sex_BY[[#All],[Count of Members whose Spending was Truncated]], Age_Sex_BY[[#All],[Advanced Network ID]], $B128, Age_Sex_BY[[#All],[Insurance Category Code]],1),2)</f>
        <v>0</v>
      </c>
      <c r="F128" s="210">
        <f>ROUND(SUMIFS(Age_Sex_BY[[#All],[Total Spending before Truncation is Applied]], Age_Sex_BY[[#All],[Advanced Network ID]], $B128, Age_Sex_BY[[#All],[Insurance Category Code]],1), 2)</f>
        <v>0</v>
      </c>
      <c r="G128" s="212">
        <f>ROUND(SUMIFS(Age_Sex_BY[[#All],[Total Spending After Applying Truncation at the Member Level]], Age_Sex_BY[[#All],[Advanced Network ID]], $B128, Age_Sex_BY[[#All],[Insurance Category Code]],1), 2)</f>
        <v>0</v>
      </c>
      <c r="H128" s="525" t="str">
        <f>IF(ROUND(C128,0)=ROUND(SUMIFS(AN_TME_BY[[#All],[Member Months]], AN_TME_BY[[#All],[Insurance Category Code]],1, AN_TME_BY[[#All],[Advanced Network/Insurance Carrier Org ID]],B128),0), "TRUE", ROUND(C128-SUMIFS(AN_TME_BY[[#All],[Member Months]], AN_TME_BY[[#All],[Insurance Category Code]],1, AN_TME_BY[[#All],[Advanced Network/Insurance Carrier Org ID]],B128),2))</f>
        <v>TRUE</v>
      </c>
      <c r="I128" s="533" t="str">
        <f>IF(ROUND(D128,0)=ROUND(SUMIFS(AN_TME_BY[[#All],[Total Claims Excluded because of Truncation]], AN_TME_BY[[#All],[Insurance Category Code]],1, AN_TME_BY[[#All],[Advanced Network/Insurance Carrier Org ID]],B128),0), "TRUE", ROUND(D128-SUMIFS(AN_TME_BY[[#All],[Total Claims Excluded because of Truncation]], AN_TME_BY[[#All],[Insurance Category Code]],1, AN_TME_BY[[#All],[Advanced Network/Insurance Carrier Org ID]],B128),2))</f>
        <v>TRUE</v>
      </c>
      <c r="J128" s="537" t="str">
        <f>IF(ROUND(E128,0)=ROUND(SUMIFS(AN_TME_BY[[#All],[Count of Members with Claims Truncated]], AN_TME_BY[[#All],[Insurance Category Code]],1, AN_TME_BY[[#All],[Advanced Network/Insurance Carrier Org ID]],B128),0), "TRUE", ROUND(E128-SUMIFS(AN_TME_BY[[#All],[Count of Members with Claims Truncated]], AN_TME_BY[[#All],[Insurance Category Code]],1, AN_TME_BY[[#All],[Advanced Network/Insurance Carrier Org ID]],B128),2))</f>
        <v>TRUE</v>
      </c>
      <c r="K128" s="533" t="str">
        <f>IF(ROUND(F128,0)=ROUND(SUMIFS(AN_TME_BY[[#All],[TOTAL Non-Truncated Unadjusted Claims Expenses]], AN_TME_BY[[#All],[Insurance Category Code]],1, AN_TME_BY[[#All],[Advanced Network/Insurance Carrier Org ID]],B128),0), "TRUE", ROUND(F128-SUMIFS(AN_TME_BY[[#All],[TOTAL Non-Truncated Unadjusted Claims Expenses]], AN_TME_BY[[#All],[Insurance Category Code]],1, AN_TME_BY[[#All],[Advanced Network/Insurance Carrier Org ID]],B128),2))</f>
        <v>TRUE</v>
      </c>
      <c r="L128" s="534" t="str">
        <f>IF(ROUND(G128,0)=ROUND(SUMIFS(AN_TME_BY[[#All],[TOTAL Truncated Unadjusted Claims Expenses (A21 -A19)]], AN_TME_BY[[#All],[Insurance Category Code]],1, AN_TME_BY[[#All],[Advanced Network/Insurance Carrier Org ID]],B128),0), "TRUE", ROUND(G128-SUMIFS(AN_TME_BY[[#All],[TOTAL Truncated Unadjusted Claims Expenses (A21 -A19)]], AN_TME_BY[[#All],[Insurance Category Code]],1, AN_TME_BY[[#All],[Advanced Network/Insurance Carrier Org ID]],B128),2))</f>
        <v>TRUE</v>
      </c>
      <c r="M128" s="525" t="str">
        <f t="shared" si="7"/>
        <v>TRUE</v>
      </c>
      <c r="N128" s="533" t="b">
        <f>ROUND(SUMIFS(AN_TME_BY[[#All],[TOTAL Non-Truncated Unadjusted Claims Expenses]], AN_TME_BY[[#All],[Insurance Category Code]],1, AN_TME_BY[[#All],[Advanced Network/Insurance Carrier Org ID]],B128), 2)&gt;=ROUND(SUMIFS(AN_TME_BY[[#All],[TOTAL Truncated Unadjusted Claims Expenses (A21 -A19)]], AN_TME_BY[[#All],[Insurance Category Code]],1, AN_TME_BY[[#All],[Advanced Network/Insurance Carrier Org ID]],B128),2)</f>
        <v>1</v>
      </c>
      <c r="O128" s="534" t="b">
        <f>ROUND(SUMIFS(AN_TME_BY[[#All],[TOTAL Truncated Unadjusted Claims Expenses (A21 -A19)]], AN_TME_BY[[#All],[Insurance Category Code]],1, AN_TME_BY[[#All],[Advanced Network/Insurance Carrier Org ID]],B128)+SUMIFS(AN_TME_BY[[#All],[Total Claims Excluded because of Truncation]], AN_TME_BY[[#All],[Insurance Category Code]],1, AN_TME_BY[[#All],[Advanced Network/Insurance Carrier Org ID]],B128),2)=ROUND(SUMIFS(AN_TME_BY[[#All],[TOTAL Non-Truncated Unadjusted Claims Expenses]], AN_TME_BY[[#All],[Insurance Category Code]],1, AN_TME_BY[[#All],[Advanced Network/Insurance Carrier Org ID]],B128), 2)</f>
        <v>1</v>
      </c>
      <c r="Q128" s="216">
        <v>113</v>
      </c>
      <c r="R128" s="404">
        <f>ROUND(SUMIFS(Age_Sex_PY[[#All],[Total Member Months by Age/Sex Band]], Age_Sex_PY[[#All],[Advanced Network ID]], $Q128, Age_Sex_PY[[#All],[Insurance Category Code]],1), 2)</f>
        <v>0</v>
      </c>
      <c r="S128" s="238">
        <f>ROUND(SUMIFS(Age_Sex_PY[[#All],[Total Dollars Excluded from Spending After Applying Truncation at the Member Level]], Age_Sex_PY[[#All],[Advanced Network ID]], $B128, Age_Sex_PY[[#All],[Insurance Category Code]],1),2)</f>
        <v>0</v>
      </c>
      <c r="T128" s="209">
        <f>ROUND(SUMIFS(Age_Sex_PY[[#All],[Count of Members whose Spending was Truncated]], Age_Sex_PY[[#All],[Advanced Network ID]], $B128, Age_Sex_PY[[#All],[Insurance Category Code]],1), 2)</f>
        <v>0</v>
      </c>
      <c r="U128" s="210">
        <f>ROUND(SUMIFS(Age_Sex_PY[[#All],[Total Spending before Truncation is Applied]], Age_Sex_PY[[#All],[Advanced Network ID]], $B128, Age_Sex_PY[[#All],[Insurance Category Code]],1), 2)</f>
        <v>0</v>
      </c>
      <c r="V128" s="212">
        <f>ROUND(SUMIFS(Age_Sex_PY[[#All],[Total Spending After Applying Truncation at the Member Level]], Age_Sex_PY[[#All],[Advanced Network ID]], $B128, Age_Sex_PY[[#All],[Insurance Category Code]],1),2)</f>
        <v>0</v>
      </c>
      <c r="W128" s="525" t="str">
        <f>IF(ROUND(R128,0)=ROUND(SUMIFS(AN_TME_PY[[#All],[Member Months]], AN_TME_PY[[#All],[Insurance Category Code]],1, AN_TME_PY[[#All],[Advanced Network/Insurance Carrier Org ID]],Q128),0), "TRUE", ROUND(R128-SUMIFS(AN_TME_PY[[#All],[Member Months]], AN_TME_PY[[#All],[Insurance Category Code]],1, AN_TME_PY[[#All],[Advanced Network/Insurance Carrier Org ID]],Q128),2))</f>
        <v>TRUE</v>
      </c>
      <c r="X128" s="527" t="str">
        <f>IF(ROUND(S128,0)=ROUND(SUMIFS(AN_TME_PY[[#All],[Total Claims Excluded because of Truncation]], AN_TME_PY[[#All],[Insurance Category Code]],1, AN_TME_PY[[#All],[Advanced Network/Insurance Carrier Org ID]],Q128),0), "TRUE", ROUND(S128-SUMIFS(AN_TME_PY[[#All],[Total Claims Excluded because of Truncation]], AN_TME_PY[[#All],[Insurance Category Code]],1, AN_TME_PY[[#All],[Advanced Network/Insurance Carrier Org ID]],Q128),2))</f>
        <v>TRUE</v>
      </c>
      <c r="Y128" s="537" t="str">
        <f>IF(ROUND(T128,0)=ROUND(SUMIFS(AN_TME_PY[[#All],[Count of Members with Claims Truncated]], AN_TME_PY[[#All],[Insurance Category Code]],1, AN_TME_PY[[#All],[Advanced Network/Insurance Carrier Org ID]],Q128),0), "TRUE", ROUND(T128-SUMIFS(AN_TME_PY[[#All],[Count of Members with Claims Truncated]], AN_TME_PY[[#All],[Insurance Category Code]],1, AN_TME_PY[[#All],[Advanced Network/Insurance Carrier Org ID]],Q128),2))</f>
        <v>TRUE</v>
      </c>
      <c r="Z128" s="528" t="str">
        <f>IF(ROUND(U128,0)=ROUND(SUMIFS(AN_TME_PY[[#All],[TOTAL Non-Truncated Unadjusted Claims Expenses]], AN_TME_PY[[#All],[Insurance Category Code]],1, AN_TME_PY[[#All],[Advanced Network/Insurance Carrier Org ID]],Q128),0), "TRUE", ROUND(U128-SUMIFS(AN_TME_PY[[#All],[TOTAL Non-Truncated Unadjusted Claims Expenses]], AN_TME_PY[[#All],[Insurance Category Code]],1, AN_TME_PY[[#All],[Advanced Network/Insurance Carrier Org ID]],Q128),2))</f>
        <v>TRUE</v>
      </c>
      <c r="AA128" s="529" t="str">
        <f>IF(ROUND(V128,0)=ROUND(SUMIFS(AN_TME_PY[[#All],[TOTAL Truncated Unadjusted Claims Expenses (A21 -A19)]], AN_TME_PY[[#All],[Insurance Category Code]],1, AN_TME_PY[[#All],[Advanced Network/Insurance Carrier Org ID]],Q128),0), "TRUE", ROUND(V128-SUMIFS(AN_TME_PY[[#All],[TOTAL Truncated Unadjusted Claims Expenses (A21 -A19)]], AN_TME_PY[[#All],[Insurance Category Code]],1, AN_TME_PY[[#All],[Advanced Network/Insurance Carrier Org ID]],Q128),2))</f>
        <v>TRUE</v>
      </c>
      <c r="AB128" s="525" t="str">
        <f t="shared" si="9"/>
        <v>TRUE</v>
      </c>
      <c r="AC128" s="528" t="b">
        <f>ROUND(SUMIFS(AN_TME_PY[[#All],[TOTAL Non-Truncated Unadjusted Claims Expenses]], AN_TME_PY[[#All],[Insurance Category Code]],1, AN_TME_PY[[#All],[Advanced Network/Insurance Carrier Org ID]],Q128),2)&gt;=ROUND(SUMIFS(AN_TME_PY[[#All],[TOTAL Truncated Unadjusted Claims Expenses (A21 -A19)]], AN_TME_PY[[#All],[Insurance Category Code]],1, AN_TME_PY[[#All],[Advanced Network/Insurance Carrier Org ID]],Q128), 2)</f>
        <v>1</v>
      </c>
      <c r="AD128" s="529" t="b">
        <f>ROUND(SUMIFS(AN_TME_PY[[#All],[TOTAL Truncated Unadjusted Claims Expenses (A21 -A19)]], AN_TME_PY[[#All],[Insurance Category Code]],1, AN_TME_PY[[#All],[Advanced Network/Insurance Carrier Org ID]],Q128)+SUMIFS(AN_TME_PY[[#All],[Total Claims Excluded because of Truncation]], AN_TME_PY[[#All],[Insurance Category Code]],1, AN_TME_PY[[#All],[Advanced Network/Insurance Carrier Org ID]],Q128), 2)=ROUND(SUMIFS(AN_TME_PY[[#All],[TOTAL Non-Truncated Unadjusted Claims Expenses]], AN_TME_PY[[#All],[Insurance Category Code]],1, AN_TME_PY[[#All],[Advanced Network/Insurance Carrier Org ID]],Q128), 2)</f>
        <v>1</v>
      </c>
      <c r="AF128" s="283" t="str">
        <f t="shared" si="8"/>
        <v>NA</v>
      </c>
    </row>
    <row r="129" spans="2:32" outlineLevel="1" x14ac:dyDescent="0.25">
      <c r="B129" s="216">
        <v>114</v>
      </c>
      <c r="C129" s="404">
        <f>ROUND(SUMIFS(Age_Sex_BY[[#All],[Total Member Months by Age/Sex Band]], Age_Sex_BY[[#All],[Advanced Network ID]], $B129, Age_Sex_BY[[#All],[Insurance Category Code]],1), 2)</f>
        <v>0</v>
      </c>
      <c r="D129" s="238">
        <f>ROUND(SUMIFS(Age_Sex_BY[[#All],[Total Dollars Excluded from Spending After Applying Truncation at the Member Level]], Age_Sex_BY[[#All],[Advanced Network ID]], $B129, Age_Sex_BY[[#All],[Insurance Category Code]],1), 2)</f>
        <v>0</v>
      </c>
      <c r="E129" s="209">
        <f>ROUND(SUMIFS(Age_Sex_BY[[#All],[Count of Members whose Spending was Truncated]], Age_Sex_BY[[#All],[Advanced Network ID]], $B129, Age_Sex_BY[[#All],[Insurance Category Code]],1),2)</f>
        <v>0</v>
      </c>
      <c r="F129" s="210">
        <f>ROUND(SUMIFS(Age_Sex_BY[[#All],[Total Spending before Truncation is Applied]], Age_Sex_BY[[#All],[Advanced Network ID]], $B129, Age_Sex_BY[[#All],[Insurance Category Code]],1), 2)</f>
        <v>0</v>
      </c>
      <c r="G129" s="212">
        <f>ROUND(SUMIFS(Age_Sex_BY[[#All],[Total Spending After Applying Truncation at the Member Level]], Age_Sex_BY[[#All],[Advanced Network ID]], $B129, Age_Sex_BY[[#All],[Insurance Category Code]],1), 2)</f>
        <v>0</v>
      </c>
      <c r="H129" s="525" t="str">
        <f>IF(ROUND(C129,0)=ROUND(SUMIFS(AN_TME_BY[[#All],[Member Months]], AN_TME_BY[[#All],[Insurance Category Code]],1, AN_TME_BY[[#All],[Advanced Network/Insurance Carrier Org ID]],B129),0), "TRUE", ROUND(C129-SUMIFS(AN_TME_BY[[#All],[Member Months]], AN_TME_BY[[#All],[Insurance Category Code]],1, AN_TME_BY[[#All],[Advanced Network/Insurance Carrier Org ID]],B129),2))</f>
        <v>TRUE</v>
      </c>
      <c r="I129" s="533" t="str">
        <f>IF(ROUND(D129,0)=ROUND(SUMIFS(AN_TME_BY[[#All],[Total Claims Excluded because of Truncation]], AN_TME_BY[[#All],[Insurance Category Code]],1, AN_TME_BY[[#All],[Advanced Network/Insurance Carrier Org ID]],B129),0), "TRUE", ROUND(D129-SUMIFS(AN_TME_BY[[#All],[Total Claims Excluded because of Truncation]], AN_TME_BY[[#All],[Insurance Category Code]],1, AN_TME_BY[[#All],[Advanced Network/Insurance Carrier Org ID]],B129),2))</f>
        <v>TRUE</v>
      </c>
      <c r="J129" s="537" t="str">
        <f>IF(ROUND(E129,0)=ROUND(SUMIFS(AN_TME_BY[[#All],[Count of Members with Claims Truncated]], AN_TME_BY[[#All],[Insurance Category Code]],1, AN_TME_BY[[#All],[Advanced Network/Insurance Carrier Org ID]],B129),0), "TRUE", ROUND(E129-SUMIFS(AN_TME_BY[[#All],[Count of Members with Claims Truncated]], AN_TME_BY[[#All],[Insurance Category Code]],1, AN_TME_BY[[#All],[Advanced Network/Insurance Carrier Org ID]],B129),2))</f>
        <v>TRUE</v>
      </c>
      <c r="K129" s="533" t="str">
        <f>IF(ROUND(F129,0)=ROUND(SUMIFS(AN_TME_BY[[#All],[TOTAL Non-Truncated Unadjusted Claims Expenses]], AN_TME_BY[[#All],[Insurance Category Code]],1, AN_TME_BY[[#All],[Advanced Network/Insurance Carrier Org ID]],B129),0), "TRUE", ROUND(F129-SUMIFS(AN_TME_BY[[#All],[TOTAL Non-Truncated Unadjusted Claims Expenses]], AN_TME_BY[[#All],[Insurance Category Code]],1, AN_TME_BY[[#All],[Advanced Network/Insurance Carrier Org ID]],B129),2))</f>
        <v>TRUE</v>
      </c>
      <c r="L129" s="534" t="str">
        <f>IF(ROUND(G129,0)=ROUND(SUMIFS(AN_TME_BY[[#All],[TOTAL Truncated Unadjusted Claims Expenses (A21 -A19)]], AN_TME_BY[[#All],[Insurance Category Code]],1, AN_TME_BY[[#All],[Advanced Network/Insurance Carrier Org ID]],B129),0), "TRUE", ROUND(G129-SUMIFS(AN_TME_BY[[#All],[TOTAL Truncated Unadjusted Claims Expenses (A21 -A19)]], AN_TME_BY[[#All],[Insurance Category Code]],1, AN_TME_BY[[#All],[Advanced Network/Insurance Carrier Org ID]],B129),2))</f>
        <v>TRUE</v>
      </c>
      <c r="M129" s="525" t="str">
        <f t="shared" si="7"/>
        <v>TRUE</v>
      </c>
      <c r="N129" s="533" t="b">
        <f>ROUND(SUMIFS(AN_TME_BY[[#All],[TOTAL Non-Truncated Unadjusted Claims Expenses]], AN_TME_BY[[#All],[Insurance Category Code]],1, AN_TME_BY[[#All],[Advanced Network/Insurance Carrier Org ID]],B129), 2)&gt;=ROUND(SUMIFS(AN_TME_BY[[#All],[TOTAL Truncated Unadjusted Claims Expenses (A21 -A19)]], AN_TME_BY[[#All],[Insurance Category Code]],1, AN_TME_BY[[#All],[Advanced Network/Insurance Carrier Org ID]],B129),2)</f>
        <v>1</v>
      </c>
      <c r="O129" s="534" t="b">
        <f>ROUND(SUMIFS(AN_TME_BY[[#All],[TOTAL Truncated Unadjusted Claims Expenses (A21 -A19)]], AN_TME_BY[[#All],[Insurance Category Code]],1, AN_TME_BY[[#All],[Advanced Network/Insurance Carrier Org ID]],B129)+SUMIFS(AN_TME_BY[[#All],[Total Claims Excluded because of Truncation]], AN_TME_BY[[#All],[Insurance Category Code]],1, AN_TME_BY[[#All],[Advanced Network/Insurance Carrier Org ID]],B129),2)=ROUND(SUMIFS(AN_TME_BY[[#All],[TOTAL Non-Truncated Unadjusted Claims Expenses]], AN_TME_BY[[#All],[Insurance Category Code]],1, AN_TME_BY[[#All],[Advanced Network/Insurance Carrier Org ID]],B129), 2)</f>
        <v>1</v>
      </c>
      <c r="Q129" s="216">
        <v>114</v>
      </c>
      <c r="R129" s="404">
        <f>ROUND(SUMIFS(Age_Sex_PY[[#All],[Total Member Months by Age/Sex Band]], Age_Sex_PY[[#All],[Advanced Network ID]], $Q129, Age_Sex_PY[[#All],[Insurance Category Code]],1), 2)</f>
        <v>0</v>
      </c>
      <c r="S129" s="238">
        <f>ROUND(SUMIFS(Age_Sex_PY[[#All],[Total Dollars Excluded from Spending After Applying Truncation at the Member Level]], Age_Sex_PY[[#All],[Advanced Network ID]], $B129, Age_Sex_PY[[#All],[Insurance Category Code]],1),2)</f>
        <v>0</v>
      </c>
      <c r="T129" s="209">
        <f>ROUND(SUMIFS(Age_Sex_PY[[#All],[Count of Members whose Spending was Truncated]], Age_Sex_PY[[#All],[Advanced Network ID]], $B129, Age_Sex_PY[[#All],[Insurance Category Code]],1), 2)</f>
        <v>0</v>
      </c>
      <c r="U129" s="210">
        <f>ROUND(SUMIFS(Age_Sex_PY[[#All],[Total Spending before Truncation is Applied]], Age_Sex_PY[[#All],[Advanced Network ID]], $B129, Age_Sex_PY[[#All],[Insurance Category Code]],1), 2)</f>
        <v>0</v>
      </c>
      <c r="V129" s="212">
        <f>ROUND(SUMIFS(Age_Sex_PY[[#All],[Total Spending After Applying Truncation at the Member Level]], Age_Sex_PY[[#All],[Advanced Network ID]], $B129, Age_Sex_PY[[#All],[Insurance Category Code]],1),2)</f>
        <v>0</v>
      </c>
      <c r="W129" s="525" t="str">
        <f>IF(ROUND(R129,0)=ROUND(SUMIFS(AN_TME_PY[[#All],[Member Months]], AN_TME_PY[[#All],[Insurance Category Code]],1, AN_TME_PY[[#All],[Advanced Network/Insurance Carrier Org ID]],Q129),0), "TRUE", ROUND(R129-SUMIFS(AN_TME_PY[[#All],[Member Months]], AN_TME_PY[[#All],[Insurance Category Code]],1, AN_TME_PY[[#All],[Advanced Network/Insurance Carrier Org ID]],Q129),2))</f>
        <v>TRUE</v>
      </c>
      <c r="X129" s="527" t="str">
        <f>IF(ROUND(S129,0)=ROUND(SUMIFS(AN_TME_PY[[#All],[Total Claims Excluded because of Truncation]], AN_TME_PY[[#All],[Insurance Category Code]],1, AN_TME_PY[[#All],[Advanced Network/Insurance Carrier Org ID]],Q129),0), "TRUE", ROUND(S129-SUMIFS(AN_TME_PY[[#All],[Total Claims Excluded because of Truncation]], AN_TME_PY[[#All],[Insurance Category Code]],1, AN_TME_PY[[#All],[Advanced Network/Insurance Carrier Org ID]],Q129),2))</f>
        <v>TRUE</v>
      </c>
      <c r="Y129" s="537" t="str">
        <f>IF(ROUND(T129,0)=ROUND(SUMIFS(AN_TME_PY[[#All],[Count of Members with Claims Truncated]], AN_TME_PY[[#All],[Insurance Category Code]],1, AN_TME_PY[[#All],[Advanced Network/Insurance Carrier Org ID]],Q129),0), "TRUE", ROUND(T129-SUMIFS(AN_TME_PY[[#All],[Count of Members with Claims Truncated]], AN_TME_PY[[#All],[Insurance Category Code]],1, AN_TME_PY[[#All],[Advanced Network/Insurance Carrier Org ID]],Q129),2))</f>
        <v>TRUE</v>
      </c>
      <c r="Z129" s="528" t="str">
        <f>IF(ROUND(U129,0)=ROUND(SUMIFS(AN_TME_PY[[#All],[TOTAL Non-Truncated Unadjusted Claims Expenses]], AN_TME_PY[[#All],[Insurance Category Code]],1, AN_TME_PY[[#All],[Advanced Network/Insurance Carrier Org ID]],Q129),0), "TRUE", ROUND(U129-SUMIFS(AN_TME_PY[[#All],[TOTAL Non-Truncated Unadjusted Claims Expenses]], AN_TME_PY[[#All],[Insurance Category Code]],1, AN_TME_PY[[#All],[Advanced Network/Insurance Carrier Org ID]],Q129),2))</f>
        <v>TRUE</v>
      </c>
      <c r="AA129" s="529" t="str">
        <f>IF(ROUND(V129,0)=ROUND(SUMIFS(AN_TME_PY[[#All],[TOTAL Truncated Unadjusted Claims Expenses (A21 -A19)]], AN_TME_PY[[#All],[Insurance Category Code]],1, AN_TME_PY[[#All],[Advanced Network/Insurance Carrier Org ID]],Q129),0), "TRUE", ROUND(V129-SUMIFS(AN_TME_PY[[#All],[TOTAL Truncated Unadjusted Claims Expenses (A21 -A19)]], AN_TME_PY[[#All],[Insurance Category Code]],1, AN_TME_PY[[#All],[Advanced Network/Insurance Carrier Org ID]],Q129),2))</f>
        <v>TRUE</v>
      </c>
      <c r="AB129" s="525" t="str">
        <f t="shared" si="9"/>
        <v>TRUE</v>
      </c>
      <c r="AC129" s="528" t="b">
        <f>ROUND(SUMIFS(AN_TME_PY[[#All],[TOTAL Non-Truncated Unadjusted Claims Expenses]], AN_TME_PY[[#All],[Insurance Category Code]],1, AN_TME_PY[[#All],[Advanced Network/Insurance Carrier Org ID]],Q129),2)&gt;=ROUND(SUMIFS(AN_TME_PY[[#All],[TOTAL Truncated Unadjusted Claims Expenses (A21 -A19)]], AN_TME_PY[[#All],[Insurance Category Code]],1, AN_TME_PY[[#All],[Advanced Network/Insurance Carrier Org ID]],Q129), 2)</f>
        <v>1</v>
      </c>
      <c r="AD129" s="529" t="b">
        <f>ROUND(SUMIFS(AN_TME_PY[[#All],[TOTAL Truncated Unadjusted Claims Expenses (A21 -A19)]], AN_TME_PY[[#All],[Insurance Category Code]],1, AN_TME_PY[[#All],[Advanced Network/Insurance Carrier Org ID]],Q129)+SUMIFS(AN_TME_PY[[#All],[Total Claims Excluded because of Truncation]], AN_TME_PY[[#All],[Insurance Category Code]],1, AN_TME_PY[[#All],[Advanced Network/Insurance Carrier Org ID]],Q129), 2)=ROUND(SUMIFS(AN_TME_PY[[#All],[TOTAL Non-Truncated Unadjusted Claims Expenses]], AN_TME_PY[[#All],[Insurance Category Code]],1, AN_TME_PY[[#All],[Advanced Network/Insurance Carrier Org ID]],Q129), 2)</f>
        <v>1</v>
      </c>
      <c r="AF129" s="283" t="str">
        <f t="shared" si="8"/>
        <v>NA</v>
      </c>
    </row>
    <row r="130" spans="2:32" outlineLevel="1" x14ac:dyDescent="0.25">
      <c r="B130" s="216">
        <v>115</v>
      </c>
      <c r="C130" s="404">
        <f>ROUND(SUMIFS(Age_Sex_BY[[#All],[Total Member Months by Age/Sex Band]], Age_Sex_BY[[#All],[Advanced Network ID]], $B130, Age_Sex_BY[[#All],[Insurance Category Code]],1), 2)</f>
        <v>0</v>
      </c>
      <c r="D130" s="238">
        <f>ROUND(SUMIFS(Age_Sex_BY[[#All],[Total Dollars Excluded from Spending After Applying Truncation at the Member Level]], Age_Sex_BY[[#All],[Advanced Network ID]], $B130, Age_Sex_BY[[#All],[Insurance Category Code]],1), 2)</f>
        <v>0</v>
      </c>
      <c r="E130" s="209">
        <f>ROUND(SUMIFS(Age_Sex_BY[[#All],[Count of Members whose Spending was Truncated]], Age_Sex_BY[[#All],[Advanced Network ID]], $B130, Age_Sex_BY[[#All],[Insurance Category Code]],1),2)</f>
        <v>0</v>
      </c>
      <c r="F130" s="210">
        <f>ROUND(SUMIFS(Age_Sex_BY[[#All],[Total Spending before Truncation is Applied]], Age_Sex_BY[[#All],[Advanced Network ID]], $B130, Age_Sex_BY[[#All],[Insurance Category Code]],1), 2)</f>
        <v>0</v>
      </c>
      <c r="G130" s="212">
        <f>ROUND(SUMIFS(Age_Sex_BY[[#All],[Total Spending After Applying Truncation at the Member Level]], Age_Sex_BY[[#All],[Advanced Network ID]], $B130, Age_Sex_BY[[#All],[Insurance Category Code]],1), 2)</f>
        <v>0</v>
      </c>
      <c r="H130" s="525" t="str">
        <f>IF(ROUND(C130,0)=ROUND(SUMIFS(AN_TME_BY[[#All],[Member Months]], AN_TME_BY[[#All],[Insurance Category Code]],1, AN_TME_BY[[#All],[Advanced Network/Insurance Carrier Org ID]],B130),0), "TRUE", ROUND(C130-SUMIFS(AN_TME_BY[[#All],[Member Months]], AN_TME_BY[[#All],[Insurance Category Code]],1, AN_TME_BY[[#All],[Advanced Network/Insurance Carrier Org ID]],B130),2))</f>
        <v>TRUE</v>
      </c>
      <c r="I130" s="533" t="str">
        <f>IF(ROUND(D130,0)=ROUND(SUMIFS(AN_TME_BY[[#All],[Total Claims Excluded because of Truncation]], AN_TME_BY[[#All],[Insurance Category Code]],1, AN_TME_BY[[#All],[Advanced Network/Insurance Carrier Org ID]],B130),0), "TRUE", ROUND(D130-SUMIFS(AN_TME_BY[[#All],[Total Claims Excluded because of Truncation]], AN_TME_BY[[#All],[Insurance Category Code]],1, AN_TME_BY[[#All],[Advanced Network/Insurance Carrier Org ID]],B130),2))</f>
        <v>TRUE</v>
      </c>
      <c r="J130" s="537" t="str">
        <f>IF(ROUND(E130,0)=ROUND(SUMIFS(AN_TME_BY[[#All],[Count of Members with Claims Truncated]], AN_TME_BY[[#All],[Insurance Category Code]],1, AN_TME_BY[[#All],[Advanced Network/Insurance Carrier Org ID]],B130),0), "TRUE", ROUND(E130-SUMIFS(AN_TME_BY[[#All],[Count of Members with Claims Truncated]], AN_TME_BY[[#All],[Insurance Category Code]],1, AN_TME_BY[[#All],[Advanced Network/Insurance Carrier Org ID]],B130),2))</f>
        <v>TRUE</v>
      </c>
      <c r="K130" s="533" t="str">
        <f>IF(ROUND(F130,0)=ROUND(SUMIFS(AN_TME_BY[[#All],[TOTAL Non-Truncated Unadjusted Claims Expenses]], AN_TME_BY[[#All],[Insurance Category Code]],1, AN_TME_BY[[#All],[Advanced Network/Insurance Carrier Org ID]],B130),0), "TRUE", ROUND(F130-SUMIFS(AN_TME_BY[[#All],[TOTAL Non-Truncated Unadjusted Claims Expenses]], AN_TME_BY[[#All],[Insurance Category Code]],1, AN_TME_BY[[#All],[Advanced Network/Insurance Carrier Org ID]],B130),2))</f>
        <v>TRUE</v>
      </c>
      <c r="L130" s="534" t="str">
        <f>IF(ROUND(G130,0)=ROUND(SUMIFS(AN_TME_BY[[#All],[TOTAL Truncated Unadjusted Claims Expenses (A21 -A19)]], AN_TME_BY[[#All],[Insurance Category Code]],1, AN_TME_BY[[#All],[Advanced Network/Insurance Carrier Org ID]],B130),0), "TRUE", ROUND(G130-SUMIFS(AN_TME_BY[[#All],[TOTAL Truncated Unadjusted Claims Expenses (A21 -A19)]], AN_TME_BY[[#All],[Insurance Category Code]],1, AN_TME_BY[[#All],[Advanced Network/Insurance Carrier Org ID]],B130),2))</f>
        <v>TRUE</v>
      </c>
      <c r="M130" s="525" t="str">
        <f t="shared" si="7"/>
        <v>TRUE</v>
      </c>
      <c r="N130" s="533" t="b">
        <f>ROUND(SUMIFS(AN_TME_BY[[#All],[TOTAL Non-Truncated Unadjusted Claims Expenses]], AN_TME_BY[[#All],[Insurance Category Code]],1, AN_TME_BY[[#All],[Advanced Network/Insurance Carrier Org ID]],B130), 2)&gt;=ROUND(SUMIFS(AN_TME_BY[[#All],[TOTAL Truncated Unadjusted Claims Expenses (A21 -A19)]], AN_TME_BY[[#All],[Insurance Category Code]],1, AN_TME_BY[[#All],[Advanced Network/Insurance Carrier Org ID]],B130),2)</f>
        <v>1</v>
      </c>
      <c r="O130" s="534" t="b">
        <f>ROUND(SUMIFS(AN_TME_BY[[#All],[TOTAL Truncated Unadjusted Claims Expenses (A21 -A19)]], AN_TME_BY[[#All],[Insurance Category Code]],1, AN_TME_BY[[#All],[Advanced Network/Insurance Carrier Org ID]],B130)+SUMIFS(AN_TME_BY[[#All],[Total Claims Excluded because of Truncation]], AN_TME_BY[[#All],[Insurance Category Code]],1, AN_TME_BY[[#All],[Advanced Network/Insurance Carrier Org ID]],B130),2)=ROUND(SUMIFS(AN_TME_BY[[#All],[TOTAL Non-Truncated Unadjusted Claims Expenses]], AN_TME_BY[[#All],[Insurance Category Code]],1, AN_TME_BY[[#All],[Advanced Network/Insurance Carrier Org ID]],B130), 2)</f>
        <v>1</v>
      </c>
      <c r="Q130" s="216">
        <v>115</v>
      </c>
      <c r="R130" s="404">
        <f>ROUND(SUMIFS(Age_Sex_PY[[#All],[Total Member Months by Age/Sex Band]], Age_Sex_PY[[#All],[Advanced Network ID]], $Q130, Age_Sex_PY[[#All],[Insurance Category Code]],1), 2)</f>
        <v>0</v>
      </c>
      <c r="S130" s="238">
        <f>ROUND(SUMIFS(Age_Sex_PY[[#All],[Total Dollars Excluded from Spending After Applying Truncation at the Member Level]], Age_Sex_PY[[#All],[Advanced Network ID]], $B130, Age_Sex_PY[[#All],[Insurance Category Code]],1),2)</f>
        <v>0</v>
      </c>
      <c r="T130" s="209">
        <f>ROUND(SUMIFS(Age_Sex_PY[[#All],[Count of Members whose Spending was Truncated]], Age_Sex_PY[[#All],[Advanced Network ID]], $B130, Age_Sex_PY[[#All],[Insurance Category Code]],1), 2)</f>
        <v>0</v>
      </c>
      <c r="U130" s="210">
        <f>ROUND(SUMIFS(Age_Sex_PY[[#All],[Total Spending before Truncation is Applied]], Age_Sex_PY[[#All],[Advanced Network ID]], $B130, Age_Sex_PY[[#All],[Insurance Category Code]],1), 2)</f>
        <v>0</v>
      </c>
      <c r="V130" s="212">
        <f>ROUND(SUMIFS(Age_Sex_PY[[#All],[Total Spending After Applying Truncation at the Member Level]], Age_Sex_PY[[#All],[Advanced Network ID]], $B130, Age_Sex_PY[[#All],[Insurance Category Code]],1),2)</f>
        <v>0</v>
      </c>
      <c r="W130" s="525" t="str">
        <f>IF(ROUND(R130,0)=ROUND(SUMIFS(AN_TME_PY[[#All],[Member Months]], AN_TME_PY[[#All],[Insurance Category Code]],1, AN_TME_PY[[#All],[Advanced Network/Insurance Carrier Org ID]],Q130),0), "TRUE", ROUND(R130-SUMIFS(AN_TME_PY[[#All],[Member Months]], AN_TME_PY[[#All],[Insurance Category Code]],1, AN_TME_PY[[#All],[Advanced Network/Insurance Carrier Org ID]],Q130),2))</f>
        <v>TRUE</v>
      </c>
      <c r="X130" s="527" t="str">
        <f>IF(ROUND(S130,0)=ROUND(SUMIFS(AN_TME_PY[[#All],[Total Claims Excluded because of Truncation]], AN_TME_PY[[#All],[Insurance Category Code]],1, AN_TME_PY[[#All],[Advanced Network/Insurance Carrier Org ID]],Q130),0), "TRUE", ROUND(S130-SUMIFS(AN_TME_PY[[#All],[Total Claims Excluded because of Truncation]], AN_TME_PY[[#All],[Insurance Category Code]],1, AN_TME_PY[[#All],[Advanced Network/Insurance Carrier Org ID]],Q130),2))</f>
        <v>TRUE</v>
      </c>
      <c r="Y130" s="537" t="str">
        <f>IF(ROUND(T130,0)=ROUND(SUMIFS(AN_TME_PY[[#All],[Count of Members with Claims Truncated]], AN_TME_PY[[#All],[Insurance Category Code]],1, AN_TME_PY[[#All],[Advanced Network/Insurance Carrier Org ID]],Q130),0), "TRUE", ROUND(T130-SUMIFS(AN_TME_PY[[#All],[Count of Members with Claims Truncated]], AN_TME_PY[[#All],[Insurance Category Code]],1, AN_TME_PY[[#All],[Advanced Network/Insurance Carrier Org ID]],Q130),2))</f>
        <v>TRUE</v>
      </c>
      <c r="Z130" s="528" t="str">
        <f>IF(ROUND(U130,0)=ROUND(SUMIFS(AN_TME_PY[[#All],[TOTAL Non-Truncated Unadjusted Claims Expenses]], AN_TME_PY[[#All],[Insurance Category Code]],1, AN_TME_PY[[#All],[Advanced Network/Insurance Carrier Org ID]],Q130),0), "TRUE", ROUND(U130-SUMIFS(AN_TME_PY[[#All],[TOTAL Non-Truncated Unadjusted Claims Expenses]], AN_TME_PY[[#All],[Insurance Category Code]],1, AN_TME_PY[[#All],[Advanced Network/Insurance Carrier Org ID]],Q130),2))</f>
        <v>TRUE</v>
      </c>
      <c r="AA130" s="529" t="str">
        <f>IF(ROUND(V130,0)=ROUND(SUMIFS(AN_TME_PY[[#All],[TOTAL Truncated Unadjusted Claims Expenses (A21 -A19)]], AN_TME_PY[[#All],[Insurance Category Code]],1, AN_TME_PY[[#All],[Advanced Network/Insurance Carrier Org ID]],Q130),0), "TRUE", ROUND(V130-SUMIFS(AN_TME_PY[[#All],[TOTAL Truncated Unadjusted Claims Expenses (A21 -A19)]], AN_TME_PY[[#All],[Insurance Category Code]],1, AN_TME_PY[[#All],[Advanced Network/Insurance Carrier Org ID]],Q130),2))</f>
        <v>TRUE</v>
      </c>
      <c r="AB130" s="525" t="str">
        <f t="shared" si="9"/>
        <v>TRUE</v>
      </c>
      <c r="AC130" s="528" t="b">
        <f>ROUND(SUMIFS(AN_TME_PY[[#All],[TOTAL Non-Truncated Unadjusted Claims Expenses]], AN_TME_PY[[#All],[Insurance Category Code]],1, AN_TME_PY[[#All],[Advanced Network/Insurance Carrier Org ID]],Q130),2)&gt;=ROUND(SUMIFS(AN_TME_PY[[#All],[TOTAL Truncated Unadjusted Claims Expenses (A21 -A19)]], AN_TME_PY[[#All],[Insurance Category Code]],1, AN_TME_PY[[#All],[Advanced Network/Insurance Carrier Org ID]],Q130), 2)</f>
        <v>1</v>
      </c>
      <c r="AD130" s="529" t="b">
        <f>ROUND(SUMIFS(AN_TME_PY[[#All],[TOTAL Truncated Unadjusted Claims Expenses (A21 -A19)]], AN_TME_PY[[#All],[Insurance Category Code]],1, AN_TME_PY[[#All],[Advanced Network/Insurance Carrier Org ID]],Q130)+SUMIFS(AN_TME_PY[[#All],[Total Claims Excluded because of Truncation]], AN_TME_PY[[#All],[Insurance Category Code]],1, AN_TME_PY[[#All],[Advanced Network/Insurance Carrier Org ID]],Q130), 2)=ROUND(SUMIFS(AN_TME_PY[[#All],[TOTAL Non-Truncated Unadjusted Claims Expenses]], AN_TME_PY[[#All],[Insurance Category Code]],1, AN_TME_PY[[#All],[Advanced Network/Insurance Carrier Org ID]],Q130), 2)</f>
        <v>1</v>
      </c>
      <c r="AF130" s="283" t="str">
        <f t="shared" si="8"/>
        <v>NA</v>
      </c>
    </row>
    <row r="131" spans="2:32" outlineLevel="1" x14ac:dyDescent="0.25">
      <c r="B131" s="216">
        <v>116</v>
      </c>
      <c r="C131" s="404">
        <f>ROUND(SUMIFS(Age_Sex_BY[[#All],[Total Member Months by Age/Sex Band]], Age_Sex_BY[[#All],[Advanced Network ID]], $B131, Age_Sex_BY[[#All],[Insurance Category Code]],1), 2)</f>
        <v>0</v>
      </c>
      <c r="D131" s="238">
        <f>ROUND(SUMIFS(Age_Sex_BY[[#All],[Total Dollars Excluded from Spending After Applying Truncation at the Member Level]], Age_Sex_BY[[#All],[Advanced Network ID]], $B131, Age_Sex_BY[[#All],[Insurance Category Code]],1), 2)</f>
        <v>0</v>
      </c>
      <c r="E131" s="209">
        <f>ROUND(SUMIFS(Age_Sex_BY[[#All],[Count of Members whose Spending was Truncated]], Age_Sex_BY[[#All],[Advanced Network ID]], $B131, Age_Sex_BY[[#All],[Insurance Category Code]],1),2)</f>
        <v>0</v>
      </c>
      <c r="F131" s="210">
        <f>ROUND(SUMIFS(Age_Sex_BY[[#All],[Total Spending before Truncation is Applied]], Age_Sex_BY[[#All],[Advanced Network ID]], $B131, Age_Sex_BY[[#All],[Insurance Category Code]],1), 2)</f>
        <v>0</v>
      </c>
      <c r="G131" s="212">
        <f>ROUND(SUMIFS(Age_Sex_BY[[#All],[Total Spending After Applying Truncation at the Member Level]], Age_Sex_BY[[#All],[Advanced Network ID]], $B131, Age_Sex_BY[[#All],[Insurance Category Code]],1), 2)</f>
        <v>0</v>
      </c>
      <c r="H131" s="525" t="str">
        <f>IF(ROUND(C131,0)=ROUND(SUMIFS(AN_TME_BY[[#All],[Member Months]], AN_TME_BY[[#All],[Insurance Category Code]],1, AN_TME_BY[[#All],[Advanced Network/Insurance Carrier Org ID]],B131),0), "TRUE", ROUND(C131-SUMIFS(AN_TME_BY[[#All],[Member Months]], AN_TME_BY[[#All],[Insurance Category Code]],1, AN_TME_BY[[#All],[Advanced Network/Insurance Carrier Org ID]],B131),2))</f>
        <v>TRUE</v>
      </c>
      <c r="I131" s="533" t="str">
        <f>IF(ROUND(D131,0)=ROUND(SUMIFS(AN_TME_BY[[#All],[Total Claims Excluded because of Truncation]], AN_TME_BY[[#All],[Insurance Category Code]],1, AN_TME_BY[[#All],[Advanced Network/Insurance Carrier Org ID]],B131),0), "TRUE", ROUND(D131-SUMIFS(AN_TME_BY[[#All],[Total Claims Excluded because of Truncation]], AN_TME_BY[[#All],[Insurance Category Code]],1, AN_TME_BY[[#All],[Advanced Network/Insurance Carrier Org ID]],B131),2))</f>
        <v>TRUE</v>
      </c>
      <c r="J131" s="537" t="str">
        <f>IF(ROUND(E131,0)=ROUND(SUMIFS(AN_TME_BY[[#All],[Count of Members with Claims Truncated]], AN_TME_BY[[#All],[Insurance Category Code]],1, AN_TME_BY[[#All],[Advanced Network/Insurance Carrier Org ID]],B131),0), "TRUE", ROUND(E131-SUMIFS(AN_TME_BY[[#All],[Count of Members with Claims Truncated]], AN_TME_BY[[#All],[Insurance Category Code]],1, AN_TME_BY[[#All],[Advanced Network/Insurance Carrier Org ID]],B131),2))</f>
        <v>TRUE</v>
      </c>
      <c r="K131" s="533" t="str">
        <f>IF(ROUND(F131,0)=ROUND(SUMIFS(AN_TME_BY[[#All],[TOTAL Non-Truncated Unadjusted Claims Expenses]], AN_TME_BY[[#All],[Insurance Category Code]],1, AN_TME_BY[[#All],[Advanced Network/Insurance Carrier Org ID]],B131),0), "TRUE", ROUND(F131-SUMIFS(AN_TME_BY[[#All],[TOTAL Non-Truncated Unadjusted Claims Expenses]], AN_TME_BY[[#All],[Insurance Category Code]],1, AN_TME_BY[[#All],[Advanced Network/Insurance Carrier Org ID]],B131),2))</f>
        <v>TRUE</v>
      </c>
      <c r="L131" s="534" t="str">
        <f>IF(ROUND(G131,0)=ROUND(SUMIFS(AN_TME_BY[[#All],[TOTAL Truncated Unadjusted Claims Expenses (A21 -A19)]], AN_TME_BY[[#All],[Insurance Category Code]],1, AN_TME_BY[[#All],[Advanced Network/Insurance Carrier Org ID]],B131),0), "TRUE", ROUND(G131-SUMIFS(AN_TME_BY[[#All],[TOTAL Truncated Unadjusted Claims Expenses (A21 -A19)]], AN_TME_BY[[#All],[Insurance Category Code]],1, AN_TME_BY[[#All],[Advanced Network/Insurance Carrier Org ID]],B131),2))</f>
        <v>TRUE</v>
      </c>
      <c r="M131" s="525" t="str">
        <f t="shared" si="7"/>
        <v>TRUE</v>
      </c>
      <c r="N131" s="533" t="b">
        <f>ROUND(SUMIFS(AN_TME_BY[[#All],[TOTAL Non-Truncated Unadjusted Claims Expenses]], AN_TME_BY[[#All],[Insurance Category Code]],1, AN_TME_BY[[#All],[Advanced Network/Insurance Carrier Org ID]],B131), 2)&gt;=ROUND(SUMIFS(AN_TME_BY[[#All],[TOTAL Truncated Unadjusted Claims Expenses (A21 -A19)]], AN_TME_BY[[#All],[Insurance Category Code]],1, AN_TME_BY[[#All],[Advanced Network/Insurance Carrier Org ID]],B131),2)</f>
        <v>1</v>
      </c>
      <c r="O131" s="534" t="b">
        <f>ROUND(SUMIFS(AN_TME_BY[[#All],[TOTAL Truncated Unadjusted Claims Expenses (A21 -A19)]], AN_TME_BY[[#All],[Insurance Category Code]],1, AN_TME_BY[[#All],[Advanced Network/Insurance Carrier Org ID]],B131)+SUMIFS(AN_TME_BY[[#All],[Total Claims Excluded because of Truncation]], AN_TME_BY[[#All],[Insurance Category Code]],1, AN_TME_BY[[#All],[Advanced Network/Insurance Carrier Org ID]],B131),2)=ROUND(SUMIFS(AN_TME_BY[[#All],[TOTAL Non-Truncated Unadjusted Claims Expenses]], AN_TME_BY[[#All],[Insurance Category Code]],1, AN_TME_BY[[#All],[Advanced Network/Insurance Carrier Org ID]],B131), 2)</f>
        <v>1</v>
      </c>
      <c r="Q131" s="216">
        <v>116</v>
      </c>
      <c r="R131" s="404">
        <f>ROUND(SUMIFS(Age_Sex_PY[[#All],[Total Member Months by Age/Sex Band]], Age_Sex_PY[[#All],[Advanced Network ID]], $Q131, Age_Sex_PY[[#All],[Insurance Category Code]],1), 2)</f>
        <v>0</v>
      </c>
      <c r="S131" s="238">
        <f>ROUND(SUMIFS(Age_Sex_PY[[#All],[Total Dollars Excluded from Spending After Applying Truncation at the Member Level]], Age_Sex_PY[[#All],[Advanced Network ID]], $B131, Age_Sex_PY[[#All],[Insurance Category Code]],1),2)</f>
        <v>0</v>
      </c>
      <c r="T131" s="209">
        <f>ROUND(SUMIFS(Age_Sex_PY[[#All],[Count of Members whose Spending was Truncated]], Age_Sex_PY[[#All],[Advanced Network ID]], $B131, Age_Sex_PY[[#All],[Insurance Category Code]],1), 2)</f>
        <v>0</v>
      </c>
      <c r="U131" s="210">
        <f>ROUND(SUMIFS(Age_Sex_PY[[#All],[Total Spending before Truncation is Applied]], Age_Sex_PY[[#All],[Advanced Network ID]], $B131, Age_Sex_PY[[#All],[Insurance Category Code]],1), 2)</f>
        <v>0</v>
      </c>
      <c r="V131" s="212">
        <f>ROUND(SUMIFS(Age_Sex_PY[[#All],[Total Spending After Applying Truncation at the Member Level]], Age_Sex_PY[[#All],[Advanced Network ID]], $B131, Age_Sex_PY[[#All],[Insurance Category Code]],1),2)</f>
        <v>0</v>
      </c>
      <c r="W131" s="525" t="str">
        <f>IF(ROUND(R131,0)=ROUND(SUMIFS(AN_TME_PY[[#All],[Member Months]], AN_TME_PY[[#All],[Insurance Category Code]],1, AN_TME_PY[[#All],[Advanced Network/Insurance Carrier Org ID]],Q131),0), "TRUE", ROUND(R131-SUMIFS(AN_TME_PY[[#All],[Member Months]], AN_TME_PY[[#All],[Insurance Category Code]],1, AN_TME_PY[[#All],[Advanced Network/Insurance Carrier Org ID]],Q131),2))</f>
        <v>TRUE</v>
      </c>
      <c r="X131" s="527" t="str">
        <f>IF(ROUND(S131,0)=ROUND(SUMIFS(AN_TME_PY[[#All],[Total Claims Excluded because of Truncation]], AN_TME_PY[[#All],[Insurance Category Code]],1, AN_TME_PY[[#All],[Advanced Network/Insurance Carrier Org ID]],Q131),0), "TRUE", ROUND(S131-SUMIFS(AN_TME_PY[[#All],[Total Claims Excluded because of Truncation]], AN_TME_PY[[#All],[Insurance Category Code]],1, AN_TME_PY[[#All],[Advanced Network/Insurance Carrier Org ID]],Q131),2))</f>
        <v>TRUE</v>
      </c>
      <c r="Y131" s="537" t="str">
        <f>IF(ROUND(T131,0)=ROUND(SUMIFS(AN_TME_PY[[#All],[Count of Members with Claims Truncated]], AN_TME_PY[[#All],[Insurance Category Code]],1, AN_TME_PY[[#All],[Advanced Network/Insurance Carrier Org ID]],Q131),0), "TRUE", ROUND(T131-SUMIFS(AN_TME_PY[[#All],[Count of Members with Claims Truncated]], AN_TME_PY[[#All],[Insurance Category Code]],1, AN_TME_PY[[#All],[Advanced Network/Insurance Carrier Org ID]],Q131),2))</f>
        <v>TRUE</v>
      </c>
      <c r="Z131" s="528" t="str">
        <f>IF(ROUND(U131,0)=ROUND(SUMIFS(AN_TME_PY[[#All],[TOTAL Non-Truncated Unadjusted Claims Expenses]], AN_TME_PY[[#All],[Insurance Category Code]],1, AN_TME_PY[[#All],[Advanced Network/Insurance Carrier Org ID]],Q131),0), "TRUE", ROUND(U131-SUMIFS(AN_TME_PY[[#All],[TOTAL Non-Truncated Unadjusted Claims Expenses]], AN_TME_PY[[#All],[Insurance Category Code]],1, AN_TME_PY[[#All],[Advanced Network/Insurance Carrier Org ID]],Q131),2))</f>
        <v>TRUE</v>
      </c>
      <c r="AA131" s="529" t="str">
        <f>IF(ROUND(V131,0)=ROUND(SUMIFS(AN_TME_PY[[#All],[TOTAL Truncated Unadjusted Claims Expenses (A21 -A19)]], AN_TME_PY[[#All],[Insurance Category Code]],1, AN_TME_PY[[#All],[Advanced Network/Insurance Carrier Org ID]],Q131),0), "TRUE", ROUND(V131-SUMIFS(AN_TME_PY[[#All],[TOTAL Truncated Unadjusted Claims Expenses (A21 -A19)]], AN_TME_PY[[#All],[Insurance Category Code]],1, AN_TME_PY[[#All],[Advanced Network/Insurance Carrier Org ID]],Q131),2))</f>
        <v>TRUE</v>
      </c>
      <c r="AB131" s="525" t="str">
        <f t="shared" si="9"/>
        <v>TRUE</v>
      </c>
      <c r="AC131" s="528" t="b">
        <f>ROUND(SUMIFS(AN_TME_PY[[#All],[TOTAL Non-Truncated Unadjusted Claims Expenses]], AN_TME_PY[[#All],[Insurance Category Code]],1, AN_TME_PY[[#All],[Advanced Network/Insurance Carrier Org ID]],Q131),2)&gt;=ROUND(SUMIFS(AN_TME_PY[[#All],[TOTAL Truncated Unadjusted Claims Expenses (A21 -A19)]], AN_TME_PY[[#All],[Insurance Category Code]],1, AN_TME_PY[[#All],[Advanced Network/Insurance Carrier Org ID]],Q131), 2)</f>
        <v>1</v>
      </c>
      <c r="AD131" s="529" t="b">
        <f>ROUND(SUMIFS(AN_TME_PY[[#All],[TOTAL Truncated Unadjusted Claims Expenses (A21 -A19)]], AN_TME_PY[[#All],[Insurance Category Code]],1, AN_TME_PY[[#All],[Advanced Network/Insurance Carrier Org ID]],Q131)+SUMIFS(AN_TME_PY[[#All],[Total Claims Excluded because of Truncation]], AN_TME_PY[[#All],[Insurance Category Code]],1, AN_TME_PY[[#All],[Advanced Network/Insurance Carrier Org ID]],Q131), 2)=ROUND(SUMIFS(AN_TME_PY[[#All],[TOTAL Non-Truncated Unadjusted Claims Expenses]], AN_TME_PY[[#All],[Insurance Category Code]],1, AN_TME_PY[[#All],[Advanced Network/Insurance Carrier Org ID]],Q131), 2)</f>
        <v>1</v>
      </c>
      <c r="AF131" s="283" t="str">
        <f t="shared" si="8"/>
        <v>NA</v>
      </c>
    </row>
    <row r="132" spans="2:32" outlineLevel="1" x14ac:dyDescent="0.25">
      <c r="B132" s="216">
        <v>117</v>
      </c>
      <c r="C132" s="404">
        <f>ROUND(SUMIFS(Age_Sex_BY[[#All],[Total Member Months by Age/Sex Band]], Age_Sex_BY[[#All],[Advanced Network ID]], $B132, Age_Sex_BY[[#All],[Insurance Category Code]],1), 2)</f>
        <v>0</v>
      </c>
      <c r="D132" s="238">
        <f>ROUND(SUMIFS(Age_Sex_BY[[#All],[Total Dollars Excluded from Spending After Applying Truncation at the Member Level]], Age_Sex_BY[[#All],[Advanced Network ID]], $B132, Age_Sex_BY[[#All],[Insurance Category Code]],1), 2)</f>
        <v>0</v>
      </c>
      <c r="E132" s="209">
        <f>ROUND(SUMIFS(Age_Sex_BY[[#All],[Count of Members whose Spending was Truncated]], Age_Sex_BY[[#All],[Advanced Network ID]], $B132, Age_Sex_BY[[#All],[Insurance Category Code]],1),2)</f>
        <v>0</v>
      </c>
      <c r="F132" s="210">
        <f>ROUND(SUMIFS(Age_Sex_BY[[#All],[Total Spending before Truncation is Applied]], Age_Sex_BY[[#All],[Advanced Network ID]], $B132, Age_Sex_BY[[#All],[Insurance Category Code]],1), 2)</f>
        <v>0</v>
      </c>
      <c r="G132" s="212">
        <f>ROUND(SUMIFS(Age_Sex_BY[[#All],[Total Spending After Applying Truncation at the Member Level]], Age_Sex_BY[[#All],[Advanced Network ID]], $B132, Age_Sex_BY[[#All],[Insurance Category Code]],1), 2)</f>
        <v>0</v>
      </c>
      <c r="H132" s="525" t="str">
        <f>IF(ROUND(C132,0)=ROUND(SUMIFS(AN_TME_BY[[#All],[Member Months]], AN_TME_BY[[#All],[Insurance Category Code]],1, AN_TME_BY[[#All],[Advanced Network/Insurance Carrier Org ID]],B132),0), "TRUE", ROUND(C132-SUMIFS(AN_TME_BY[[#All],[Member Months]], AN_TME_BY[[#All],[Insurance Category Code]],1, AN_TME_BY[[#All],[Advanced Network/Insurance Carrier Org ID]],B132),2))</f>
        <v>TRUE</v>
      </c>
      <c r="I132" s="533" t="str">
        <f>IF(ROUND(D132,0)=ROUND(SUMIFS(AN_TME_BY[[#All],[Total Claims Excluded because of Truncation]], AN_TME_BY[[#All],[Insurance Category Code]],1, AN_TME_BY[[#All],[Advanced Network/Insurance Carrier Org ID]],B132),0), "TRUE", ROUND(D132-SUMIFS(AN_TME_BY[[#All],[Total Claims Excluded because of Truncation]], AN_TME_BY[[#All],[Insurance Category Code]],1, AN_TME_BY[[#All],[Advanced Network/Insurance Carrier Org ID]],B132),2))</f>
        <v>TRUE</v>
      </c>
      <c r="J132" s="537" t="str">
        <f>IF(ROUND(E132,0)=ROUND(SUMIFS(AN_TME_BY[[#All],[Count of Members with Claims Truncated]], AN_TME_BY[[#All],[Insurance Category Code]],1, AN_TME_BY[[#All],[Advanced Network/Insurance Carrier Org ID]],B132),0), "TRUE", ROUND(E132-SUMIFS(AN_TME_BY[[#All],[Count of Members with Claims Truncated]], AN_TME_BY[[#All],[Insurance Category Code]],1, AN_TME_BY[[#All],[Advanced Network/Insurance Carrier Org ID]],B132),2))</f>
        <v>TRUE</v>
      </c>
      <c r="K132" s="533" t="str">
        <f>IF(ROUND(F132,0)=ROUND(SUMIFS(AN_TME_BY[[#All],[TOTAL Non-Truncated Unadjusted Claims Expenses]], AN_TME_BY[[#All],[Insurance Category Code]],1, AN_TME_BY[[#All],[Advanced Network/Insurance Carrier Org ID]],B132),0), "TRUE", ROUND(F132-SUMIFS(AN_TME_BY[[#All],[TOTAL Non-Truncated Unadjusted Claims Expenses]], AN_TME_BY[[#All],[Insurance Category Code]],1, AN_TME_BY[[#All],[Advanced Network/Insurance Carrier Org ID]],B132),2))</f>
        <v>TRUE</v>
      </c>
      <c r="L132" s="534" t="str">
        <f>IF(ROUND(G132,0)=ROUND(SUMIFS(AN_TME_BY[[#All],[TOTAL Truncated Unadjusted Claims Expenses (A21 -A19)]], AN_TME_BY[[#All],[Insurance Category Code]],1, AN_TME_BY[[#All],[Advanced Network/Insurance Carrier Org ID]],B132),0), "TRUE", ROUND(G132-SUMIFS(AN_TME_BY[[#All],[TOTAL Truncated Unadjusted Claims Expenses (A21 -A19)]], AN_TME_BY[[#All],[Insurance Category Code]],1, AN_TME_BY[[#All],[Advanced Network/Insurance Carrier Org ID]],B132),2))</f>
        <v>TRUE</v>
      </c>
      <c r="M132" s="525" t="str">
        <f t="shared" si="7"/>
        <v>TRUE</v>
      </c>
      <c r="N132" s="533" t="b">
        <f>ROUND(SUMIFS(AN_TME_BY[[#All],[TOTAL Non-Truncated Unadjusted Claims Expenses]], AN_TME_BY[[#All],[Insurance Category Code]],1, AN_TME_BY[[#All],[Advanced Network/Insurance Carrier Org ID]],B132), 2)&gt;=ROUND(SUMIFS(AN_TME_BY[[#All],[TOTAL Truncated Unadjusted Claims Expenses (A21 -A19)]], AN_TME_BY[[#All],[Insurance Category Code]],1, AN_TME_BY[[#All],[Advanced Network/Insurance Carrier Org ID]],B132),2)</f>
        <v>1</v>
      </c>
      <c r="O132" s="534" t="b">
        <f>ROUND(SUMIFS(AN_TME_BY[[#All],[TOTAL Truncated Unadjusted Claims Expenses (A21 -A19)]], AN_TME_BY[[#All],[Insurance Category Code]],1, AN_TME_BY[[#All],[Advanced Network/Insurance Carrier Org ID]],B132)+SUMIFS(AN_TME_BY[[#All],[Total Claims Excluded because of Truncation]], AN_TME_BY[[#All],[Insurance Category Code]],1, AN_TME_BY[[#All],[Advanced Network/Insurance Carrier Org ID]],B132),2)=ROUND(SUMIFS(AN_TME_BY[[#All],[TOTAL Non-Truncated Unadjusted Claims Expenses]], AN_TME_BY[[#All],[Insurance Category Code]],1, AN_TME_BY[[#All],[Advanced Network/Insurance Carrier Org ID]],B132), 2)</f>
        <v>1</v>
      </c>
      <c r="Q132" s="216">
        <v>117</v>
      </c>
      <c r="R132" s="404">
        <f>ROUND(SUMIFS(Age_Sex_PY[[#All],[Total Member Months by Age/Sex Band]], Age_Sex_PY[[#All],[Advanced Network ID]], $Q132, Age_Sex_PY[[#All],[Insurance Category Code]],1), 2)</f>
        <v>0</v>
      </c>
      <c r="S132" s="238">
        <f>ROUND(SUMIFS(Age_Sex_PY[[#All],[Total Dollars Excluded from Spending After Applying Truncation at the Member Level]], Age_Sex_PY[[#All],[Advanced Network ID]], $B132, Age_Sex_PY[[#All],[Insurance Category Code]],1),2)</f>
        <v>0</v>
      </c>
      <c r="T132" s="209">
        <f>ROUND(SUMIFS(Age_Sex_PY[[#All],[Count of Members whose Spending was Truncated]], Age_Sex_PY[[#All],[Advanced Network ID]], $B132, Age_Sex_PY[[#All],[Insurance Category Code]],1), 2)</f>
        <v>0</v>
      </c>
      <c r="U132" s="210">
        <f>ROUND(SUMIFS(Age_Sex_PY[[#All],[Total Spending before Truncation is Applied]], Age_Sex_PY[[#All],[Advanced Network ID]], $B132, Age_Sex_PY[[#All],[Insurance Category Code]],1), 2)</f>
        <v>0</v>
      </c>
      <c r="V132" s="212">
        <f>ROUND(SUMIFS(Age_Sex_PY[[#All],[Total Spending After Applying Truncation at the Member Level]], Age_Sex_PY[[#All],[Advanced Network ID]], $B132, Age_Sex_PY[[#All],[Insurance Category Code]],1),2)</f>
        <v>0</v>
      </c>
      <c r="W132" s="525" t="str">
        <f>IF(ROUND(R132,0)=ROUND(SUMIFS(AN_TME_PY[[#All],[Member Months]], AN_TME_PY[[#All],[Insurance Category Code]],1, AN_TME_PY[[#All],[Advanced Network/Insurance Carrier Org ID]],Q132),0), "TRUE", ROUND(R132-SUMIFS(AN_TME_PY[[#All],[Member Months]], AN_TME_PY[[#All],[Insurance Category Code]],1, AN_TME_PY[[#All],[Advanced Network/Insurance Carrier Org ID]],Q132),2))</f>
        <v>TRUE</v>
      </c>
      <c r="X132" s="527" t="str">
        <f>IF(ROUND(S132,0)=ROUND(SUMIFS(AN_TME_PY[[#All],[Total Claims Excluded because of Truncation]], AN_TME_PY[[#All],[Insurance Category Code]],1, AN_TME_PY[[#All],[Advanced Network/Insurance Carrier Org ID]],Q132),0), "TRUE", ROUND(S132-SUMIFS(AN_TME_PY[[#All],[Total Claims Excluded because of Truncation]], AN_TME_PY[[#All],[Insurance Category Code]],1, AN_TME_PY[[#All],[Advanced Network/Insurance Carrier Org ID]],Q132),2))</f>
        <v>TRUE</v>
      </c>
      <c r="Y132" s="537" t="str">
        <f>IF(ROUND(T132,0)=ROUND(SUMIFS(AN_TME_PY[[#All],[Count of Members with Claims Truncated]], AN_TME_PY[[#All],[Insurance Category Code]],1, AN_TME_PY[[#All],[Advanced Network/Insurance Carrier Org ID]],Q132),0), "TRUE", ROUND(T132-SUMIFS(AN_TME_PY[[#All],[Count of Members with Claims Truncated]], AN_TME_PY[[#All],[Insurance Category Code]],1, AN_TME_PY[[#All],[Advanced Network/Insurance Carrier Org ID]],Q132),2))</f>
        <v>TRUE</v>
      </c>
      <c r="Z132" s="528" t="str">
        <f>IF(ROUND(U132,0)=ROUND(SUMIFS(AN_TME_PY[[#All],[TOTAL Non-Truncated Unadjusted Claims Expenses]], AN_TME_PY[[#All],[Insurance Category Code]],1, AN_TME_PY[[#All],[Advanced Network/Insurance Carrier Org ID]],Q132),0), "TRUE", ROUND(U132-SUMIFS(AN_TME_PY[[#All],[TOTAL Non-Truncated Unadjusted Claims Expenses]], AN_TME_PY[[#All],[Insurance Category Code]],1, AN_TME_PY[[#All],[Advanced Network/Insurance Carrier Org ID]],Q132),2))</f>
        <v>TRUE</v>
      </c>
      <c r="AA132" s="529" t="str">
        <f>IF(ROUND(V132,0)=ROUND(SUMIFS(AN_TME_PY[[#All],[TOTAL Truncated Unadjusted Claims Expenses (A21 -A19)]], AN_TME_PY[[#All],[Insurance Category Code]],1, AN_TME_PY[[#All],[Advanced Network/Insurance Carrier Org ID]],Q132),0), "TRUE", ROUND(V132-SUMIFS(AN_TME_PY[[#All],[TOTAL Truncated Unadjusted Claims Expenses (A21 -A19)]], AN_TME_PY[[#All],[Insurance Category Code]],1, AN_TME_PY[[#All],[Advanced Network/Insurance Carrier Org ID]],Q132),2))</f>
        <v>TRUE</v>
      </c>
      <c r="AB132" s="525" t="str">
        <f t="shared" si="9"/>
        <v>TRUE</v>
      </c>
      <c r="AC132" s="528" t="b">
        <f>ROUND(SUMIFS(AN_TME_PY[[#All],[TOTAL Non-Truncated Unadjusted Claims Expenses]], AN_TME_PY[[#All],[Insurance Category Code]],1, AN_TME_PY[[#All],[Advanced Network/Insurance Carrier Org ID]],Q132),2)&gt;=ROUND(SUMIFS(AN_TME_PY[[#All],[TOTAL Truncated Unadjusted Claims Expenses (A21 -A19)]], AN_TME_PY[[#All],[Insurance Category Code]],1, AN_TME_PY[[#All],[Advanced Network/Insurance Carrier Org ID]],Q132), 2)</f>
        <v>1</v>
      </c>
      <c r="AD132" s="529" t="b">
        <f>ROUND(SUMIFS(AN_TME_PY[[#All],[TOTAL Truncated Unadjusted Claims Expenses (A21 -A19)]], AN_TME_PY[[#All],[Insurance Category Code]],1, AN_TME_PY[[#All],[Advanced Network/Insurance Carrier Org ID]],Q132)+SUMIFS(AN_TME_PY[[#All],[Total Claims Excluded because of Truncation]], AN_TME_PY[[#All],[Insurance Category Code]],1, AN_TME_PY[[#All],[Advanced Network/Insurance Carrier Org ID]],Q132), 2)=ROUND(SUMIFS(AN_TME_PY[[#All],[TOTAL Non-Truncated Unadjusted Claims Expenses]], AN_TME_PY[[#All],[Insurance Category Code]],1, AN_TME_PY[[#All],[Advanced Network/Insurance Carrier Org ID]],Q132), 2)</f>
        <v>1</v>
      </c>
      <c r="AF132" s="283" t="str">
        <f t="shared" si="8"/>
        <v>NA</v>
      </c>
    </row>
    <row r="133" spans="2:32" outlineLevel="1" x14ac:dyDescent="0.25">
      <c r="B133" s="216">
        <v>118</v>
      </c>
      <c r="C133" s="404">
        <f>ROUND(SUMIFS(Age_Sex_BY[[#All],[Total Member Months by Age/Sex Band]], Age_Sex_BY[[#All],[Advanced Network ID]], $B133, Age_Sex_BY[[#All],[Insurance Category Code]],1), 2)</f>
        <v>0</v>
      </c>
      <c r="D133" s="238">
        <f>ROUND(SUMIFS(Age_Sex_BY[[#All],[Total Dollars Excluded from Spending After Applying Truncation at the Member Level]], Age_Sex_BY[[#All],[Advanced Network ID]], $B133, Age_Sex_BY[[#All],[Insurance Category Code]],1), 2)</f>
        <v>0</v>
      </c>
      <c r="E133" s="209">
        <f>ROUND(SUMIFS(Age_Sex_BY[[#All],[Count of Members whose Spending was Truncated]], Age_Sex_BY[[#All],[Advanced Network ID]], $B133, Age_Sex_BY[[#All],[Insurance Category Code]],1),2)</f>
        <v>0</v>
      </c>
      <c r="F133" s="210">
        <f>ROUND(SUMIFS(Age_Sex_BY[[#All],[Total Spending before Truncation is Applied]], Age_Sex_BY[[#All],[Advanced Network ID]], $B133, Age_Sex_BY[[#All],[Insurance Category Code]],1), 2)</f>
        <v>0</v>
      </c>
      <c r="G133" s="212">
        <f>ROUND(SUMIFS(Age_Sex_BY[[#All],[Total Spending After Applying Truncation at the Member Level]], Age_Sex_BY[[#All],[Advanced Network ID]], $B133, Age_Sex_BY[[#All],[Insurance Category Code]],1), 2)</f>
        <v>0</v>
      </c>
      <c r="H133" s="525" t="str">
        <f>IF(ROUND(C133,0)=ROUND(SUMIFS(AN_TME_BY[[#All],[Member Months]], AN_TME_BY[[#All],[Insurance Category Code]],1, AN_TME_BY[[#All],[Advanced Network/Insurance Carrier Org ID]],B133),0), "TRUE", ROUND(C133-SUMIFS(AN_TME_BY[[#All],[Member Months]], AN_TME_BY[[#All],[Insurance Category Code]],1, AN_TME_BY[[#All],[Advanced Network/Insurance Carrier Org ID]],B133),2))</f>
        <v>TRUE</v>
      </c>
      <c r="I133" s="533" t="str">
        <f>IF(ROUND(D133,0)=ROUND(SUMIFS(AN_TME_BY[[#All],[Total Claims Excluded because of Truncation]], AN_TME_BY[[#All],[Insurance Category Code]],1, AN_TME_BY[[#All],[Advanced Network/Insurance Carrier Org ID]],B133),0), "TRUE", ROUND(D133-SUMIFS(AN_TME_BY[[#All],[Total Claims Excluded because of Truncation]], AN_TME_BY[[#All],[Insurance Category Code]],1, AN_TME_BY[[#All],[Advanced Network/Insurance Carrier Org ID]],B133),2))</f>
        <v>TRUE</v>
      </c>
      <c r="J133" s="537" t="str">
        <f>IF(ROUND(E133,0)=ROUND(SUMIFS(AN_TME_BY[[#All],[Count of Members with Claims Truncated]], AN_TME_BY[[#All],[Insurance Category Code]],1, AN_TME_BY[[#All],[Advanced Network/Insurance Carrier Org ID]],B133),0), "TRUE", ROUND(E133-SUMIFS(AN_TME_BY[[#All],[Count of Members with Claims Truncated]], AN_TME_BY[[#All],[Insurance Category Code]],1, AN_TME_BY[[#All],[Advanced Network/Insurance Carrier Org ID]],B133),2))</f>
        <v>TRUE</v>
      </c>
      <c r="K133" s="533" t="str">
        <f>IF(ROUND(F133,0)=ROUND(SUMIFS(AN_TME_BY[[#All],[TOTAL Non-Truncated Unadjusted Claims Expenses]], AN_TME_BY[[#All],[Insurance Category Code]],1, AN_TME_BY[[#All],[Advanced Network/Insurance Carrier Org ID]],B133),0), "TRUE", ROUND(F133-SUMIFS(AN_TME_BY[[#All],[TOTAL Non-Truncated Unadjusted Claims Expenses]], AN_TME_BY[[#All],[Insurance Category Code]],1, AN_TME_BY[[#All],[Advanced Network/Insurance Carrier Org ID]],B133),2))</f>
        <v>TRUE</v>
      </c>
      <c r="L133" s="534" t="str">
        <f>IF(ROUND(G133,0)=ROUND(SUMIFS(AN_TME_BY[[#All],[TOTAL Truncated Unadjusted Claims Expenses (A21 -A19)]], AN_TME_BY[[#All],[Insurance Category Code]],1, AN_TME_BY[[#All],[Advanced Network/Insurance Carrier Org ID]],B133),0), "TRUE", ROUND(G133-SUMIFS(AN_TME_BY[[#All],[TOTAL Truncated Unadjusted Claims Expenses (A21 -A19)]], AN_TME_BY[[#All],[Insurance Category Code]],1, AN_TME_BY[[#All],[Advanced Network/Insurance Carrier Org ID]],B133),2))</f>
        <v>TRUE</v>
      </c>
      <c r="M133" s="525" t="str">
        <f t="shared" si="7"/>
        <v>TRUE</v>
      </c>
      <c r="N133" s="533" t="b">
        <f>ROUND(SUMIFS(AN_TME_BY[[#All],[TOTAL Non-Truncated Unadjusted Claims Expenses]], AN_TME_BY[[#All],[Insurance Category Code]],1, AN_TME_BY[[#All],[Advanced Network/Insurance Carrier Org ID]],B133), 2)&gt;=ROUND(SUMIFS(AN_TME_BY[[#All],[TOTAL Truncated Unadjusted Claims Expenses (A21 -A19)]], AN_TME_BY[[#All],[Insurance Category Code]],1, AN_TME_BY[[#All],[Advanced Network/Insurance Carrier Org ID]],B133),2)</f>
        <v>1</v>
      </c>
      <c r="O133" s="534" t="b">
        <f>ROUND(SUMIFS(AN_TME_BY[[#All],[TOTAL Truncated Unadjusted Claims Expenses (A21 -A19)]], AN_TME_BY[[#All],[Insurance Category Code]],1, AN_TME_BY[[#All],[Advanced Network/Insurance Carrier Org ID]],B133)+SUMIFS(AN_TME_BY[[#All],[Total Claims Excluded because of Truncation]], AN_TME_BY[[#All],[Insurance Category Code]],1, AN_TME_BY[[#All],[Advanced Network/Insurance Carrier Org ID]],B133),2)=ROUND(SUMIFS(AN_TME_BY[[#All],[TOTAL Non-Truncated Unadjusted Claims Expenses]], AN_TME_BY[[#All],[Insurance Category Code]],1, AN_TME_BY[[#All],[Advanced Network/Insurance Carrier Org ID]],B133), 2)</f>
        <v>1</v>
      </c>
      <c r="Q133" s="216">
        <v>118</v>
      </c>
      <c r="R133" s="404">
        <f>ROUND(SUMIFS(Age_Sex_PY[[#All],[Total Member Months by Age/Sex Band]], Age_Sex_PY[[#All],[Advanced Network ID]], $Q133, Age_Sex_PY[[#All],[Insurance Category Code]],1), 2)</f>
        <v>0</v>
      </c>
      <c r="S133" s="238">
        <f>ROUND(SUMIFS(Age_Sex_PY[[#All],[Total Dollars Excluded from Spending After Applying Truncation at the Member Level]], Age_Sex_PY[[#All],[Advanced Network ID]], $B133, Age_Sex_PY[[#All],[Insurance Category Code]],1),2)</f>
        <v>0</v>
      </c>
      <c r="T133" s="209">
        <f>ROUND(SUMIFS(Age_Sex_PY[[#All],[Count of Members whose Spending was Truncated]], Age_Sex_PY[[#All],[Advanced Network ID]], $B133, Age_Sex_PY[[#All],[Insurance Category Code]],1), 2)</f>
        <v>0</v>
      </c>
      <c r="U133" s="210">
        <f>ROUND(SUMIFS(Age_Sex_PY[[#All],[Total Spending before Truncation is Applied]], Age_Sex_PY[[#All],[Advanced Network ID]], $B133, Age_Sex_PY[[#All],[Insurance Category Code]],1), 2)</f>
        <v>0</v>
      </c>
      <c r="V133" s="212">
        <f>ROUND(SUMIFS(Age_Sex_PY[[#All],[Total Spending After Applying Truncation at the Member Level]], Age_Sex_PY[[#All],[Advanced Network ID]], $B133, Age_Sex_PY[[#All],[Insurance Category Code]],1),2)</f>
        <v>0</v>
      </c>
      <c r="W133" s="525" t="str">
        <f>IF(ROUND(R133,0)=ROUND(SUMIFS(AN_TME_PY[[#All],[Member Months]], AN_TME_PY[[#All],[Insurance Category Code]],1, AN_TME_PY[[#All],[Advanced Network/Insurance Carrier Org ID]],Q133),0), "TRUE", ROUND(R133-SUMIFS(AN_TME_PY[[#All],[Member Months]], AN_TME_PY[[#All],[Insurance Category Code]],1, AN_TME_PY[[#All],[Advanced Network/Insurance Carrier Org ID]],Q133),2))</f>
        <v>TRUE</v>
      </c>
      <c r="X133" s="527" t="str">
        <f>IF(ROUND(S133,0)=ROUND(SUMIFS(AN_TME_PY[[#All],[Total Claims Excluded because of Truncation]], AN_TME_PY[[#All],[Insurance Category Code]],1, AN_TME_PY[[#All],[Advanced Network/Insurance Carrier Org ID]],Q133),0), "TRUE", ROUND(S133-SUMIFS(AN_TME_PY[[#All],[Total Claims Excluded because of Truncation]], AN_TME_PY[[#All],[Insurance Category Code]],1, AN_TME_PY[[#All],[Advanced Network/Insurance Carrier Org ID]],Q133),2))</f>
        <v>TRUE</v>
      </c>
      <c r="Y133" s="537" t="str">
        <f>IF(ROUND(T133,0)=ROUND(SUMIFS(AN_TME_PY[[#All],[Count of Members with Claims Truncated]], AN_TME_PY[[#All],[Insurance Category Code]],1, AN_TME_PY[[#All],[Advanced Network/Insurance Carrier Org ID]],Q133),0), "TRUE", ROUND(T133-SUMIFS(AN_TME_PY[[#All],[Count of Members with Claims Truncated]], AN_TME_PY[[#All],[Insurance Category Code]],1, AN_TME_PY[[#All],[Advanced Network/Insurance Carrier Org ID]],Q133),2))</f>
        <v>TRUE</v>
      </c>
      <c r="Z133" s="528" t="str">
        <f>IF(ROUND(U133,0)=ROUND(SUMIFS(AN_TME_PY[[#All],[TOTAL Non-Truncated Unadjusted Claims Expenses]], AN_TME_PY[[#All],[Insurance Category Code]],1, AN_TME_PY[[#All],[Advanced Network/Insurance Carrier Org ID]],Q133),0), "TRUE", ROUND(U133-SUMIFS(AN_TME_PY[[#All],[TOTAL Non-Truncated Unadjusted Claims Expenses]], AN_TME_PY[[#All],[Insurance Category Code]],1, AN_TME_PY[[#All],[Advanced Network/Insurance Carrier Org ID]],Q133),2))</f>
        <v>TRUE</v>
      </c>
      <c r="AA133" s="529" t="str">
        <f>IF(ROUND(V133,0)=ROUND(SUMIFS(AN_TME_PY[[#All],[TOTAL Truncated Unadjusted Claims Expenses (A21 -A19)]], AN_TME_PY[[#All],[Insurance Category Code]],1, AN_TME_PY[[#All],[Advanced Network/Insurance Carrier Org ID]],Q133),0), "TRUE", ROUND(V133-SUMIFS(AN_TME_PY[[#All],[TOTAL Truncated Unadjusted Claims Expenses (A21 -A19)]], AN_TME_PY[[#All],[Insurance Category Code]],1, AN_TME_PY[[#All],[Advanced Network/Insurance Carrier Org ID]],Q133),2))</f>
        <v>TRUE</v>
      </c>
      <c r="AB133" s="525" t="str">
        <f t="shared" si="9"/>
        <v>TRUE</v>
      </c>
      <c r="AC133" s="528" t="b">
        <f>ROUND(SUMIFS(AN_TME_PY[[#All],[TOTAL Non-Truncated Unadjusted Claims Expenses]], AN_TME_PY[[#All],[Insurance Category Code]],1, AN_TME_PY[[#All],[Advanced Network/Insurance Carrier Org ID]],Q133),2)&gt;=ROUND(SUMIFS(AN_TME_PY[[#All],[TOTAL Truncated Unadjusted Claims Expenses (A21 -A19)]], AN_TME_PY[[#All],[Insurance Category Code]],1, AN_TME_PY[[#All],[Advanced Network/Insurance Carrier Org ID]],Q133), 2)</f>
        <v>1</v>
      </c>
      <c r="AD133" s="529" t="b">
        <f>ROUND(SUMIFS(AN_TME_PY[[#All],[TOTAL Truncated Unadjusted Claims Expenses (A21 -A19)]], AN_TME_PY[[#All],[Insurance Category Code]],1, AN_TME_PY[[#All],[Advanced Network/Insurance Carrier Org ID]],Q133)+SUMIFS(AN_TME_PY[[#All],[Total Claims Excluded because of Truncation]], AN_TME_PY[[#All],[Insurance Category Code]],1, AN_TME_PY[[#All],[Advanced Network/Insurance Carrier Org ID]],Q133), 2)=ROUND(SUMIFS(AN_TME_PY[[#All],[TOTAL Non-Truncated Unadjusted Claims Expenses]], AN_TME_PY[[#All],[Insurance Category Code]],1, AN_TME_PY[[#All],[Advanced Network/Insurance Carrier Org ID]],Q133), 2)</f>
        <v>1</v>
      </c>
      <c r="AF133" s="283" t="str">
        <f t="shared" si="8"/>
        <v>NA</v>
      </c>
    </row>
    <row r="134" spans="2:32" outlineLevel="1" x14ac:dyDescent="0.25">
      <c r="B134" s="216">
        <v>119</v>
      </c>
      <c r="C134" s="404">
        <f>ROUND(SUMIFS(Age_Sex_BY[[#All],[Total Member Months by Age/Sex Band]], Age_Sex_BY[[#All],[Advanced Network ID]], $B134, Age_Sex_BY[[#All],[Insurance Category Code]],1), 2)</f>
        <v>0</v>
      </c>
      <c r="D134" s="238">
        <f>ROUND(SUMIFS(Age_Sex_BY[[#All],[Total Dollars Excluded from Spending After Applying Truncation at the Member Level]], Age_Sex_BY[[#All],[Advanced Network ID]], $B134, Age_Sex_BY[[#All],[Insurance Category Code]],1), 2)</f>
        <v>0</v>
      </c>
      <c r="E134" s="209">
        <f>ROUND(SUMIFS(Age_Sex_BY[[#All],[Count of Members whose Spending was Truncated]], Age_Sex_BY[[#All],[Advanced Network ID]], $B134, Age_Sex_BY[[#All],[Insurance Category Code]],1),2)</f>
        <v>0</v>
      </c>
      <c r="F134" s="210">
        <f>ROUND(SUMIFS(Age_Sex_BY[[#All],[Total Spending before Truncation is Applied]], Age_Sex_BY[[#All],[Advanced Network ID]], $B134, Age_Sex_BY[[#All],[Insurance Category Code]],1), 2)</f>
        <v>0</v>
      </c>
      <c r="G134" s="212">
        <f>ROUND(SUMIFS(Age_Sex_BY[[#All],[Total Spending After Applying Truncation at the Member Level]], Age_Sex_BY[[#All],[Advanced Network ID]], $B134, Age_Sex_BY[[#All],[Insurance Category Code]],1), 2)</f>
        <v>0</v>
      </c>
      <c r="H134" s="525" t="str">
        <f>IF(ROUND(C134,0)=ROUND(SUMIFS(AN_TME_BY[[#All],[Member Months]], AN_TME_BY[[#All],[Insurance Category Code]],1, AN_TME_BY[[#All],[Advanced Network/Insurance Carrier Org ID]],B134),0), "TRUE", ROUND(C134-SUMIFS(AN_TME_BY[[#All],[Member Months]], AN_TME_BY[[#All],[Insurance Category Code]],1, AN_TME_BY[[#All],[Advanced Network/Insurance Carrier Org ID]],B134),2))</f>
        <v>TRUE</v>
      </c>
      <c r="I134" s="533" t="str">
        <f>IF(ROUND(D134,0)=ROUND(SUMIFS(AN_TME_BY[[#All],[Total Claims Excluded because of Truncation]], AN_TME_BY[[#All],[Insurance Category Code]],1, AN_TME_BY[[#All],[Advanced Network/Insurance Carrier Org ID]],B134),0), "TRUE", ROUND(D134-SUMIFS(AN_TME_BY[[#All],[Total Claims Excluded because of Truncation]], AN_TME_BY[[#All],[Insurance Category Code]],1, AN_TME_BY[[#All],[Advanced Network/Insurance Carrier Org ID]],B134),2))</f>
        <v>TRUE</v>
      </c>
      <c r="J134" s="537" t="str">
        <f>IF(ROUND(E134,0)=ROUND(SUMIFS(AN_TME_BY[[#All],[Count of Members with Claims Truncated]], AN_TME_BY[[#All],[Insurance Category Code]],1, AN_TME_BY[[#All],[Advanced Network/Insurance Carrier Org ID]],B134),0), "TRUE", ROUND(E134-SUMIFS(AN_TME_BY[[#All],[Count of Members with Claims Truncated]], AN_TME_BY[[#All],[Insurance Category Code]],1, AN_TME_BY[[#All],[Advanced Network/Insurance Carrier Org ID]],B134),2))</f>
        <v>TRUE</v>
      </c>
      <c r="K134" s="533" t="str">
        <f>IF(ROUND(F134,0)=ROUND(SUMIFS(AN_TME_BY[[#All],[TOTAL Non-Truncated Unadjusted Claims Expenses]], AN_TME_BY[[#All],[Insurance Category Code]],1, AN_TME_BY[[#All],[Advanced Network/Insurance Carrier Org ID]],B134),0), "TRUE", ROUND(F134-SUMIFS(AN_TME_BY[[#All],[TOTAL Non-Truncated Unadjusted Claims Expenses]], AN_TME_BY[[#All],[Insurance Category Code]],1, AN_TME_BY[[#All],[Advanced Network/Insurance Carrier Org ID]],B134),2))</f>
        <v>TRUE</v>
      </c>
      <c r="L134" s="534" t="str">
        <f>IF(ROUND(G134,0)=ROUND(SUMIFS(AN_TME_BY[[#All],[TOTAL Truncated Unadjusted Claims Expenses (A21 -A19)]], AN_TME_BY[[#All],[Insurance Category Code]],1, AN_TME_BY[[#All],[Advanced Network/Insurance Carrier Org ID]],B134),0), "TRUE", ROUND(G134-SUMIFS(AN_TME_BY[[#All],[TOTAL Truncated Unadjusted Claims Expenses (A21 -A19)]], AN_TME_BY[[#All],[Insurance Category Code]],1, AN_TME_BY[[#All],[Advanced Network/Insurance Carrier Org ID]],B134),2))</f>
        <v>TRUE</v>
      </c>
      <c r="M134" s="525" t="str">
        <f t="shared" si="7"/>
        <v>TRUE</v>
      </c>
      <c r="N134" s="533" t="b">
        <f>ROUND(SUMIFS(AN_TME_BY[[#All],[TOTAL Non-Truncated Unadjusted Claims Expenses]], AN_TME_BY[[#All],[Insurance Category Code]],1, AN_TME_BY[[#All],[Advanced Network/Insurance Carrier Org ID]],B134), 2)&gt;=ROUND(SUMIFS(AN_TME_BY[[#All],[TOTAL Truncated Unadjusted Claims Expenses (A21 -A19)]], AN_TME_BY[[#All],[Insurance Category Code]],1, AN_TME_BY[[#All],[Advanced Network/Insurance Carrier Org ID]],B134),2)</f>
        <v>1</v>
      </c>
      <c r="O134" s="534" t="b">
        <f>ROUND(SUMIFS(AN_TME_BY[[#All],[TOTAL Truncated Unadjusted Claims Expenses (A21 -A19)]], AN_TME_BY[[#All],[Insurance Category Code]],1, AN_TME_BY[[#All],[Advanced Network/Insurance Carrier Org ID]],B134)+SUMIFS(AN_TME_BY[[#All],[Total Claims Excluded because of Truncation]], AN_TME_BY[[#All],[Insurance Category Code]],1, AN_TME_BY[[#All],[Advanced Network/Insurance Carrier Org ID]],B134),2)=ROUND(SUMIFS(AN_TME_BY[[#All],[TOTAL Non-Truncated Unadjusted Claims Expenses]], AN_TME_BY[[#All],[Insurance Category Code]],1, AN_TME_BY[[#All],[Advanced Network/Insurance Carrier Org ID]],B134), 2)</f>
        <v>1</v>
      </c>
      <c r="Q134" s="216">
        <v>119</v>
      </c>
      <c r="R134" s="404">
        <f>ROUND(SUMIFS(Age_Sex_PY[[#All],[Total Member Months by Age/Sex Band]], Age_Sex_PY[[#All],[Advanced Network ID]], $Q134, Age_Sex_PY[[#All],[Insurance Category Code]],1), 2)</f>
        <v>0</v>
      </c>
      <c r="S134" s="238">
        <f>ROUND(SUMIFS(Age_Sex_PY[[#All],[Total Dollars Excluded from Spending After Applying Truncation at the Member Level]], Age_Sex_PY[[#All],[Advanced Network ID]], $B134, Age_Sex_PY[[#All],[Insurance Category Code]],1),2)</f>
        <v>0</v>
      </c>
      <c r="T134" s="209">
        <f>ROUND(SUMIFS(Age_Sex_PY[[#All],[Count of Members whose Spending was Truncated]], Age_Sex_PY[[#All],[Advanced Network ID]], $B134, Age_Sex_PY[[#All],[Insurance Category Code]],1), 2)</f>
        <v>0</v>
      </c>
      <c r="U134" s="210">
        <f>ROUND(SUMIFS(Age_Sex_PY[[#All],[Total Spending before Truncation is Applied]], Age_Sex_PY[[#All],[Advanced Network ID]], $B134, Age_Sex_PY[[#All],[Insurance Category Code]],1), 2)</f>
        <v>0</v>
      </c>
      <c r="V134" s="212">
        <f>ROUND(SUMIFS(Age_Sex_PY[[#All],[Total Spending After Applying Truncation at the Member Level]], Age_Sex_PY[[#All],[Advanced Network ID]], $B134, Age_Sex_PY[[#All],[Insurance Category Code]],1),2)</f>
        <v>0</v>
      </c>
      <c r="W134" s="525" t="str">
        <f>IF(ROUND(R134,0)=ROUND(SUMIFS(AN_TME_PY[[#All],[Member Months]], AN_TME_PY[[#All],[Insurance Category Code]],1, AN_TME_PY[[#All],[Advanced Network/Insurance Carrier Org ID]],Q134),0), "TRUE", ROUND(R134-SUMIFS(AN_TME_PY[[#All],[Member Months]], AN_TME_PY[[#All],[Insurance Category Code]],1, AN_TME_PY[[#All],[Advanced Network/Insurance Carrier Org ID]],Q134),2))</f>
        <v>TRUE</v>
      </c>
      <c r="X134" s="527" t="str">
        <f>IF(ROUND(S134,0)=ROUND(SUMIFS(AN_TME_PY[[#All],[Total Claims Excluded because of Truncation]], AN_TME_PY[[#All],[Insurance Category Code]],1, AN_TME_PY[[#All],[Advanced Network/Insurance Carrier Org ID]],Q134),0), "TRUE", ROUND(S134-SUMIFS(AN_TME_PY[[#All],[Total Claims Excluded because of Truncation]], AN_TME_PY[[#All],[Insurance Category Code]],1, AN_TME_PY[[#All],[Advanced Network/Insurance Carrier Org ID]],Q134),2))</f>
        <v>TRUE</v>
      </c>
      <c r="Y134" s="537" t="str">
        <f>IF(ROUND(T134,0)=ROUND(SUMIFS(AN_TME_PY[[#All],[Count of Members with Claims Truncated]], AN_TME_PY[[#All],[Insurance Category Code]],1, AN_TME_PY[[#All],[Advanced Network/Insurance Carrier Org ID]],Q134),0), "TRUE", ROUND(T134-SUMIFS(AN_TME_PY[[#All],[Count of Members with Claims Truncated]], AN_TME_PY[[#All],[Insurance Category Code]],1, AN_TME_PY[[#All],[Advanced Network/Insurance Carrier Org ID]],Q134),2))</f>
        <v>TRUE</v>
      </c>
      <c r="Z134" s="528" t="str">
        <f>IF(ROUND(U134,0)=ROUND(SUMIFS(AN_TME_PY[[#All],[TOTAL Non-Truncated Unadjusted Claims Expenses]], AN_TME_PY[[#All],[Insurance Category Code]],1, AN_TME_PY[[#All],[Advanced Network/Insurance Carrier Org ID]],Q134),0), "TRUE", ROUND(U134-SUMIFS(AN_TME_PY[[#All],[TOTAL Non-Truncated Unadjusted Claims Expenses]], AN_TME_PY[[#All],[Insurance Category Code]],1, AN_TME_PY[[#All],[Advanced Network/Insurance Carrier Org ID]],Q134),2))</f>
        <v>TRUE</v>
      </c>
      <c r="AA134" s="529" t="str">
        <f>IF(ROUND(V134,0)=ROUND(SUMIFS(AN_TME_PY[[#All],[TOTAL Truncated Unadjusted Claims Expenses (A21 -A19)]], AN_TME_PY[[#All],[Insurance Category Code]],1, AN_TME_PY[[#All],[Advanced Network/Insurance Carrier Org ID]],Q134),0), "TRUE", ROUND(V134-SUMIFS(AN_TME_PY[[#All],[TOTAL Truncated Unadjusted Claims Expenses (A21 -A19)]], AN_TME_PY[[#All],[Insurance Category Code]],1, AN_TME_PY[[#All],[Advanced Network/Insurance Carrier Org ID]],Q134),2))</f>
        <v>TRUE</v>
      </c>
      <c r="AB134" s="525" t="str">
        <f t="shared" si="9"/>
        <v>TRUE</v>
      </c>
      <c r="AC134" s="528" t="b">
        <f>ROUND(SUMIFS(AN_TME_PY[[#All],[TOTAL Non-Truncated Unadjusted Claims Expenses]], AN_TME_PY[[#All],[Insurance Category Code]],1, AN_TME_PY[[#All],[Advanced Network/Insurance Carrier Org ID]],Q134),2)&gt;=ROUND(SUMIFS(AN_TME_PY[[#All],[TOTAL Truncated Unadjusted Claims Expenses (A21 -A19)]], AN_TME_PY[[#All],[Insurance Category Code]],1, AN_TME_PY[[#All],[Advanced Network/Insurance Carrier Org ID]],Q134), 2)</f>
        <v>1</v>
      </c>
      <c r="AD134" s="529" t="b">
        <f>ROUND(SUMIFS(AN_TME_PY[[#All],[TOTAL Truncated Unadjusted Claims Expenses (A21 -A19)]], AN_TME_PY[[#All],[Insurance Category Code]],1, AN_TME_PY[[#All],[Advanced Network/Insurance Carrier Org ID]],Q134)+SUMIFS(AN_TME_PY[[#All],[Total Claims Excluded because of Truncation]], AN_TME_PY[[#All],[Insurance Category Code]],1, AN_TME_PY[[#All],[Advanced Network/Insurance Carrier Org ID]],Q134), 2)=ROUND(SUMIFS(AN_TME_PY[[#All],[TOTAL Non-Truncated Unadjusted Claims Expenses]], AN_TME_PY[[#All],[Insurance Category Code]],1, AN_TME_PY[[#All],[Advanced Network/Insurance Carrier Org ID]],Q134), 2)</f>
        <v>1</v>
      </c>
      <c r="AF134" s="283" t="str">
        <f t="shared" si="8"/>
        <v>NA</v>
      </c>
    </row>
    <row r="135" spans="2:32" outlineLevel="1" x14ac:dyDescent="0.25">
      <c r="B135" s="216">
        <v>120</v>
      </c>
      <c r="C135" s="404">
        <f>ROUND(SUMIFS(Age_Sex_BY[[#All],[Total Member Months by Age/Sex Band]], Age_Sex_BY[[#All],[Advanced Network ID]], $B135, Age_Sex_BY[[#All],[Insurance Category Code]],1), 2)</f>
        <v>0</v>
      </c>
      <c r="D135" s="238">
        <f>ROUND(SUMIFS(Age_Sex_BY[[#All],[Total Dollars Excluded from Spending After Applying Truncation at the Member Level]], Age_Sex_BY[[#All],[Advanced Network ID]], $B135, Age_Sex_BY[[#All],[Insurance Category Code]],1), 2)</f>
        <v>0</v>
      </c>
      <c r="E135" s="209">
        <f>ROUND(SUMIFS(Age_Sex_BY[[#All],[Count of Members whose Spending was Truncated]], Age_Sex_BY[[#All],[Advanced Network ID]], $B135, Age_Sex_BY[[#All],[Insurance Category Code]],1),2)</f>
        <v>0</v>
      </c>
      <c r="F135" s="210">
        <f>ROUND(SUMIFS(Age_Sex_BY[[#All],[Total Spending before Truncation is Applied]], Age_Sex_BY[[#All],[Advanced Network ID]], $B135, Age_Sex_BY[[#All],[Insurance Category Code]],1), 2)</f>
        <v>0</v>
      </c>
      <c r="G135" s="212">
        <f>ROUND(SUMIFS(Age_Sex_BY[[#All],[Total Spending After Applying Truncation at the Member Level]], Age_Sex_BY[[#All],[Advanced Network ID]], $B135, Age_Sex_BY[[#All],[Insurance Category Code]],1), 2)</f>
        <v>0</v>
      </c>
      <c r="H135" s="525" t="str">
        <f>IF(ROUND(C135,0)=ROUND(SUMIFS(AN_TME_BY[[#All],[Member Months]], AN_TME_BY[[#All],[Insurance Category Code]],1, AN_TME_BY[[#All],[Advanced Network/Insurance Carrier Org ID]],B135),0), "TRUE", ROUND(C135-SUMIFS(AN_TME_BY[[#All],[Member Months]], AN_TME_BY[[#All],[Insurance Category Code]],1, AN_TME_BY[[#All],[Advanced Network/Insurance Carrier Org ID]],B135),2))</f>
        <v>TRUE</v>
      </c>
      <c r="I135" s="533" t="str">
        <f>IF(ROUND(D135,0)=ROUND(SUMIFS(AN_TME_BY[[#All],[Total Claims Excluded because of Truncation]], AN_TME_BY[[#All],[Insurance Category Code]],1, AN_TME_BY[[#All],[Advanced Network/Insurance Carrier Org ID]],B135),0), "TRUE", ROUND(D135-SUMIFS(AN_TME_BY[[#All],[Total Claims Excluded because of Truncation]], AN_TME_BY[[#All],[Insurance Category Code]],1, AN_TME_BY[[#All],[Advanced Network/Insurance Carrier Org ID]],B135),2))</f>
        <v>TRUE</v>
      </c>
      <c r="J135" s="537" t="str">
        <f>IF(ROUND(E135,0)=ROUND(SUMIFS(AN_TME_BY[[#All],[Count of Members with Claims Truncated]], AN_TME_BY[[#All],[Insurance Category Code]],1, AN_TME_BY[[#All],[Advanced Network/Insurance Carrier Org ID]],B135),0), "TRUE", ROUND(E135-SUMIFS(AN_TME_BY[[#All],[Count of Members with Claims Truncated]], AN_TME_BY[[#All],[Insurance Category Code]],1, AN_TME_BY[[#All],[Advanced Network/Insurance Carrier Org ID]],B135),2))</f>
        <v>TRUE</v>
      </c>
      <c r="K135" s="533" t="str">
        <f>IF(ROUND(F135,0)=ROUND(SUMIFS(AN_TME_BY[[#All],[TOTAL Non-Truncated Unadjusted Claims Expenses]], AN_TME_BY[[#All],[Insurance Category Code]],1, AN_TME_BY[[#All],[Advanced Network/Insurance Carrier Org ID]],B135),0), "TRUE", ROUND(F135-SUMIFS(AN_TME_BY[[#All],[TOTAL Non-Truncated Unadjusted Claims Expenses]], AN_TME_BY[[#All],[Insurance Category Code]],1, AN_TME_BY[[#All],[Advanced Network/Insurance Carrier Org ID]],B135),2))</f>
        <v>TRUE</v>
      </c>
      <c r="L135" s="534" t="str">
        <f>IF(ROUND(G135,0)=ROUND(SUMIFS(AN_TME_BY[[#All],[TOTAL Truncated Unadjusted Claims Expenses (A21 -A19)]], AN_TME_BY[[#All],[Insurance Category Code]],1, AN_TME_BY[[#All],[Advanced Network/Insurance Carrier Org ID]],B135),0), "TRUE", ROUND(G135-SUMIFS(AN_TME_BY[[#All],[TOTAL Truncated Unadjusted Claims Expenses (A21 -A19)]], AN_TME_BY[[#All],[Insurance Category Code]],1, AN_TME_BY[[#All],[Advanced Network/Insurance Carrier Org ID]],B135),2))</f>
        <v>TRUE</v>
      </c>
      <c r="M135" s="525" t="str">
        <f t="shared" si="7"/>
        <v>TRUE</v>
      </c>
      <c r="N135" s="533" t="b">
        <f>ROUND(SUMIFS(AN_TME_BY[[#All],[TOTAL Non-Truncated Unadjusted Claims Expenses]], AN_TME_BY[[#All],[Insurance Category Code]],1, AN_TME_BY[[#All],[Advanced Network/Insurance Carrier Org ID]],B135), 2)&gt;=ROUND(SUMIFS(AN_TME_BY[[#All],[TOTAL Truncated Unadjusted Claims Expenses (A21 -A19)]], AN_TME_BY[[#All],[Insurance Category Code]],1, AN_TME_BY[[#All],[Advanced Network/Insurance Carrier Org ID]],B135),2)</f>
        <v>1</v>
      </c>
      <c r="O135" s="534" t="b">
        <f>ROUND(SUMIFS(AN_TME_BY[[#All],[TOTAL Truncated Unadjusted Claims Expenses (A21 -A19)]], AN_TME_BY[[#All],[Insurance Category Code]],1, AN_TME_BY[[#All],[Advanced Network/Insurance Carrier Org ID]],B135)+SUMIFS(AN_TME_BY[[#All],[Total Claims Excluded because of Truncation]], AN_TME_BY[[#All],[Insurance Category Code]],1, AN_TME_BY[[#All],[Advanced Network/Insurance Carrier Org ID]],B135),2)=ROUND(SUMIFS(AN_TME_BY[[#All],[TOTAL Non-Truncated Unadjusted Claims Expenses]], AN_TME_BY[[#All],[Insurance Category Code]],1, AN_TME_BY[[#All],[Advanced Network/Insurance Carrier Org ID]],B135), 2)</f>
        <v>1</v>
      </c>
      <c r="Q135" s="216">
        <v>120</v>
      </c>
      <c r="R135" s="404">
        <f>ROUND(SUMIFS(Age_Sex_PY[[#All],[Total Member Months by Age/Sex Band]], Age_Sex_PY[[#All],[Advanced Network ID]], $Q135, Age_Sex_PY[[#All],[Insurance Category Code]],1), 2)</f>
        <v>0</v>
      </c>
      <c r="S135" s="238">
        <f>ROUND(SUMIFS(Age_Sex_PY[[#All],[Total Dollars Excluded from Spending After Applying Truncation at the Member Level]], Age_Sex_PY[[#All],[Advanced Network ID]], $B135, Age_Sex_PY[[#All],[Insurance Category Code]],1),2)</f>
        <v>0</v>
      </c>
      <c r="T135" s="209">
        <f>ROUND(SUMIFS(Age_Sex_PY[[#All],[Count of Members whose Spending was Truncated]], Age_Sex_PY[[#All],[Advanced Network ID]], $B135, Age_Sex_PY[[#All],[Insurance Category Code]],1), 2)</f>
        <v>0</v>
      </c>
      <c r="U135" s="210">
        <f>ROUND(SUMIFS(Age_Sex_PY[[#All],[Total Spending before Truncation is Applied]], Age_Sex_PY[[#All],[Advanced Network ID]], $B135, Age_Sex_PY[[#All],[Insurance Category Code]],1), 2)</f>
        <v>0</v>
      </c>
      <c r="V135" s="212">
        <f>ROUND(SUMIFS(Age_Sex_PY[[#All],[Total Spending After Applying Truncation at the Member Level]], Age_Sex_PY[[#All],[Advanced Network ID]], $B135, Age_Sex_PY[[#All],[Insurance Category Code]],1),2)</f>
        <v>0</v>
      </c>
      <c r="W135" s="525" t="str">
        <f>IF(ROUND(R135,0)=ROUND(SUMIFS(AN_TME_PY[[#All],[Member Months]], AN_TME_PY[[#All],[Insurance Category Code]],1, AN_TME_PY[[#All],[Advanced Network/Insurance Carrier Org ID]],Q135),0), "TRUE", ROUND(R135-SUMIFS(AN_TME_PY[[#All],[Member Months]], AN_TME_PY[[#All],[Insurance Category Code]],1, AN_TME_PY[[#All],[Advanced Network/Insurance Carrier Org ID]],Q135),2))</f>
        <v>TRUE</v>
      </c>
      <c r="X135" s="527" t="str">
        <f>IF(ROUND(S135,0)=ROUND(SUMIFS(AN_TME_PY[[#All],[Total Claims Excluded because of Truncation]], AN_TME_PY[[#All],[Insurance Category Code]],1, AN_TME_PY[[#All],[Advanced Network/Insurance Carrier Org ID]],Q135),0), "TRUE", ROUND(S135-SUMIFS(AN_TME_PY[[#All],[Total Claims Excluded because of Truncation]], AN_TME_PY[[#All],[Insurance Category Code]],1, AN_TME_PY[[#All],[Advanced Network/Insurance Carrier Org ID]],Q135),2))</f>
        <v>TRUE</v>
      </c>
      <c r="Y135" s="537" t="str">
        <f>IF(ROUND(T135,0)=ROUND(SUMIFS(AN_TME_PY[[#All],[Count of Members with Claims Truncated]], AN_TME_PY[[#All],[Insurance Category Code]],1, AN_TME_PY[[#All],[Advanced Network/Insurance Carrier Org ID]],Q135),0), "TRUE", ROUND(T135-SUMIFS(AN_TME_PY[[#All],[Count of Members with Claims Truncated]], AN_TME_PY[[#All],[Insurance Category Code]],1, AN_TME_PY[[#All],[Advanced Network/Insurance Carrier Org ID]],Q135),2))</f>
        <v>TRUE</v>
      </c>
      <c r="Z135" s="528" t="str">
        <f>IF(ROUND(U135,0)=ROUND(SUMIFS(AN_TME_PY[[#All],[TOTAL Non-Truncated Unadjusted Claims Expenses]], AN_TME_PY[[#All],[Insurance Category Code]],1, AN_TME_PY[[#All],[Advanced Network/Insurance Carrier Org ID]],Q135),0), "TRUE", ROUND(U135-SUMIFS(AN_TME_PY[[#All],[TOTAL Non-Truncated Unadjusted Claims Expenses]], AN_TME_PY[[#All],[Insurance Category Code]],1, AN_TME_PY[[#All],[Advanced Network/Insurance Carrier Org ID]],Q135),2))</f>
        <v>TRUE</v>
      </c>
      <c r="AA135" s="529" t="str">
        <f>IF(ROUND(V135,0)=ROUND(SUMIFS(AN_TME_PY[[#All],[TOTAL Truncated Unadjusted Claims Expenses (A21 -A19)]], AN_TME_PY[[#All],[Insurance Category Code]],1, AN_TME_PY[[#All],[Advanced Network/Insurance Carrier Org ID]],Q135),0), "TRUE", ROUND(V135-SUMIFS(AN_TME_PY[[#All],[TOTAL Truncated Unadjusted Claims Expenses (A21 -A19)]], AN_TME_PY[[#All],[Insurance Category Code]],1, AN_TME_PY[[#All],[Advanced Network/Insurance Carrier Org ID]],Q135),2))</f>
        <v>TRUE</v>
      </c>
      <c r="AB135" s="525" t="str">
        <f t="shared" si="9"/>
        <v>TRUE</v>
      </c>
      <c r="AC135" s="528" t="b">
        <f>ROUND(SUMIFS(AN_TME_PY[[#All],[TOTAL Non-Truncated Unadjusted Claims Expenses]], AN_TME_PY[[#All],[Insurance Category Code]],1, AN_TME_PY[[#All],[Advanced Network/Insurance Carrier Org ID]],Q135),2)&gt;=ROUND(SUMIFS(AN_TME_PY[[#All],[TOTAL Truncated Unadjusted Claims Expenses (A21 -A19)]], AN_TME_PY[[#All],[Insurance Category Code]],1, AN_TME_PY[[#All],[Advanced Network/Insurance Carrier Org ID]],Q135), 2)</f>
        <v>1</v>
      </c>
      <c r="AD135" s="529" t="b">
        <f>ROUND(SUMIFS(AN_TME_PY[[#All],[TOTAL Truncated Unadjusted Claims Expenses (A21 -A19)]], AN_TME_PY[[#All],[Insurance Category Code]],1, AN_TME_PY[[#All],[Advanced Network/Insurance Carrier Org ID]],Q135)+SUMIFS(AN_TME_PY[[#All],[Total Claims Excluded because of Truncation]], AN_TME_PY[[#All],[Insurance Category Code]],1, AN_TME_PY[[#All],[Advanced Network/Insurance Carrier Org ID]],Q135), 2)=ROUND(SUMIFS(AN_TME_PY[[#All],[TOTAL Non-Truncated Unadjusted Claims Expenses]], AN_TME_PY[[#All],[Insurance Category Code]],1, AN_TME_PY[[#All],[Advanced Network/Insurance Carrier Org ID]],Q135), 2)</f>
        <v>1</v>
      </c>
      <c r="AF135" s="283" t="str">
        <f t="shared" si="8"/>
        <v>NA</v>
      </c>
    </row>
    <row r="136" spans="2:32" outlineLevel="1" x14ac:dyDescent="0.25">
      <c r="B136" s="216">
        <v>121</v>
      </c>
      <c r="C136" s="404">
        <f>ROUND(SUMIFS(Age_Sex_BY[[#All],[Total Member Months by Age/Sex Band]], Age_Sex_BY[[#All],[Advanced Network ID]], $B136, Age_Sex_BY[[#All],[Insurance Category Code]],1), 2)</f>
        <v>0</v>
      </c>
      <c r="D136" s="238">
        <f>ROUND(SUMIFS(Age_Sex_BY[[#All],[Total Dollars Excluded from Spending After Applying Truncation at the Member Level]], Age_Sex_BY[[#All],[Advanced Network ID]], $B136, Age_Sex_BY[[#All],[Insurance Category Code]],1), 2)</f>
        <v>0</v>
      </c>
      <c r="E136" s="209">
        <f>ROUND(SUMIFS(Age_Sex_BY[[#All],[Count of Members whose Spending was Truncated]], Age_Sex_BY[[#All],[Advanced Network ID]], $B136, Age_Sex_BY[[#All],[Insurance Category Code]],1),2)</f>
        <v>0</v>
      </c>
      <c r="F136" s="210">
        <f>ROUND(SUMIFS(Age_Sex_BY[[#All],[Total Spending before Truncation is Applied]], Age_Sex_BY[[#All],[Advanced Network ID]], $B136, Age_Sex_BY[[#All],[Insurance Category Code]],1), 2)</f>
        <v>0</v>
      </c>
      <c r="G136" s="212">
        <f>ROUND(SUMIFS(Age_Sex_BY[[#All],[Total Spending After Applying Truncation at the Member Level]], Age_Sex_BY[[#All],[Advanced Network ID]], $B136, Age_Sex_BY[[#All],[Insurance Category Code]],1), 2)</f>
        <v>0</v>
      </c>
      <c r="H136" s="525" t="str">
        <f>IF(ROUND(C136,0)=ROUND(SUMIFS(AN_TME_BY[[#All],[Member Months]], AN_TME_BY[[#All],[Insurance Category Code]],1, AN_TME_BY[[#All],[Advanced Network/Insurance Carrier Org ID]],B136),0), "TRUE", ROUND(C136-SUMIFS(AN_TME_BY[[#All],[Member Months]], AN_TME_BY[[#All],[Insurance Category Code]],1, AN_TME_BY[[#All],[Advanced Network/Insurance Carrier Org ID]],B136),2))</f>
        <v>TRUE</v>
      </c>
      <c r="I136" s="533" t="str">
        <f>IF(ROUND(D136,0)=ROUND(SUMIFS(AN_TME_BY[[#All],[Total Claims Excluded because of Truncation]], AN_TME_BY[[#All],[Insurance Category Code]],1, AN_TME_BY[[#All],[Advanced Network/Insurance Carrier Org ID]],B136),0), "TRUE", ROUND(D136-SUMIFS(AN_TME_BY[[#All],[Total Claims Excluded because of Truncation]], AN_TME_BY[[#All],[Insurance Category Code]],1, AN_TME_BY[[#All],[Advanced Network/Insurance Carrier Org ID]],B136),2))</f>
        <v>TRUE</v>
      </c>
      <c r="J136" s="537" t="str">
        <f>IF(ROUND(E136,0)=ROUND(SUMIFS(AN_TME_BY[[#All],[Count of Members with Claims Truncated]], AN_TME_BY[[#All],[Insurance Category Code]],1, AN_TME_BY[[#All],[Advanced Network/Insurance Carrier Org ID]],B136),0), "TRUE", ROUND(E136-SUMIFS(AN_TME_BY[[#All],[Count of Members with Claims Truncated]], AN_TME_BY[[#All],[Insurance Category Code]],1, AN_TME_BY[[#All],[Advanced Network/Insurance Carrier Org ID]],B136),2))</f>
        <v>TRUE</v>
      </c>
      <c r="K136" s="533" t="str">
        <f>IF(ROUND(F136,0)=ROUND(SUMIFS(AN_TME_BY[[#All],[TOTAL Non-Truncated Unadjusted Claims Expenses]], AN_TME_BY[[#All],[Insurance Category Code]],1, AN_TME_BY[[#All],[Advanced Network/Insurance Carrier Org ID]],B136),0), "TRUE", ROUND(F136-SUMIFS(AN_TME_BY[[#All],[TOTAL Non-Truncated Unadjusted Claims Expenses]], AN_TME_BY[[#All],[Insurance Category Code]],1, AN_TME_BY[[#All],[Advanced Network/Insurance Carrier Org ID]],B136),2))</f>
        <v>TRUE</v>
      </c>
      <c r="L136" s="534" t="str">
        <f>IF(ROUND(G136,0)=ROUND(SUMIFS(AN_TME_BY[[#All],[TOTAL Truncated Unadjusted Claims Expenses (A21 -A19)]], AN_TME_BY[[#All],[Insurance Category Code]],1, AN_TME_BY[[#All],[Advanced Network/Insurance Carrier Org ID]],B136),0), "TRUE", ROUND(G136-SUMIFS(AN_TME_BY[[#All],[TOTAL Truncated Unadjusted Claims Expenses (A21 -A19)]], AN_TME_BY[[#All],[Insurance Category Code]],1, AN_TME_BY[[#All],[Advanced Network/Insurance Carrier Org ID]],B136),2))</f>
        <v>TRUE</v>
      </c>
      <c r="M136" s="525" t="str">
        <f t="shared" si="7"/>
        <v>TRUE</v>
      </c>
      <c r="N136" s="533" t="b">
        <f>ROUND(SUMIFS(AN_TME_BY[[#All],[TOTAL Non-Truncated Unadjusted Claims Expenses]], AN_TME_BY[[#All],[Insurance Category Code]],1, AN_TME_BY[[#All],[Advanced Network/Insurance Carrier Org ID]],B136), 2)&gt;=ROUND(SUMIFS(AN_TME_BY[[#All],[TOTAL Truncated Unadjusted Claims Expenses (A21 -A19)]], AN_TME_BY[[#All],[Insurance Category Code]],1, AN_TME_BY[[#All],[Advanced Network/Insurance Carrier Org ID]],B136),2)</f>
        <v>1</v>
      </c>
      <c r="O136" s="534" t="b">
        <f>ROUND(SUMIFS(AN_TME_BY[[#All],[TOTAL Truncated Unadjusted Claims Expenses (A21 -A19)]], AN_TME_BY[[#All],[Insurance Category Code]],1, AN_TME_BY[[#All],[Advanced Network/Insurance Carrier Org ID]],B136)+SUMIFS(AN_TME_BY[[#All],[Total Claims Excluded because of Truncation]], AN_TME_BY[[#All],[Insurance Category Code]],1, AN_TME_BY[[#All],[Advanced Network/Insurance Carrier Org ID]],B136),2)=ROUND(SUMIFS(AN_TME_BY[[#All],[TOTAL Non-Truncated Unadjusted Claims Expenses]], AN_TME_BY[[#All],[Insurance Category Code]],1, AN_TME_BY[[#All],[Advanced Network/Insurance Carrier Org ID]],B136), 2)</f>
        <v>1</v>
      </c>
      <c r="Q136" s="216">
        <v>121</v>
      </c>
      <c r="R136" s="404">
        <f>ROUND(SUMIFS(Age_Sex_PY[[#All],[Total Member Months by Age/Sex Band]], Age_Sex_PY[[#All],[Advanced Network ID]], $Q136, Age_Sex_PY[[#All],[Insurance Category Code]],1), 2)</f>
        <v>0</v>
      </c>
      <c r="S136" s="238">
        <f>ROUND(SUMIFS(Age_Sex_PY[[#All],[Total Dollars Excluded from Spending After Applying Truncation at the Member Level]], Age_Sex_PY[[#All],[Advanced Network ID]], $B136, Age_Sex_PY[[#All],[Insurance Category Code]],1),2)</f>
        <v>0</v>
      </c>
      <c r="T136" s="209">
        <f>ROUND(SUMIFS(Age_Sex_PY[[#All],[Count of Members whose Spending was Truncated]], Age_Sex_PY[[#All],[Advanced Network ID]], $B136, Age_Sex_PY[[#All],[Insurance Category Code]],1), 2)</f>
        <v>0</v>
      </c>
      <c r="U136" s="210">
        <f>ROUND(SUMIFS(Age_Sex_PY[[#All],[Total Spending before Truncation is Applied]], Age_Sex_PY[[#All],[Advanced Network ID]], $B136, Age_Sex_PY[[#All],[Insurance Category Code]],1), 2)</f>
        <v>0</v>
      </c>
      <c r="V136" s="212">
        <f>ROUND(SUMIFS(Age_Sex_PY[[#All],[Total Spending After Applying Truncation at the Member Level]], Age_Sex_PY[[#All],[Advanced Network ID]], $B136, Age_Sex_PY[[#All],[Insurance Category Code]],1),2)</f>
        <v>0</v>
      </c>
      <c r="W136" s="525" t="str">
        <f>IF(ROUND(R136,0)=ROUND(SUMIFS(AN_TME_PY[[#All],[Member Months]], AN_TME_PY[[#All],[Insurance Category Code]],1, AN_TME_PY[[#All],[Advanced Network/Insurance Carrier Org ID]],Q136),0), "TRUE", ROUND(R136-SUMIFS(AN_TME_PY[[#All],[Member Months]], AN_TME_PY[[#All],[Insurance Category Code]],1, AN_TME_PY[[#All],[Advanced Network/Insurance Carrier Org ID]],Q136),2))</f>
        <v>TRUE</v>
      </c>
      <c r="X136" s="527" t="str">
        <f>IF(ROUND(S136,0)=ROUND(SUMIFS(AN_TME_PY[[#All],[Total Claims Excluded because of Truncation]], AN_TME_PY[[#All],[Insurance Category Code]],1, AN_TME_PY[[#All],[Advanced Network/Insurance Carrier Org ID]],Q136),0), "TRUE", ROUND(S136-SUMIFS(AN_TME_PY[[#All],[Total Claims Excluded because of Truncation]], AN_TME_PY[[#All],[Insurance Category Code]],1, AN_TME_PY[[#All],[Advanced Network/Insurance Carrier Org ID]],Q136),2))</f>
        <v>TRUE</v>
      </c>
      <c r="Y136" s="537" t="str">
        <f>IF(ROUND(T136,0)=ROUND(SUMIFS(AN_TME_PY[[#All],[Count of Members with Claims Truncated]], AN_TME_PY[[#All],[Insurance Category Code]],1, AN_TME_PY[[#All],[Advanced Network/Insurance Carrier Org ID]],Q136),0), "TRUE", ROUND(T136-SUMIFS(AN_TME_PY[[#All],[Count of Members with Claims Truncated]], AN_TME_PY[[#All],[Insurance Category Code]],1, AN_TME_PY[[#All],[Advanced Network/Insurance Carrier Org ID]],Q136),2))</f>
        <v>TRUE</v>
      </c>
      <c r="Z136" s="528" t="str">
        <f>IF(ROUND(U136,0)=ROUND(SUMIFS(AN_TME_PY[[#All],[TOTAL Non-Truncated Unadjusted Claims Expenses]], AN_TME_PY[[#All],[Insurance Category Code]],1, AN_TME_PY[[#All],[Advanced Network/Insurance Carrier Org ID]],Q136),0), "TRUE", ROUND(U136-SUMIFS(AN_TME_PY[[#All],[TOTAL Non-Truncated Unadjusted Claims Expenses]], AN_TME_PY[[#All],[Insurance Category Code]],1, AN_TME_PY[[#All],[Advanced Network/Insurance Carrier Org ID]],Q136),2))</f>
        <v>TRUE</v>
      </c>
      <c r="AA136" s="529" t="str">
        <f>IF(ROUND(V136,0)=ROUND(SUMIFS(AN_TME_PY[[#All],[TOTAL Truncated Unadjusted Claims Expenses (A21 -A19)]], AN_TME_PY[[#All],[Insurance Category Code]],1, AN_TME_PY[[#All],[Advanced Network/Insurance Carrier Org ID]],Q136),0), "TRUE", ROUND(V136-SUMIFS(AN_TME_PY[[#All],[TOTAL Truncated Unadjusted Claims Expenses (A21 -A19)]], AN_TME_PY[[#All],[Insurance Category Code]],1, AN_TME_PY[[#All],[Advanced Network/Insurance Carrier Org ID]],Q136),2))</f>
        <v>TRUE</v>
      </c>
      <c r="AB136" s="525" t="str">
        <f t="shared" si="9"/>
        <v>TRUE</v>
      </c>
      <c r="AC136" s="528" t="b">
        <f>ROUND(SUMIFS(AN_TME_PY[[#All],[TOTAL Non-Truncated Unadjusted Claims Expenses]], AN_TME_PY[[#All],[Insurance Category Code]],1, AN_TME_PY[[#All],[Advanced Network/Insurance Carrier Org ID]],Q136),2)&gt;=ROUND(SUMIFS(AN_TME_PY[[#All],[TOTAL Truncated Unadjusted Claims Expenses (A21 -A19)]], AN_TME_PY[[#All],[Insurance Category Code]],1, AN_TME_PY[[#All],[Advanced Network/Insurance Carrier Org ID]],Q136), 2)</f>
        <v>1</v>
      </c>
      <c r="AD136" s="529" t="b">
        <f>ROUND(SUMIFS(AN_TME_PY[[#All],[TOTAL Truncated Unadjusted Claims Expenses (A21 -A19)]], AN_TME_PY[[#All],[Insurance Category Code]],1, AN_TME_PY[[#All],[Advanced Network/Insurance Carrier Org ID]],Q136)+SUMIFS(AN_TME_PY[[#All],[Total Claims Excluded because of Truncation]], AN_TME_PY[[#All],[Insurance Category Code]],1, AN_TME_PY[[#All],[Advanced Network/Insurance Carrier Org ID]],Q136), 2)=ROUND(SUMIFS(AN_TME_PY[[#All],[TOTAL Non-Truncated Unadjusted Claims Expenses]], AN_TME_PY[[#All],[Insurance Category Code]],1, AN_TME_PY[[#All],[Advanced Network/Insurance Carrier Org ID]],Q136), 2)</f>
        <v>1</v>
      </c>
      <c r="AF136" s="283" t="str">
        <f t="shared" si="8"/>
        <v>NA</v>
      </c>
    </row>
    <row r="137" spans="2:32" outlineLevel="1" x14ac:dyDescent="0.25">
      <c r="B137" s="216">
        <v>122</v>
      </c>
      <c r="C137" s="404">
        <f>ROUND(SUMIFS(Age_Sex_BY[[#All],[Total Member Months by Age/Sex Band]], Age_Sex_BY[[#All],[Advanced Network ID]], $B137, Age_Sex_BY[[#All],[Insurance Category Code]],1), 2)</f>
        <v>0</v>
      </c>
      <c r="D137" s="238">
        <f>ROUND(SUMIFS(Age_Sex_BY[[#All],[Total Dollars Excluded from Spending After Applying Truncation at the Member Level]], Age_Sex_BY[[#All],[Advanced Network ID]], $B137, Age_Sex_BY[[#All],[Insurance Category Code]],1), 2)</f>
        <v>0</v>
      </c>
      <c r="E137" s="209">
        <f>ROUND(SUMIFS(Age_Sex_BY[[#All],[Count of Members whose Spending was Truncated]], Age_Sex_BY[[#All],[Advanced Network ID]], $B137, Age_Sex_BY[[#All],[Insurance Category Code]],1),2)</f>
        <v>0</v>
      </c>
      <c r="F137" s="210">
        <f>ROUND(SUMIFS(Age_Sex_BY[[#All],[Total Spending before Truncation is Applied]], Age_Sex_BY[[#All],[Advanced Network ID]], $B137, Age_Sex_BY[[#All],[Insurance Category Code]],1), 2)</f>
        <v>0</v>
      </c>
      <c r="G137" s="212">
        <f>ROUND(SUMIFS(Age_Sex_BY[[#All],[Total Spending After Applying Truncation at the Member Level]], Age_Sex_BY[[#All],[Advanced Network ID]], $B137, Age_Sex_BY[[#All],[Insurance Category Code]],1), 2)</f>
        <v>0</v>
      </c>
      <c r="H137" s="525" t="str">
        <f>IF(ROUND(C137,0)=ROUND(SUMIFS(AN_TME_BY[[#All],[Member Months]], AN_TME_BY[[#All],[Insurance Category Code]],1, AN_TME_BY[[#All],[Advanced Network/Insurance Carrier Org ID]],B137),0), "TRUE", ROUND(C137-SUMIFS(AN_TME_BY[[#All],[Member Months]], AN_TME_BY[[#All],[Insurance Category Code]],1, AN_TME_BY[[#All],[Advanced Network/Insurance Carrier Org ID]],B137),2))</f>
        <v>TRUE</v>
      </c>
      <c r="I137" s="533" t="str">
        <f>IF(ROUND(D137,0)=ROUND(SUMIFS(AN_TME_BY[[#All],[Total Claims Excluded because of Truncation]], AN_TME_BY[[#All],[Insurance Category Code]],1, AN_TME_BY[[#All],[Advanced Network/Insurance Carrier Org ID]],B137),0), "TRUE", ROUND(D137-SUMIFS(AN_TME_BY[[#All],[Total Claims Excluded because of Truncation]], AN_TME_BY[[#All],[Insurance Category Code]],1, AN_TME_BY[[#All],[Advanced Network/Insurance Carrier Org ID]],B137),2))</f>
        <v>TRUE</v>
      </c>
      <c r="J137" s="537" t="str">
        <f>IF(ROUND(E137,0)=ROUND(SUMIFS(AN_TME_BY[[#All],[Count of Members with Claims Truncated]], AN_TME_BY[[#All],[Insurance Category Code]],1, AN_TME_BY[[#All],[Advanced Network/Insurance Carrier Org ID]],B137),0), "TRUE", ROUND(E137-SUMIFS(AN_TME_BY[[#All],[Count of Members with Claims Truncated]], AN_TME_BY[[#All],[Insurance Category Code]],1, AN_TME_BY[[#All],[Advanced Network/Insurance Carrier Org ID]],B137),2))</f>
        <v>TRUE</v>
      </c>
      <c r="K137" s="533" t="str">
        <f>IF(ROUND(F137,0)=ROUND(SUMIFS(AN_TME_BY[[#All],[TOTAL Non-Truncated Unadjusted Claims Expenses]], AN_TME_BY[[#All],[Insurance Category Code]],1, AN_TME_BY[[#All],[Advanced Network/Insurance Carrier Org ID]],B137),0), "TRUE", ROUND(F137-SUMIFS(AN_TME_BY[[#All],[TOTAL Non-Truncated Unadjusted Claims Expenses]], AN_TME_BY[[#All],[Insurance Category Code]],1, AN_TME_BY[[#All],[Advanced Network/Insurance Carrier Org ID]],B137),2))</f>
        <v>TRUE</v>
      </c>
      <c r="L137" s="534" t="str">
        <f>IF(ROUND(G137,0)=ROUND(SUMIFS(AN_TME_BY[[#All],[TOTAL Truncated Unadjusted Claims Expenses (A21 -A19)]], AN_TME_BY[[#All],[Insurance Category Code]],1, AN_TME_BY[[#All],[Advanced Network/Insurance Carrier Org ID]],B137),0), "TRUE", ROUND(G137-SUMIFS(AN_TME_BY[[#All],[TOTAL Truncated Unadjusted Claims Expenses (A21 -A19)]], AN_TME_BY[[#All],[Insurance Category Code]],1, AN_TME_BY[[#All],[Advanced Network/Insurance Carrier Org ID]],B137),2))</f>
        <v>TRUE</v>
      </c>
      <c r="M137" s="525" t="str">
        <f t="shared" si="7"/>
        <v>TRUE</v>
      </c>
      <c r="N137" s="533" t="b">
        <f>ROUND(SUMIFS(AN_TME_BY[[#All],[TOTAL Non-Truncated Unadjusted Claims Expenses]], AN_TME_BY[[#All],[Insurance Category Code]],1, AN_TME_BY[[#All],[Advanced Network/Insurance Carrier Org ID]],B137), 2)&gt;=ROUND(SUMIFS(AN_TME_BY[[#All],[TOTAL Truncated Unadjusted Claims Expenses (A21 -A19)]], AN_TME_BY[[#All],[Insurance Category Code]],1, AN_TME_BY[[#All],[Advanced Network/Insurance Carrier Org ID]],B137),2)</f>
        <v>1</v>
      </c>
      <c r="O137" s="534" t="b">
        <f>ROUND(SUMIFS(AN_TME_BY[[#All],[TOTAL Truncated Unadjusted Claims Expenses (A21 -A19)]], AN_TME_BY[[#All],[Insurance Category Code]],1, AN_TME_BY[[#All],[Advanced Network/Insurance Carrier Org ID]],B137)+SUMIFS(AN_TME_BY[[#All],[Total Claims Excluded because of Truncation]], AN_TME_BY[[#All],[Insurance Category Code]],1, AN_TME_BY[[#All],[Advanced Network/Insurance Carrier Org ID]],B137),2)=ROUND(SUMIFS(AN_TME_BY[[#All],[TOTAL Non-Truncated Unadjusted Claims Expenses]], AN_TME_BY[[#All],[Insurance Category Code]],1, AN_TME_BY[[#All],[Advanced Network/Insurance Carrier Org ID]],B137), 2)</f>
        <v>1</v>
      </c>
      <c r="Q137" s="216">
        <v>122</v>
      </c>
      <c r="R137" s="404">
        <f>ROUND(SUMIFS(Age_Sex_PY[[#All],[Total Member Months by Age/Sex Band]], Age_Sex_PY[[#All],[Advanced Network ID]], $Q137, Age_Sex_PY[[#All],[Insurance Category Code]],1), 2)</f>
        <v>0</v>
      </c>
      <c r="S137" s="238">
        <f>ROUND(SUMIFS(Age_Sex_PY[[#All],[Total Dollars Excluded from Spending After Applying Truncation at the Member Level]], Age_Sex_PY[[#All],[Advanced Network ID]], $B137, Age_Sex_PY[[#All],[Insurance Category Code]],1),2)</f>
        <v>0</v>
      </c>
      <c r="T137" s="209">
        <f>ROUND(SUMIFS(Age_Sex_PY[[#All],[Count of Members whose Spending was Truncated]], Age_Sex_PY[[#All],[Advanced Network ID]], $B137, Age_Sex_PY[[#All],[Insurance Category Code]],1), 2)</f>
        <v>0</v>
      </c>
      <c r="U137" s="210">
        <f>ROUND(SUMIFS(Age_Sex_PY[[#All],[Total Spending before Truncation is Applied]], Age_Sex_PY[[#All],[Advanced Network ID]], $B137, Age_Sex_PY[[#All],[Insurance Category Code]],1), 2)</f>
        <v>0</v>
      </c>
      <c r="V137" s="212">
        <f>ROUND(SUMIFS(Age_Sex_PY[[#All],[Total Spending After Applying Truncation at the Member Level]], Age_Sex_PY[[#All],[Advanced Network ID]], $B137, Age_Sex_PY[[#All],[Insurance Category Code]],1),2)</f>
        <v>0</v>
      </c>
      <c r="W137" s="525" t="str">
        <f>IF(ROUND(R137,0)=ROUND(SUMIFS(AN_TME_PY[[#All],[Member Months]], AN_TME_PY[[#All],[Insurance Category Code]],1, AN_TME_PY[[#All],[Advanced Network/Insurance Carrier Org ID]],Q137),0), "TRUE", ROUND(R137-SUMIFS(AN_TME_PY[[#All],[Member Months]], AN_TME_PY[[#All],[Insurance Category Code]],1, AN_TME_PY[[#All],[Advanced Network/Insurance Carrier Org ID]],Q137),2))</f>
        <v>TRUE</v>
      </c>
      <c r="X137" s="527" t="str">
        <f>IF(ROUND(S137,0)=ROUND(SUMIFS(AN_TME_PY[[#All],[Total Claims Excluded because of Truncation]], AN_TME_PY[[#All],[Insurance Category Code]],1, AN_TME_PY[[#All],[Advanced Network/Insurance Carrier Org ID]],Q137),0), "TRUE", ROUND(S137-SUMIFS(AN_TME_PY[[#All],[Total Claims Excluded because of Truncation]], AN_TME_PY[[#All],[Insurance Category Code]],1, AN_TME_PY[[#All],[Advanced Network/Insurance Carrier Org ID]],Q137),2))</f>
        <v>TRUE</v>
      </c>
      <c r="Y137" s="537" t="str">
        <f>IF(ROUND(T137,0)=ROUND(SUMIFS(AN_TME_PY[[#All],[Count of Members with Claims Truncated]], AN_TME_PY[[#All],[Insurance Category Code]],1, AN_TME_PY[[#All],[Advanced Network/Insurance Carrier Org ID]],Q137),0), "TRUE", ROUND(T137-SUMIFS(AN_TME_PY[[#All],[Count of Members with Claims Truncated]], AN_TME_PY[[#All],[Insurance Category Code]],1, AN_TME_PY[[#All],[Advanced Network/Insurance Carrier Org ID]],Q137),2))</f>
        <v>TRUE</v>
      </c>
      <c r="Z137" s="528" t="str">
        <f>IF(ROUND(U137,0)=ROUND(SUMIFS(AN_TME_PY[[#All],[TOTAL Non-Truncated Unadjusted Claims Expenses]], AN_TME_PY[[#All],[Insurance Category Code]],1, AN_TME_PY[[#All],[Advanced Network/Insurance Carrier Org ID]],Q137),0), "TRUE", ROUND(U137-SUMIFS(AN_TME_PY[[#All],[TOTAL Non-Truncated Unadjusted Claims Expenses]], AN_TME_PY[[#All],[Insurance Category Code]],1, AN_TME_PY[[#All],[Advanced Network/Insurance Carrier Org ID]],Q137),2))</f>
        <v>TRUE</v>
      </c>
      <c r="AA137" s="529" t="str">
        <f>IF(ROUND(V137,0)=ROUND(SUMIFS(AN_TME_PY[[#All],[TOTAL Truncated Unadjusted Claims Expenses (A21 -A19)]], AN_TME_PY[[#All],[Insurance Category Code]],1, AN_TME_PY[[#All],[Advanced Network/Insurance Carrier Org ID]],Q137),0), "TRUE", ROUND(V137-SUMIFS(AN_TME_PY[[#All],[TOTAL Truncated Unadjusted Claims Expenses (A21 -A19)]], AN_TME_PY[[#All],[Insurance Category Code]],1, AN_TME_PY[[#All],[Advanced Network/Insurance Carrier Org ID]],Q137),2))</f>
        <v>TRUE</v>
      </c>
      <c r="AB137" s="525" t="str">
        <f t="shared" si="9"/>
        <v>TRUE</v>
      </c>
      <c r="AC137" s="528" t="b">
        <f>ROUND(SUMIFS(AN_TME_PY[[#All],[TOTAL Non-Truncated Unadjusted Claims Expenses]], AN_TME_PY[[#All],[Insurance Category Code]],1, AN_TME_PY[[#All],[Advanced Network/Insurance Carrier Org ID]],Q137),2)&gt;=ROUND(SUMIFS(AN_TME_PY[[#All],[TOTAL Truncated Unadjusted Claims Expenses (A21 -A19)]], AN_TME_PY[[#All],[Insurance Category Code]],1, AN_TME_PY[[#All],[Advanced Network/Insurance Carrier Org ID]],Q137), 2)</f>
        <v>1</v>
      </c>
      <c r="AD137" s="529" t="b">
        <f>ROUND(SUMIFS(AN_TME_PY[[#All],[TOTAL Truncated Unadjusted Claims Expenses (A21 -A19)]], AN_TME_PY[[#All],[Insurance Category Code]],1, AN_TME_PY[[#All],[Advanced Network/Insurance Carrier Org ID]],Q137)+SUMIFS(AN_TME_PY[[#All],[Total Claims Excluded because of Truncation]], AN_TME_PY[[#All],[Insurance Category Code]],1, AN_TME_PY[[#All],[Advanced Network/Insurance Carrier Org ID]],Q137), 2)=ROUND(SUMIFS(AN_TME_PY[[#All],[TOTAL Non-Truncated Unadjusted Claims Expenses]], AN_TME_PY[[#All],[Insurance Category Code]],1, AN_TME_PY[[#All],[Advanced Network/Insurance Carrier Org ID]],Q137), 2)</f>
        <v>1</v>
      </c>
      <c r="AF137" s="283" t="str">
        <f t="shared" si="8"/>
        <v>NA</v>
      </c>
    </row>
    <row r="138" spans="2:32" outlineLevel="1" x14ac:dyDescent="0.25">
      <c r="B138" s="216">
        <v>123</v>
      </c>
      <c r="C138" s="404">
        <f>ROUND(SUMIFS(Age_Sex_BY[[#All],[Total Member Months by Age/Sex Band]], Age_Sex_BY[[#All],[Advanced Network ID]], $B138, Age_Sex_BY[[#All],[Insurance Category Code]],1), 2)</f>
        <v>0</v>
      </c>
      <c r="D138" s="238">
        <f>ROUND(SUMIFS(Age_Sex_BY[[#All],[Total Dollars Excluded from Spending After Applying Truncation at the Member Level]], Age_Sex_BY[[#All],[Advanced Network ID]], $B138, Age_Sex_BY[[#All],[Insurance Category Code]],1), 2)</f>
        <v>0</v>
      </c>
      <c r="E138" s="209">
        <f>ROUND(SUMIFS(Age_Sex_BY[[#All],[Count of Members whose Spending was Truncated]], Age_Sex_BY[[#All],[Advanced Network ID]], $B138, Age_Sex_BY[[#All],[Insurance Category Code]],1),2)</f>
        <v>0</v>
      </c>
      <c r="F138" s="210">
        <f>ROUND(SUMIFS(Age_Sex_BY[[#All],[Total Spending before Truncation is Applied]], Age_Sex_BY[[#All],[Advanced Network ID]], $B138, Age_Sex_BY[[#All],[Insurance Category Code]],1), 2)</f>
        <v>0</v>
      </c>
      <c r="G138" s="212">
        <f>ROUND(SUMIFS(Age_Sex_BY[[#All],[Total Spending After Applying Truncation at the Member Level]], Age_Sex_BY[[#All],[Advanced Network ID]], $B138, Age_Sex_BY[[#All],[Insurance Category Code]],1), 2)</f>
        <v>0</v>
      </c>
      <c r="H138" s="525" t="str">
        <f>IF(ROUND(C138,0)=ROUND(SUMIFS(AN_TME_BY[[#All],[Member Months]], AN_TME_BY[[#All],[Insurance Category Code]],1, AN_TME_BY[[#All],[Advanced Network/Insurance Carrier Org ID]],B138),0), "TRUE", ROUND(C138-SUMIFS(AN_TME_BY[[#All],[Member Months]], AN_TME_BY[[#All],[Insurance Category Code]],1, AN_TME_BY[[#All],[Advanced Network/Insurance Carrier Org ID]],B138),2))</f>
        <v>TRUE</v>
      </c>
      <c r="I138" s="533" t="str">
        <f>IF(ROUND(D138,0)=ROUND(SUMIFS(AN_TME_BY[[#All],[Total Claims Excluded because of Truncation]], AN_TME_BY[[#All],[Insurance Category Code]],1, AN_TME_BY[[#All],[Advanced Network/Insurance Carrier Org ID]],B138),0), "TRUE", ROUND(D138-SUMIFS(AN_TME_BY[[#All],[Total Claims Excluded because of Truncation]], AN_TME_BY[[#All],[Insurance Category Code]],1, AN_TME_BY[[#All],[Advanced Network/Insurance Carrier Org ID]],B138),2))</f>
        <v>TRUE</v>
      </c>
      <c r="J138" s="537" t="str">
        <f>IF(ROUND(E138,0)=ROUND(SUMIFS(AN_TME_BY[[#All],[Count of Members with Claims Truncated]], AN_TME_BY[[#All],[Insurance Category Code]],1, AN_TME_BY[[#All],[Advanced Network/Insurance Carrier Org ID]],B138),0), "TRUE", ROUND(E138-SUMIFS(AN_TME_BY[[#All],[Count of Members with Claims Truncated]], AN_TME_BY[[#All],[Insurance Category Code]],1, AN_TME_BY[[#All],[Advanced Network/Insurance Carrier Org ID]],B138),2))</f>
        <v>TRUE</v>
      </c>
      <c r="K138" s="533" t="str">
        <f>IF(ROUND(F138,0)=ROUND(SUMIFS(AN_TME_BY[[#All],[TOTAL Non-Truncated Unadjusted Claims Expenses]], AN_TME_BY[[#All],[Insurance Category Code]],1, AN_TME_BY[[#All],[Advanced Network/Insurance Carrier Org ID]],B138),0), "TRUE", ROUND(F138-SUMIFS(AN_TME_BY[[#All],[TOTAL Non-Truncated Unadjusted Claims Expenses]], AN_TME_BY[[#All],[Insurance Category Code]],1, AN_TME_BY[[#All],[Advanced Network/Insurance Carrier Org ID]],B138),2))</f>
        <v>TRUE</v>
      </c>
      <c r="L138" s="534" t="str">
        <f>IF(ROUND(G138,0)=ROUND(SUMIFS(AN_TME_BY[[#All],[TOTAL Truncated Unadjusted Claims Expenses (A21 -A19)]], AN_TME_BY[[#All],[Insurance Category Code]],1, AN_TME_BY[[#All],[Advanced Network/Insurance Carrier Org ID]],B138),0), "TRUE", ROUND(G138-SUMIFS(AN_TME_BY[[#All],[TOTAL Truncated Unadjusted Claims Expenses (A21 -A19)]], AN_TME_BY[[#All],[Insurance Category Code]],1, AN_TME_BY[[#All],[Advanced Network/Insurance Carrier Org ID]],B138),2))</f>
        <v>TRUE</v>
      </c>
      <c r="M138" s="525" t="str">
        <f t="shared" si="7"/>
        <v>TRUE</v>
      </c>
      <c r="N138" s="533" t="b">
        <f>ROUND(SUMIFS(AN_TME_BY[[#All],[TOTAL Non-Truncated Unadjusted Claims Expenses]], AN_TME_BY[[#All],[Insurance Category Code]],1, AN_TME_BY[[#All],[Advanced Network/Insurance Carrier Org ID]],B138), 2)&gt;=ROUND(SUMIFS(AN_TME_BY[[#All],[TOTAL Truncated Unadjusted Claims Expenses (A21 -A19)]], AN_TME_BY[[#All],[Insurance Category Code]],1, AN_TME_BY[[#All],[Advanced Network/Insurance Carrier Org ID]],B138),2)</f>
        <v>1</v>
      </c>
      <c r="O138" s="534" t="b">
        <f>ROUND(SUMIFS(AN_TME_BY[[#All],[TOTAL Truncated Unadjusted Claims Expenses (A21 -A19)]], AN_TME_BY[[#All],[Insurance Category Code]],1, AN_TME_BY[[#All],[Advanced Network/Insurance Carrier Org ID]],B138)+SUMIFS(AN_TME_BY[[#All],[Total Claims Excluded because of Truncation]], AN_TME_BY[[#All],[Insurance Category Code]],1, AN_TME_BY[[#All],[Advanced Network/Insurance Carrier Org ID]],B138),2)=ROUND(SUMIFS(AN_TME_BY[[#All],[TOTAL Non-Truncated Unadjusted Claims Expenses]], AN_TME_BY[[#All],[Insurance Category Code]],1, AN_TME_BY[[#All],[Advanced Network/Insurance Carrier Org ID]],B138), 2)</f>
        <v>1</v>
      </c>
      <c r="Q138" s="216">
        <v>123</v>
      </c>
      <c r="R138" s="404">
        <f>ROUND(SUMIFS(Age_Sex_PY[[#All],[Total Member Months by Age/Sex Band]], Age_Sex_PY[[#All],[Advanced Network ID]], $Q138, Age_Sex_PY[[#All],[Insurance Category Code]],1), 2)</f>
        <v>0</v>
      </c>
      <c r="S138" s="238">
        <f>ROUND(SUMIFS(Age_Sex_PY[[#All],[Total Dollars Excluded from Spending After Applying Truncation at the Member Level]], Age_Sex_PY[[#All],[Advanced Network ID]], $B138, Age_Sex_PY[[#All],[Insurance Category Code]],1),2)</f>
        <v>0</v>
      </c>
      <c r="T138" s="209">
        <f>ROUND(SUMIFS(Age_Sex_PY[[#All],[Count of Members whose Spending was Truncated]], Age_Sex_PY[[#All],[Advanced Network ID]], $B138, Age_Sex_PY[[#All],[Insurance Category Code]],1), 2)</f>
        <v>0</v>
      </c>
      <c r="U138" s="210">
        <f>ROUND(SUMIFS(Age_Sex_PY[[#All],[Total Spending before Truncation is Applied]], Age_Sex_PY[[#All],[Advanced Network ID]], $B138, Age_Sex_PY[[#All],[Insurance Category Code]],1), 2)</f>
        <v>0</v>
      </c>
      <c r="V138" s="212">
        <f>ROUND(SUMIFS(Age_Sex_PY[[#All],[Total Spending After Applying Truncation at the Member Level]], Age_Sex_PY[[#All],[Advanced Network ID]], $B138, Age_Sex_PY[[#All],[Insurance Category Code]],1),2)</f>
        <v>0</v>
      </c>
      <c r="W138" s="525" t="str">
        <f>IF(ROUND(R138,0)=ROUND(SUMIFS(AN_TME_PY[[#All],[Member Months]], AN_TME_PY[[#All],[Insurance Category Code]],1, AN_TME_PY[[#All],[Advanced Network/Insurance Carrier Org ID]],Q138),0), "TRUE", ROUND(R138-SUMIFS(AN_TME_PY[[#All],[Member Months]], AN_TME_PY[[#All],[Insurance Category Code]],1, AN_TME_PY[[#All],[Advanced Network/Insurance Carrier Org ID]],Q138),2))</f>
        <v>TRUE</v>
      </c>
      <c r="X138" s="527" t="str">
        <f>IF(ROUND(S138,0)=ROUND(SUMIFS(AN_TME_PY[[#All],[Total Claims Excluded because of Truncation]], AN_TME_PY[[#All],[Insurance Category Code]],1, AN_TME_PY[[#All],[Advanced Network/Insurance Carrier Org ID]],Q138),0), "TRUE", ROUND(S138-SUMIFS(AN_TME_PY[[#All],[Total Claims Excluded because of Truncation]], AN_TME_PY[[#All],[Insurance Category Code]],1, AN_TME_PY[[#All],[Advanced Network/Insurance Carrier Org ID]],Q138),2))</f>
        <v>TRUE</v>
      </c>
      <c r="Y138" s="537" t="str">
        <f>IF(ROUND(T138,0)=ROUND(SUMIFS(AN_TME_PY[[#All],[Count of Members with Claims Truncated]], AN_TME_PY[[#All],[Insurance Category Code]],1, AN_TME_PY[[#All],[Advanced Network/Insurance Carrier Org ID]],Q138),0), "TRUE", ROUND(T138-SUMIFS(AN_TME_PY[[#All],[Count of Members with Claims Truncated]], AN_TME_PY[[#All],[Insurance Category Code]],1, AN_TME_PY[[#All],[Advanced Network/Insurance Carrier Org ID]],Q138),2))</f>
        <v>TRUE</v>
      </c>
      <c r="Z138" s="528" t="str">
        <f>IF(ROUND(U138,0)=ROUND(SUMIFS(AN_TME_PY[[#All],[TOTAL Non-Truncated Unadjusted Claims Expenses]], AN_TME_PY[[#All],[Insurance Category Code]],1, AN_TME_PY[[#All],[Advanced Network/Insurance Carrier Org ID]],Q138),0), "TRUE", ROUND(U138-SUMIFS(AN_TME_PY[[#All],[TOTAL Non-Truncated Unadjusted Claims Expenses]], AN_TME_PY[[#All],[Insurance Category Code]],1, AN_TME_PY[[#All],[Advanced Network/Insurance Carrier Org ID]],Q138),2))</f>
        <v>TRUE</v>
      </c>
      <c r="AA138" s="529" t="str">
        <f>IF(ROUND(V138,0)=ROUND(SUMIFS(AN_TME_PY[[#All],[TOTAL Truncated Unadjusted Claims Expenses (A21 -A19)]], AN_TME_PY[[#All],[Insurance Category Code]],1, AN_TME_PY[[#All],[Advanced Network/Insurance Carrier Org ID]],Q138),0), "TRUE", ROUND(V138-SUMIFS(AN_TME_PY[[#All],[TOTAL Truncated Unadjusted Claims Expenses (A21 -A19)]], AN_TME_PY[[#All],[Insurance Category Code]],1, AN_TME_PY[[#All],[Advanced Network/Insurance Carrier Org ID]],Q138),2))</f>
        <v>TRUE</v>
      </c>
      <c r="AB138" s="525" t="str">
        <f t="shared" si="9"/>
        <v>TRUE</v>
      </c>
      <c r="AC138" s="528" t="b">
        <f>ROUND(SUMIFS(AN_TME_PY[[#All],[TOTAL Non-Truncated Unadjusted Claims Expenses]], AN_TME_PY[[#All],[Insurance Category Code]],1, AN_TME_PY[[#All],[Advanced Network/Insurance Carrier Org ID]],Q138),2)&gt;=ROUND(SUMIFS(AN_TME_PY[[#All],[TOTAL Truncated Unadjusted Claims Expenses (A21 -A19)]], AN_TME_PY[[#All],[Insurance Category Code]],1, AN_TME_PY[[#All],[Advanced Network/Insurance Carrier Org ID]],Q138), 2)</f>
        <v>1</v>
      </c>
      <c r="AD138" s="529" t="b">
        <f>ROUND(SUMIFS(AN_TME_PY[[#All],[TOTAL Truncated Unadjusted Claims Expenses (A21 -A19)]], AN_TME_PY[[#All],[Insurance Category Code]],1, AN_TME_PY[[#All],[Advanced Network/Insurance Carrier Org ID]],Q138)+SUMIFS(AN_TME_PY[[#All],[Total Claims Excluded because of Truncation]], AN_TME_PY[[#All],[Insurance Category Code]],1, AN_TME_PY[[#All],[Advanced Network/Insurance Carrier Org ID]],Q138), 2)=ROUND(SUMIFS(AN_TME_PY[[#All],[TOTAL Non-Truncated Unadjusted Claims Expenses]], AN_TME_PY[[#All],[Insurance Category Code]],1, AN_TME_PY[[#All],[Advanced Network/Insurance Carrier Org ID]],Q138), 2)</f>
        <v>1</v>
      </c>
      <c r="AF138" s="283" t="str">
        <f t="shared" si="8"/>
        <v>NA</v>
      </c>
    </row>
    <row r="139" spans="2:32" outlineLevel="1" x14ac:dyDescent="0.25">
      <c r="B139" s="216">
        <v>124</v>
      </c>
      <c r="C139" s="404">
        <f>ROUND(SUMIFS(Age_Sex_BY[[#All],[Total Member Months by Age/Sex Band]], Age_Sex_BY[[#All],[Advanced Network ID]], $B139, Age_Sex_BY[[#All],[Insurance Category Code]],1), 2)</f>
        <v>0</v>
      </c>
      <c r="D139" s="238">
        <f>ROUND(SUMIFS(Age_Sex_BY[[#All],[Total Dollars Excluded from Spending After Applying Truncation at the Member Level]], Age_Sex_BY[[#All],[Advanced Network ID]], $B139, Age_Sex_BY[[#All],[Insurance Category Code]],1), 2)</f>
        <v>0</v>
      </c>
      <c r="E139" s="209">
        <f>ROUND(SUMIFS(Age_Sex_BY[[#All],[Count of Members whose Spending was Truncated]], Age_Sex_BY[[#All],[Advanced Network ID]], $B139, Age_Sex_BY[[#All],[Insurance Category Code]],1),2)</f>
        <v>0</v>
      </c>
      <c r="F139" s="210">
        <f>ROUND(SUMIFS(Age_Sex_BY[[#All],[Total Spending before Truncation is Applied]], Age_Sex_BY[[#All],[Advanced Network ID]], $B139, Age_Sex_BY[[#All],[Insurance Category Code]],1), 2)</f>
        <v>0</v>
      </c>
      <c r="G139" s="212">
        <f>ROUND(SUMIFS(Age_Sex_BY[[#All],[Total Spending After Applying Truncation at the Member Level]], Age_Sex_BY[[#All],[Advanced Network ID]], $B139, Age_Sex_BY[[#All],[Insurance Category Code]],1), 2)</f>
        <v>0</v>
      </c>
      <c r="H139" s="525" t="str">
        <f>IF(ROUND(C139,0)=ROUND(SUMIFS(AN_TME_BY[[#All],[Member Months]], AN_TME_BY[[#All],[Insurance Category Code]],1, AN_TME_BY[[#All],[Advanced Network/Insurance Carrier Org ID]],B139),0), "TRUE", ROUND(C139-SUMIFS(AN_TME_BY[[#All],[Member Months]], AN_TME_BY[[#All],[Insurance Category Code]],1, AN_TME_BY[[#All],[Advanced Network/Insurance Carrier Org ID]],B139),2))</f>
        <v>TRUE</v>
      </c>
      <c r="I139" s="533" t="str">
        <f>IF(ROUND(D139,0)=ROUND(SUMIFS(AN_TME_BY[[#All],[Total Claims Excluded because of Truncation]], AN_TME_BY[[#All],[Insurance Category Code]],1, AN_TME_BY[[#All],[Advanced Network/Insurance Carrier Org ID]],B139),0), "TRUE", ROUND(D139-SUMIFS(AN_TME_BY[[#All],[Total Claims Excluded because of Truncation]], AN_TME_BY[[#All],[Insurance Category Code]],1, AN_TME_BY[[#All],[Advanced Network/Insurance Carrier Org ID]],B139),2))</f>
        <v>TRUE</v>
      </c>
      <c r="J139" s="537" t="str">
        <f>IF(ROUND(E139,0)=ROUND(SUMIFS(AN_TME_BY[[#All],[Count of Members with Claims Truncated]], AN_TME_BY[[#All],[Insurance Category Code]],1, AN_TME_BY[[#All],[Advanced Network/Insurance Carrier Org ID]],B139),0), "TRUE", ROUND(E139-SUMIFS(AN_TME_BY[[#All],[Count of Members with Claims Truncated]], AN_TME_BY[[#All],[Insurance Category Code]],1, AN_TME_BY[[#All],[Advanced Network/Insurance Carrier Org ID]],B139),2))</f>
        <v>TRUE</v>
      </c>
      <c r="K139" s="533" t="str">
        <f>IF(ROUND(F139,0)=ROUND(SUMIFS(AN_TME_BY[[#All],[TOTAL Non-Truncated Unadjusted Claims Expenses]], AN_TME_BY[[#All],[Insurance Category Code]],1, AN_TME_BY[[#All],[Advanced Network/Insurance Carrier Org ID]],B139),0), "TRUE", ROUND(F139-SUMIFS(AN_TME_BY[[#All],[TOTAL Non-Truncated Unadjusted Claims Expenses]], AN_TME_BY[[#All],[Insurance Category Code]],1, AN_TME_BY[[#All],[Advanced Network/Insurance Carrier Org ID]],B139),2))</f>
        <v>TRUE</v>
      </c>
      <c r="L139" s="534" t="str">
        <f>IF(ROUND(G139,0)=ROUND(SUMIFS(AN_TME_BY[[#All],[TOTAL Truncated Unadjusted Claims Expenses (A21 -A19)]], AN_TME_BY[[#All],[Insurance Category Code]],1, AN_TME_BY[[#All],[Advanced Network/Insurance Carrier Org ID]],B139),0), "TRUE", ROUND(G139-SUMIFS(AN_TME_BY[[#All],[TOTAL Truncated Unadjusted Claims Expenses (A21 -A19)]], AN_TME_BY[[#All],[Insurance Category Code]],1, AN_TME_BY[[#All],[Advanced Network/Insurance Carrier Org ID]],B139),2))</f>
        <v>TRUE</v>
      </c>
      <c r="M139" s="525" t="str">
        <f t="shared" si="7"/>
        <v>TRUE</v>
      </c>
      <c r="N139" s="533" t="b">
        <f>ROUND(SUMIFS(AN_TME_BY[[#All],[TOTAL Non-Truncated Unadjusted Claims Expenses]], AN_TME_BY[[#All],[Insurance Category Code]],1, AN_TME_BY[[#All],[Advanced Network/Insurance Carrier Org ID]],B139), 2)&gt;=ROUND(SUMIFS(AN_TME_BY[[#All],[TOTAL Truncated Unadjusted Claims Expenses (A21 -A19)]], AN_TME_BY[[#All],[Insurance Category Code]],1, AN_TME_BY[[#All],[Advanced Network/Insurance Carrier Org ID]],B139),2)</f>
        <v>1</v>
      </c>
      <c r="O139" s="534" t="b">
        <f>ROUND(SUMIFS(AN_TME_BY[[#All],[TOTAL Truncated Unadjusted Claims Expenses (A21 -A19)]], AN_TME_BY[[#All],[Insurance Category Code]],1, AN_TME_BY[[#All],[Advanced Network/Insurance Carrier Org ID]],B139)+SUMIFS(AN_TME_BY[[#All],[Total Claims Excluded because of Truncation]], AN_TME_BY[[#All],[Insurance Category Code]],1, AN_TME_BY[[#All],[Advanced Network/Insurance Carrier Org ID]],B139),2)=ROUND(SUMIFS(AN_TME_BY[[#All],[TOTAL Non-Truncated Unadjusted Claims Expenses]], AN_TME_BY[[#All],[Insurance Category Code]],1, AN_TME_BY[[#All],[Advanced Network/Insurance Carrier Org ID]],B139), 2)</f>
        <v>1</v>
      </c>
      <c r="Q139" s="216">
        <v>124</v>
      </c>
      <c r="R139" s="404">
        <f>ROUND(SUMIFS(Age_Sex_PY[[#All],[Total Member Months by Age/Sex Band]], Age_Sex_PY[[#All],[Advanced Network ID]], $Q139, Age_Sex_PY[[#All],[Insurance Category Code]],1), 2)</f>
        <v>0</v>
      </c>
      <c r="S139" s="238">
        <f>ROUND(SUMIFS(Age_Sex_PY[[#All],[Total Dollars Excluded from Spending After Applying Truncation at the Member Level]], Age_Sex_PY[[#All],[Advanced Network ID]], $B139, Age_Sex_PY[[#All],[Insurance Category Code]],1),2)</f>
        <v>0</v>
      </c>
      <c r="T139" s="209">
        <f>ROUND(SUMIFS(Age_Sex_PY[[#All],[Count of Members whose Spending was Truncated]], Age_Sex_PY[[#All],[Advanced Network ID]], $B139, Age_Sex_PY[[#All],[Insurance Category Code]],1), 2)</f>
        <v>0</v>
      </c>
      <c r="U139" s="210">
        <f>ROUND(SUMIFS(Age_Sex_PY[[#All],[Total Spending before Truncation is Applied]], Age_Sex_PY[[#All],[Advanced Network ID]], $B139, Age_Sex_PY[[#All],[Insurance Category Code]],1), 2)</f>
        <v>0</v>
      </c>
      <c r="V139" s="212">
        <f>ROUND(SUMIFS(Age_Sex_PY[[#All],[Total Spending After Applying Truncation at the Member Level]], Age_Sex_PY[[#All],[Advanced Network ID]], $B139, Age_Sex_PY[[#All],[Insurance Category Code]],1),2)</f>
        <v>0</v>
      </c>
      <c r="W139" s="525" t="str">
        <f>IF(ROUND(R139,0)=ROUND(SUMIFS(AN_TME_PY[[#All],[Member Months]], AN_TME_PY[[#All],[Insurance Category Code]],1, AN_TME_PY[[#All],[Advanced Network/Insurance Carrier Org ID]],Q139),0), "TRUE", ROUND(R139-SUMIFS(AN_TME_PY[[#All],[Member Months]], AN_TME_PY[[#All],[Insurance Category Code]],1, AN_TME_PY[[#All],[Advanced Network/Insurance Carrier Org ID]],Q139),2))</f>
        <v>TRUE</v>
      </c>
      <c r="X139" s="527" t="str">
        <f>IF(ROUND(S139,0)=ROUND(SUMIFS(AN_TME_PY[[#All],[Total Claims Excluded because of Truncation]], AN_TME_PY[[#All],[Insurance Category Code]],1, AN_TME_PY[[#All],[Advanced Network/Insurance Carrier Org ID]],Q139),0), "TRUE", ROUND(S139-SUMIFS(AN_TME_PY[[#All],[Total Claims Excluded because of Truncation]], AN_TME_PY[[#All],[Insurance Category Code]],1, AN_TME_PY[[#All],[Advanced Network/Insurance Carrier Org ID]],Q139),2))</f>
        <v>TRUE</v>
      </c>
      <c r="Y139" s="537" t="str">
        <f>IF(ROUND(T139,0)=ROUND(SUMIFS(AN_TME_PY[[#All],[Count of Members with Claims Truncated]], AN_TME_PY[[#All],[Insurance Category Code]],1, AN_TME_PY[[#All],[Advanced Network/Insurance Carrier Org ID]],Q139),0), "TRUE", ROUND(T139-SUMIFS(AN_TME_PY[[#All],[Count of Members with Claims Truncated]], AN_TME_PY[[#All],[Insurance Category Code]],1, AN_TME_PY[[#All],[Advanced Network/Insurance Carrier Org ID]],Q139),2))</f>
        <v>TRUE</v>
      </c>
      <c r="Z139" s="528" t="str">
        <f>IF(ROUND(U139,0)=ROUND(SUMIFS(AN_TME_PY[[#All],[TOTAL Non-Truncated Unadjusted Claims Expenses]], AN_TME_PY[[#All],[Insurance Category Code]],1, AN_TME_PY[[#All],[Advanced Network/Insurance Carrier Org ID]],Q139),0), "TRUE", ROUND(U139-SUMIFS(AN_TME_PY[[#All],[TOTAL Non-Truncated Unadjusted Claims Expenses]], AN_TME_PY[[#All],[Insurance Category Code]],1, AN_TME_PY[[#All],[Advanced Network/Insurance Carrier Org ID]],Q139),2))</f>
        <v>TRUE</v>
      </c>
      <c r="AA139" s="529" t="str">
        <f>IF(ROUND(V139,0)=ROUND(SUMIFS(AN_TME_PY[[#All],[TOTAL Truncated Unadjusted Claims Expenses (A21 -A19)]], AN_TME_PY[[#All],[Insurance Category Code]],1, AN_TME_PY[[#All],[Advanced Network/Insurance Carrier Org ID]],Q139),0), "TRUE", ROUND(V139-SUMIFS(AN_TME_PY[[#All],[TOTAL Truncated Unadjusted Claims Expenses (A21 -A19)]], AN_TME_PY[[#All],[Insurance Category Code]],1, AN_TME_PY[[#All],[Advanced Network/Insurance Carrier Org ID]],Q139),2))</f>
        <v>TRUE</v>
      </c>
      <c r="AB139" s="525" t="str">
        <f t="shared" si="9"/>
        <v>TRUE</v>
      </c>
      <c r="AC139" s="528" t="b">
        <f>ROUND(SUMIFS(AN_TME_PY[[#All],[TOTAL Non-Truncated Unadjusted Claims Expenses]], AN_TME_PY[[#All],[Insurance Category Code]],1, AN_TME_PY[[#All],[Advanced Network/Insurance Carrier Org ID]],Q139),2)&gt;=ROUND(SUMIFS(AN_TME_PY[[#All],[TOTAL Truncated Unadjusted Claims Expenses (A21 -A19)]], AN_TME_PY[[#All],[Insurance Category Code]],1, AN_TME_PY[[#All],[Advanced Network/Insurance Carrier Org ID]],Q139), 2)</f>
        <v>1</v>
      </c>
      <c r="AD139" s="529" t="b">
        <f>ROUND(SUMIFS(AN_TME_PY[[#All],[TOTAL Truncated Unadjusted Claims Expenses (A21 -A19)]], AN_TME_PY[[#All],[Insurance Category Code]],1, AN_TME_PY[[#All],[Advanced Network/Insurance Carrier Org ID]],Q139)+SUMIFS(AN_TME_PY[[#All],[Total Claims Excluded because of Truncation]], AN_TME_PY[[#All],[Insurance Category Code]],1, AN_TME_PY[[#All],[Advanced Network/Insurance Carrier Org ID]],Q139), 2)=ROUND(SUMIFS(AN_TME_PY[[#All],[TOTAL Non-Truncated Unadjusted Claims Expenses]], AN_TME_PY[[#All],[Insurance Category Code]],1, AN_TME_PY[[#All],[Advanced Network/Insurance Carrier Org ID]],Q139), 2)</f>
        <v>1</v>
      </c>
      <c r="AF139" s="283" t="str">
        <f t="shared" si="8"/>
        <v>NA</v>
      </c>
    </row>
    <row r="140" spans="2:32" outlineLevel="1" x14ac:dyDescent="0.25">
      <c r="B140" s="216">
        <v>125</v>
      </c>
      <c r="C140" s="404">
        <f>ROUND(SUMIFS(Age_Sex_BY[[#All],[Total Member Months by Age/Sex Band]], Age_Sex_BY[[#All],[Advanced Network ID]], $B140, Age_Sex_BY[[#All],[Insurance Category Code]],1), 2)</f>
        <v>0</v>
      </c>
      <c r="D140" s="238">
        <f>ROUND(SUMIFS(Age_Sex_BY[[#All],[Total Dollars Excluded from Spending After Applying Truncation at the Member Level]], Age_Sex_BY[[#All],[Advanced Network ID]], $B140, Age_Sex_BY[[#All],[Insurance Category Code]],1), 2)</f>
        <v>0</v>
      </c>
      <c r="E140" s="209">
        <f>ROUND(SUMIFS(Age_Sex_BY[[#All],[Count of Members whose Spending was Truncated]], Age_Sex_BY[[#All],[Advanced Network ID]], $B140, Age_Sex_BY[[#All],[Insurance Category Code]],1),2)</f>
        <v>0</v>
      </c>
      <c r="F140" s="210">
        <f>ROUND(SUMIFS(Age_Sex_BY[[#All],[Total Spending before Truncation is Applied]], Age_Sex_BY[[#All],[Advanced Network ID]], $B140, Age_Sex_BY[[#All],[Insurance Category Code]],1), 2)</f>
        <v>0</v>
      </c>
      <c r="G140" s="212">
        <f>ROUND(SUMIFS(Age_Sex_BY[[#All],[Total Spending After Applying Truncation at the Member Level]], Age_Sex_BY[[#All],[Advanced Network ID]], $B140, Age_Sex_BY[[#All],[Insurance Category Code]],1), 2)</f>
        <v>0</v>
      </c>
      <c r="H140" s="525" t="str">
        <f>IF(ROUND(C140,0)=ROUND(SUMIFS(AN_TME_BY[[#All],[Member Months]], AN_TME_BY[[#All],[Insurance Category Code]],1, AN_TME_BY[[#All],[Advanced Network/Insurance Carrier Org ID]],B140),0), "TRUE", ROUND(C140-SUMIFS(AN_TME_BY[[#All],[Member Months]], AN_TME_BY[[#All],[Insurance Category Code]],1, AN_TME_BY[[#All],[Advanced Network/Insurance Carrier Org ID]],B140),2))</f>
        <v>TRUE</v>
      </c>
      <c r="I140" s="533" t="str">
        <f>IF(ROUND(D140,0)=ROUND(SUMIFS(AN_TME_BY[[#All],[Total Claims Excluded because of Truncation]], AN_TME_BY[[#All],[Insurance Category Code]],1, AN_TME_BY[[#All],[Advanced Network/Insurance Carrier Org ID]],B140),0), "TRUE", ROUND(D140-SUMIFS(AN_TME_BY[[#All],[Total Claims Excluded because of Truncation]], AN_TME_BY[[#All],[Insurance Category Code]],1, AN_TME_BY[[#All],[Advanced Network/Insurance Carrier Org ID]],B140),2))</f>
        <v>TRUE</v>
      </c>
      <c r="J140" s="537" t="str">
        <f>IF(ROUND(E140,0)=ROUND(SUMIFS(AN_TME_BY[[#All],[Count of Members with Claims Truncated]], AN_TME_BY[[#All],[Insurance Category Code]],1, AN_TME_BY[[#All],[Advanced Network/Insurance Carrier Org ID]],B140),0), "TRUE", ROUND(E140-SUMIFS(AN_TME_BY[[#All],[Count of Members with Claims Truncated]], AN_TME_BY[[#All],[Insurance Category Code]],1, AN_TME_BY[[#All],[Advanced Network/Insurance Carrier Org ID]],B140),2))</f>
        <v>TRUE</v>
      </c>
      <c r="K140" s="533" t="str">
        <f>IF(ROUND(F140,0)=ROUND(SUMIFS(AN_TME_BY[[#All],[TOTAL Non-Truncated Unadjusted Claims Expenses]], AN_TME_BY[[#All],[Insurance Category Code]],1, AN_TME_BY[[#All],[Advanced Network/Insurance Carrier Org ID]],B140),0), "TRUE", ROUND(F140-SUMIFS(AN_TME_BY[[#All],[TOTAL Non-Truncated Unadjusted Claims Expenses]], AN_TME_BY[[#All],[Insurance Category Code]],1, AN_TME_BY[[#All],[Advanced Network/Insurance Carrier Org ID]],B140),2))</f>
        <v>TRUE</v>
      </c>
      <c r="L140" s="534" t="str">
        <f>IF(ROUND(G140,0)=ROUND(SUMIFS(AN_TME_BY[[#All],[TOTAL Truncated Unadjusted Claims Expenses (A21 -A19)]], AN_TME_BY[[#All],[Insurance Category Code]],1, AN_TME_BY[[#All],[Advanced Network/Insurance Carrier Org ID]],B140),0), "TRUE", ROUND(G140-SUMIFS(AN_TME_BY[[#All],[TOTAL Truncated Unadjusted Claims Expenses (A21 -A19)]], AN_TME_BY[[#All],[Insurance Category Code]],1, AN_TME_BY[[#All],[Advanced Network/Insurance Carrier Org ID]],B140),2))</f>
        <v>TRUE</v>
      </c>
      <c r="M140" s="525" t="str">
        <f t="shared" si="7"/>
        <v>TRUE</v>
      </c>
      <c r="N140" s="533" t="b">
        <f>ROUND(SUMIFS(AN_TME_BY[[#All],[TOTAL Non-Truncated Unadjusted Claims Expenses]], AN_TME_BY[[#All],[Insurance Category Code]],1, AN_TME_BY[[#All],[Advanced Network/Insurance Carrier Org ID]],B140), 2)&gt;=ROUND(SUMIFS(AN_TME_BY[[#All],[TOTAL Truncated Unadjusted Claims Expenses (A21 -A19)]], AN_TME_BY[[#All],[Insurance Category Code]],1, AN_TME_BY[[#All],[Advanced Network/Insurance Carrier Org ID]],B140),2)</f>
        <v>1</v>
      </c>
      <c r="O140" s="534" t="b">
        <f>ROUND(SUMIFS(AN_TME_BY[[#All],[TOTAL Truncated Unadjusted Claims Expenses (A21 -A19)]], AN_TME_BY[[#All],[Insurance Category Code]],1, AN_TME_BY[[#All],[Advanced Network/Insurance Carrier Org ID]],B140)+SUMIFS(AN_TME_BY[[#All],[Total Claims Excluded because of Truncation]], AN_TME_BY[[#All],[Insurance Category Code]],1, AN_TME_BY[[#All],[Advanced Network/Insurance Carrier Org ID]],B140),2)=ROUND(SUMIFS(AN_TME_BY[[#All],[TOTAL Non-Truncated Unadjusted Claims Expenses]], AN_TME_BY[[#All],[Insurance Category Code]],1, AN_TME_BY[[#All],[Advanced Network/Insurance Carrier Org ID]],B140), 2)</f>
        <v>1</v>
      </c>
      <c r="Q140" s="216">
        <v>125</v>
      </c>
      <c r="R140" s="404">
        <f>ROUND(SUMIFS(Age_Sex_PY[[#All],[Total Member Months by Age/Sex Band]], Age_Sex_PY[[#All],[Advanced Network ID]], $Q140, Age_Sex_PY[[#All],[Insurance Category Code]],1), 2)</f>
        <v>0</v>
      </c>
      <c r="S140" s="238">
        <f>ROUND(SUMIFS(Age_Sex_PY[[#All],[Total Dollars Excluded from Spending After Applying Truncation at the Member Level]], Age_Sex_PY[[#All],[Advanced Network ID]], $B140, Age_Sex_PY[[#All],[Insurance Category Code]],1),2)</f>
        <v>0</v>
      </c>
      <c r="T140" s="209">
        <f>ROUND(SUMIFS(Age_Sex_PY[[#All],[Count of Members whose Spending was Truncated]], Age_Sex_PY[[#All],[Advanced Network ID]], $B140, Age_Sex_PY[[#All],[Insurance Category Code]],1), 2)</f>
        <v>0</v>
      </c>
      <c r="U140" s="210">
        <f>ROUND(SUMIFS(Age_Sex_PY[[#All],[Total Spending before Truncation is Applied]], Age_Sex_PY[[#All],[Advanced Network ID]], $B140, Age_Sex_PY[[#All],[Insurance Category Code]],1), 2)</f>
        <v>0</v>
      </c>
      <c r="V140" s="212">
        <f>ROUND(SUMIFS(Age_Sex_PY[[#All],[Total Spending After Applying Truncation at the Member Level]], Age_Sex_PY[[#All],[Advanced Network ID]], $B140, Age_Sex_PY[[#All],[Insurance Category Code]],1),2)</f>
        <v>0</v>
      </c>
      <c r="W140" s="525" t="str">
        <f>IF(ROUND(R140,0)=ROUND(SUMIFS(AN_TME_PY[[#All],[Member Months]], AN_TME_PY[[#All],[Insurance Category Code]],1, AN_TME_PY[[#All],[Advanced Network/Insurance Carrier Org ID]],Q140),0), "TRUE", ROUND(R140-SUMIFS(AN_TME_PY[[#All],[Member Months]], AN_TME_PY[[#All],[Insurance Category Code]],1, AN_TME_PY[[#All],[Advanced Network/Insurance Carrier Org ID]],Q140),2))</f>
        <v>TRUE</v>
      </c>
      <c r="X140" s="527" t="str">
        <f>IF(ROUND(S140,0)=ROUND(SUMIFS(AN_TME_PY[[#All],[Total Claims Excluded because of Truncation]], AN_TME_PY[[#All],[Insurance Category Code]],1, AN_TME_PY[[#All],[Advanced Network/Insurance Carrier Org ID]],Q140),0), "TRUE", ROUND(S140-SUMIFS(AN_TME_PY[[#All],[Total Claims Excluded because of Truncation]], AN_TME_PY[[#All],[Insurance Category Code]],1, AN_TME_PY[[#All],[Advanced Network/Insurance Carrier Org ID]],Q140),2))</f>
        <v>TRUE</v>
      </c>
      <c r="Y140" s="537" t="str">
        <f>IF(ROUND(T140,0)=ROUND(SUMIFS(AN_TME_PY[[#All],[Count of Members with Claims Truncated]], AN_TME_PY[[#All],[Insurance Category Code]],1, AN_TME_PY[[#All],[Advanced Network/Insurance Carrier Org ID]],Q140),0), "TRUE", ROUND(T140-SUMIFS(AN_TME_PY[[#All],[Count of Members with Claims Truncated]], AN_TME_PY[[#All],[Insurance Category Code]],1, AN_TME_PY[[#All],[Advanced Network/Insurance Carrier Org ID]],Q140),2))</f>
        <v>TRUE</v>
      </c>
      <c r="Z140" s="528" t="str">
        <f>IF(ROUND(U140,0)=ROUND(SUMIFS(AN_TME_PY[[#All],[TOTAL Non-Truncated Unadjusted Claims Expenses]], AN_TME_PY[[#All],[Insurance Category Code]],1, AN_TME_PY[[#All],[Advanced Network/Insurance Carrier Org ID]],Q140),0), "TRUE", ROUND(U140-SUMIFS(AN_TME_PY[[#All],[TOTAL Non-Truncated Unadjusted Claims Expenses]], AN_TME_PY[[#All],[Insurance Category Code]],1, AN_TME_PY[[#All],[Advanced Network/Insurance Carrier Org ID]],Q140),2))</f>
        <v>TRUE</v>
      </c>
      <c r="AA140" s="529" t="str">
        <f>IF(ROUND(V140,0)=ROUND(SUMIFS(AN_TME_PY[[#All],[TOTAL Truncated Unadjusted Claims Expenses (A21 -A19)]], AN_TME_PY[[#All],[Insurance Category Code]],1, AN_TME_PY[[#All],[Advanced Network/Insurance Carrier Org ID]],Q140),0), "TRUE", ROUND(V140-SUMIFS(AN_TME_PY[[#All],[TOTAL Truncated Unadjusted Claims Expenses (A21 -A19)]], AN_TME_PY[[#All],[Insurance Category Code]],1, AN_TME_PY[[#All],[Advanced Network/Insurance Carrier Org ID]],Q140),2))</f>
        <v>TRUE</v>
      </c>
      <c r="AB140" s="525" t="str">
        <f t="shared" si="9"/>
        <v>TRUE</v>
      </c>
      <c r="AC140" s="528" t="b">
        <f>ROUND(SUMIFS(AN_TME_PY[[#All],[TOTAL Non-Truncated Unadjusted Claims Expenses]], AN_TME_PY[[#All],[Insurance Category Code]],1, AN_TME_PY[[#All],[Advanced Network/Insurance Carrier Org ID]],Q140),2)&gt;=ROUND(SUMIFS(AN_TME_PY[[#All],[TOTAL Truncated Unadjusted Claims Expenses (A21 -A19)]], AN_TME_PY[[#All],[Insurance Category Code]],1, AN_TME_PY[[#All],[Advanced Network/Insurance Carrier Org ID]],Q140), 2)</f>
        <v>1</v>
      </c>
      <c r="AD140" s="529" t="b">
        <f>ROUND(SUMIFS(AN_TME_PY[[#All],[TOTAL Truncated Unadjusted Claims Expenses (A21 -A19)]], AN_TME_PY[[#All],[Insurance Category Code]],1, AN_TME_PY[[#All],[Advanced Network/Insurance Carrier Org ID]],Q140)+SUMIFS(AN_TME_PY[[#All],[Total Claims Excluded because of Truncation]], AN_TME_PY[[#All],[Insurance Category Code]],1, AN_TME_PY[[#All],[Advanced Network/Insurance Carrier Org ID]],Q140), 2)=ROUND(SUMIFS(AN_TME_PY[[#All],[TOTAL Non-Truncated Unadjusted Claims Expenses]], AN_TME_PY[[#All],[Insurance Category Code]],1, AN_TME_PY[[#All],[Advanced Network/Insurance Carrier Org ID]],Q140), 2)</f>
        <v>1</v>
      </c>
      <c r="AF140" s="283" t="str">
        <f t="shared" si="8"/>
        <v>NA</v>
      </c>
    </row>
    <row r="141" spans="2:32" outlineLevel="1" x14ac:dyDescent="0.25">
      <c r="B141" s="216">
        <v>126</v>
      </c>
      <c r="C141" s="404">
        <f>ROUND(SUMIFS(Age_Sex_BY[[#All],[Total Member Months by Age/Sex Band]], Age_Sex_BY[[#All],[Advanced Network ID]], $B141, Age_Sex_BY[[#All],[Insurance Category Code]],1), 2)</f>
        <v>0</v>
      </c>
      <c r="D141" s="238">
        <f>ROUND(SUMIFS(Age_Sex_BY[[#All],[Total Dollars Excluded from Spending After Applying Truncation at the Member Level]], Age_Sex_BY[[#All],[Advanced Network ID]], $B141, Age_Sex_BY[[#All],[Insurance Category Code]],1), 2)</f>
        <v>0</v>
      </c>
      <c r="E141" s="209">
        <f>ROUND(SUMIFS(Age_Sex_BY[[#All],[Count of Members whose Spending was Truncated]], Age_Sex_BY[[#All],[Advanced Network ID]], $B141, Age_Sex_BY[[#All],[Insurance Category Code]],1),2)</f>
        <v>0</v>
      </c>
      <c r="F141" s="210">
        <f>ROUND(SUMIFS(Age_Sex_BY[[#All],[Total Spending before Truncation is Applied]], Age_Sex_BY[[#All],[Advanced Network ID]], $B141, Age_Sex_BY[[#All],[Insurance Category Code]],1), 2)</f>
        <v>0</v>
      </c>
      <c r="G141" s="212">
        <f>ROUND(SUMIFS(Age_Sex_BY[[#All],[Total Spending After Applying Truncation at the Member Level]], Age_Sex_BY[[#All],[Advanced Network ID]], $B141, Age_Sex_BY[[#All],[Insurance Category Code]],1), 2)</f>
        <v>0</v>
      </c>
      <c r="H141" s="525" t="str">
        <f>IF(ROUND(C141,0)=ROUND(SUMIFS(AN_TME_BY[[#All],[Member Months]], AN_TME_BY[[#All],[Insurance Category Code]],1, AN_TME_BY[[#All],[Advanced Network/Insurance Carrier Org ID]],B141),0), "TRUE", ROUND(C141-SUMIFS(AN_TME_BY[[#All],[Member Months]], AN_TME_BY[[#All],[Insurance Category Code]],1, AN_TME_BY[[#All],[Advanced Network/Insurance Carrier Org ID]],B141),2))</f>
        <v>TRUE</v>
      </c>
      <c r="I141" s="533" t="str">
        <f>IF(ROUND(D141,0)=ROUND(SUMIFS(AN_TME_BY[[#All],[Total Claims Excluded because of Truncation]], AN_TME_BY[[#All],[Insurance Category Code]],1, AN_TME_BY[[#All],[Advanced Network/Insurance Carrier Org ID]],B141),0), "TRUE", ROUND(D141-SUMIFS(AN_TME_BY[[#All],[Total Claims Excluded because of Truncation]], AN_TME_BY[[#All],[Insurance Category Code]],1, AN_TME_BY[[#All],[Advanced Network/Insurance Carrier Org ID]],B141),2))</f>
        <v>TRUE</v>
      </c>
      <c r="J141" s="537" t="str">
        <f>IF(ROUND(E141,0)=ROUND(SUMIFS(AN_TME_BY[[#All],[Count of Members with Claims Truncated]], AN_TME_BY[[#All],[Insurance Category Code]],1, AN_TME_BY[[#All],[Advanced Network/Insurance Carrier Org ID]],B141),0), "TRUE", ROUND(E141-SUMIFS(AN_TME_BY[[#All],[Count of Members with Claims Truncated]], AN_TME_BY[[#All],[Insurance Category Code]],1, AN_TME_BY[[#All],[Advanced Network/Insurance Carrier Org ID]],B141),2))</f>
        <v>TRUE</v>
      </c>
      <c r="K141" s="533" t="str">
        <f>IF(ROUND(F141,0)=ROUND(SUMIFS(AN_TME_BY[[#All],[TOTAL Non-Truncated Unadjusted Claims Expenses]], AN_TME_BY[[#All],[Insurance Category Code]],1, AN_TME_BY[[#All],[Advanced Network/Insurance Carrier Org ID]],B141),0), "TRUE", ROUND(F141-SUMIFS(AN_TME_BY[[#All],[TOTAL Non-Truncated Unadjusted Claims Expenses]], AN_TME_BY[[#All],[Insurance Category Code]],1, AN_TME_BY[[#All],[Advanced Network/Insurance Carrier Org ID]],B141),2))</f>
        <v>TRUE</v>
      </c>
      <c r="L141" s="534" t="str">
        <f>IF(ROUND(G141,0)=ROUND(SUMIFS(AN_TME_BY[[#All],[TOTAL Truncated Unadjusted Claims Expenses (A21 -A19)]], AN_TME_BY[[#All],[Insurance Category Code]],1, AN_TME_BY[[#All],[Advanced Network/Insurance Carrier Org ID]],B141),0), "TRUE", ROUND(G141-SUMIFS(AN_TME_BY[[#All],[TOTAL Truncated Unadjusted Claims Expenses (A21 -A19)]], AN_TME_BY[[#All],[Insurance Category Code]],1, AN_TME_BY[[#All],[Advanced Network/Insurance Carrier Org ID]],B141),2))</f>
        <v>TRUE</v>
      </c>
      <c r="M141" s="525" t="str">
        <f t="shared" si="7"/>
        <v>TRUE</v>
      </c>
      <c r="N141" s="533" t="b">
        <f>ROUND(SUMIFS(AN_TME_BY[[#All],[TOTAL Non-Truncated Unadjusted Claims Expenses]], AN_TME_BY[[#All],[Insurance Category Code]],1, AN_TME_BY[[#All],[Advanced Network/Insurance Carrier Org ID]],B141), 2)&gt;=ROUND(SUMIFS(AN_TME_BY[[#All],[TOTAL Truncated Unadjusted Claims Expenses (A21 -A19)]], AN_TME_BY[[#All],[Insurance Category Code]],1, AN_TME_BY[[#All],[Advanced Network/Insurance Carrier Org ID]],B141),2)</f>
        <v>1</v>
      </c>
      <c r="O141" s="534" t="b">
        <f>ROUND(SUMIFS(AN_TME_BY[[#All],[TOTAL Truncated Unadjusted Claims Expenses (A21 -A19)]], AN_TME_BY[[#All],[Insurance Category Code]],1, AN_TME_BY[[#All],[Advanced Network/Insurance Carrier Org ID]],B141)+SUMIFS(AN_TME_BY[[#All],[Total Claims Excluded because of Truncation]], AN_TME_BY[[#All],[Insurance Category Code]],1, AN_TME_BY[[#All],[Advanced Network/Insurance Carrier Org ID]],B141),2)=ROUND(SUMIFS(AN_TME_BY[[#All],[TOTAL Non-Truncated Unadjusted Claims Expenses]], AN_TME_BY[[#All],[Insurance Category Code]],1, AN_TME_BY[[#All],[Advanced Network/Insurance Carrier Org ID]],B141), 2)</f>
        <v>1</v>
      </c>
      <c r="Q141" s="216">
        <v>126</v>
      </c>
      <c r="R141" s="404">
        <f>ROUND(SUMIFS(Age_Sex_PY[[#All],[Total Member Months by Age/Sex Band]], Age_Sex_PY[[#All],[Advanced Network ID]], $Q141, Age_Sex_PY[[#All],[Insurance Category Code]],1), 2)</f>
        <v>0</v>
      </c>
      <c r="S141" s="238">
        <f>ROUND(SUMIFS(Age_Sex_PY[[#All],[Total Dollars Excluded from Spending After Applying Truncation at the Member Level]], Age_Sex_PY[[#All],[Advanced Network ID]], $B141, Age_Sex_PY[[#All],[Insurance Category Code]],1),2)</f>
        <v>0</v>
      </c>
      <c r="T141" s="209">
        <f>ROUND(SUMIFS(Age_Sex_PY[[#All],[Count of Members whose Spending was Truncated]], Age_Sex_PY[[#All],[Advanced Network ID]], $B141, Age_Sex_PY[[#All],[Insurance Category Code]],1), 2)</f>
        <v>0</v>
      </c>
      <c r="U141" s="210">
        <f>ROUND(SUMIFS(Age_Sex_PY[[#All],[Total Spending before Truncation is Applied]], Age_Sex_PY[[#All],[Advanced Network ID]], $B141, Age_Sex_PY[[#All],[Insurance Category Code]],1), 2)</f>
        <v>0</v>
      </c>
      <c r="V141" s="212">
        <f>ROUND(SUMIFS(Age_Sex_PY[[#All],[Total Spending After Applying Truncation at the Member Level]], Age_Sex_PY[[#All],[Advanced Network ID]], $B141, Age_Sex_PY[[#All],[Insurance Category Code]],1),2)</f>
        <v>0</v>
      </c>
      <c r="W141" s="525" t="str">
        <f>IF(ROUND(R141,0)=ROUND(SUMIFS(AN_TME_PY[[#All],[Member Months]], AN_TME_PY[[#All],[Insurance Category Code]],1, AN_TME_PY[[#All],[Advanced Network/Insurance Carrier Org ID]],Q141),0), "TRUE", ROUND(R141-SUMIFS(AN_TME_PY[[#All],[Member Months]], AN_TME_PY[[#All],[Insurance Category Code]],1, AN_TME_PY[[#All],[Advanced Network/Insurance Carrier Org ID]],Q141),2))</f>
        <v>TRUE</v>
      </c>
      <c r="X141" s="527" t="str">
        <f>IF(ROUND(S141,0)=ROUND(SUMIFS(AN_TME_PY[[#All],[Total Claims Excluded because of Truncation]], AN_TME_PY[[#All],[Insurance Category Code]],1, AN_TME_PY[[#All],[Advanced Network/Insurance Carrier Org ID]],Q141),0), "TRUE", ROUND(S141-SUMIFS(AN_TME_PY[[#All],[Total Claims Excluded because of Truncation]], AN_TME_PY[[#All],[Insurance Category Code]],1, AN_TME_PY[[#All],[Advanced Network/Insurance Carrier Org ID]],Q141),2))</f>
        <v>TRUE</v>
      </c>
      <c r="Y141" s="537" t="str">
        <f>IF(ROUND(T141,0)=ROUND(SUMIFS(AN_TME_PY[[#All],[Count of Members with Claims Truncated]], AN_TME_PY[[#All],[Insurance Category Code]],1, AN_TME_PY[[#All],[Advanced Network/Insurance Carrier Org ID]],Q141),0), "TRUE", ROUND(T141-SUMIFS(AN_TME_PY[[#All],[Count of Members with Claims Truncated]], AN_TME_PY[[#All],[Insurance Category Code]],1, AN_TME_PY[[#All],[Advanced Network/Insurance Carrier Org ID]],Q141),2))</f>
        <v>TRUE</v>
      </c>
      <c r="Z141" s="528" t="str">
        <f>IF(ROUND(U141,0)=ROUND(SUMIFS(AN_TME_PY[[#All],[TOTAL Non-Truncated Unadjusted Claims Expenses]], AN_TME_PY[[#All],[Insurance Category Code]],1, AN_TME_PY[[#All],[Advanced Network/Insurance Carrier Org ID]],Q141),0), "TRUE", ROUND(U141-SUMIFS(AN_TME_PY[[#All],[TOTAL Non-Truncated Unadjusted Claims Expenses]], AN_TME_PY[[#All],[Insurance Category Code]],1, AN_TME_PY[[#All],[Advanced Network/Insurance Carrier Org ID]],Q141),2))</f>
        <v>TRUE</v>
      </c>
      <c r="AA141" s="529" t="str">
        <f>IF(ROUND(V141,0)=ROUND(SUMIFS(AN_TME_PY[[#All],[TOTAL Truncated Unadjusted Claims Expenses (A21 -A19)]], AN_TME_PY[[#All],[Insurance Category Code]],1, AN_TME_PY[[#All],[Advanced Network/Insurance Carrier Org ID]],Q141),0), "TRUE", ROUND(V141-SUMIFS(AN_TME_PY[[#All],[TOTAL Truncated Unadjusted Claims Expenses (A21 -A19)]], AN_TME_PY[[#All],[Insurance Category Code]],1, AN_TME_PY[[#All],[Advanced Network/Insurance Carrier Org ID]],Q141),2))</f>
        <v>TRUE</v>
      </c>
      <c r="AB141" s="525" t="str">
        <f t="shared" si="9"/>
        <v>TRUE</v>
      </c>
      <c r="AC141" s="528" t="b">
        <f>ROUND(SUMIFS(AN_TME_PY[[#All],[TOTAL Non-Truncated Unadjusted Claims Expenses]], AN_TME_PY[[#All],[Insurance Category Code]],1, AN_TME_PY[[#All],[Advanced Network/Insurance Carrier Org ID]],Q141),2)&gt;=ROUND(SUMIFS(AN_TME_PY[[#All],[TOTAL Truncated Unadjusted Claims Expenses (A21 -A19)]], AN_TME_PY[[#All],[Insurance Category Code]],1, AN_TME_PY[[#All],[Advanced Network/Insurance Carrier Org ID]],Q141), 2)</f>
        <v>1</v>
      </c>
      <c r="AD141" s="529" t="b">
        <f>ROUND(SUMIFS(AN_TME_PY[[#All],[TOTAL Truncated Unadjusted Claims Expenses (A21 -A19)]], AN_TME_PY[[#All],[Insurance Category Code]],1, AN_TME_PY[[#All],[Advanced Network/Insurance Carrier Org ID]],Q141)+SUMIFS(AN_TME_PY[[#All],[Total Claims Excluded because of Truncation]], AN_TME_PY[[#All],[Insurance Category Code]],1, AN_TME_PY[[#All],[Advanced Network/Insurance Carrier Org ID]],Q141), 2)=ROUND(SUMIFS(AN_TME_PY[[#All],[TOTAL Non-Truncated Unadjusted Claims Expenses]], AN_TME_PY[[#All],[Insurance Category Code]],1, AN_TME_PY[[#All],[Advanced Network/Insurance Carrier Org ID]],Q141), 2)</f>
        <v>1</v>
      </c>
      <c r="AF141" s="283" t="str">
        <f t="shared" si="8"/>
        <v>NA</v>
      </c>
    </row>
    <row r="142" spans="2:32" outlineLevel="1" x14ac:dyDescent="0.25">
      <c r="B142" s="216">
        <v>127</v>
      </c>
      <c r="C142" s="404">
        <f>ROUND(SUMIFS(Age_Sex_BY[[#All],[Total Member Months by Age/Sex Band]], Age_Sex_BY[[#All],[Advanced Network ID]], $B142, Age_Sex_BY[[#All],[Insurance Category Code]],1), 2)</f>
        <v>0</v>
      </c>
      <c r="D142" s="238">
        <f>ROUND(SUMIFS(Age_Sex_BY[[#All],[Total Dollars Excluded from Spending After Applying Truncation at the Member Level]], Age_Sex_BY[[#All],[Advanced Network ID]], $B142, Age_Sex_BY[[#All],[Insurance Category Code]],1), 2)</f>
        <v>0</v>
      </c>
      <c r="E142" s="209">
        <f>ROUND(SUMIFS(Age_Sex_BY[[#All],[Count of Members whose Spending was Truncated]], Age_Sex_BY[[#All],[Advanced Network ID]], $B142, Age_Sex_BY[[#All],[Insurance Category Code]],1),2)</f>
        <v>0</v>
      </c>
      <c r="F142" s="210">
        <f>ROUND(SUMIFS(Age_Sex_BY[[#All],[Total Spending before Truncation is Applied]], Age_Sex_BY[[#All],[Advanced Network ID]], $B142, Age_Sex_BY[[#All],[Insurance Category Code]],1), 2)</f>
        <v>0</v>
      </c>
      <c r="G142" s="212">
        <f>ROUND(SUMIFS(Age_Sex_BY[[#All],[Total Spending After Applying Truncation at the Member Level]], Age_Sex_BY[[#All],[Advanced Network ID]], $B142, Age_Sex_BY[[#All],[Insurance Category Code]],1), 2)</f>
        <v>0</v>
      </c>
      <c r="H142" s="525" t="str">
        <f>IF(ROUND(C142,0)=ROUND(SUMIFS(AN_TME_BY[[#All],[Member Months]], AN_TME_BY[[#All],[Insurance Category Code]],1, AN_TME_BY[[#All],[Advanced Network/Insurance Carrier Org ID]],B142),0), "TRUE", ROUND(C142-SUMIFS(AN_TME_BY[[#All],[Member Months]], AN_TME_BY[[#All],[Insurance Category Code]],1, AN_TME_BY[[#All],[Advanced Network/Insurance Carrier Org ID]],B142),2))</f>
        <v>TRUE</v>
      </c>
      <c r="I142" s="533" t="str">
        <f>IF(ROUND(D142,0)=ROUND(SUMIFS(AN_TME_BY[[#All],[Total Claims Excluded because of Truncation]], AN_TME_BY[[#All],[Insurance Category Code]],1, AN_TME_BY[[#All],[Advanced Network/Insurance Carrier Org ID]],B142),0), "TRUE", ROUND(D142-SUMIFS(AN_TME_BY[[#All],[Total Claims Excluded because of Truncation]], AN_TME_BY[[#All],[Insurance Category Code]],1, AN_TME_BY[[#All],[Advanced Network/Insurance Carrier Org ID]],B142),2))</f>
        <v>TRUE</v>
      </c>
      <c r="J142" s="537" t="str">
        <f>IF(ROUND(E142,0)=ROUND(SUMIFS(AN_TME_BY[[#All],[Count of Members with Claims Truncated]], AN_TME_BY[[#All],[Insurance Category Code]],1, AN_TME_BY[[#All],[Advanced Network/Insurance Carrier Org ID]],B142),0), "TRUE", ROUND(E142-SUMIFS(AN_TME_BY[[#All],[Count of Members with Claims Truncated]], AN_TME_BY[[#All],[Insurance Category Code]],1, AN_TME_BY[[#All],[Advanced Network/Insurance Carrier Org ID]],B142),2))</f>
        <v>TRUE</v>
      </c>
      <c r="K142" s="533" t="str">
        <f>IF(ROUND(F142,0)=ROUND(SUMIFS(AN_TME_BY[[#All],[TOTAL Non-Truncated Unadjusted Claims Expenses]], AN_TME_BY[[#All],[Insurance Category Code]],1, AN_TME_BY[[#All],[Advanced Network/Insurance Carrier Org ID]],B142),0), "TRUE", ROUND(F142-SUMIFS(AN_TME_BY[[#All],[TOTAL Non-Truncated Unadjusted Claims Expenses]], AN_TME_BY[[#All],[Insurance Category Code]],1, AN_TME_BY[[#All],[Advanced Network/Insurance Carrier Org ID]],B142),2))</f>
        <v>TRUE</v>
      </c>
      <c r="L142" s="534" t="str">
        <f>IF(ROUND(G142,0)=ROUND(SUMIFS(AN_TME_BY[[#All],[TOTAL Truncated Unadjusted Claims Expenses (A21 -A19)]], AN_TME_BY[[#All],[Insurance Category Code]],1, AN_TME_BY[[#All],[Advanced Network/Insurance Carrier Org ID]],B142),0), "TRUE", ROUND(G142-SUMIFS(AN_TME_BY[[#All],[TOTAL Truncated Unadjusted Claims Expenses (A21 -A19)]], AN_TME_BY[[#All],[Insurance Category Code]],1, AN_TME_BY[[#All],[Advanced Network/Insurance Carrier Org ID]],B142),2))</f>
        <v>TRUE</v>
      </c>
      <c r="M142" s="525" t="str">
        <f t="shared" si="7"/>
        <v>TRUE</v>
      </c>
      <c r="N142" s="533" t="b">
        <f>ROUND(SUMIFS(AN_TME_BY[[#All],[TOTAL Non-Truncated Unadjusted Claims Expenses]], AN_TME_BY[[#All],[Insurance Category Code]],1, AN_TME_BY[[#All],[Advanced Network/Insurance Carrier Org ID]],B142), 2)&gt;=ROUND(SUMIFS(AN_TME_BY[[#All],[TOTAL Truncated Unadjusted Claims Expenses (A21 -A19)]], AN_TME_BY[[#All],[Insurance Category Code]],1, AN_TME_BY[[#All],[Advanced Network/Insurance Carrier Org ID]],B142),2)</f>
        <v>1</v>
      </c>
      <c r="O142" s="534" t="b">
        <f>ROUND(SUMIFS(AN_TME_BY[[#All],[TOTAL Truncated Unadjusted Claims Expenses (A21 -A19)]], AN_TME_BY[[#All],[Insurance Category Code]],1, AN_TME_BY[[#All],[Advanced Network/Insurance Carrier Org ID]],B142)+SUMIFS(AN_TME_BY[[#All],[Total Claims Excluded because of Truncation]], AN_TME_BY[[#All],[Insurance Category Code]],1, AN_TME_BY[[#All],[Advanced Network/Insurance Carrier Org ID]],B142),2)=ROUND(SUMIFS(AN_TME_BY[[#All],[TOTAL Non-Truncated Unadjusted Claims Expenses]], AN_TME_BY[[#All],[Insurance Category Code]],1, AN_TME_BY[[#All],[Advanced Network/Insurance Carrier Org ID]],B142), 2)</f>
        <v>1</v>
      </c>
      <c r="Q142" s="216">
        <v>127</v>
      </c>
      <c r="R142" s="404">
        <f>ROUND(SUMIFS(Age_Sex_PY[[#All],[Total Member Months by Age/Sex Band]], Age_Sex_PY[[#All],[Advanced Network ID]], $Q142, Age_Sex_PY[[#All],[Insurance Category Code]],1), 2)</f>
        <v>0</v>
      </c>
      <c r="S142" s="238">
        <f>ROUND(SUMIFS(Age_Sex_PY[[#All],[Total Dollars Excluded from Spending After Applying Truncation at the Member Level]], Age_Sex_PY[[#All],[Advanced Network ID]], $B142, Age_Sex_PY[[#All],[Insurance Category Code]],1),2)</f>
        <v>0</v>
      </c>
      <c r="T142" s="209">
        <f>ROUND(SUMIFS(Age_Sex_PY[[#All],[Count of Members whose Spending was Truncated]], Age_Sex_PY[[#All],[Advanced Network ID]], $B142, Age_Sex_PY[[#All],[Insurance Category Code]],1), 2)</f>
        <v>0</v>
      </c>
      <c r="U142" s="210">
        <f>ROUND(SUMIFS(Age_Sex_PY[[#All],[Total Spending before Truncation is Applied]], Age_Sex_PY[[#All],[Advanced Network ID]], $B142, Age_Sex_PY[[#All],[Insurance Category Code]],1), 2)</f>
        <v>0</v>
      </c>
      <c r="V142" s="212">
        <f>ROUND(SUMIFS(Age_Sex_PY[[#All],[Total Spending After Applying Truncation at the Member Level]], Age_Sex_PY[[#All],[Advanced Network ID]], $B142, Age_Sex_PY[[#All],[Insurance Category Code]],1),2)</f>
        <v>0</v>
      </c>
      <c r="W142" s="525" t="str">
        <f>IF(ROUND(R142,0)=ROUND(SUMIFS(AN_TME_PY[[#All],[Member Months]], AN_TME_PY[[#All],[Insurance Category Code]],1, AN_TME_PY[[#All],[Advanced Network/Insurance Carrier Org ID]],Q142),0), "TRUE", ROUND(R142-SUMIFS(AN_TME_PY[[#All],[Member Months]], AN_TME_PY[[#All],[Insurance Category Code]],1, AN_TME_PY[[#All],[Advanced Network/Insurance Carrier Org ID]],Q142),2))</f>
        <v>TRUE</v>
      </c>
      <c r="X142" s="527" t="str">
        <f>IF(ROUND(S142,0)=ROUND(SUMIFS(AN_TME_PY[[#All],[Total Claims Excluded because of Truncation]], AN_TME_PY[[#All],[Insurance Category Code]],1, AN_TME_PY[[#All],[Advanced Network/Insurance Carrier Org ID]],Q142),0), "TRUE", ROUND(S142-SUMIFS(AN_TME_PY[[#All],[Total Claims Excluded because of Truncation]], AN_TME_PY[[#All],[Insurance Category Code]],1, AN_TME_PY[[#All],[Advanced Network/Insurance Carrier Org ID]],Q142),2))</f>
        <v>TRUE</v>
      </c>
      <c r="Y142" s="537" t="str">
        <f>IF(ROUND(T142,0)=ROUND(SUMIFS(AN_TME_PY[[#All],[Count of Members with Claims Truncated]], AN_TME_PY[[#All],[Insurance Category Code]],1, AN_TME_PY[[#All],[Advanced Network/Insurance Carrier Org ID]],Q142),0), "TRUE", ROUND(T142-SUMIFS(AN_TME_PY[[#All],[Count of Members with Claims Truncated]], AN_TME_PY[[#All],[Insurance Category Code]],1, AN_TME_PY[[#All],[Advanced Network/Insurance Carrier Org ID]],Q142),2))</f>
        <v>TRUE</v>
      </c>
      <c r="Z142" s="528" t="str">
        <f>IF(ROUND(U142,0)=ROUND(SUMIFS(AN_TME_PY[[#All],[TOTAL Non-Truncated Unadjusted Claims Expenses]], AN_TME_PY[[#All],[Insurance Category Code]],1, AN_TME_PY[[#All],[Advanced Network/Insurance Carrier Org ID]],Q142),0), "TRUE", ROUND(U142-SUMIFS(AN_TME_PY[[#All],[TOTAL Non-Truncated Unadjusted Claims Expenses]], AN_TME_PY[[#All],[Insurance Category Code]],1, AN_TME_PY[[#All],[Advanced Network/Insurance Carrier Org ID]],Q142),2))</f>
        <v>TRUE</v>
      </c>
      <c r="AA142" s="529" t="str">
        <f>IF(ROUND(V142,0)=ROUND(SUMIFS(AN_TME_PY[[#All],[TOTAL Truncated Unadjusted Claims Expenses (A21 -A19)]], AN_TME_PY[[#All],[Insurance Category Code]],1, AN_TME_PY[[#All],[Advanced Network/Insurance Carrier Org ID]],Q142),0), "TRUE", ROUND(V142-SUMIFS(AN_TME_PY[[#All],[TOTAL Truncated Unadjusted Claims Expenses (A21 -A19)]], AN_TME_PY[[#All],[Insurance Category Code]],1, AN_TME_PY[[#All],[Advanced Network/Insurance Carrier Org ID]],Q142),2))</f>
        <v>TRUE</v>
      </c>
      <c r="AB142" s="525" t="str">
        <f t="shared" si="9"/>
        <v>TRUE</v>
      </c>
      <c r="AC142" s="528" t="b">
        <f>ROUND(SUMIFS(AN_TME_PY[[#All],[TOTAL Non-Truncated Unadjusted Claims Expenses]], AN_TME_PY[[#All],[Insurance Category Code]],1, AN_TME_PY[[#All],[Advanced Network/Insurance Carrier Org ID]],Q142),2)&gt;=ROUND(SUMIFS(AN_TME_PY[[#All],[TOTAL Truncated Unadjusted Claims Expenses (A21 -A19)]], AN_TME_PY[[#All],[Insurance Category Code]],1, AN_TME_PY[[#All],[Advanced Network/Insurance Carrier Org ID]],Q142), 2)</f>
        <v>1</v>
      </c>
      <c r="AD142" s="529" t="b">
        <f>ROUND(SUMIFS(AN_TME_PY[[#All],[TOTAL Truncated Unadjusted Claims Expenses (A21 -A19)]], AN_TME_PY[[#All],[Insurance Category Code]],1, AN_TME_PY[[#All],[Advanced Network/Insurance Carrier Org ID]],Q142)+SUMIFS(AN_TME_PY[[#All],[Total Claims Excluded because of Truncation]], AN_TME_PY[[#All],[Insurance Category Code]],1, AN_TME_PY[[#All],[Advanced Network/Insurance Carrier Org ID]],Q142), 2)=ROUND(SUMIFS(AN_TME_PY[[#All],[TOTAL Non-Truncated Unadjusted Claims Expenses]], AN_TME_PY[[#All],[Insurance Category Code]],1, AN_TME_PY[[#All],[Advanced Network/Insurance Carrier Org ID]],Q142), 2)</f>
        <v>1</v>
      </c>
      <c r="AF142" s="283" t="str">
        <f t="shared" si="8"/>
        <v>NA</v>
      </c>
    </row>
    <row r="143" spans="2:32" outlineLevel="1" x14ac:dyDescent="0.25">
      <c r="B143" s="216">
        <v>128</v>
      </c>
      <c r="C143" s="404">
        <f>ROUND(SUMIFS(Age_Sex_BY[[#All],[Total Member Months by Age/Sex Band]], Age_Sex_BY[[#All],[Advanced Network ID]], $B143, Age_Sex_BY[[#All],[Insurance Category Code]],1), 2)</f>
        <v>0</v>
      </c>
      <c r="D143" s="238">
        <f>ROUND(SUMIFS(Age_Sex_BY[[#All],[Total Dollars Excluded from Spending After Applying Truncation at the Member Level]], Age_Sex_BY[[#All],[Advanced Network ID]], $B143, Age_Sex_BY[[#All],[Insurance Category Code]],1), 2)</f>
        <v>0</v>
      </c>
      <c r="E143" s="209">
        <f>ROUND(SUMIFS(Age_Sex_BY[[#All],[Count of Members whose Spending was Truncated]], Age_Sex_BY[[#All],[Advanced Network ID]], $B143, Age_Sex_BY[[#All],[Insurance Category Code]],1),2)</f>
        <v>0</v>
      </c>
      <c r="F143" s="210">
        <f>ROUND(SUMIFS(Age_Sex_BY[[#All],[Total Spending before Truncation is Applied]], Age_Sex_BY[[#All],[Advanced Network ID]], $B143, Age_Sex_BY[[#All],[Insurance Category Code]],1), 2)</f>
        <v>0</v>
      </c>
      <c r="G143" s="212">
        <f>ROUND(SUMIFS(Age_Sex_BY[[#All],[Total Spending After Applying Truncation at the Member Level]], Age_Sex_BY[[#All],[Advanced Network ID]], $B143, Age_Sex_BY[[#All],[Insurance Category Code]],1), 2)</f>
        <v>0</v>
      </c>
      <c r="H143" s="525" t="str">
        <f>IF(ROUND(C143,0)=ROUND(SUMIFS(AN_TME_BY[[#All],[Member Months]], AN_TME_BY[[#All],[Insurance Category Code]],1, AN_TME_BY[[#All],[Advanced Network/Insurance Carrier Org ID]],B143),0), "TRUE", ROUND(C143-SUMIFS(AN_TME_BY[[#All],[Member Months]], AN_TME_BY[[#All],[Insurance Category Code]],1, AN_TME_BY[[#All],[Advanced Network/Insurance Carrier Org ID]],B143),2))</f>
        <v>TRUE</v>
      </c>
      <c r="I143" s="533" t="str">
        <f>IF(ROUND(D143,0)=ROUND(SUMIFS(AN_TME_BY[[#All],[Total Claims Excluded because of Truncation]], AN_TME_BY[[#All],[Insurance Category Code]],1, AN_TME_BY[[#All],[Advanced Network/Insurance Carrier Org ID]],B143),0), "TRUE", ROUND(D143-SUMIFS(AN_TME_BY[[#All],[Total Claims Excluded because of Truncation]], AN_TME_BY[[#All],[Insurance Category Code]],1, AN_TME_BY[[#All],[Advanced Network/Insurance Carrier Org ID]],B143),2))</f>
        <v>TRUE</v>
      </c>
      <c r="J143" s="537" t="str">
        <f>IF(ROUND(E143,0)=ROUND(SUMIFS(AN_TME_BY[[#All],[Count of Members with Claims Truncated]], AN_TME_BY[[#All],[Insurance Category Code]],1, AN_TME_BY[[#All],[Advanced Network/Insurance Carrier Org ID]],B143),0), "TRUE", ROUND(E143-SUMIFS(AN_TME_BY[[#All],[Count of Members with Claims Truncated]], AN_TME_BY[[#All],[Insurance Category Code]],1, AN_TME_BY[[#All],[Advanced Network/Insurance Carrier Org ID]],B143),2))</f>
        <v>TRUE</v>
      </c>
      <c r="K143" s="533" t="str">
        <f>IF(ROUND(F143,0)=ROUND(SUMIFS(AN_TME_BY[[#All],[TOTAL Non-Truncated Unadjusted Claims Expenses]], AN_TME_BY[[#All],[Insurance Category Code]],1, AN_TME_BY[[#All],[Advanced Network/Insurance Carrier Org ID]],B143),0), "TRUE", ROUND(F143-SUMIFS(AN_TME_BY[[#All],[TOTAL Non-Truncated Unadjusted Claims Expenses]], AN_TME_BY[[#All],[Insurance Category Code]],1, AN_TME_BY[[#All],[Advanced Network/Insurance Carrier Org ID]],B143),2))</f>
        <v>TRUE</v>
      </c>
      <c r="L143" s="534" t="str">
        <f>IF(ROUND(G143,0)=ROUND(SUMIFS(AN_TME_BY[[#All],[TOTAL Truncated Unadjusted Claims Expenses (A21 -A19)]], AN_TME_BY[[#All],[Insurance Category Code]],1, AN_TME_BY[[#All],[Advanced Network/Insurance Carrier Org ID]],B143),0), "TRUE", ROUND(G143-SUMIFS(AN_TME_BY[[#All],[TOTAL Truncated Unadjusted Claims Expenses (A21 -A19)]], AN_TME_BY[[#All],[Insurance Category Code]],1, AN_TME_BY[[#All],[Advanced Network/Insurance Carrier Org ID]],B143),2))</f>
        <v>TRUE</v>
      </c>
      <c r="M143" s="525" t="str">
        <f t="shared" si="7"/>
        <v>TRUE</v>
      </c>
      <c r="N143" s="533" t="b">
        <f>ROUND(SUMIFS(AN_TME_BY[[#All],[TOTAL Non-Truncated Unadjusted Claims Expenses]], AN_TME_BY[[#All],[Insurance Category Code]],1, AN_TME_BY[[#All],[Advanced Network/Insurance Carrier Org ID]],B143), 2)&gt;=ROUND(SUMIFS(AN_TME_BY[[#All],[TOTAL Truncated Unadjusted Claims Expenses (A21 -A19)]], AN_TME_BY[[#All],[Insurance Category Code]],1, AN_TME_BY[[#All],[Advanced Network/Insurance Carrier Org ID]],B143),2)</f>
        <v>1</v>
      </c>
      <c r="O143" s="534" t="b">
        <f>ROUND(SUMIFS(AN_TME_BY[[#All],[TOTAL Truncated Unadjusted Claims Expenses (A21 -A19)]], AN_TME_BY[[#All],[Insurance Category Code]],1, AN_TME_BY[[#All],[Advanced Network/Insurance Carrier Org ID]],B143)+SUMIFS(AN_TME_BY[[#All],[Total Claims Excluded because of Truncation]], AN_TME_BY[[#All],[Insurance Category Code]],1, AN_TME_BY[[#All],[Advanced Network/Insurance Carrier Org ID]],B143),2)=ROUND(SUMIFS(AN_TME_BY[[#All],[TOTAL Non-Truncated Unadjusted Claims Expenses]], AN_TME_BY[[#All],[Insurance Category Code]],1, AN_TME_BY[[#All],[Advanced Network/Insurance Carrier Org ID]],B143), 2)</f>
        <v>1</v>
      </c>
      <c r="Q143" s="216">
        <v>128</v>
      </c>
      <c r="R143" s="404">
        <f>ROUND(SUMIFS(Age_Sex_PY[[#All],[Total Member Months by Age/Sex Band]], Age_Sex_PY[[#All],[Advanced Network ID]], $Q143, Age_Sex_PY[[#All],[Insurance Category Code]],1), 2)</f>
        <v>0</v>
      </c>
      <c r="S143" s="238">
        <f>ROUND(SUMIFS(Age_Sex_PY[[#All],[Total Dollars Excluded from Spending After Applying Truncation at the Member Level]], Age_Sex_PY[[#All],[Advanced Network ID]], $B143, Age_Sex_PY[[#All],[Insurance Category Code]],1),2)</f>
        <v>0</v>
      </c>
      <c r="T143" s="209">
        <f>ROUND(SUMIFS(Age_Sex_PY[[#All],[Count of Members whose Spending was Truncated]], Age_Sex_PY[[#All],[Advanced Network ID]], $B143, Age_Sex_PY[[#All],[Insurance Category Code]],1), 2)</f>
        <v>0</v>
      </c>
      <c r="U143" s="210">
        <f>ROUND(SUMIFS(Age_Sex_PY[[#All],[Total Spending before Truncation is Applied]], Age_Sex_PY[[#All],[Advanced Network ID]], $B143, Age_Sex_PY[[#All],[Insurance Category Code]],1), 2)</f>
        <v>0</v>
      </c>
      <c r="V143" s="212">
        <f>ROUND(SUMIFS(Age_Sex_PY[[#All],[Total Spending After Applying Truncation at the Member Level]], Age_Sex_PY[[#All],[Advanced Network ID]], $B143, Age_Sex_PY[[#All],[Insurance Category Code]],1),2)</f>
        <v>0</v>
      </c>
      <c r="W143" s="525" t="str">
        <f>IF(ROUND(R143,0)=ROUND(SUMIFS(AN_TME_PY[[#All],[Member Months]], AN_TME_PY[[#All],[Insurance Category Code]],1, AN_TME_PY[[#All],[Advanced Network/Insurance Carrier Org ID]],Q143),0), "TRUE", ROUND(R143-SUMIFS(AN_TME_PY[[#All],[Member Months]], AN_TME_PY[[#All],[Insurance Category Code]],1, AN_TME_PY[[#All],[Advanced Network/Insurance Carrier Org ID]],Q143),2))</f>
        <v>TRUE</v>
      </c>
      <c r="X143" s="527" t="str">
        <f>IF(ROUND(S143,0)=ROUND(SUMIFS(AN_TME_PY[[#All],[Total Claims Excluded because of Truncation]], AN_TME_PY[[#All],[Insurance Category Code]],1, AN_TME_PY[[#All],[Advanced Network/Insurance Carrier Org ID]],Q143),0), "TRUE", ROUND(S143-SUMIFS(AN_TME_PY[[#All],[Total Claims Excluded because of Truncation]], AN_TME_PY[[#All],[Insurance Category Code]],1, AN_TME_PY[[#All],[Advanced Network/Insurance Carrier Org ID]],Q143),2))</f>
        <v>TRUE</v>
      </c>
      <c r="Y143" s="537" t="str">
        <f>IF(ROUND(T143,0)=ROUND(SUMIFS(AN_TME_PY[[#All],[Count of Members with Claims Truncated]], AN_TME_PY[[#All],[Insurance Category Code]],1, AN_TME_PY[[#All],[Advanced Network/Insurance Carrier Org ID]],Q143),0), "TRUE", ROUND(T143-SUMIFS(AN_TME_PY[[#All],[Count of Members with Claims Truncated]], AN_TME_PY[[#All],[Insurance Category Code]],1, AN_TME_PY[[#All],[Advanced Network/Insurance Carrier Org ID]],Q143),2))</f>
        <v>TRUE</v>
      </c>
      <c r="Z143" s="528" t="str">
        <f>IF(ROUND(U143,0)=ROUND(SUMIFS(AN_TME_PY[[#All],[TOTAL Non-Truncated Unadjusted Claims Expenses]], AN_TME_PY[[#All],[Insurance Category Code]],1, AN_TME_PY[[#All],[Advanced Network/Insurance Carrier Org ID]],Q143),0), "TRUE", ROUND(U143-SUMIFS(AN_TME_PY[[#All],[TOTAL Non-Truncated Unadjusted Claims Expenses]], AN_TME_PY[[#All],[Insurance Category Code]],1, AN_TME_PY[[#All],[Advanced Network/Insurance Carrier Org ID]],Q143),2))</f>
        <v>TRUE</v>
      </c>
      <c r="AA143" s="529" t="str">
        <f>IF(ROUND(V143,0)=ROUND(SUMIFS(AN_TME_PY[[#All],[TOTAL Truncated Unadjusted Claims Expenses (A21 -A19)]], AN_TME_PY[[#All],[Insurance Category Code]],1, AN_TME_PY[[#All],[Advanced Network/Insurance Carrier Org ID]],Q143),0), "TRUE", ROUND(V143-SUMIFS(AN_TME_PY[[#All],[TOTAL Truncated Unadjusted Claims Expenses (A21 -A19)]], AN_TME_PY[[#All],[Insurance Category Code]],1, AN_TME_PY[[#All],[Advanced Network/Insurance Carrier Org ID]],Q143),2))</f>
        <v>TRUE</v>
      </c>
      <c r="AB143" s="525" t="str">
        <f t="shared" si="9"/>
        <v>TRUE</v>
      </c>
      <c r="AC143" s="528" t="b">
        <f>ROUND(SUMIFS(AN_TME_PY[[#All],[TOTAL Non-Truncated Unadjusted Claims Expenses]], AN_TME_PY[[#All],[Insurance Category Code]],1, AN_TME_PY[[#All],[Advanced Network/Insurance Carrier Org ID]],Q143),2)&gt;=ROUND(SUMIFS(AN_TME_PY[[#All],[TOTAL Truncated Unadjusted Claims Expenses (A21 -A19)]], AN_TME_PY[[#All],[Insurance Category Code]],1, AN_TME_PY[[#All],[Advanced Network/Insurance Carrier Org ID]],Q143), 2)</f>
        <v>1</v>
      </c>
      <c r="AD143" s="529" t="b">
        <f>ROUND(SUMIFS(AN_TME_PY[[#All],[TOTAL Truncated Unadjusted Claims Expenses (A21 -A19)]], AN_TME_PY[[#All],[Insurance Category Code]],1, AN_TME_PY[[#All],[Advanced Network/Insurance Carrier Org ID]],Q143)+SUMIFS(AN_TME_PY[[#All],[Total Claims Excluded because of Truncation]], AN_TME_PY[[#All],[Insurance Category Code]],1, AN_TME_PY[[#All],[Advanced Network/Insurance Carrier Org ID]],Q143), 2)=ROUND(SUMIFS(AN_TME_PY[[#All],[TOTAL Non-Truncated Unadjusted Claims Expenses]], AN_TME_PY[[#All],[Insurance Category Code]],1, AN_TME_PY[[#All],[Advanced Network/Insurance Carrier Org ID]],Q143), 2)</f>
        <v>1</v>
      </c>
      <c r="AF143" s="283" t="str">
        <f t="shared" si="8"/>
        <v>NA</v>
      </c>
    </row>
    <row r="144" spans="2:32" outlineLevel="1" x14ac:dyDescent="0.25">
      <c r="B144" s="216">
        <v>129</v>
      </c>
      <c r="C144" s="404">
        <f>ROUND(SUMIFS(Age_Sex_BY[[#All],[Total Member Months by Age/Sex Band]], Age_Sex_BY[[#All],[Advanced Network ID]], $B144, Age_Sex_BY[[#All],[Insurance Category Code]],1), 2)</f>
        <v>0</v>
      </c>
      <c r="D144" s="238">
        <f>ROUND(SUMIFS(Age_Sex_BY[[#All],[Total Dollars Excluded from Spending After Applying Truncation at the Member Level]], Age_Sex_BY[[#All],[Advanced Network ID]], $B144, Age_Sex_BY[[#All],[Insurance Category Code]],1), 2)</f>
        <v>0</v>
      </c>
      <c r="E144" s="209">
        <f>ROUND(SUMIFS(Age_Sex_BY[[#All],[Count of Members whose Spending was Truncated]], Age_Sex_BY[[#All],[Advanced Network ID]], $B144, Age_Sex_BY[[#All],[Insurance Category Code]],1),2)</f>
        <v>0</v>
      </c>
      <c r="F144" s="210">
        <f>ROUND(SUMIFS(Age_Sex_BY[[#All],[Total Spending before Truncation is Applied]], Age_Sex_BY[[#All],[Advanced Network ID]], $B144, Age_Sex_BY[[#All],[Insurance Category Code]],1), 2)</f>
        <v>0</v>
      </c>
      <c r="G144" s="212">
        <f>ROUND(SUMIFS(Age_Sex_BY[[#All],[Total Spending After Applying Truncation at the Member Level]], Age_Sex_BY[[#All],[Advanced Network ID]], $B144, Age_Sex_BY[[#All],[Insurance Category Code]],1), 2)</f>
        <v>0</v>
      </c>
      <c r="H144" s="525" t="str">
        <f>IF(ROUND(C144,0)=ROUND(SUMIFS(AN_TME_BY[[#All],[Member Months]], AN_TME_BY[[#All],[Insurance Category Code]],1, AN_TME_BY[[#All],[Advanced Network/Insurance Carrier Org ID]],B144),0), "TRUE", ROUND(C144-SUMIFS(AN_TME_BY[[#All],[Member Months]], AN_TME_BY[[#All],[Insurance Category Code]],1, AN_TME_BY[[#All],[Advanced Network/Insurance Carrier Org ID]],B144),2))</f>
        <v>TRUE</v>
      </c>
      <c r="I144" s="533" t="str">
        <f>IF(ROUND(D144,0)=ROUND(SUMIFS(AN_TME_BY[[#All],[Total Claims Excluded because of Truncation]], AN_TME_BY[[#All],[Insurance Category Code]],1, AN_TME_BY[[#All],[Advanced Network/Insurance Carrier Org ID]],B144),0), "TRUE", ROUND(D144-SUMIFS(AN_TME_BY[[#All],[Total Claims Excluded because of Truncation]], AN_TME_BY[[#All],[Insurance Category Code]],1, AN_TME_BY[[#All],[Advanced Network/Insurance Carrier Org ID]],B144),2))</f>
        <v>TRUE</v>
      </c>
      <c r="J144" s="537" t="str">
        <f>IF(ROUND(E144,0)=ROUND(SUMIFS(AN_TME_BY[[#All],[Count of Members with Claims Truncated]], AN_TME_BY[[#All],[Insurance Category Code]],1, AN_TME_BY[[#All],[Advanced Network/Insurance Carrier Org ID]],B144),0), "TRUE", ROUND(E144-SUMIFS(AN_TME_BY[[#All],[Count of Members with Claims Truncated]], AN_TME_BY[[#All],[Insurance Category Code]],1, AN_TME_BY[[#All],[Advanced Network/Insurance Carrier Org ID]],B144),2))</f>
        <v>TRUE</v>
      </c>
      <c r="K144" s="533" t="str">
        <f>IF(ROUND(F144,0)=ROUND(SUMIFS(AN_TME_BY[[#All],[TOTAL Non-Truncated Unadjusted Claims Expenses]], AN_TME_BY[[#All],[Insurance Category Code]],1, AN_TME_BY[[#All],[Advanced Network/Insurance Carrier Org ID]],B144),0), "TRUE", ROUND(F144-SUMIFS(AN_TME_BY[[#All],[TOTAL Non-Truncated Unadjusted Claims Expenses]], AN_TME_BY[[#All],[Insurance Category Code]],1, AN_TME_BY[[#All],[Advanced Network/Insurance Carrier Org ID]],B144),2))</f>
        <v>TRUE</v>
      </c>
      <c r="L144" s="534" t="str">
        <f>IF(ROUND(G144,0)=ROUND(SUMIFS(AN_TME_BY[[#All],[TOTAL Truncated Unadjusted Claims Expenses (A21 -A19)]], AN_TME_BY[[#All],[Insurance Category Code]],1, AN_TME_BY[[#All],[Advanced Network/Insurance Carrier Org ID]],B144),0), "TRUE", ROUND(G144-SUMIFS(AN_TME_BY[[#All],[TOTAL Truncated Unadjusted Claims Expenses (A21 -A19)]], AN_TME_BY[[#All],[Insurance Category Code]],1, AN_TME_BY[[#All],[Advanced Network/Insurance Carrier Org ID]],B144),2))</f>
        <v>TRUE</v>
      </c>
      <c r="M144" s="525" t="str">
        <f t="shared" si="7"/>
        <v>TRUE</v>
      </c>
      <c r="N144" s="533" t="b">
        <f>ROUND(SUMIFS(AN_TME_BY[[#All],[TOTAL Non-Truncated Unadjusted Claims Expenses]], AN_TME_BY[[#All],[Insurance Category Code]],1, AN_TME_BY[[#All],[Advanced Network/Insurance Carrier Org ID]],B144), 2)&gt;=ROUND(SUMIFS(AN_TME_BY[[#All],[TOTAL Truncated Unadjusted Claims Expenses (A21 -A19)]], AN_TME_BY[[#All],[Insurance Category Code]],1, AN_TME_BY[[#All],[Advanced Network/Insurance Carrier Org ID]],B144),2)</f>
        <v>1</v>
      </c>
      <c r="O144" s="534" t="b">
        <f>ROUND(SUMIFS(AN_TME_BY[[#All],[TOTAL Truncated Unadjusted Claims Expenses (A21 -A19)]], AN_TME_BY[[#All],[Insurance Category Code]],1, AN_TME_BY[[#All],[Advanced Network/Insurance Carrier Org ID]],B144)+SUMIFS(AN_TME_BY[[#All],[Total Claims Excluded because of Truncation]], AN_TME_BY[[#All],[Insurance Category Code]],1, AN_TME_BY[[#All],[Advanced Network/Insurance Carrier Org ID]],B144),2)=ROUND(SUMIFS(AN_TME_BY[[#All],[TOTAL Non-Truncated Unadjusted Claims Expenses]], AN_TME_BY[[#All],[Insurance Category Code]],1, AN_TME_BY[[#All],[Advanced Network/Insurance Carrier Org ID]],B144), 2)</f>
        <v>1</v>
      </c>
      <c r="Q144" s="216">
        <v>129</v>
      </c>
      <c r="R144" s="404">
        <f>ROUND(SUMIFS(Age_Sex_PY[[#All],[Total Member Months by Age/Sex Band]], Age_Sex_PY[[#All],[Advanced Network ID]], $Q144, Age_Sex_PY[[#All],[Insurance Category Code]],1), 2)</f>
        <v>0</v>
      </c>
      <c r="S144" s="238">
        <f>ROUND(SUMIFS(Age_Sex_PY[[#All],[Total Dollars Excluded from Spending After Applying Truncation at the Member Level]], Age_Sex_PY[[#All],[Advanced Network ID]], $B144, Age_Sex_PY[[#All],[Insurance Category Code]],1),2)</f>
        <v>0</v>
      </c>
      <c r="T144" s="209">
        <f>ROUND(SUMIFS(Age_Sex_PY[[#All],[Count of Members whose Spending was Truncated]], Age_Sex_PY[[#All],[Advanced Network ID]], $B144, Age_Sex_PY[[#All],[Insurance Category Code]],1), 2)</f>
        <v>0</v>
      </c>
      <c r="U144" s="210">
        <f>ROUND(SUMIFS(Age_Sex_PY[[#All],[Total Spending before Truncation is Applied]], Age_Sex_PY[[#All],[Advanced Network ID]], $B144, Age_Sex_PY[[#All],[Insurance Category Code]],1), 2)</f>
        <v>0</v>
      </c>
      <c r="V144" s="212">
        <f>ROUND(SUMIFS(Age_Sex_PY[[#All],[Total Spending After Applying Truncation at the Member Level]], Age_Sex_PY[[#All],[Advanced Network ID]], $B144, Age_Sex_PY[[#All],[Insurance Category Code]],1),2)</f>
        <v>0</v>
      </c>
      <c r="W144" s="525" t="str">
        <f>IF(ROUND(R144,0)=ROUND(SUMIFS(AN_TME_PY[[#All],[Member Months]], AN_TME_PY[[#All],[Insurance Category Code]],1, AN_TME_PY[[#All],[Advanced Network/Insurance Carrier Org ID]],Q144),0), "TRUE", ROUND(R144-SUMIFS(AN_TME_PY[[#All],[Member Months]], AN_TME_PY[[#All],[Insurance Category Code]],1, AN_TME_PY[[#All],[Advanced Network/Insurance Carrier Org ID]],Q144),2))</f>
        <v>TRUE</v>
      </c>
      <c r="X144" s="527" t="str">
        <f>IF(ROUND(S144,0)=ROUND(SUMIFS(AN_TME_PY[[#All],[Total Claims Excluded because of Truncation]], AN_TME_PY[[#All],[Insurance Category Code]],1, AN_TME_PY[[#All],[Advanced Network/Insurance Carrier Org ID]],Q144),0), "TRUE", ROUND(S144-SUMIFS(AN_TME_PY[[#All],[Total Claims Excluded because of Truncation]], AN_TME_PY[[#All],[Insurance Category Code]],1, AN_TME_PY[[#All],[Advanced Network/Insurance Carrier Org ID]],Q144),2))</f>
        <v>TRUE</v>
      </c>
      <c r="Y144" s="537" t="str">
        <f>IF(ROUND(T144,0)=ROUND(SUMIFS(AN_TME_PY[[#All],[Count of Members with Claims Truncated]], AN_TME_PY[[#All],[Insurance Category Code]],1, AN_TME_PY[[#All],[Advanced Network/Insurance Carrier Org ID]],Q144),0), "TRUE", ROUND(T144-SUMIFS(AN_TME_PY[[#All],[Count of Members with Claims Truncated]], AN_TME_PY[[#All],[Insurance Category Code]],1, AN_TME_PY[[#All],[Advanced Network/Insurance Carrier Org ID]],Q144),2))</f>
        <v>TRUE</v>
      </c>
      <c r="Z144" s="528" t="str">
        <f>IF(ROUND(U144,0)=ROUND(SUMIFS(AN_TME_PY[[#All],[TOTAL Non-Truncated Unadjusted Claims Expenses]], AN_TME_PY[[#All],[Insurance Category Code]],1, AN_TME_PY[[#All],[Advanced Network/Insurance Carrier Org ID]],Q144),0), "TRUE", ROUND(U144-SUMIFS(AN_TME_PY[[#All],[TOTAL Non-Truncated Unadjusted Claims Expenses]], AN_TME_PY[[#All],[Insurance Category Code]],1, AN_TME_PY[[#All],[Advanced Network/Insurance Carrier Org ID]],Q144),2))</f>
        <v>TRUE</v>
      </c>
      <c r="AA144" s="529" t="str">
        <f>IF(ROUND(V144,0)=ROUND(SUMIFS(AN_TME_PY[[#All],[TOTAL Truncated Unadjusted Claims Expenses (A21 -A19)]], AN_TME_PY[[#All],[Insurance Category Code]],1, AN_TME_PY[[#All],[Advanced Network/Insurance Carrier Org ID]],Q144),0), "TRUE", ROUND(V144-SUMIFS(AN_TME_PY[[#All],[TOTAL Truncated Unadjusted Claims Expenses (A21 -A19)]], AN_TME_PY[[#All],[Insurance Category Code]],1, AN_TME_PY[[#All],[Advanced Network/Insurance Carrier Org ID]],Q144),2))</f>
        <v>TRUE</v>
      </c>
      <c r="AB144" s="525" t="str">
        <f t="shared" si="9"/>
        <v>TRUE</v>
      </c>
      <c r="AC144" s="528" t="b">
        <f>ROUND(SUMIFS(AN_TME_PY[[#All],[TOTAL Non-Truncated Unadjusted Claims Expenses]], AN_TME_PY[[#All],[Insurance Category Code]],1, AN_TME_PY[[#All],[Advanced Network/Insurance Carrier Org ID]],Q144),2)&gt;=ROUND(SUMIFS(AN_TME_PY[[#All],[TOTAL Truncated Unadjusted Claims Expenses (A21 -A19)]], AN_TME_PY[[#All],[Insurance Category Code]],1, AN_TME_PY[[#All],[Advanced Network/Insurance Carrier Org ID]],Q144), 2)</f>
        <v>1</v>
      </c>
      <c r="AD144" s="529" t="b">
        <f>ROUND(SUMIFS(AN_TME_PY[[#All],[TOTAL Truncated Unadjusted Claims Expenses (A21 -A19)]], AN_TME_PY[[#All],[Insurance Category Code]],1, AN_TME_PY[[#All],[Advanced Network/Insurance Carrier Org ID]],Q144)+SUMIFS(AN_TME_PY[[#All],[Total Claims Excluded because of Truncation]], AN_TME_PY[[#All],[Insurance Category Code]],1, AN_TME_PY[[#All],[Advanced Network/Insurance Carrier Org ID]],Q144), 2)=ROUND(SUMIFS(AN_TME_PY[[#All],[TOTAL Non-Truncated Unadjusted Claims Expenses]], AN_TME_PY[[#All],[Insurance Category Code]],1, AN_TME_PY[[#All],[Advanced Network/Insurance Carrier Org ID]],Q144), 2)</f>
        <v>1</v>
      </c>
      <c r="AF144" s="283" t="str">
        <f t="shared" si="8"/>
        <v>NA</v>
      </c>
    </row>
    <row r="145" spans="2:32" outlineLevel="1" x14ac:dyDescent="0.25">
      <c r="B145" s="216">
        <v>130</v>
      </c>
      <c r="C145" s="404">
        <f>ROUND(SUMIFS(Age_Sex_BY[[#All],[Total Member Months by Age/Sex Band]], Age_Sex_BY[[#All],[Advanced Network ID]], $B145, Age_Sex_BY[[#All],[Insurance Category Code]],1), 2)</f>
        <v>0</v>
      </c>
      <c r="D145" s="238">
        <f>ROUND(SUMIFS(Age_Sex_BY[[#All],[Total Dollars Excluded from Spending After Applying Truncation at the Member Level]], Age_Sex_BY[[#All],[Advanced Network ID]], $B145, Age_Sex_BY[[#All],[Insurance Category Code]],1), 2)</f>
        <v>0</v>
      </c>
      <c r="E145" s="209">
        <f>ROUND(SUMIFS(Age_Sex_BY[[#All],[Count of Members whose Spending was Truncated]], Age_Sex_BY[[#All],[Advanced Network ID]], $B145, Age_Sex_BY[[#All],[Insurance Category Code]],1),2)</f>
        <v>0</v>
      </c>
      <c r="F145" s="210">
        <f>ROUND(SUMIFS(Age_Sex_BY[[#All],[Total Spending before Truncation is Applied]], Age_Sex_BY[[#All],[Advanced Network ID]], $B145, Age_Sex_BY[[#All],[Insurance Category Code]],1), 2)</f>
        <v>0</v>
      </c>
      <c r="G145" s="212">
        <f>ROUND(SUMIFS(Age_Sex_BY[[#All],[Total Spending After Applying Truncation at the Member Level]], Age_Sex_BY[[#All],[Advanced Network ID]], $B145, Age_Sex_BY[[#All],[Insurance Category Code]],1), 2)</f>
        <v>0</v>
      </c>
      <c r="H145" s="525" t="str">
        <f>IF(ROUND(C145,0)=ROUND(SUMIFS(AN_TME_BY[[#All],[Member Months]], AN_TME_BY[[#All],[Insurance Category Code]],1, AN_TME_BY[[#All],[Advanced Network/Insurance Carrier Org ID]],B145),0), "TRUE", ROUND(C145-SUMIFS(AN_TME_BY[[#All],[Member Months]], AN_TME_BY[[#All],[Insurance Category Code]],1, AN_TME_BY[[#All],[Advanced Network/Insurance Carrier Org ID]],B145),2))</f>
        <v>TRUE</v>
      </c>
      <c r="I145" s="533" t="str">
        <f>IF(ROUND(D145,0)=ROUND(SUMIFS(AN_TME_BY[[#All],[Total Claims Excluded because of Truncation]], AN_TME_BY[[#All],[Insurance Category Code]],1, AN_TME_BY[[#All],[Advanced Network/Insurance Carrier Org ID]],B145),0), "TRUE", ROUND(D145-SUMIFS(AN_TME_BY[[#All],[Total Claims Excluded because of Truncation]], AN_TME_BY[[#All],[Insurance Category Code]],1, AN_TME_BY[[#All],[Advanced Network/Insurance Carrier Org ID]],B145),2))</f>
        <v>TRUE</v>
      </c>
      <c r="J145" s="537" t="str">
        <f>IF(ROUND(E145,0)=ROUND(SUMIFS(AN_TME_BY[[#All],[Count of Members with Claims Truncated]], AN_TME_BY[[#All],[Insurance Category Code]],1, AN_TME_BY[[#All],[Advanced Network/Insurance Carrier Org ID]],B145),0), "TRUE", ROUND(E145-SUMIFS(AN_TME_BY[[#All],[Count of Members with Claims Truncated]], AN_TME_BY[[#All],[Insurance Category Code]],1, AN_TME_BY[[#All],[Advanced Network/Insurance Carrier Org ID]],B145),2))</f>
        <v>TRUE</v>
      </c>
      <c r="K145" s="533" t="str">
        <f>IF(ROUND(F145,0)=ROUND(SUMIFS(AN_TME_BY[[#All],[TOTAL Non-Truncated Unadjusted Claims Expenses]], AN_TME_BY[[#All],[Insurance Category Code]],1, AN_TME_BY[[#All],[Advanced Network/Insurance Carrier Org ID]],B145),0), "TRUE", ROUND(F145-SUMIFS(AN_TME_BY[[#All],[TOTAL Non-Truncated Unadjusted Claims Expenses]], AN_TME_BY[[#All],[Insurance Category Code]],1, AN_TME_BY[[#All],[Advanced Network/Insurance Carrier Org ID]],B145),2))</f>
        <v>TRUE</v>
      </c>
      <c r="L145" s="534" t="str">
        <f>IF(ROUND(G145,0)=ROUND(SUMIFS(AN_TME_BY[[#All],[TOTAL Truncated Unadjusted Claims Expenses (A21 -A19)]], AN_TME_BY[[#All],[Insurance Category Code]],1, AN_TME_BY[[#All],[Advanced Network/Insurance Carrier Org ID]],B145),0), "TRUE", ROUND(G145-SUMIFS(AN_TME_BY[[#All],[TOTAL Truncated Unadjusted Claims Expenses (A21 -A19)]], AN_TME_BY[[#All],[Insurance Category Code]],1, AN_TME_BY[[#All],[Advanced Network/Insurance Carrier Org ID]],B145),2))</f>
        <v>TRUE</v>
      </c>
      <c r="M145" s="525" t="str">
        <f t="shared" si="7"/>
        <v>TRUE</v>
      </c>
      <c r="N145" s="533" t="b">
        <f>ROUND(SUMIFS(AN_TME_BY[[#All],[TOTAL Non-Truncated Unadjusted Claims Expenses]], AN_TME_BY[[#All],[Insurance Category Code]],1, AN_TME_BY[[#All],[Advanced Network/Insurance Carrier Org ID]],B145), 2)&gt;=ROUND(SUMIFS(AN_TME_BY[[#All],[TOTAL Truncated Unadjusted Claims Expenses (A21 -A19)]], AN_TME_BY[[#All],[Insurance Category Code]],1, AN_TME_BY[[#All],[Advanced Network/Insurance Carrier Org ID]],B145),2)</f>
        <v>1</v>
      </c>
      <c r="O145" s="534" t="b">
        <f>ROUND(SUMIFS(AN_TME_BY[[#All],[TOTAL Truncated Unadjusted Claims Expenses (A21 -A19)]], AN_TME_BY[[#All],[Insurance Category Code]],1, AN_TME_BY[[#All],[Advanced Network/Insurance Carrier Org ID]],B145)+SUMIFS(AN_TME_BY[[#All],[Total Claims Excluded because of Truncation]], AN_TME_BY[[#All],[Insurance Category Code]],1, AN_TME_BY[[#All],[Advanced Network/Insurance Carrier Org ID]],B145),2)=ROUND(SUMIFS(AN_TME_BY[[#All],[TOTAL Non-Truncated Unadjusted Claims Expenses]], AN_TME_BY[[#All],[Insurance Category Code]],1, AN_TME_BY[[#All],[Advanced Network/Insurance Carrier Org ID]],B145), 2)</f>
        <v>1</v>
      </c>
      <c r="Q145" s="216">
        <v>130</v>
      </c>
      <c r="R145" s="404">
        <f>ROUND(SUMIFS(Age_Sex_PY[[#All],[Total Member Months by Age/Sex Band]], Age_Sex_PY[[#All],[Advanced Network ID]], $Q145, Age_Sex_PY[[#All],[Insurance Category Code]],1), 2)</f>
        <v>0</v>
      </c>
      <c r="S145" s="238">
        <f>ROUND(SUMIFS(Age_Sex_PY[[#All],[Total Dollars Excluded from Spending After Applying Truncation at the Member Level]], Age_Sex_PY[[#All],[Advanced Network ID]], $B145, Age_Sex_PY[[#All],[Insurance Category Code]],1),2)</f>
        <v>0</v>
      </c>
      <c r="T145" s="209">
        <f>ROUND(SUMIFS(Age_Sex_PY[[#All],[Count of Members whose Spending was Truncated]], Age_Sex_PY[[#All],[Advanced Network ID]], $B145, Age_Sex_PY[[#All],[Insurance Category Code]],1), 2)</f>
        <v>0</v>
      </c>
      <c r="U145" s="210">
        <f>ROUND(SUMIFS(Age_Sex_PY[[#All],[Total Spending before Truncation is Applied]], Age_Sex_PY[[#All],[Advanced Network ID]], $B145, Age_Sex_PY[[#All],[Insurance Category Code]],1), 2)</f>
        <v>0</v>
      </c>
      <c r="V145" s="212">
        <f>ROUND(SUMIFS(Age_Sex_PY[[#All],[Total Spending After Applying Truncation at the Member Level]], Age_Sex_PY[[#All],[Advanced Network ID]], $B145, Age_Sex_PY[[#All],[Insurance Category Code]],1),2)</f>
        <v>0</v>
      </c>
      <c r="W145" s="525" t="str">
        <f>IF(ROUND(R145,0)=ROUND(SUMIFS(AN_TME_PY[[#All],[Member Months]], AN_TME_PY[[#All],[Insurance Category Code]],1, AN_TME_PY[[#All],[Advanced Network/Insurance Carrier Org ID]],Q145),0), "TRUE", ROUND(R145-SUMIFS(AN_TME_PY[[#All],[Member Months]], AN_TME_PY[[#All],[Insurance Category Code]],1, AN_TME_PY[[#All],[Advanced Network/Insurance Carrier Org ID]],Q145),2))</f>
        <v>TRUE</v>
      </c>
      <c r="X145" s="527" t="str">
        <f>IF(ROUND(S145,0)=ROUND(SUMIFS(AN_TME_PY[[#All],[Total Claims Excluded because of Truncation]], AN_TME_PY[[#All],[Insurance Category Code]],1, AN_TME_PY[[#All],[Advanced Network/Insurance Carrier Org ID]],Q145),0), "TRUE", ROUND(S145-SUMIFS(AN_TME_PY[[#All],[Total Claims Excluded because of Truncation]], AN_TME_PY[[#All],[Insurance Category Code]],1, AN_TME_PY[[#All],[Advanced Network/Insurance Carrier Org ID]],Q145),2))</f>
        <v>TRUE</v>
      </c>
      <c r="Y145" s="537" t="str">
        <f>IF(ROUND(T145,0)=ROUND(SUMIFS(AN_TME_PY[[#All],[Count of Members with Claims Truncated]], AN_TME_PY[[#All],[Insurance Category Code]],1, AN_TME_PY[[#All],[Advanced Network/Insurance Carrier Org ID]],Q145),0), "TRUE", ROUND(T145-SUMIFS(AN_TME_PY[[#All],[Count of Members with Claims Truncated]], AN_TME_PY[[#All],[Insurance Category Code]],1, AN_TME_PY[[#All],[Advanced Network/Insurance Carrier Org ID]],Q145),2))</f>
        <v>TRUE</v>
      </c>
      <c r="Z145" s="528" t="str">
        <f>IF(ROUND(U145,0)=ROUND(SUMIFS(AN_TME_PY[[#All],[TOTAL Non-Truncated Unadjusted Claims Expenses]], AN_TME_PY[[#All],[Insurance Category Code]],1, AN_TME_PY[[#All],[Advanced Network/Insurance Carrier Org ID]],Q145),0), "TRUE", ROUND(U145-SUMIFS(AN_TME_PY[[#All],[TOTAL Non-Truncated Unadjusted Claims Expenses]], AN_TME_PY[[#All],[Insurance Category Code]],1, AN_TME_PY[[#All],[Advanced Network/Insurance Carrier Org ID]],Q145),2))</f>
        <v>TRUE</v>
      </c>
      <c r="AA145" s="529" t="str">
        <f>IF(ROUND(V145,0)=ROUND(SUMIFS(AN_TME_PY[[#All],[TOTAL Truncated Unadjusted Claims Expenses (A21 -A19)]], AN_TME_PY[[#All],[Insurance Category Code]],1, AN_TME_PY[[#All],[Advanced Network/Insurance Carrier Org ID]],Q145),0), "TRUE", ROUND(V145-SUMIFS(AN_TME_PY[[#All],[TOTAL Truncated Unadjusted Claims Expenses (A21 -A19)]], AN_TME_PY[[#All],[Insurance Category Code]],1, AN_TME_PY[[#All],[Advanced Network/Insurance Carrier Org ID]],Q145),2))</f>
        <v>TRUE</v>
      </c>
      <c r="AB145" s="525" t="str">
        <f t="shared" si="9"/>
        <v>TRUE</v>
      </c>
      <c r="AC145" s="528" t="b">
        <f>ROUND(SUMIFS(AN_TME_PY[[#All],[TOTAL Non-Truncated Unadjusted Claims Expenses]], AN_TME_PY[[#All],[Insurance Category Code]],1, AN_TME_PY[[#All],[Advanced Network/Insurance Carrier Org ID]],Q145),2)&gt;=ROUND(SUMIFS(AN_TME_PY[[#All],[TOTAL Truncated Unadjusted Claims Expenses (A21 -A19)]], AN_TME_PY[[#All],[Insurance Category Code]],1, AN_TME_PY[[#All],[Advanced Network/Insurance Carrier Org ID]],Q145), 2)</f>
        <v>1</v>
      </c>
      <c r="AD145" s="529" t="b">
        <f>ROUND(SUMIFS(AN_TME_PY[[#All],[TOTAL Truncated Unadjusted Claims Expenses (A21 -A19)]], AN_TME_PY[[#All],[Insurance Category Code]],1, AN_TME_PY[[#All],[Advanced Network/Insurance Carrier Org ID]],Q145)+SUMIFS(AN_TME_PY[[#All],[Total Claims Excluded because of Truncation]], AN_TME_PY[[#All],[Insurance Category Code]],1, AN_TME_PY[[#All],[Advanced Network/Insurance Carrier Org ID]],Q145), 2)=ROUND(SUMIFS(AN_TME_PY[[#All],[TOTAL Non-Truncated Unadjusted Claims Expenses]], AN_TME_PY[[#All],[Insurance Category Code]],1, AN_TME_PY[[#All],[Advanced Network/Insurance Carrier Org ID]],Q145), 2)</f>
        <v>1</v>
      </c>
      <c r="AF145" s="283" t="str">
        <f t="shared" si="8"/>
        <v>NA</v>
      </c>
    </row>
    <row r="146" spans="2:32" outlineLevel="1" x14ac:dyDescent="0.25">
      <c r="B146" s="216">
        <v>131</v>
      </c>
      <c r="C146" s="404">
        <f>ROUND(SUMIFS(Age_Sex_BY[[#All],[Total Member Months by Age/Sex Band]], Age_Sex_BY[[#All],[Advanced Network ID]], $B146, Age_Sex_BY[[#All],[Insurance Category Code]],1), 2)</f>
        <v>0</v>
      </c>
      <c r="D146" s="238">
        <f>ROUND(SUMIFS(Age_Sex_BY[[#All],[Total Dollars Excluded from Spending After Applying Truncation at the Member Level]], Age_Sex_BY[[#All],[Advanced Network ID]], $B146, Age_Sex_BY[[#All],[Insurance Category Code]],1), 2)</f>
        <v>0</v>
      </c>
      <c r="E146" s="209">
        <f>ROUND(SUMIFS(Age_Sex_BY[[#All],[Count of Members whose Spending was Truncated]], Age_Sex_BY[[#All],[Advanced Network ID]], $B146, Age_Sex_BY[[#All],[Insurance Category Code]],1),2)</f>
        <v>0</v>
      </c>
      <c r="F146" s="210">
        <f>ROUND(SUMIFS(Age_Sex_BY[[#All],[Total Spending before Truncation is Applied]], Age_Sex_BY[[#All],[Advanced Network ID]], $B146, Age_Sex_BY[[#All],[Insurance Category Code]],1), 2)</f>
        <v>0</v>
      </c>
      <c r="G146" s="212">
        <f>ROUND(SUMIFS(Age_Sex_BY[[#All],[Total Spending After Applying Truncation at the Member Level]], Age_Sex_BY[[#All],[Advanced Network ID]], $B146, Age_Sex_BY[[#All],[Insurance Category Code]],1), 2)</f>
        <v>0</v>
      </c>
      <c r="H146" s="525" t="str">
        <f>IF(ROUND(C146,0)=ROUND(SUMIFS(AN_TME_BY[[#All],[Member Months]], AN_TME_BY[[#All],[Insurance Category Code]],1, AN_TME_BY[[#All],[Advanced Network/Insurance Carrier Org ID]],B146),0), "TRUE", ROUND(C146-SUMIFS(AN_TME_BY[[#All],[Member Months]], AN_TME_BY[[#All],[Insurance Category Code]],1, AN_TME_BY[[#All],[Advanced Network/Insurance Carrier Org ID]],B146),2))</f>
        <v>TRUE</v>
      </c>
      <c r="I146" s="533" t="str">
        <f>IF(ROUND(D146,0)=ROUND(SUMIFS(AN_TME_BY[[#All],[Total Claims Excluded because of Truncation]], AN_TME_BY[[#All],[Insurance Category Code]],1, AN_TME_BY[[#All],[Advanced Network/Insurance Carrier Org ID]],B146),0), "TRUE", ROUND(D146-SUMIFS(AN_TME_BY[[#All],[Total Claims Excluded because of Truncation]], AN_TME_BY[[#All],[Insurance Category Code]],1, AN_TME_BY[[#All],[Advanced Network/Insurance Carrier Org ID]],B146),2))</f>
        <v>TRUE</v>
      </c>
      <c r="J146" s="537" t="str">
        <f>IF(ROUND(E146,0)=ROUND(SUMIFS(AN_TME_BY[[#All],[Count of Members with Claims Truncated]], AN_TME_BY[[#All],[Insurance Category Code]],1, AN_TME_BY[[#All],[Advanced Network/Insurance Carrier Org ID]],B146),0), "TRUE", ROUND(E146-SUMIFS(AN_TME_BY[[#All],[Count of Members with Claims Truncated]], AN_TME_BY[[#All],[Insurance Category Code]],1, AN_TME_BY[[#All],[Advanced Network/Insurance Carrier Org ID]],B146),2))</f>
        <v>TRUE</v>
      </c>
      <c r="K146" s="533" t="str">
        <f>IF(ROUND(F146,0)=ROUND(SUMIFS(AN_TME_BY[[#All],[TOTAL Non-Truncated Unadjusted Claims Expenses]], AN_TME_BY[[#All],[Insurance Category Code]],1, AN_TME_BY[[#All],[Advanced Network/Insurance Carrier Org ID]],B146),0), "TRUE", ROUND(F146-SUMIFS(AN_TME_BY[[#All],[TOTAL Non-Truncated Unadjusted Claims Expenses]], AN_TME_BY[[#All],[Insurance Category Code]],1, AN_TME_BY[[#All],[Advanced Network/Insurance Carrier Org ID]],B146),2))</f>
        <v>TRUE</v>
      </c>
      <c r="L146" s="534" t="str">
        <f>IF(ROUND(G146,0)=ROUND(SUMIFS(AN_TME_BY[[#All],[TOTAL Truncated Unadjusted Claims Expenses (A21 -A19)]], AN_TME_BY[[#All],[Insurance Category Code]],1, AN_TME_BY[[#All],[Advanced Network/Insurance Carrier Org ID]],B146),0), "TRUE", ROUND(G146-SUMIFS(AN_TME_BY[[#All],[TOTAL Truncated Unadjusted Claims Expenses (A21 -A19)]], AN_TME_BY[[#All],[Insurance Category Code]],1, AN_TME_BY[[#All],[Advanced Network/Insurance Carrier Org ID]],B146),2))</f>
        <v>TRUE</v>
      </c>
      <c r="M146" s="525" t="str">
        <f t="shared" si="7"/>
        <v>TRUE</v>
      </c>
      <c r="N146" s="533" t="b">
        <f>ROUND(SUMIFS(AN_TME_BY[[#All],[TOTAL Non-Truncated Unadjusted Claims Expenses]], AN_TME_BY[[#All],[Insurance Category Code]],1, AN_TME_BY[[#All],[Advanced Network/Insurance Carrier Org ID]],B146), 2)&gt;=ROUND(SUMIFS(AN_TME_BY[[#All],[TOTAL Truncated Unadjusted Claims Expenses (A21 -A19)]], AN_TME_BY[[#All],[Insurance Category Code]],1, AN_TME_BY[[#All],[Advanced Network/Insurance Carrier Org ID]],B146),2)</f>
        <v>1</v>
      </c>
      <c r="O146" s="534" t="b">
        <f>ROUND(SUMIFS(AN_TME_BY[[#All],[TOTAL Truncated Unadjusted Claims Expenses (A21 -A19)]], AN_TME_BY[[#All],[Insurance Category Code]],1, AN_TME_BY[[#All],[Advanced Network/Insurance Carrier Org ID]],B146)+SUMIFS(AN_TME_BY[[#All],[Total Claims Excluded because of Truncation]], AN_TME_BY[[#All],[Insurance Category Code]],1, AN_TME_BY[[#All],[Advanced Network/Insurance Carrier Org ID]],B146),2)=ROUND(SUMIFS(AN_TME_BY[[#All],[TOTAL Non-Truncated Unadjusted Claims Expenses]], AN_TME_BY[[#All],[Insurance Category Code]],1, AN_TME_BY[[#All],[Advanced Network/Insurance Carrier Org ID]],B146), 2)</f>
        <v>1</v>
      </c>
      <c r="Q146" s="216">
        <v>131</v>
      </c>
      <c r="R146" s="404">
        <f>ROUND(SUMIFS(Age_Sex_PY[[#All],[Total Member Months by Age/Sex Band]], Age_Sex_PY[[#All],[Advanced Network ID]], $Q146, Age_Sex_PY[[#All],[Insurance Category Code]],1), 2)</f>
        <v>0</v>
      </c>
      <c r="S146" s="238">
        <f>ROUND(SUMIFS(Age_Sex_PY[[#All],[Total Dollars Excluded from Spending After Applying Truncation at the Member Level]], Age_Sex_PY[[#All],[Advanced Network ID]], $B146, Age_Sex_PY[[#All],[Insurance Category Code]],1),2)</f>
        <v>0</v>
      </c>
      <c r="T146" s="209">
        <f>ROUND(SUMIFS(Age_Sex_PY[[#All],[Count of Members whose Spending was Truncated]], Age_Sex_PY[[#All],[Advanced Network ID]], $B146, Age_Sex_PY[[#All],[Insurance Category Code]],1), 2)</f>
        <v>0</v>
      </c>
      <c r="U146" s="210">
        <f>ROUND(SUMIFS(Age_Sex_PY[[#All],[Total Spending before Truncation is Applied]], Age_Sex_PY[[#All],[Advanced Network ID]], $B146, Age_Sex_PY[[#All],[Insurance Category Code]],1), 2)</f>
        <v>0</v>
      </c>
      <c r="V146" s="212">
        <f>ROUND(SUMIFS(Age_Sex_PY[[#All],[Total Spending After Applying Truncation at the Member Level]], Age_Sex_PY[[#All],[Advanced Network ID]], $B146, Age_Sex_PY[[#All],[Insurance Category Code]],1),2)</f>
        <v>0</v>
      </c>
      <c r="W146" s="525" t="str">
        <f>IF(ROUND(R146,0)=ROUND(SUMIFS(AN_TME_PY[[#All],[Member Months]], AN_TME_PY[[#All],[Insurance Category Code]],1, AN_TME_PY[[#All],[Advanced Network/Insurance Carrier Org ID]],Q146),0), "TRUE", ROUND(R146-SUMIFS(AN_TME_PY[[#All],[Member Months]], AN_TME_PY[[#All],[Insurance Category Code]],1, AN_TME_PY[[#All],[Advanced Network/Insurance Carrier Org ID]],Q146),2))</f>
        <v>TRUE</v>
      </c>
      <c r="X146" s="527" t="str">
        <f>IF(ROUND(S146,0)=ROUND(SUMIFS(AN_TME_PY[[#All],[Total Claims Excluded because of Truncation]], AN_TME_PY[[#All],[Insurance Category Code]],1, AN_TME_PY[[#All],[Advanced Network/Insurance Carrier Org ID]],Q146),0), "TRUE", ROUND(S146-SUMIFS(AN_TME_PY[[#All],[Total Claims Excluded because of Truncation]], AN_TME_PY[[#All],[Insurance Category Code]],1, AN_TME_PY[[#All],[Advanced Network/Insurance Carrier Org ID]],Q146),2))</f>
        <v>TRUE</v>
      </c>
      <c r="Y146" s="537" t="str">
        <f>IF(ROUND(T146,0)=ROUND(SUMIFS(AN_TME_PY[[#All],[Count of Members with Claims Truncated]], AN_TME_PY[[#All],[Insurance Category Code]],1, AN_TME_PY[[#All],[Advanced Network/Insurance Carrier Org ID]],Q146),0), "TRUE", ROUND(T146-SUMIFS(AN_TME_PY[[#All],[Count of Members with Claims Truncated]], AN_TME_PY[[#All],[Insurance Category Code]],1, AN_TME_PY[[#All],[Advanced Network/Insurance Carrier Org ID]],Q146),2))</f>
        <v>TRUE</v>
      </c>
      <c r="Z146" s="528" t="str">
        <f>IF(ROUND(U146,0)=ROUND(SUMIFS(AN_TME_PY[[#All],[TOTAL Non-Truncated Unadjusted Claims Expenses]], AN_TME_PY[[#All],[Insurance Category Code]],1, AN_TME_PY[[#All],[Advanced Network/Insurance Carrier Org ID]],Q146),0), "TRUE", ROUND(U146-SUMIFS(AN_TME_PY[[#All],[TOTAL Non-Truncated Unadjusted Claims Expenses]], AN_TME_PY[[#All],[Insurance Category Code]],1, AN_TME_PY[[#All],[Advanced Network/Insurance Carrier Org ID]],Q146),2))</f>
        <v>TRUE</v>
      </c>
      <c r="AA146" s="529" t="str">
        <f>IF(ROUND(V146,0)=ROUND(SUMIFS(AN_TME_PY[[#All],[TOTAL Truncated Unadjusted Claims Expenses (A21 -A19)]], AN_TME_PY[[#All],[Insurance Category Code]],1, AN_TME_PY[[#All],[Advanced Network/Insurance Carrier Org ID]],Q146),0), "TRUE", ROUND(V146-SUMIFS(AN_TME_PY[[#All],[TOTAL Truncated Unadjusted Claims Expenses (A21 -A19)]], AN_TME_PY[[#All],[Insurance Category Code]],1, AN_TME_PY[[#All],[Advanced Network/Insurance Carrier Org ID]],Q146),2))</f>
        <v>TRUE</v>
      </c>
      <c r="AB146" s="525" t="str">
        <f t="shared" si="9"/>
        <v>TRUE</v>
      </c>
      <c r="AC146" s="528" t="b">
        <f>ROUND(SUMIFS(AN_TME_PY[[#All],[TOTAL Non-Truncated Unadjusted Claims Expenses]], AN_TME_PY[[#All],[Insurance Category Code]],1, AN_TME_PY[[#All],[Advanced Network/Insurance Carrier Org ID]],Q146),2)&gt;=ROUND(SUMIFS(AN_TME_PY[[#All],[TOTAL Truncated Unadjusted Claims Expenses (A21 -A19)]], AN_TME_PY[[#All],[Insurance Category Code]],1, AN_TME_PY[[#All],[Advanced Network/Insurance Carrier Org ID]],Q146), 2)</f>
        <v>1</v>
      </c>
      <c r="AD146" s="529" t="b">
        <f>ROUND(SUMIFS(AN_TME_PY[[#All],[TOTAL Truncated Unadjusted Claims Expenses (A21 -A19)]], AN_TME_PY[[#All],[Insurance Category Code]],1, AN_TME_PY[[#All],[Advanced Network/Insurance Carrier Org ID]],Q146)+SUMIFS(AN_TME_PY[[#All],[Total Claims Excluded because of Truncation]], AN_TME_PY[[#All],[Insurance Category Code]],1, AN_TME_PY[[#All],[Advanced Network/Insurance Carrier Org ID]],Q146), 2)=ROUND(SUMIFS(AN_TME_PY[[#All],[TOTAL Non-Truncated Unadjusted Claims Expenses]], AN_TME_PY[[#All],[Insurance Category Code]],1, AN_TME_PY[[#All],[Advanced Network/Insurance Carrier Org ID]],Q146), 2)</f>
        <v>1</v>
      </c>
      <c r="AF146" s="283" t="str">
        <f t="shared" si="8"/>
        <v>NA</v>
      </c>
    </row>
    <row r="147" spans="2:32" outlineLevel="1" x14ac:dyDescent="0.25">
      <c r="B147" s="216">
        <v>132</v>
      </c>
      <c r="C147" s="404">
        <f>ROUND(SUMIFS(Age_Sex_BY[[#All],[Total Member Months by Age/Sex Band]], Age_Sex_BY[[#All],[Advanced Network ID]], $B147, Age_Sex_BY[[#All],[Insurance Category Code]],1), 2)</f>
        <v>0</v>
      </c>
      <c r="D147" s="238">
        <f>ROUND(SUMIFS(Age_Sex_BY[[#All],[Total Dollars Excluded from Spending After Applying Truncation at the Member Level]], Age_Sex_BY[[#All],[Advanced Network ID]], $B147, Age_Sex_BY[[#All],[Insurance Category Code]],1), 2)</f>
        <v>0</v>
      </c>
      <c r="E147" s="209">
        <f>ROUND(SUMIFS(Age_Sex_BY[[#All],[Count of Members whose Spending was Truncated]], Age_Sex_BY[[#All],[Advanced Network ID]], $B147, Age_Sex_BY[[#All],[Insurance Category Code]],1),2)</f>
        <v>0</v>
      </c>
      <c r="F147" s="210">
        <f>ROUND(SUMIFS(Age_Sex_BY[[#All],[Total Spending before Truncation is Applied]], Age_Sex_BY[[#All],[Advanced Network ID]], $B147, Age_Sex_BY[[#All],[Insurance Category Code]],1), 2)</f>
        <v>0</v>
      </c>
      <c r="G147" s="212">
        <f>ROUND(SUMIFS(Age_Sex_BY[[#All],[Total Spending After Applying Truncation at the Member Level]], Age_Sex_BY[[#All],[Advanced Network ID]], $B147, Age_Sex_BY[[#All],[Insurance Category Code]],1), 2)</f>
        <v>0</v>
      </c>
      <c r="H147" s="525" t="str">
        <f>IF(ROUND(C147,0)=ROUND(SUMIFS(AN_TME_BY[[#All],[Member Months]], AN_TME_BY[[#All],[Insurance Category Code]],1, AN_TME_BY[[#All],[Advanced Network/Insurance Carrier Org ID]],B147),0), "TRUE", ROUND(C147-SUMIFS(AN_TME_BY[[#All],[Member Months]], AN_TME_BY[[#All],[Insurance Category Code]],1, AN_TME_BY[[#All],[Advanced Network/Insurance Carrier Org ID]],B147),2))</f>
        <v>TRUE</v>
      </c>
      <c r="I147" s="533" t="str">
        <f>IF(ROUND(D147,0)=ROUND(SUMIFS(AN_TME_BY[[#All],[Total Claims Excluded because of Truncation]], AN_TME_BY[[#All],[Insurance Category Code]],1, AN_TME_BY[[#All],[Advanced Network/Insurance Carrier Org ID]],B147),0), "TRUE", ROUND(D147-SUMIFS(AN_TME_BY[[#All],[Total Claims Excluded because of Truncation]], AN_TME_BY[[#All],[Insurance Category Code]],1, AN_TME_BY[[#All],[Advanced Network/Insurance Carrier Org ID]],B147),2))</f>
        <v>TRUE</v>
      </c>
      <c r="J147" s="537" t="str">
        <f>IF(ROUND(E147,0)=ROUND(SUMIFS(AN_TME_BY[[#All],[Count of Members with Claims Truncated]], AN_TME_BY[[#All],[Insurance Category Code]],1, AN_TME_BY[[#All],[Advanced Network/Insurance Carrier Org ID]],B147),0), "TRUE", ROUND(E147-SUMIFS(AN_TME_BY[[#All],[Count of Members with Claims Truncated]], AN_TME_BY[[#All],[Insurance Category Code]],1, AN_TME_BY[[#All],[Advanced Network/Insurance Carrier Org ID]],B147),2))</f>
        <v>TRUE</v>
      </c>
      <c r="K147" s="533" t="str">
        <f>IF(ROUND(F147,0)=ROUND(SUMIFS(AN_TME_BY[[#All],[TOTAL Non-Truncated Unadjusted Claims Expenses]], AN_TME_BY[[#All],[Insurance Category Code]],1, AN_TME_BY[[#All],[Advanced Network/Insurance Carrier Org ID]],B147),0), "TRUE", ROUND(F147-SUMIFS(AN_TME_BY[[#All],[TOTAL Non-Truncated Unadjusted Claims Expenses]], AN_TME_BY[[#All],[Insurance Category Code]],1, AN_TME_BY[[#All],[Advanced Network/Insurance Carrier Org ID]],B147),2))</f>
        <v>TRUE</v>
      </c>
      <c r="L147" s="534" t="str">
        <f>IF(ROUND(G147,0)=ROUND(SUMIFS(AN_TME_BY[[#All],[TOTAL Truncated Unadjusted Claims Expenses (A21 -A19)]], AN_TME_BY[[#All],[Insurance Category Code]],1, AN_TME_BY[[#All],[Advanced Network/Insurance Carrier Org ID]],B147),0), "TRUE", ROUND(G147-SUMIFS(AN_TME_BY[[#All],[TOTAL Truncated Unadjusted Claims Expenses (A21 -A19)]], AN_TME_BY[[#All],[Insurance Category Code]],1, AN_TME_BY[[#All],[Advanced Network/Insurance Carrier Org ID]],B147),2))</f>
        <v>TRUE</v>
      </c>
      <c r="M147" s="525" t="str">
        <f t="shared" ref="M147:M149" si="10">IF(E147=0, "TRUE",IF((C147/12)&gt;E147,"TRUE",(C147/12)-E147))</f>
        <v>TRUE</v>
      </c>
      <c r="N147" s="533" t="b">
        <f>ROUND(SUMIFS(AN_TME_BY[[#All],[TOTAL Non-Truncated Unadjusted Claims Expenses]], AN_TME_BY[[#All],[Insurance Category Code]],1, AN_TME_BY[[#All],[Advanced Network/Insurance Carrier Org ID]],B147), 2)&gt;=ROUND(SUMIFS(AN_TME_BY[[#All],[TOTAL Truncated Unadjusted Claims Expenses (A21 -A19)]], AN_TME_BY[[#All],[Insurance Category Code]],1, AN_TME_BY[[#All],[Advanced Network/Insurance Carrier Org ID]],B147),2)</f>
        <v>1</v>
      </c>
      <c r="O147" s="534" t="b">
        <f>ROUND(SUMIFS(AN_TME_BY[[#All],[TOTAL Truncated Unadjusted Claims Expenses (A21 -A19)]], AN_TME_BY[[#All],[Insurance Category Code]],1, AN_TME_BY[[#All],[Advanced Network/Insurance Carrier Org ID]],B147)+SUMIFS(AN_TME_BY[[#All],[Total Claims Excluded because of Truncation]], AN_TME_BY[[#All],[Insurance Category Code]],1, AN_TME_BY[[#All],[Advanced Network/Insurance Carrier Org ID]],B147),2)=ROUND(SUMIFS(AN_TME_BY[[#All],[TOTAL Non-Truncated Unadjusted Claims Expenses]], AN_TME_BY[[#All],[Insurance Category Code]],1, AN_TME_BY[[#All],[Advanced Network/Insurance Carrier Org ID]],B147), 2)</f>
        <v>1</v>
      </c>
      <c r="Q147" s="216">
        <v>132</v>
      </c>
      <c r="R147" s="404">
        <f>ROUND(SUMIFS(Age_Sex_PY[[#All],[Total Member Months by Age/Sex Band]], Age_Sex_PY[[#All],[Advanced Network ID]], $Q147, Age_Sex_PY[[#All],[Insurance Category Code]],1), 2)</f>
        <v>0</v>
      </c>
      <c r="S147" s="238">
        <f>ROUND(SUMIFS(Age_Sex_PY[[#All],[Total Dollars Excluded from Spending After Applying Truncation at the Member Level]], Age_Sex_PY[[#All],[Advanced Network ID]], $B147, Age_Sex_PY[[#All],[Insurance Category Code]],1),2)</f>
        <v>0</v>
      </c>
      <c r="T147" s="209">
        <f>ROUND(SUMIFS(Age_Sex_PY[[#All],[Count of Members whose Spending was Truncated]], Age_Sex_PY[[#All],[Advanced Network ID]], $B147, Age_Sex_PY[[#All],[Insurance Category Code]],1), 2)</f>
        <v>0</v>
      </c>
      <c r="U147" s="210">
        <f>ROUND(SUMIFS(Age_Sex_PY[[#All],[Total Spending before Truncation is Applied]], Age_Sex_PY[[#All],[Advanced Network ID]], $B147, Age_Sex_PY[[#All],[Insurance Category Code]],1), 2)</f>
        <v>0</v>
      </c>
      <c r="V147" s="212">
        <f>ROUND(SUMIFS(Age_Sex_PY[[#All],[Total Spending After Applying Truncation at the Member Level]], Age_Sex_PY[[#All],[Advanced Network ID]], $B147, Age_Sex_PY[[#All],[Insurance Category Code]],1),2)</f>
        <v>0</v>
      </c>
      <c r="W147" s="525" t="str">
        <f>IF(ROUND(R147,0)=ROUND(SUMIFS(AN_TME_PY[[#All],[Member Months]], AN_TME_PY[[#All],[Insurance Category Code]],1, AN_TME_PY[[#All],[Advanced Network/Insurance Carrier Org ID]],Q147),0), "TRUE", ROUND(R147-SUMIFS(AN_TME_PY[[#All],[Member Months]], AN_TME_PY[[#All],[Insurance Category Code]],1, AN_TME_PY[[#All],[Advanced Network/Insurance Carrier Org ID]],Q147),2))</f>
        <v>TRUE</v>
      </c>
      <c r="X147" s="527" t="str">
        <f>IF(ROUND(S147,0)=ROUND(SUMIFS(AN_TME_PY[[#All],[Total Claims Excluded because of Truncation]], AN_TME_PY[[#All],[Insurance Category Code]],1, AN_TME_PY[[#All],[Advanced Network/Insurance Carrier Org ID]],Q147),0), "TRUE", ROUND(S147-SUMIFS(AN_TME_PY[[#All],[Total Claims Excluded because of Truncation]], AN_TME_PY[[#All],[Insurance Category Code]],1, AN_TME_PY[[#All],[Advanced Network/Insurance Carrier Org ID]],Q147),2))</f>
        <v>TRUE</v>
      </c>
      <c r="Y147" s="537" t="str">
        <f>IF(ROUND(T147,0)=ROUND(SUMIFS(AN_TME_PY[[#All],[Count of Members with Claims Truncated]], AN_TME_PY[[#All],[Insurance Category Code]],1, AN_TME_PY[[#All],[Advanced Network/Insurance Carrier Org ID]],Q147),0), "TRUE", ROUND(T147-SUMIFS(AN_TME_PY[[#All],[Count of Members with Claims Truncated]], AN_TME_PY[[#All],[Insurance Category Code]],1, AN_TME_PY[[#All],[Advanced Network/Insurance Carrier Org ID]],Q147),2))</f>
        <v>TRUE</v>
      </c>
      <c r="Z147" s="528" t="str">
        <f>IF(ROUND(U147,0)=ROUND(SUMIFS(AN_TME_PY[[#All],[TOTAL Non-Truncated Unadjusted Claims Expenses]], AN_TME_PY[[#All],[Insurance Category Code]],1, AN_TME_PY[[#All],[Advanced Network/Insurance Carrier Org ID]],Q147),0), "TRUE", ROUND(U147-SUMIFS(AN_TME_PY[[#All],[TOTAL Non-Truncated Unadjusted Claims Expenses]], AN_TME_PY[[#All],[Insurance Category Code]],1, AN_TME_PY[[#All],[Advanced Network/Insurance Carrier Org ID]],Q147),2))</f>
        <v>TRUE</v>
      </c>
      <c r="AA147" s="529" t="str">
        <f>IF(ROUND(V147,0)=ROUND(SUMIFS(AN_TME_PY[[#All],[TOTAL Truncated Unadjusted Claims Expenses (A21 -A19)]], AN_TME_PY[[#All],[Insurance Category Code]],1, AN_TME_PY[[#All],[Advanced Network/Insurance Carrier Org ID]],Q147),0), "TRUE", ROUND(V147-SUMIFS(AN_TME_PY[[#All],[TOTAL Truncated Unadjusted Claims Expenses (A21 -A19)]], AN_TME_PY[[#All],[Insurance Category Code]],1, AN_TME_PY[[#All],[Advanced Network/Insurance Carrier Org ID]],Q147),2))</f>
        <v>TRUE</v>
      </c>
      <c r="AB147" s="525" t="str">
        <f t="shared" ref="AB147:AB149" si="11">IF(T147=0,"TRUE",IF((R147/12)&gt;T147,"TRUE",ROUND(((R147/12)-T147),2)))</f>
        <v>TRUE</v>
      </c>
      <c r="AC147" s="528" t="b">
        <f>ROUND(SUMIFS(AN_TME_PY[[#All],[TOTAL Non-Truncated Unadjusted Claims Expenses]], AN_TME_PY[[#All],[Insurance Category Code]],1, AN_TME_PY[[#All],[Advanced Network/Insurance Carrier Org ID]],Q147),2)&gt;=ROUND(SUMIFS(AN_TME_PY[[#All],[TOTAL Truncated Unadjusted Claims Expenses (A21 -A19)]], AN_TME_PY[[#All],[Insurance Category Code]],1, AN_TME_PY[[#All],[Advanced Network/Insurance Carrier Org ID]],Q147), 2)</f>
        <v>1</v>
      </c>
      <c r="AD147" s="529" t="b">
        <f>ROUND(SUMIFS(AN_TME_PY[[#All],[TOTAL Truncated Unadjusted Claims Expenses (A21 -A19)]], AN_TME_PY[[#All],[Insurance Category Code]],1, AN_TME_PY[[#All],[Advanced Network/Insurance Carrier Org ID]],Q147)+SUMIFS(AN_TME_PY[[#All],[Total Claims Excluded because of Truncation]], AN_TME_PY[[#All],[Insurance Category Code]],1, AN_TME_PY[[#All],[Advanced Network/Insurance Carrier Org ID]],Q147), 2)=ROUND(SUMIFS(AN_TME_PY[[#All],[TOTAL Non-Truncated Unadjusted Claims Expenses]], AN_TME_PY[[#All],[Insurance Category Code]],1, AN_TME_PY[[#All],[Advanced Network/Insurance Carrier Org ID]],Q147), 2)</f>
        <v>1</v>
      </c>
      <c r="AF147" s="283" t="str">
        <f t="shared" ref="AF147:AF149" si="12">IFERROR(R147/C147-1, "NA")</f>
        <v>NA</v>
      </c>
    </row>
    <row r="148" spans="2:32" outlineLevel="1" x14ac:dyDescent="0.25">
      <c r="B148" s="216">
        <v>133</v>
      </c>
      <c r="C148" s="404">
        <f>ROUND(SUMIFS(Age_Sex_BY[[#All],[Total Member Months by Age/Sex Band]], Age_Sex_BY[[#All],[Advanced Network ID]], $B148, Age_Sex_BY[[#All],[Insurance Category Code]],1), 2)</f>
        <v>0</v>
      </c>
      <c r="D148" s="238">
        <f>ROUND(SUMIFS(Age_Sex_BY[[#All],[Total Dollars Excluded from Spending After Applying Truncation at the Member Level]], Age_Sex_BY[[#All],[Advanced Network ID]], $B148, Age_Sex_BY[[#All],[Insurance Category Code]],1), 2)</f>
        <v>0</v>
      </c>
      <c r="E148" s="209">
        <f>ROUND(SUMIFS(Age_Sex_BY[[#All],[Count of Members whose Spending was Truncated]], Age_Sex_BY[[#All],[Advanced Network ID]], $B148, Age_Sex_BY[[#All],[Insurance Category Code]],1),2)</f>
        <v>0</v>
      </c>
      <c r="F148" s="210">
        <f>ROUND(SUMIFS(Age_Sex_BY[[#All],[Total Spending before Truncation is Applied]], Age_Sex_BY[[#All],[Advanced Network ID]], $B148, Age_Sex_BY[[#All],[Insurance Category Code]],1), 2)</f>
        <v>0</v>
      </c>
      <c r="G148" s="212">
        <f>ROUND(SUMIFS(Age_Sex_BY[[#All],[Total Spending After Applying Truncation at the Member Level]], Age_Sex_BY[[#All],[Advanced Network ID]], $B148, Age_Sex_BY[[#All],[Insurance Category Code]],1), 2)</f>
        <v>0</v>
      </c>
      <c r="H148" s="525" t="str">
        <f>IF(ROUND(C148,0)=ROUND(SUMIFS(AN_TME_BY[[#All],[Member Months]], AN_TME_BY[[#All],[Insurance Category Code]],1, AN_TME_BY[[#All],[Advanced Network/Insurance Carrier Org ID]],B148),0), "TRUE", ROUND(C148-SUMIFS(AN_TME_BY[[#All],[Member Months]], AN_TME_BY[[#All],[Insurance Category Code]],1, AN_TME_BY[[#All],[Advanced Network/Insurance Carrier Org ID]],B148),2))</f>
        <v>TRUE</v>
      </c>
      <c r="I148" s="533" t="str">
        <f>IF(ROUND(D148,0)=ROUND(SUMIFS(AN_TME_BY[[#All],[Total Claims Excluded because of Truncation]], AN_TME_BY[[#All],[Insurance Category Code]],1, AN_TME_BY[[#All],[Advanced Network/Insurance Carrier Org ID]],B148),0), "TRUE", ROUND(D148-SUMIFS(AN_TME_BY[[#All],[Total Claims Excluded because of Truncation]], AN_TME_BY[[#All],[Insurance Category Code]],1, AN_TME_BY[[#All],[Advanced Network/Insurance Carrier Org ID]],B148),2))</f>
        <v>TRUE</v>
      </c>
      <c r="J148" s="537" t="str">
        <f>IF(ROUND(E148,0)=ROUND(SUMIFS(AN_TME_BY[[#All],[Count of Members with Claims Truncated]], AN_TME_BY[[#All],[Insurance Category Code]],1, AN_TME_BY[[#All],[Advanced Network/Insurance Carrier Org ID]],B148),0), "TRUE", ROUND(E148-SUMIFS(AN_TME_BY[[#All],[Count of Members with Claims Truncated]], AN_TME_BY[[#All],[Insurance Category Code]],1, AN_TME_BY[[#All],[Advanced Network/Insurance Carrier Org ID]],B148),2))</f>
        <v>TRUE</v>
      </c>
      <c r="K148" s="533" t="str">
        <f>IF(ROUND(F148,0)=ROUND(SUMIFS(AN_TME_BY[[#All],[TOTAL Non-Truncated Unadjusted Claims Expenses]], AN_TME_BY[[#All],[Insurance Category Code]],1, AN_TME_BY[[#All],[Advanced Network/Insurance Carrier Org ID]],B148),0), "TRUE", ROUND(F148-SUMIFS(AN_TME_BY[[#All],[TOTAL Non-Truncated Unadjusted Claims Expenses]], AN_TME_BY[[#All],[Insurance Category Code]],1, AN_TME_BY[[#All],[Advanced Network/Insurance Carrier Org ID]],B148),2))</f>
        <v>TRUE</v>
      </c>
      <c r="L148" s="534" t="str">
        <f>IF(ROUND(G148,0)=ROUND(SUMIFS(AN_TME_BY[[#All],[TOTAL Truncated Unadjusted Claims Expenses (A21 -A19)]], AN_TME_BY[[#All],[Insurance Category Code]],1, AN_TME_BY[[#All],[Advanced Network/Insurance Carrier Org ID]],B148),0), "TRUE", ROUND(G148-SUMIFS(AN_TME_BY[[#All],[TOTAL Truncated Unadjusted Claims Expenses (A21 -A19)]], AN_TME_BY[[#All],[Insurance Category Code]],1, AN_TME_BY[[#All],[Advanced Network/Insurance Carrier Org ID]],B148),2))</f>
        <v>TRUE</v>
      </c>
      <c r="M148" s="525" t="str">
        <f t="shared" si="10"/>
        <v>TRUE</v>
      </c>
      <c r="N148" s="533" t="b">
        <f>ROUND(SUMIFS(AN_TME_BY[[#All],[TOTAL Non-Truncated Unadjusted Claims Expenses]], AN_TME_BY[[#All],[Insurance Category Code]],1, AN_TME_BY[[#All],[Advanced Network/Insurance Carrier Org ID]],B148), 2)&gt;=ROUND(SUMIFS(AN_TME_BY[[#All],[TOTAL Truncated Unadjusted Claims Expenses (A21 -A19)]], AN_TME_BY[[#All],[Insurance Category Code]],1, AN_TME_BY[[#All],[Advanced Network/Insurance Carrier Org ID]],B148),2)</f>
        <v>1</v>
      </c>
      <c r="O148" s="534" t="b">
        <f>ROUND(SUMIFS(AN_TME_BY[[#All],[TOTAL Truncated Unadjusted Claims Expenses (A21 -A19)]], AN_TME_BY[[#All],[Insurance Category Code]],1, AN_TME_BY[[#All],[Advanced Network/Insurance Carrier Org ID]],B148)+SUMIFS(AN_TME_BY[[#All],[Total Claims Excluded because of Truncation]], AN_TME_BY[[#All],[Insurance Category Code]],1, AN_TME_BY[[#All],[Advanced Network/Insurance Carrier Org ID]],B148),2)=ROUND(SUMIFS(AN_TME_BY[[#All],[TOTAL Non-Truncated Unadjusted Claims Expenses]], AN_TME_BY[[#All],[Insurance Category Code]],1, AN_TME_BY[[#All],[Advanced Network/Insurance Carrier Org ID]],B148), 2)</f>
        <v>1</v>
      </c>
      <c r="Q148" s="216">
        <v>133</v>
      </c>
      <c r="R148" s="404">
        <f>ROUND(SUMIFS(Age_Sex_PY[[#All],[Total Member Months by Age/Sex Band]], Age_Sex_PY[[#All],[Advanced Network ID]], $Q148, Age_Sex_PY[[#All],[Insurance Category Code]],1), 2)</f>
        <v>0</v>
      </c>
      <c r="S148" s="238">
        <f>ROUND(SUMIFS(Age_Sex_PY[[#All],[Total Dollars Excluded from Spending After Applying Truncation at the Member Level]], Age_Sex_PY[[#All],[Advanced Network ID]], $B148, Age_Sex_PY[[#All],[Insurance Category Code]],1),2)</f>
        <v>0</v>
      </c>
      <c r="T148" s="209">
        <f>ROUND(SUMIFS(Age_Sex_PY[[#All],[Count of Members whose Spending was Truncated]], Age_Sex_PY[[#All],[Advanced Network ID]], $B148, Age_Sex_PY[[#All],[Insurance Category Code]],1), 2)</f>
        <v>0</v>
      </c>
      <c r="U148" s="210">
        <f>ROUND(SUMIFS(Age_Sex_PY[[#All],[Total Spending before Truncation is Applied]], Age_Sex_PY[[#All],[Advanced Network ID]], $B148, Age_Sex_PY[[#All],[Insurance Category Code]],1), 2)</f>
        <v>0</v>
      </c>
      <c r="V148" s="212">
        <f>ROUND(SUMIFS(Age_Sex_PY[[#All],[Total Spending After Applying Truncation at the Member Level]], Age_Sex_PY[[#All],[Advanced Network ID]], $B148, Age_Sex_PY[[#All],[Insurance Category Code]],1),2)</f>
        <v>0</v>
      </c>
      <c r="W148" s="525" t="str">
        <f>IF(ROUND(R148,0)=ROUND(SUMIFS(AN_TME_PY[[#All],[Member Months]], AN_TME_PY[[#All],[Insurance Category Code]],1, AN_TME_PY[[#All],[Advanced Network/Insurance Carrier Org ID]],Q148),0), "TRUE", ROUND(R148-SUMIFS(AN_TME_PY[[#All],[Member Months]], AN_TME_PY[[#All],[Insurance Category Code]],1, AN_TME_PY[[#All],[Advanced Network/Insurance Carrier Org ID]],Q148),2))</f>
        <v>TRUE</v>
      </c>
      <c r="X148" s="527" t="str">
        <f>IF(ROUND(S148,0)=ROUND(SUMIFS(AN_TME_PY[[#All],[Total Claims Excluded because of Truncation]], AN_TME_PY[[#All],[Insurance Category Code]],1, AN_TME_PY[[#All],[Advanced Network/Insurance Carrier Org ID]],Q148),0), "TRUE", ROUND(S148-SUMIFS(AN_TME_PY[[#All],[Total Claims Excluded because of Truncation]], AN_TME_PY[[#All],[Insurance Category Code]],1, AN_TME_PY[[#All],[Advanced Network/Insurance Carrier Org ID]],Q148),2))</f>
        <v>TRUE</v>
      </c>
      <c r="Y148" s="537" t="str">
        <f>IF(ROUND(T148,0)=ROUND(SUMIFS(AN_TME_PY[[#All],[Count of Members with Claims Truncated]], AN_TME_PY[[#All],[Insurance Category Code]],1, AN_TME_PY[[#All],[Advanced Network/Insurance Carrier Org ID]],Q148),0), "TRUE", ROUND(T148-SUMIFS(AN_TME_PY[[#All],[Count of Members with Claims Truncated]], AN_TME_PY[[#All],[Insurance Category Code]],1, AN_TME_PY[[#All],[Advanced Network/Insurance Carrier Org ID]],Q148),2))</f>
        <v>TRUE</v>
      </c>
      <c r="Z148" s="528" t="str">
        <f>IF(ROUND(U148,0)=ROUND(SUMIFS(AN_TME_PY[[#All],[TOTAL Non-Truncated Unadjusted Claims Expenses]], AN_TME_PY[[#All],[Insurance Category Code]],1, AN_TME_PY[[#All],[Advanced Network/Insurance Carrier Org ID]],Q148),0), "TRUE", ROUND(U148-SUMIFS(AN_TME_PY[[#All],[TOTAL Non-Truncated Unadjusted Claims Expenses]], AN_TME_PY[[#All],[Insurance Category Code]],1, AN_TME_PY[[#All],[Advanced Network/Insurance Carrier Org ID]],Q148),2))</f>
        <v>TRUE</v>
      </c>
      <c r="AA148" s="529" t="str">
        <f>IF(ROUND(V148,0)=ROUND(SUMIFS(AN_TME_PY[[#All],[TOTAL Truncated Unadjusted Claims Expenses (A21 -A19)]], AN_TME_PY[[#All],[Insurance Category Code]],1, AN_TME_PY[[#All],[Advanced Network/Insurance Carrier Org ID]],Q148),0), "TRUE", ROUND(V148-SUMIFS(AN_TME_PY[[#All],[TOTAL Truncated Unadjusted Claims Expenses (A21 -A19)]], AN_TME_PY[[#All],[Insurance Category Code]],1, AN_TME_PY[[#All],[Advanced Network/Insurance Carrier Org ID]],Q148),2))</f>
        <v>TRUE</v>
      </c>
      <c r="AB148" s="525" t="str">
        <f t="shared" si="11"/>
        <v>TRUE</v>
      </c>
      <c r="AC148" s="528" t="b">
        <f>ROUND(SUMIFS(AN_TME_PY[[#All],[TOTAL Non-Truncated Unadjusted Claims Expenses]], AN_TME_PY[[#All],[Insurance Category Code]],1, AN_TME_PY[[#All],[Advanced Network/Insurance Carrier Org ID]],Q148),2)&gt;=ROUND(SUMIFS(AN_TME_PY[[#All],[TOTAL Truncated Unadjusted Claims Expenses (A21 -A19)]], AN_TME_PY[[#All],[Insurance Category Code]],1, AN_TME_PY[[#All],[Advanced Network/Insurance Carrier Org ID]],Q148), 2)</f>
        <v>1</v>
      </c>
      <c r="AD148" s="529" t="b">
        <f>ROUND(SUMIFS(AN_TME_PY[[#All],[TOTAL Truncated Unadjusted Claims Expenses (A21 -A19)]], AN_TME_PY[[#All],[Insurance Category Code]],1, AN_TME_PY[[#All],[Advanced Network/Insurance Carrier Org ID]],Q148)+SUMIFS(AN_TME_PY[[#All],[Total Claims Excluded because of Truncation]], AN_TME_PY[[#All],[Insurance Category Code]],1, AN_TME_PY[[#All],[Advanced Network/Insurance Carrier Org ID]],Q148), 2)=ROUND(SUMIFS(AN_TME_PY[[#All],[TOTAL Non-Truncated Unadjusted Claims Expenses]], AN_TME_PY[[#All],[Insurance Category Code]],1, AN_TME_PY[[#All],[Advanced Network/Insurance Carrier Org ID]],Q148), 2)</f>
        <v>1</v>
      </c>
      <c r="AF148" s="283" t="str">
        <f t="shared" si="12"/>
        <v>NA</v>
      </c>
    </row>
    <row r="149" spans="2:32" outlineLevel="1" x14ac:dyDescent="0.25">
      <c r="B149" s="216">
        <v>134</v>
      </c>
      <c r="C149" s="404">
        <f>ROUND(SUMIFS(Age_Sex_BY[[#All],[Total Member Months by Age/Sex Band]], Age_Sex_BY[[#All],[Advanced Network ID]], $B149, Age_Sex_BY[[#All],[Insurance Category Code]],1), 2)</f>
        <v>0</v>
      </c>
      <c r="D149" s="238">
        <f>ROUND(SUMIFS(Age_Sex_BY[[#All],[Total Dollars Excluded from Spending After Applying Truncation at the Member Level]], Age_Sex_BY[[#All],[Advanced Network ID]], $B149, Age_Sex_BY[[#All],[Insurance Category Code]],1), 2)</f>
        <v>0</v>
      </c>
      <c r="E149" s="209">
        <f>ROUND(SUMIFS(Age_Sex_BY[[#All],[Count of Members whose Spending was Truncated]], Age_Sex_BY[[#All],[Advanced Network ID]], $B149, Age_Sex_BY[[#All],[Insurance Category Code]],1),2)</f>
        <v>0</v>
      </c>
      <c r="F149" s="210">
        <f>ROUND(SUMIFS(Age_Sex_BY[[#All],[Total Spending before Truncation is Applied]], Age_Sex_BY[[#All],[Advanced Network ID]], $B149, Age_Sex_BY[[#All],[Insurance Category Code]],1), 2)</f>
        <v>0</v>
      </c>
      <c r="G149" s="212">
        <f>ROUND(SUMIFS(Age_Sex_BY[[#All],[Total Spending After Applying Truncation at the Member Level]], Age_Sex_BY[[#All],[Advanced Network ID]], $B149, Age_Sex_BY[[#All],[Insurance Category Code]],1), 2)</f>
        <v>0</v>
      </c>
      <c r="H149" s="525" t="str">
        <f>IF(ROUND(C149,0)=ROUND(SUMIFS(AN_TME_BY[[#All],[Member Months]], AN_TME_BY[[#All],[Insurance Category Code]],1, AN_TME_BY[[#All],[Advanced Network/Insurance Carrier Org ID]],B149),0), "TRUE", ROUND(C149-SUMIFS(AN_TME_BY[[#All],[Member Months]], AN_TME_BY[[#All],[Insurance Category Code]],1, AN_TME_BY[[#All],[Advanced Network/Insurance Carrier Org ID]],B149),2))</f>
        <v>TRUE</v>
      </c>
      <c r="I149" s="533" t="str">
        <f>IF(ROUND(D149,0)=ROUND(SUMIFS(AN_TME_BY[[#All],[Total Claims Excluded because of Truncation]], AN_TME_BY[[#All],[Insurance Category Code]],1, AN_TME_BY[[#All],[Advanced Network/Insurance Carrier Org ID]],B149),0), "TRUE", ROUND(D149-SUMIFS(AN_TME_BY[[#All],[Total Claims Excluded because of Truncation]], AN_TME_BY[[#All],[Insurance Category Code]],1, AN_TME_BY[[#All],[Advanced Network/Insurance Carrier Org ID]],B149),2))</f>
        <v>TRUE</v>
      </c>
      <c r="J149" s="537" t="str">
        <f>IF(ROUND(E149,0)=ROUND(SUMIFS(AN_TME_BY[[#All],[Count of Members with Claims Truncated]], AN_TME_BY[[#All],[Insurance Category Code]],1, AN_TME_BY[[#All],[Advanced Network/Insurance Carrier Org ID]],B149),0), "TRUE", ROUND(E149-SUMIFS(AN_TME_BY[[#All],[Count of Members with Claims Truncated]], AN_TME_BY[[#All],[Insurance Category Code]],1, AN_TME_BY[[#All],[Advanced Network/Insurance Carrier Org ID]],B149),2))</f>
        <v>TRUE</v>
      </c>
      <c r="K149" s="533" t="str">
        <f>IF(ROUND(F149,0)=ROUND(SUMIFS(AN_TME_BY[[#All],[TOTAL Non-Truncated Unadjusted Claims Expenses]], AN_TME_BY[[#All],[Insurance Category Code]],1, AN_TME_BY[[#All],[Advanced Network/Insurance Carrier Org ID]],B149),0), "TRUE", ROUND(F149-SUMIFS(AN_TME_BY[[#All],[TOTAL Non-Truncated Unadjusted Claims Expenses]], AN_TME_BY[[#All],[Insurance Category Code]],1, AN_TME_BY[[#All],[Advanced Network/Insurance Carrier Org ID]],B149),2))</f>
        <v>TRUE</v>
      </c>
      <c r="L149" s="534" t="str">
        <f>IF(ROUND(G149,0)=ROUND(SUMIFS(AN_TME_BY[[#All],[TOTAL Truncated Unadjusted Claims Expenses (A21 -A19)]], AN_TME_BY[[#All],[Insurance Category Code]],1, AN_TME_BY[[#All],[Advanced Network/Insurance Carrier Org ID]],B149),0), "TRUE", ROUND(G149-SUMIFS(AN_TME_BY[[#All],[TOTAL Truncated Unadjusted Claims Expenses (A21 -A19)]], AN_TME_BY[[#All],[Insurance Category Code]],1, AN_TME_BY[[#All],[Advanced Network/Insurance Carrier Org ID]],B149),2))</f>
        <v>TRUE</v>
      </c>
      <c r="M149" s="525" t="str">
        <f t="shared" si="10"/>
        <v>TRUE</v>
      </c>
      <c r="N149" s="533" t="b">
        <f>ROUND(SUMIFS(AN_TME_BY[[#All],[TOTAL Non-Truncated Unadjusted Claims Expenses]], AN_TME_BY[[#All],[Insurance Category Code]],1, AN_TME_BY[[#All],[Advanced Network/Insurance Carrier Org ID]],B149), 2)&gt;=ROUND(SUMIFS(AN_TME_BY[[#All],[TOTAL Truncated Unadjusted Claims Expenses (A21 -A19)]], AN_TME_BY[[#All],[Insurance Category Code]],1, AN_TME_BY[[#All],[Advanced Network/Insurance Carrier Org ID]],B149),2)</f>
        <v>1</v>
      </c>
      <c r="O149" s="534" t="b">
        <f>ROUND(SUMIFS(AN_TME_BY[[#All],[TOTAL Truncated Unadjusted Claims Expenses (A21 -A19)]], AN_TME_BY[[#All],[Insurance Category Code]],1, AN_TME_BY[[#All],[Advanced Network/Insurance Carrier Org ID]],B149)+SUMIFS(AN_TME_BY[[#All],[Total Claims Excluded because of Truncation]], AN_TME_BY[[#All],[Insurance Category Code]],1, AN_TME_BY[[#All],[Advanced Network/Insurance Carrier Org ID]],B149),2)=ROUND(SUMIFS(AN_TME_BY[[#All],[TOTAL Non-Truncated Unadjusted Claims Expenses]], AN_TME_BY[[#All],[Insurance Category Code]],1, AN_TME_BY[[#All],[Advanced Network/Insurance Carrier Org ID]],B149), 2)</f>
        <v>1</v>
      </c>
      <c r="Q149" s="216">
        <v>134</v>
      </c>
      <c r="R149" s="404">
        <f>ROUND(SUMIFS(Age_Sex_PY[[#All],[Total Member Months by Age/Sex Band]], Age_Sex_PY[[#All],[Advanced Network ID]], $Q149, Age_Sex_PY[[#All],[Insurance Category Code]],1), 2)</f>
        <v>0</v>
      </c>
      <c r="S149" s="238">
        <f>ROUND(SUMIFS(Age_Sex_PY[[#All],[Total Dollars Excluded from Spending After Applying Truncation at the Member Level]], Age_Sex_PY[[#All],[Advanced Network ID]], $B149, Age_Sex_PY[[#All],[Insurance Category Code]],1),2)</f>
        <v>0</v>
      </c>
      <c r="T149" s="209">
        <f>ROUND(SUMIFS(Age_Sex_PY[[#All],[Count of Members whose Spending was Truncated]], Age_Sex_PY[[#All],[Advanced Network ID]], $B149, Age_Sex_PY[[#All],[Insurance Category Code]],1), 2)</f>
        <v>0</v>
      </c>
      <c r="U149" s="210">
        <f>ROUND(SUMIFS(Age_Sex_PY[[#All],[Total Spending before Truncation is Applied]], Age_Sex_PY[[#All],[Advanced Network ID]], $B149, Age_Sex_PY[[#All],[Insurance Category Code]],1), 2)</f>
        <v>0</v>
      </c>
      <c r="V149" s="212">
        <f>ROUND(SUMIFS(Age_Sex_PY[[#All],[Total Spending After Applying Truncation at the Member Level]], Age_Sex_PY[[#All],[Advanced Network ID]], $B149, Age_Sex_PY[[#All],[Insurance Category Code]],1),2)</f>
        <v>0</v>
      </c>
      <c r="W149" s="525" t="str">
        <f>IF(ROUND(R149,0)=ROUND(SUMIFS(AN_TME_PY[[#All],[Member Months]], AN_TME_PY[[#All],[Insurance Category Code]],1, AN_TME_PY[[#All],[Advanced Network/Insurance Carrier Org ID]],Q149),0), "TRUE", ROUND(R149-SUMIFS(AN_TME_PY[[#All],[Member Months]], AN_TME_PY[[#All],[Insurance Category Code]],1, AN_TME_PY[[#All],[Advanced Network/Insurance Carrier Org ID]],Q149),2))</f>
        <v>TRUE</v>
      </c>
      <c r="X149" s="527" t="str">
        <f>IF(ROUND(S149,0)=ROUND(SUMIFS(AN_TME_PY[[#All],[Total Claims Excluded because of Truncation]], AN_TME_PY[[#All],[Insurance Category Code]],1, AN_TME_PY[[#All],[Advanced Network/Insurance Carrier Org ID]],Q149),0), "TRUE", ROUND(S149-SUMIFS(AN_TME_PY[[#All],[Total Claims Excluded because of Truncation]], AN_TME_PY[[#All],[Insurance Category Code]],1, AN_TME_PY[[#All],[Advanced Network/Insurance Carrier Org ID]],Q149),2))</f>
        <v>TRUE</v>
      </c>
      <c r="Y149" s="537" t="str">
        <f>IF(ROUND(T149,0)=ROUND(SUMIFS(AN_TME_PY[[#All],[Count of Members with Claims Truncated]], AN_TME_PY[[#All],[Insurance Category Code]],1, AN_TME_PY[[#All],[Advanced Network/Insurance Carrier Org ID]],Q149),0), "TRUE", ROUND(T149-SUMIFS(AN_TME_PY[[#All],[Count of Members with Claims Truncated]], AN_TME_PY[[#All],[Insurance Category Code]],1, AN_TME_PY[[#All],[Advanced Network/Insurance Carrier Org ID]],Q149),2))</f>
        <v>TRUE</v>
      </c>
      <c r="Z149" s="528" t="str">
        <f>IF(ROUND(U149,0)=ROUND(SUMIFS(AN_TME_PY[[#All],[TOTAL Non-Truncated Unadjusted Claims Expenses]], AN_TME_PY[[#All],[Insurance Category Code]],1, AN_TME_PY[[#All],[Advanced Network/Insurance Carrier Org ID]],Q149),0), "TRUE", ROUND(U149-SUMIFS(AN_TME_PY[[#All],[TOTAL Non-Truncated Unadjusted Claims Expenses]], AN_TME_PY[[#All],[Insurance Category Code]],1, AN_TME_PY[[#All],[Advanced Network/Insurance Carrier Org ID]],Q149),2))</f>
        <v>TRUE</v>
      </c>
      <c r="AA149" s="529" t="str">
        <f>IF(ROUND(V149,0)=ROUND(SUMIFS(AN_TME_PY[[#All],[TOTAL Truncated Unadjusted Claims Expenses (A21 -A19)]], AN_TME_PY[[#All],[Insurance Category Code]],1, AN_TME_PY[[#All],[Advanced Network/Insurance Carrier Org ID]],Q149),0), "TRUE", ROUND(V149-SUMIFS(AN_TME_PY[[#All],[TOTAL Truncated Unadjusted Claims Expenses (A21 -A19)]], AN_TME_PY[[#All],[Insurance Category Code]],1, AN_TME_PY[[#All],[Advanced Network/Insurance Carrier Org ID]],Q149),2))</f>
        <v>TRUE</v>
      </c>
      <c r="AB149" s="525" t="str">
        <f t="shared" si="11"/>
        <v>TRUE</v>
      </c>
      <c r="AC149" s="528" t="b">
        <f>ROUND(SUMIFS(AN_TME_PY[[#All],[TOTAL Non-Truncated Unadjusted Claims Expenses]], AN_TME_PY[[#All],[Insurance Category Code]],1, AN_TME_PY[[#All],[Advanced Network/Insurance Carrier Org ID]],Q149),2)&gt;=ROUND(SUMIFS(AN_TME_PY[[#All],[TOTAL Truncated Unadjusted Claims Expenses (A21 -A19)]], AN_TME_PY[[#All],[Insurance Category Code]],1, AN_TME_PY[[#All],[Advanced Network/Insurance Carrier Org ID]],Q149), 2)</f>
        <v>1</v>
      </c>
      <c r="AD149" s="529" t="b">
        <f>ROUND(SUMIFS(AN_TME_PY[[#All],[TOTAL Truncated Unadjusted Claims Expenses (A21 -A19)]], AN_TME_PY[[#All],[Insurance Category Code]],1, AN_TME_PY[[#All],[Advanced Network/Insurance Carrier Org ID]],Q149)+SUMIFS(AN_TME_PY[[#All],[Total Claims Excluded because of Truncation]], AN_TME_PY[[#All],[Insurance Category Code]],1, AN_TME_PY[[#All],[Advanced Network/Insurance Carrier Org ID]],Q149), 2)=ROUND(SUMIFS(AN_TME_PY[[#All],[TOTAL Non-Truncated Unadjusted Claims Expenses]], AN_TME_PY[[#All],[Insurance Category Code]],1, AN_TME_PY[[#All],[Advanced Network/Insurance Carrier Org ID]],Q149), 2)</f>
        <v>1</v>
      </c>
      <c r="AF149" s="283" t="str">
        <f t="shared" si="12"/>
        <v>NA</v>
      </c>
    </row>
    <row r="150" spans="2:32" ht="15.75" outlineLevel="1" thickBot="1" x14ac:dyDescent="0.3">
      <c r="B150" s="217">
        <v>999</v>
      </c>
      <c r="C150" s="405">
        <f>ROUND(SUMIFS(Age_Sex_BY[[#All],[Total Member Months by Age/Sex Band]], Age_Sex_BY[[#All],[Advanced Network ID]], $B150, Age_Sex_BY[[#All],[Insurance Category Code]],1), 2)</f>
        <v>0</v>
      </c>
      <c r="D150" s="240">
        <f>ROUND(SUMIFS(Age_Sex_BY[[#All],[Total Dollars Excluded from Spending After Applying Truncation at the Member Level]], Age_Sex_BY[[#All],[Advanced Network ID]], $B150, Age_Sex_BY[[#All],[Insurance Category Code]],1), 2)</f>
        <v>0</v>
      </c>
      <c r="E150" s="213">
        <f>ROUND(SUMIFS(Age_Sex_BY[[#All],[Count of Members whose Spending was Truncated]], Age_Sex_BY[[#All],[Advanced Network ID]], $B150, Age_Sex_BY[[#All],[Insurance Category Code]],1),2)</f>
        <v>0</v>
      </c>
      <c r="F150" s="214">
        <f>ROUND(SUMIFS(Age_Sex_BY[[#All],[Total Spending before Truncation is Applied]], Age_Sex_BY[[#All],[Advanced Network ID]], $B150, Age_Sex_BY[[#All],[Insurance Category Code]],1), 2)</f>
        <v>0</v>
      </c>
      <c r="G150" s="215">
        <f>ROUND(SUMIFS(Age_Sex_BY[[#All],[Total Spending After Applying Truncation at the Member Level]], Age_Sex_BY[[#All],[Advanced Network ID]], $B150, Age_Sex_BY[[#All],[Insurance Category Code]],1), 2)</f>
        <v>0</v>
      </c>
      <c r="H150" s="526" t="str">
        <f>IF(ROUND(C150,0)=ROUND(SUMIFS(AN_TME_BY[[#All],[Member Months]], AN_TME_BY[[#All],[Insurance Category Code]],1, AN_TME_BY[[#All],[Advanced Network/Insurance Carrier Org ID]],B150),0), "TRUE", ROUND(C150-SUMIFS(AN_TME_BY[[#All],[Member Months]], AN_TME_BY[[#All],[Insurance Category Code]],1, AN_TME_BY[[#All],[Advanced Network/Insurance Carrier Org ID]],B150),2))</f>
        <v>TRUE</v>
      </c>
      <c r="I150" s="535" t="str">
        <f>IF(ROUND(D150,0)=ROUND(SUMIFS(AN_TME_BY[[#All],[Total Claims Excluded because of Truncation]], AN_TME_BY[[#All],[Insurance Category Code]],1, AN_TME_BY[[#All],[Advanced Network/Insurance Carrier Org ID]],B150),0), "TRUE", ROUND(D150-SUMIFS(AN_TME_BY[[#All],[Total Claims Excluded because of Truncation]], AN_TME_BY[[#All],[Insurance Category Code]],1, AN_TME_BY[[#All],[Advanced Network/Insurance Carrier Org ID]],B150),2))</f>
        <v>TRUE</v>
      </c>
      <c r="J150" s="538" t="str">
        <f>IF(ROUND(E150,0)=ROUND(SUMIFS(AN_TME_BY[[#All],[Count of Members with Claims Truncated]], AN_TME_BY[[#All],[Insurance Category Code]],1, AN_TME_BY[[#All],[Advanced Network/Insurance Carrier Org ID]],B150),0), "TRUE", ROUND(E150-SUMIFS(AN_TME_BY[[#All],[Count of Members with Claims Truncated]], AN_TME_BY[[#All],[Insurance Category Code]],1, AN_TME_BY[[#All],[Advanced Network/Insurance Carrier Org ID]],B150),2))</f>
        <v>TRUE</v>
      </c>
      <c r="K150" s="535" t="str">
        <f>IF(ROUND(F150,0)=ROUND(SUMIFS(AN_TME_BY[[#All],[TOTAL Non-Truncated Unadjusted Claims Expenses]], AN_TME_BY[[#All],[Insurance Category Code]],1, AN_TME_BY[[#All],[Advanced Network/Insurance Carrier Org ID]],B150),0), "TRUE", ROUND(F150-SUMIFS(AN_TME_BY[[#All],[TOTAL Non-Truncated Unadjusted Claims Expenses]], AN_TME_BY[[#All],[Insurance Category Code]],1, AN_TME_BY[[#All],[Advanced Network/Insurance Carrier Org ID]],B150),2))</f>
        <v>TRUE</v>
      </c>
      <c r="L150" s="536" t="str">
        <f>IF(ROUND(G150,0)=ROUND(SUMIFS(AN_TME_BY[[#All],[TOTAL Truncated Unadjusted Claims Expenses (A21 -A19)]], AN_TME_BY[[#All],[Insurance Category Code]],1, AN_TME_BY[[#All],[Advanced Network/Insurance Carrier Org ID]],B150),0), "TRUE", ROUND(G150-SUMIFS(AN_TME_BY[[#All],[TOTAL Truncated Unadjusted Claims Expenses (A21 -A19)]], AN_TME_BY[[#All],[Insurance Category Code]],1, AN_TME_BY[[#All],[Advanced Network/Insurance Carrier Org ID]],B150),2))</f>
        <v>TRUE</v>
      </c>
      <c r="M150" s="526" t="str">
        <f t="shared" ref="M150" si="13">IF(E150=0, "TRUE",IF((C150/12)&gt;E150,"TRUE",(C150/12)-E150))</f>
        <v>TRUE</v>
      </c>
      <c r="N150" s="535" t="b">
        <f>ROUND(SUMIFS(AN_TME_BY[[#All],[TOTAL Non-Truncated Unadjusted Claims Expenses]], AN_TME_BY[[#All],[Insurance Category Code]],1, AN_TME_BY[[#All],[Advanced Network/Insurance Carrier Org ID]],B150), 2)&gt;=ROUND(SUMIFS(AN_TME_BY[[#All],[TOTAL Truncated Unadjusted Claims Expenses (A21 -A19)]], AN_TME_BY[[#All],[Insurance Category Code]],1, AN_TME_BY[[#All],[Advanced Network/Insurance Carrier Org ID]],B150),2)</f>
        <v>1</v>
      </c>
      <c r="O150" s="536" t="b">
        <f>ROUND(SUMIFS(AN_TME_BY[[#All],[TOTAL Truncated Unadjusted Claims Expenses (A21 -A19)]], AN_TME_BY[[#All],[Insurance Category Code]],1, AN_TME_BY[[#All],[Advanced Network/Insurance Carrier Org ID]],B150)+SUMIFS(AN_TME_BY[[#All],[Total Claims Excluded because of Truncation]], AN_TME_BY[[#All],[Insurance Category Code]],1, AN_TME_BY[[#All],[Advanced Network/Insurance Carrier Org ID]],B150),2)=ROUND(SUMIFS(AN_TME_BY[[#All],[TOTAL Non-Truncated Unadjusted Claims Expenses]], AN_TME_BY[[#All],[Insurance Category Code]],1, AN_TME_BY[[#All],[Advanced Network/Insurance Carrier Org ID]],B150), 2)</f>
        <v>1</v>
      </c>
      <c r="Q150" s="217">
        <v>999</v>
      </c>
      <c r="R150" s="405">
        <f>ROUND(SUMIFS(Age_Sex_PY[[#All],[Total Member Months by Age/Sex Band]], Age_Sex_PY[[#All],[Advanced Network ID]], $Q150, Age_Sex_PY[[#All],[Insurance Category Code]],1), 2)</f>
        <v>0</v>
      </c>
      <c r="S150" s="240">
        <f>ROUND(SUMIFS(Age_Sex_PY[[#All],[Total Dollars Excluded from Spending After Applying Truncation at the Member Level]], Age_Sex_PY[[#All],[Advanced Network ID]], $B150, Age_Sex_PY[[#All],[Insurance Category Code]],1),2)</f>
        <v>0</v>
      </c>
      <c r="T150" s="213">
        <f>ROUND(SUMIFS(Age_Sex_PY[[#All],[Count of Members whose Spending was Truncated]], Age_Sex_PY[[#All],[Advanced Network ID]], $B150, Age_Sex_PY[[#All],[Insurance Category Code]],1), 2)</f>
        <v>0</v>
      </c>
      <c r="U150" s="214">
        <f>ROUND(SUMIFS(Age_Sex_PY[[#All],[Total Spending before Truncation is Applied]], Age_Sex_PY[[#All],[Advanced Network ID]], $B150, Age_Sex_PY[[#All],[Insurance Category Code]],1), 2)</f>
        <v>0</v>
      </c>
      <c r="V150" s="215">
        <f>ROUND(SUMIFS(Age_Sex_PY[[#All],[Total Spending After Applying Truncation at the Member Level]], Age_Sex_PY[[#All],[Advanced Network ID]], $B150, Age_Sex_PY[[#All],[Insurance Category Code]],1),2)</f>
        <v>0</v>
      </c>
      <c r="W150" s="526" t="str">
        <f>IF(ROUND(R150,0)=ROUND(SUMIFS(AN_TME_PY[[#All],[Member Months]], AN_TME_PY[[#All],[Insurance Category Code]],1, AN_TME_PY[[#All],[Advanced Network/Insurance Carrier Org ID]],Q150),0), "TRUE", ROUND(R150-SUMIFS(AN_TME_PY[[#All],[Member Months]], AN_TME_PY[[#All],[Insurance Category Code]],1, AN_TME_PY[[#All],[Advanced Network/Insurance Carrier Org ID]],Q150),2))</f>
        <v>TRUE</v>
      </c>
      <c r="X150" s="530" t="str">
        <f>IF(ROUND(S150,0)=ROUND(SUMIFS(AN_TME_PY[[#All],[Total Claims Excluded because of Truncation]], AN_TME_PY[[#All],[Insurance Category Code]],1, AN_TME_PY[[#All],[Advanced Network/Insurance Carrier Org ID]],Q150),0), "TRUE", ROUND(S150-SUMIFS(AN_TME_PY[[#All],[Total Claims Excluded because of Truncation]], AN_TME_PY[[#All],[Insurance Category Code]],1, AN_TME_PY[[#All],[Advanced Network/Insurance Carrier Org ID]],Q150),2))</f>
        <v>TRUE</v>
      </c>
      <c r="Y150" s="538" t="str">
        <f>IF(ROUND(T150,0)=ROUND(SUMIFS(AN_TME_PY[[#All],[Count of Members with Claims Truncated]], AN_TME_PY[[#All],[Insurance Category Code]],1, AN_TME_PY[[#All],[Advanced Network/Insurance Carrier Org ID]],Q150),0), "TRUE", ROUND(T150-SUMIFS(AN_TME_PY[[#All],[Count of Members with Claims Truncated]], AN_TME_PY[[#All],[Insurance Category Code]],1, AN_TME_PY[[#All],[Advanced Network/Insurance Carrier Org ID]],Q150),2))</f>
        <v>TRUE</v>
      </c>
      <c r="Z150" s="531" t="str">
        <f>IF(ROUND(U150,0)=ROUND(SUMIFS(AN_TME_PY[[#All],[TOTAL Non-Truncated Unadjusted Claims Expenses]], AN_TME_PY[[#All],[Insurance Category Code]],1, AN_TME_PY[[#All],[Advanced Network/Insurance Carrier Org ID]],Q150),0), "TRUE", ROUND(U150-SUMIFS(AN_TME_PY[[#All],[TOTAL Non-Truncated Unadjusted Claims Expenses]], AN_TME_PY[[#All],[Insurance Category Code]],1, AN_TME_PY[[#All],[Advanced Network/Insurance Carrier Org ID]],Q150),2))</f>
        <v>TRUE</v>
      </c>
      <c r="AA150" s="532" t="str">
        <f>IF(ROUND(V150,0)=ROUND(SUMIFS(AN_TME_PY[[#All],[TOTAL Truncated Unadjusted Claims Expenses (A21 -A19)]], AN_TME_PY[[#All],[Insurance Category Code]],1, AN_TME_PY[[#All],[Advanced Network/Insurance Carrier Org ID]],Q150),0), "TRUE", ROUND(V150-SUMIFS(AN_TME_PY[[#All],[TOTAL Truncated Unadjusted Claims Expenses (A21 -A19)]], AN_TME_PY[[#All],[Insurance Category Code]],1, AN_TME_PY[[#All],[Advanced Network/Insurance Carrier Org ID]],Q150),2))</f>
        <v>TRUE</v>
      </c>
      <c r="AB150" s="526" t="str">
        <f t="shared" si="9"/>
        <v>TRUE</v>
      </c>
      <c r="AC150" s="531" t="b">
        <f>ROUND(SUMIFS(AN_TME_PY[[#All],[TOTAL Non-Truncated Unadjusted Claims Expenses]], AN_TME_PY[[#All],[Insurance Category Code]],1, AN_TME_PY[[#All],[Advanced Network/Insurance Carrier Org ID]],Q150),2)&gt;=ROUND(SUMIFS(AN_TME_PY[[#All],[TOTAL Truncated Unadjusted Claims Expenses (A21 -A19)]], AN_TME_PY[[#All],[Insurance Category Code]],1, AN_TME_PY[[#All],[Advanced Network/Insurance Carrier Org ID]],Q150), 2)</f>
        <v>1</v>
      </c>
      <c r="AD150" s="532" t="b">
        <f>ROUND(SUMIFS(AN_TME_PY[[#All],[TOTAL Truncated Unadjusted Claims Expenses (A21 -A19)]], AN_TME_PY[[#All],[Insurance Category Code]],1, AN_TME_PY[[#All],[Advanced Network/Insurance Carrier Org ID]],Q150)+SUMIFS(AN_TME_PY[[#All],[Total Claims Excluded because of Truncation]], AN_TME_PY[[#All],[Insurance Category Code]],1, AN_TME_PY[[#All],[Advanced Network/Insurance Carrier Org ID]],Q150), 2)=ROUND(SUMIFS(AN_TME_PY[[#All],[TOTAL Non-Truncated Unadjusted Claims Expenses]], AN_TME_PY[[#All],[Insurance Category Code]],1, AN_TME_PY[[#All],[Advanced Network/Insurance Carrier Org ID]],Q150), 2)</f>
        <v>1</v>
      </c>
      <c r="AF150" s="284" t="str">
        <f t="shared" si="8"/>
        <v>NA</v>
      </c>
    </row>
    <row r="151" spans="2:32" outlineLevel="1" x14ac:dyDescent="0.25">
      <c r="B151" s="211"/>
      <c r="C151" s="14"/>
      <c r="D151" s="113"/>
      <c r="L151" s="211"/>
      <c r="M151" s="211"/>
      <c r="N151" s="211"/>
      <c r="O151" s="211"/>
    </row>
    <row r="152" spans="2:32" outlineLevel="1" x14ac:dyDescent="0.25">
      <c r="B152" s="318" t="s">
        <v>384</v>
      </c>
      <c r="C152" s="14"/>
      <c r="D152" s="113"/>
      <c r="L152" s="211"/>
      <c r="M152" s="211"/>
      <c r="N152" s="211"/>
      <c r="O152" s="211"/>
      <c r="Q152" s="318" t="s">
        <v>384</v>
      </c>
    </row>
    <row r="153" spans="2:32" ht="19.5" outlineLevel="1" thickBot="1" x14ac:dyDescent="0.35">
      <c r="B153" s="249"/>
      <c r="C153" s="211"/>
      <c r="D153" s="14"/>
      <c r="E153" s="113"/>
      <c r="Q153" s="249"/>
      <c r="R153" s="211"/>
      <c r="S153" s="14"/>
      <c r="T153" s="113"/>
    </row>
    <row r="154" spans="2:32" ht="24" outlineLevel="1" thickBot="1" x14ac:dyDescent="0.4">
      <c r="B154" s="269" t="s">
        <v>416</v>
      </c>
      <c r="C154" s="640" t="s">
        <v>402</v>
      </c>
      <c r="D154" s="641"/>
      <c r="E154" s="641"/>
      <c r="F154" s="641"/>
      <c r="G154" s="642"/>
      <c r="H154" s="643" t="s">
        <v>403</v>
      </c>
      <c r="I154" s="644"/>
      <c r="J154" s="644"/>
      <c r="K154" s="644"/>
      <c r="L154" s="645"/>
      <c r="M154" s="637" t="s">
        <v>404</v>
      </c>
      <c r="N154" s="638"/>
      <c r="O154" s="639"/>
      <c r="Q154" s="269"/>
      <c r="R154" s="640" t="s">
        <v>405</v>
      </c>
      <c r="S154" s="641"/>
      <c r="T154" s="641"/>
      <c r="U154" s="641"/>
      <c r="V154" s="642"/>
      <c r="W154" s="643" t="s">
        <v>406</v>
      </c>
      <c r="X154" s="644"/>
      <c r="Y154" s="644"/>
      <c r="Z154" s="644"/>
      <c r="AA154" s="645"/>
      <c r="AB154" s="637" t="s">
        <v>404</v>
      </c>
      <c r="AC154" s="638"/>
      <c r="AD154" s="639"/>
    </row>
    <row r="155" spans="2:32" ht="91.5" customHeight="1" outlineLevel="1" thickBot="1" x14ac:dyDescent="0.3">
      <c r="B155" s="259" t="s">
        <v>247</v>
      </c>
      <c r="C155" s="260" t="s">
        <v>156</v>
      </c>
      <c r="D155" s="261" t="s">
        <v>248</v>
      </c>
      <c r="E155" s="261" t="s">
        <v>407</v>
      </c>
      <c r="F155" s="261" t="s">
        <v>157</v>
      </c>
      <c r="G155" s="262" t="s">
        <v>159</v>
      </c>
      <c r="H155" s="263" t="s">
        <v>212</v>
      </c>
      <c r="I155" s="264" t="s">
        <v>408</v>
      </c>
      <c r="J155" s="264" t="s">
        <v>409</v>
      </c>
      <c r="K155" s="264" t="s">
        <v>410</v>
      </c>
      <c r="L155" s="265" t="s">
        <v>411</v>
      </c>
      <c r="M155" s="266" t="s">
        <v>412</v>
      </c>
      <c r="N155" s="267" t="s">
        <v>413</v>
      </c>
      <c r="O155" s="268" t="s">
        <v>414</v>
      </c>
      <c r="Q155" s="259" t="s">
        <v>247</v>
      </c>
      <c r="R155" s="260" t="s">
        <v>156</v>
      </c>
      <c r="S155" s="261" t="s">
        <v>248</v>
      </c>
      <c r="T155" s="261" t="s">
        <v>407</v>
      </c>
      <c r="U155" s="261" t="s">
        <v>157</v>
      </c>
      <c r="V155" s="262" t="s">
        <v>159</v>
      </c>
      <c r="W155" s="263" t="s">
        <v>212</v>
      </c>
      <c r="X155" s="264" t="s">
        <v>408</v>
      </c>
      <c r="Y155" s="264" t="s">
        <v>409</v>
      </c>
      <c r="Z155" s="264" t="s">
        <v>410</v>
      </c>
      <c r="AA155" s="265" t="s">
        <v>411</v>
      </c>
      <c r="AB155" s="266" t="s">
        <v>412</v>
      </c>
      <c r="AC155" s="267" t="s">
        <v>413</v>
      </c>
      <c r="AD155" s="268" t="s">
        <v>414</v>
      </c>
      <c r="AF155" s="274" t="s">
        <v>415</v>
      </c>
    </row>
    <row r="156" spans="2:32" outlineLevel="1" x14ac:dyDescent="0.25">
      <c r="B156" s="216">
        <v>100</v>
      </c>
      <c r="C156" s="404">
        <f>ROUND(SUMIFS(Age_Sex_BY[[#All],[Total Member Months by Age/Sex Band]], Age_Sex_BY[[#All],[Advanced Network ID]], $B156, Age_Sex_BY[[#All],[Insurance Category Code]],2),2)</f>
        <v>0</v>
      </c>
      <c r="D156" s="238">
        <f>ROUND(SUMIFS(Age_Sex_BY[[#All],[Total Dollars Excluded from Spending After Applying Truncation at the Member Level]], Age_Sex_BY[[#All],[Advanced Network ID]], $B156, Age_Sex_BY[[#All],[Insurance Category Code]],2),2)</f>
        <v>0</v>
      </c>
      <c r="E156" s="209">
        <f>ROUND(SUMIFS(Age_Sex_BY[[#All],[Count of Members whose Spending was Truncated]], Age_Sex_BY[[#All],[Advanced Network ID]], $B156, Age_Sex_BY[[#All],[Insurance Category Code]],2),2)</f>
        <v>0</v>
      </c>
      <c r="F156" s="210">
        <f>ROUND(SUMIFS(Age_Sex_BY[[#All],[Total Spending before Truncation is Applied]], Age_Sex_BY[[#All],[Advanced Network ID]], $B156, Age_Sex_BY[[#All],[Insurance Category Code]],2),2)</f>
        <v>0</v>
      </c>
      <c r="G156" s="212">
        <f>ROUND(SUMIFS(Age_Sex_BY[[#All],[Total Spending After Applying Truncation at the Member Level]], Age_Sex_BY[[#All],[Advanced Network ID]], $B156, Age_Sex_BY[[#All],[Insurance Category Code]],2),2)</f>
        <v>0</v>
      </c>
      <c r="H156" s="525" t="str">
        <f>IF(ROUND(C156,0)=ROUND(SUMIFS(AN_TME_BY[[#All],[Member Months]], AN_TME_BY[[#All],[Insurance Category Code]],2, AN_TME_BY[[#All],[Advanced Network/Insurance Carrier Org ID]],B156),0), "TRUE", ROUND(C156-SUMIFS(AN_TME_BY[[#All],[Member Months]], AN_TME_BY[[#All],[Insurance Category Code]],2, AN_TME_BY[[#All],[Advanced Network/Insurance Carrier Org ID]],B156),2))</f>
        <v>TRUE</v>
      </c>
      <c r="I156" s="533" t="str">
        <f>IF(ROUND(D156,0)=ROUND(SUMIFS(AN_TME_BY[[#All],[Total Claims Excluded because of Truncation]], AN_TME_BY[[#All],[Insurance Category Code]],2, AN_TME_BY[[#All],[Advanced Network/Insurance Carrier Org ID]],B156),0), "TRUE", ROUND(D156-SUMIFS(AN_TME_BY[[#All],[Total Claims Excluded because of Truncation]], AN_TME_BY[[#All],[Insurance Category Code]],2, AN_TME_BY[[#All],[Advanced Network/Insurance Carrier Org ID]],B156),2))</f>
        <v>TRUE</v>
      </c>
      <c r="J156" s="537" t="str">
        <f>IF(ROUND(E156,0)=ROUND(SUMIFS(AN_TME_BY[[#All],[Count of Members with Claims Truncated]], AN_TME_BY[[#All],[Insurance Category Code]],2, AN_TME_BY[[#All],[Advanced Network/Insurance Carrier Org ID]],B156),0), "TRUE", ROUND(E156-SUMIFS(AN_TME_BY[[#All],[Count of Members with Claims Truncated]], AN_TME_BY[[#All],[Insurance Category Code]],2, AN_TME_BY[[#All],[Advanced Network/Insurance Carrier Org ID]],B156),2))</f>
        <v>TRUE</v>
      </c>
      <c r="K156" s="533" t="str">
        <f>IF(ROUND(F156,0)=ROUND(SUMIFS(AN_TME_BY[[#All],[TOTAL Non-Truncated Unadjusted Claims Expenses]], AN_TME_BY[[#All],[Insurance Category Code]],2, AN_TME_BY[[#All],[Advanced Network/Insurance Carrier Org ID]],B156),0), "TRUE", ROUND(F156-SUMIFS(AN_TME_BY[[#All],[TOTAL Non-Truncated Unadjusted Claims Expenses]], AN_TME_BY[[#All],[Insurance Category Code]],2, AN_TME_BY[[#All],[Advanced Network/Insurance Carrier Org ID]],B156),2))</f>
        <v>TRUE</v>
      </c>
      <c r="L156" s="534" t="str">
        <f>IF(ROUND(G156,0)=ROUND(SUMIFS(AN_TME_BY[[#All],[TOTAL Truncated Unadjusted Claims Expenses (A21 -A19)]], AN_TME_BY[[#All],[Insurance Category Code]],2, AN_TME_BY[[#All],[Advanced Network/Insurance Carrier Org ID]],B156),0), "TRUE", ROUND(G156-SUMIFS(AN_TME_BY[[#All],[TOTAL Truncated Unadjusted Claims Expenses (A21 -A19)]], AN_TME_BY[[#All],[Insurance Category Code]],2, AN_TME_BY[[#All],[Advanced Network/Insurance Carrier Org ID]],B156),2))</f>
        <v>TRUE</v>
      </c>
      <c r="M156" s="525" t="str">
        <f t="shared" ref="M156:M187" si="14">IF(E156=0, "TRUE",IF((C156/12)&gt;E156,"TRUE",(C156/12)-E156))</f>
        <v>TRUE</v>
      </c>
      <c r="N156" s="533" t="b">
        <f>ROUND(SUMIFS(AN_TME_BY[[#All],[TOTAL Non-Truncated Unadjusted Claims Expenses]], AN_TME_BY[[#All],[Insurance Category Code]],2, AN_TME_BY[[#All],[Advanced Network/Insurance Carrier Org ID]],B156),2)&gt;=ROUND(SUMIFS(AN_TME_BY[[#All],[TOTAL Truncated Unadjusted Claims Expenses (A21 -A19)]], AN_TME_BY[[#All],[Insurance Category Code]],2, AN_TME_BY[[#All],[Advanced Network/Insurance Carrier Org ID]],B156), 2)</f>
        <v>1</v>
      </c>
      <c r="O156" s="534" t="b">
        <f>ROUND(SUMIFS(AN_TME_BY[[#All],[TOTAL Truncated Unadjusted Claims Expenses (A21 -A19)]], AN_TME_BY[[#All],[Insurance Category Code]],2, AN_TME_BY[[#All],[Advanced Network/Insurance Carrier Org ID]],B156)+SUMIFS(AN_TME_BY[[#All],[Total Claims Excluded because of Truncation]], AN_TME_BY[[#All],[Insurance Category Code]],2, AN_TME_BY[[#All],[Advanced Network/Insurance Carrier Org ID]],B156),2)=ROUND(SUMIFS(AN_TME_BY[[#All],[TOTAL Non-Truncated Unadjusted Claims Expenses]], AN_TME_BY[[#All],[Insurance Category Code]],2, AN_TME_BY[[#All],[Advanced Network/Insurance Carrier Org ID]],B156), 2)</f>
        <v>1</v>
      </c>
      <c r="Q156" s="216">
        <v>100</v>
      </c>
      <c r="R156" s="404">
        <f>ROUND(SUMIFS(Age_Sex_PY[[#All],[Total Member Months by Age/Sex Band]], Age_Sex_PY[[#All],[Advanced Network ID]], $Q156, Age_Sex_PY[[#All],[Insurance Category Code]],2),2)</f>
        <v>0</v>
      </c>
      <c r="S156" s="238">
        <f>ROUND(SUMIFS(Age_Sex_PY[[#All],[Total Dollars Excluded from Spending After Applying Truncation at the Member Level]], Age_Sex_PY[[#All],[Advanced Network ID]], $B156, Age_Sex_PY[[#All],[Insurance Category Code]],2),2)</f>
        <v>0</v>
      </c>
      <c r="T156" s="209">
        <f>ROUND(SUMIFS(Age_Sex_PY[[#All],[Count of Members whose Spending was Truncated]], Age_Sex_PY[[#All],[Advanced Network ID]], $B156, Age_Sex_PY[[#All],[Insurance Category Code]],2),2)</f>
        <v>0</v>
      </c>
      <c r="U156" s="210">
        <f>ROUND(SUMIFS(Age_Sex_PY[[#All],[Total Spending before Truncation is Applied]], Age_Sex_PY[[#All],[Advanced Network ID]], $B156, Age_Sex_PY[[#All],[Insurance Category Code]],2),2)</f>
        <v>0</v>
      </c>
      <c r="V156" s="212">
        <f>ROUND(SUMIFS(Age_Sex_PY[[#All],[Total Spending After Applying Truncation at the Member Level]], Age_Sex_PY[[#All],[Advanced Network ID]], $B156, Age_Sex_PY[[#All],[Insurance Category Code]],2), 2)</f>
        <v>0</v>
      </c>
      <c r="W156" s="525" t="str">
        <f>IF(ROUND(R156,0)=ROUND(SUMIFS(AN_TME_PY[[#All],[Member Months]], AN_TME_PY[[#All],[Insurance Category Code]],2, AN_TME_PY[[#All],[Advanced Network/Insurance Carrier Org ID]],Q156),0), "TRUE", ROUND(R156-SUMIFS(AN_TME_PY[[#All],[Member Months]], AN_TME_PY[[#All],[Insurance Category Code]],2, AN_TME_PY[[#All],[Advanced Network/Insurance Carrier Org ID]],Q156),2))</f>
        <v>TRUE</v>
      </c>
      <c r="X156" s="527" t="str">
        <f>IF(ROUND(S156,0)=ROUND(SUMIFS(AN_TME_PY[[#All],[Total Claims Excluded because of Truncation]], AN_TME_PY[[#All],[Insurance Category Code]],2, AN_TME_PY[[#All],[Advanced Network/Insurance Carrier Org ID]],Q156),0), "TRUE", ROUND(S156-SUMIFS(AN_TME_PY[[#All],[Total Claims Excluded because of Truncation]], AN_TME_PY[[#All],[Insurance Category Code]],2, AN_TME_PY[[#All],[Advanced Network/Insurance Carrier Org ID]],Q156),2))</f>
        <v>TRUE</v>
      </c>
      <c r="Y156" s="537" t="str">
        <f>IF(ROUND(T156,0)=ROUND(SUMIFS(AN_TME_PY[[#All],[Count of Members with Claims Truncated]], AN_TME_PY[[#All],[Insurance Category Code]],2, AN_TME_PY[[#All],[Advanced Network/Insurance Carrier Org ID]],Q156),0), "TRUE", ROUND(T156-SUMIFS(AN_TME_PY[[#All],[Count of Members with Claims Truncated]], AN_TME_PY[[#All],[Insurance Category Code]],2, AN_TME_PY[[#All],[Advanced Network/Insurance Carrier Org ID]],Q156),2))</f>
        <v>TRUE</v>
      </c>
      <c r="Z156" s="528" t="str">
        <f>IF(ROUND(U156,0)=ROUND(SUMIFS(AN_TME_PY[[#All],[TOTAL Non-Truncated Unadjusted Claims Expenses]], AN_TME_PY[[#All],[Insurance Category Code]],2, AN_TME_PY[[#All],[Advanced Network/Insurance Carrier Org ID]],Q156),0), "TRUE", ROUND(U156-SUMIFS(AN_TME_PY[[#All],[TOTAL Non-Truncated Unadjusted Claims Expenses]], AN_TME_PY[[#All],[Insurance Category Code]],2, AN_TME_PY[[#All],[Advanced Network/Insurance Carrier Org ID]],Q156),2))</f>
        <v>TRUE</v>
      </c>
      <c r="AA156" s="529" t="str">
        <f>IF(ROUND(V156,0)=ROUND(SUMIFS(AN_TME_PY[[#All],[TOTAL Truncated Unadjusted Claims Expenses (A21 -A19)]], AN_TME_PY[[#All],[Insurance Category Code]],2, AN_TME_PY[[#All],[Advanced Network/Insurance Carrier Org ID]],Q156),0), "TRUE", ROUND(V156-SUMIFS(AN_TME_PY[[#All],[TOTAL Truncated Unadjusted Claims Expenses (A21 -A19)]], AN_TME_PY[[#All],[Insurance Category Code]],2, AN_TME_PY[[#All],[Advanced Network/Insurance Carrier Org ID]],Q156),2))</f>
        <v>TRUE</v>
      </c>
      <c r="AB156" s="525" t="str">
        <f>IF(T156=0, "TRUE",IF((R156/12)&gt;T156,"TRUE",ROUND((R156/12)-T156,2)))</f>
        <v>TRUE</v>
      </c>
      <c r="AC156" s="528" t="b">
        <f>ROUND(SUMIFS(AN_TME_PY[[#All],[TOTAL Non-Truncated Unadjusted Claims Expenses]], AN_TME_PY[[#All],[Insurance Category Code]],2, AN_TME_PY[[#All],[Advanced Network/Insurance Carrier Org ID]],Q156),2)&gt;=ROUND(SUMIFS(AN_TME_PY[[#All],[TOTAL Truncated Unadjusted Claims Expenses (A21 -A19)]], AN_TME_PY[[#All],[Insurance Category Code]],2, AN_TME_PY[[#All],[Advanced Network/Insurance Carrier Org ID]],Q156),2)</f>
        <v>1</v>
      </c>
      <c r="AD156" s="529" t="b">
        <f>ROUND(SUMIFS(AN_TME_PY[[#All],[TOTAL Truncated Unadjusted Claims Expenses (A21 -A19)]], AN_TME_PY[[#All],[Insurance Category Code]],2, AN_TME_PY[[#All],[Advanced Network/Insurance Carrier Org ID]],Q156)+SUMIFS(AN_TME_PY[[#All],[Total Claims Excluded because of Truncation]], AN_TME_PY[[#All],[Insurance Category Code]],2, AN_TME_PY[[#All],[Advanced Network/Insurance Carrier Org ID]],Q156), 2)=ROUND(SUMIFS(AN_TME_PY[[#All],[TOTAL Non-Truncated Unadjusted Claims Expenses]], AN_TME_PY[[#All],[Insurance Category Code]],2, AN_TME_PY[[#All],[Advanced Network/Insurance Carrier Org ID]],Q156),2)</f>
        <v>1</v>
      </c>
      <c r="AF156" s="282" t="str">
        <f t="shared" ref="AF156:AF191" si="15">IFERROR(R156/C156-1, "NA")</f>
        <v>NA</v>
      </c>
    </row>
    <row r="157" spans="2:32" outlineLevel="1" x14ac:dyDescent="0.25">
      <c r="B157" s="216">
        <v>101</v>
      </c>
      <c r="C157" s="404">
        <f>ROUND(SUMIFS(Age_Sex_BY[[#All],[Total Member Months by Age/Sex Band]], Age_Sex_BY[[#All],[Advanced Network ID]], $B157, Age_Sex_BY[[#All],[Insurance Category Code]],2),2)</f>
        <v>0</v>
      </c>
      <c r="D157" s="238">
        <f>ROUND(SUMIFS(Age_Sex_BY[[#All],[Total Dollars Excluded from Spending After Applying Truncation at the Member Level]], Age_Sex_BY[[#All],[Advanced Network ID]], $B157, Age_Sex_BY[[#All],[Insurance Category Code]],2),2)</f>
        <v>0</v>
      </c>
      <c r="E157" s="209">
        <f>ROUND(SUMIFS(Age_Sex_BY[[#All],[Count of Members whose Spending was Truncated]], Age_Sex_BY[[#All],[Advanced Network ID]], $B157, Age_Sex_BY[[#All],[Insurance Category Code]],2),2)</f>
        <v>0</v>
      </c>
      <c r="F157" s="210">
        <f>ROUND(SUMIFS(Age_Sex_BY[[#All],[Total Spending before Truncation is Applied]], Age_Sex_BY[[#All],[Advanced Network ID]], $B157, Age_Sex_BY[[#All],[Insurance Category Code]],2),2)</f>
        <v>0</v>
      </c>
      <c r="G157" s="212">
        <f>ROUND(SUMIFS(Age_Sex_BY[[#All],[Total Spending After Applying Truncation at the Member Level]], Age_Sex_BY[[#All],[Advanced Network ID]], $B157, Age_Sex_BY[[#All],[Insurance Category Code]],2),2)</f>
        <v>0</v>
      </c>
      <c r="H157" s="525" t="str">
        <f>IF(ROUND(C157,0)=ROUND(SUMIFS(AN_TME_BY[[#All],[Member Months]], AN_TME_BY[[#All],[Insurance Category Code]],2, AN_TME_BY[[#All],[Advanced Network/Insurance Carrier Org ID]],B157),0), "TRUE", ROUND(C157-SUMIFS(AN_TME_BY[[#All],[Member Months]], AN_TME_BY[[#All],[Insurance Category Code]],2, AN_TME_BY[[#All],[Advanced Network/Insurance Carrier Org ID]],B157),2))</f>
        <v>TRUE</v>
      </c>
      <c r="I157" s="533" t="str">
        <f>IF(ROUND(D157,0)=ROUND(SUMIFS(AN_TME_BY[[#All],[Total Claims Excluded because of Truncation]], AN_TME_BY[[#All],[Insurance Category Code]],2, AN_TME_BY[[#All],[Advanced Network/Insurance Carrier Org ID]],B157),0), "TRUE", ROUND(D157-SUMIFS(AN_TME_BY[[#All],[Total Claims Excluded because of Truncation]], AN_TME_BY[[#All],[Insurance Category Code]],2, AN_TME_BY[[#All],[Advanced Network/Insurance Carrier Org ID]],B157),2))</f>
        <v>TRUE</v>
      </c>
      <c r="J157" s="537" t="str">
        <f>IF(ROUND(E157,0)=ROUND(SUMIFS(AN_TME_BY[[#All],[Count of Members with Claims Truncated]], AN_TME_BY[[#All],[Insurance Category Code]],2, AN_TME_BY[[#All],[Advanced Network/Insurance Carrier Org ID]],B157),0), "TRUE", ROUND(E157-SUMIFS(AN_TME_BY[[#All],[Count of Members with Claims Truncated]], AN_TME_BY[[#All],[Insurance Category Code]],2, AN_TME_BY[[#All],[Advanced Network/Insurance Carrier Org ID]],B157),2))</f>
        <v>TRUE</v>
      </c>
      <c r="K157" s="533" t="str">
        <f>IF(ROUND(F157,0)=ROUND(SUMIFS(AN_TME_BY[[#All],[TOTAL Non-Truncated Unadjusted Claims Expenses]], AN_TME_BY[[#All],[Insurance Category Code]],2, AN_TME_BY[[#All],[Advanced Network/Insurance Carrier Org ID]],B157),0), "TRUE", ROUND(F157-SUMIFS(AN_TME_BY[[#All],[TOTAL Non-Truncated Unadjusted Claims Expenses]], AN_TME_BY[[#All],[Insurance Category Code]],2, AN_TME_BY[[#All],[Advanced Network/Insurance Carrier Org ID]],B157),2))</f>
        <v>TRUE</v>
      </c>
      <c r="L157" s="534" t="str">
        <f>IF(ROUND(G157,0)=ROUND(SUMIFS(AN_TME_BY[[#All],[TOTAL Truncated Unadjusted Claims Expenses (A21 -A19)]], AN_TME_BY[[#All],[Insurance Category Code]],2, AN_TME_BY[[#All],[Advanced Network/Insurance Carrier Org ID]],B157),0), "TRUE", ROUND(G157-SUMIFS(AN_TME_BY[[#All],[TOTAL Truncated Unadjusted Claims Expenses (A21 -A19)]], AN_TME_BY[[#All],[Insurance Category Code]],2, AN_TME_BY[[#All],[Advanced Network/Insurance Carrier Org ID]],B157),2))</f>
        <v>TRUE</v>
      </c>
      <c r="M157" s="525" t="str">
        <f t="shared" si="14"/>
        <v>TRUE</v>
      </c>
      <c r="N157" s="533" t="b">
        <f>ROUND(SUMIFS(AN_TME_BY[[#All],[TOTAL Non-Truncated Unadjusted Claims Expenses]], AN_TME_BY[[#All],[Insurance Category Code]],2, AN_TME_BY[[#All],[Advanced Network/Insurance Carrier Org ID]],B157),2)&gt;=ROUND(SUMIFS(AN_TME_BY[[#All],[TOTAL Truncated Unadjusted Claims Expenses (A21 -A19)]], AN_TME_BY[[#All],[Insurance Category Code]],2, AN_TME_BY[[#All],[Advanced Network/Insurance Carrier Org ID]],B157), 2)</f>
        <v>1</v>
      </c>
      <c r="O157" s="534" t="b">
        <f>ROUND(SUMIFS(AN_TME_BY[[#All],[TOTAL Truncated Unadjusted Claims Expenses (A21 -A19)]], AN_TME_BY[[#All],[Insurance Category Code]],2, AN_TME_BY[[#All],[Advanced Network/Insurance Carrier Org ID]],B157)+SUMIFS(AN_TME_BY[[#All],[Total Claims Excluded because of Truncation]], AN_TME_BY[[#All],[Insurance Category Code]],2, AN_TME_BY[[#All],[Advanced Network/Insurance Carrier Org ID]],B157),2)=ROUND(SUMIFS(AN_TME_BY[[#All],[TOTAL Non-Truncated Unadjusted Claims Expenses]], AN_TME_BY[[#All],[Insurance Category Code]],2, AN_TME_BY[[#All],[Advanced Network/Insurance Carrier Org ID]],B157), 2)</f>
        <v>1</v>
      </c>
      <c r="Q157" s="216">
        <v>101</v>
      </c>
      <c r="R157" s="404">
        <f>ROUND(SUMIFS(Age_Sex_PY[[#All],[Total Member Months by Age/Sex Band]], Age_Sex_PY[[#All],[Advanced Network ID]], $Q157, Age_Sex_PY[[#All],[Insurance Category Code]],2),2)</f>
        <v>0</v>
      </c>
      <c r="S157" s="238">
        <f>ROUND(SUMIFS(Age_Sex_PY[[#All],[Total Dollars Excluded from Spending After Applying Truncation at the Member Level]], Age_Sex_PY[[#All],[Advanced Network ID]], $B157, Age_Sex_PY[[#All],[Insurance Category Code]],2),2)</f>
        <v>0</v>
      </c>
      <c r="T157" s="209">
        <f>ROUND(SUMIFS(Age_Sex_PY[[#All],[Count of Members whose Spending was Truncated]], Age_Sex_PY[[#All],[Advanced Network ID]], $B157, Age_Sex_PY[[#All],[Insurance Category Code]],2),2)</f>
        <v>0</v>
      </c>
      <c r="U157" s="210">
        <f>ROUND(SUMIFS(Age_Sex_PY[[#All],[Total Spending before Truncation is Applied]], Age_Sex_PY[[#All],[Advanced Network ID]], $B157, Age_Sex_PY[[#All],[Insurance Category Code]],2),2)</f>
        <v>0</v>
      </c>
      <c r="V157" s="212">
        <f>ROUND(SUMIFS(Age_Sex_PY[[#All],[Total Spending After Applying Truncation at the Member Level]], Age_Sex_PY[[#All],[Advanced Network ID]], $B157, Age_Sex_PY[[#All],[Insurance Category Code]],2), 2)</f>
        <v>0</v>
      </c>
      <c r="W157" s="525" t="str">
        <f>IF(ROUND(R157,0)=ROUND(SUMIFS(AN_TME_PY[[#All],[Member Months]], AN_TME_PY[[#All],[Insurance Category Code]],2, AN_TME_PY[[#All],[Advanced Network/Insurance Carrier Org ID]],Q157),0), "TRUE", ROUND(R157-SUMIFS(AN_TME_PY[[#All],[Member Months]], AN_TME_PY[[#All],[Insurance Category Code]],2, AN_TME_PY[[#All],[Advanced Network/Insurance Carrier Org ID]],Q157),2))</f>
        <v>TRUE</v>
      </c>
      <c r="X157" s="527" t="str">
        <f>IF(ROUND(S157,0)=ROUND(SUMIFS(AN_TME_PY[[#All],[Total Claims Excluded because of Truncation]], AN_TME_PY[[#All],[Insurance Category Code]],2, AN_TME_PY[[#All],[Advanced Network/Insurance Carrier Org ID]],Q157),0), "TRUE", ROUND(S157-SUMIFS(AN_TME_PY[[#All],[Total Claims Excluded because of Truncation]], AN_TME_PY[[#All],[Insurance Category Code]],2, AN_TME_PY[[#All],[Advanced Network/Insurance Carrier Org ID]],Q157),2))</f>
        <v>TRUE</v>
      </c>
      <c r="Y157" s="537" t="str">
        <f>IF(ROUND(T157,0)=ROUND(SUMIFS(AN_TME_PY[[#All],[Count of Members with Claims Truncated]], AN_TME_PY[[#All],[Insurance Category Code]],2, AN_TME_PY[[#All],[Advanced Network/Insurance Carrier Org ID]],Q157),0), "TRUE", ROUND(T157-SUMIFS(AN_TME_PY[[#All],[Count of Members with Claims Truncated]], AN_TME_PY[[#All],[Insurance Category Code]],2, AN_TME_PY[[#All],[Advanced Network/Insurance Carrier Org ID]],Q157),2))</f>
        <v>TRUE</v>
      </c>
      <c r="Z157" s="528" t="str">
        <f>IF(ROUND(U157,0)=ROUND(SUMIFS(AN_TME_PY[[#All],[TOTAL Non-Truncated Unadjusted Claims Expenses]], AN_TME_PY[[#All],[Insurance Category Code]],2, AN_TME_PY[[#All],[Advanced Network/Insurance Carrier Org ID]],Q157),0), "TRUE", ROUND(U157-SUMIFS(AN_TME_PY[[#All],[TOTAL Non-Truncated Unadjusted Claims Expenses]], AN_TME_PY[[#All],[Insurance Category Code]],2, AN_TME_PY[[#All],[Advanced Network/Insurance Carrier Org ID]],Q157),2))</f>
        <v>TRUE</v>
      </c>
      <c r="AA157" s="529" t="str">
        <f>IF(ROUND(V157,0)=ROUND(SUMIFS(AN_TME_PY[[#All],[TOTAL Truncated Unadjusted Claims Expenses (A21 -A19)]], AN_TME_PY[[#All],[Insurance Category Code]],2, AN_TME_PY[[#All],[Advanced Network/Insurance Carrier Org ID]],Q157),0), "TRUE", ROUND(V157-SUMIFS(AN_TME_PY[[#All],[TOTAL Truncated Unadjusted Claims Expenses (A21 -A19)]], AN_TME_PY[[#All],[Insurance Category Code]],2, AN_TME_PY[[#All],[Advanced Network/Insurance Carrier Org ID]],Q157),2))</f>
        <v>TRUE</v>
      </c>
      <c r="AB157" s="525" t="str">
        <f t="shared" ref="AB157:AB191" si="16">IF(T157=0, "TRUE",IF((R157/12)&gt;T157,"TRUE",ROUND((R157/12)-T157,2)))</f>
        <v>TRUE</v>
      </c>
      <c r="AC157" s="528" t="b">
        <f>ROUND(SUMIFS(AN_TME_PY[[#All],[TOTAL Non-Truncated Unadjusted Claims Expenses]], AN_TME_PY[[#All],[Insurance Category Code]],2, AN_TME_PY[[#All],[Advanced Network/Insurance Carrier Org ID]],Q157),2)&gt;=ROUND(SUMIFS(AN_TME_PY[[#All],[TOTAL Truncated Unadjusted Claims Expenses (A21 -A19)]], AN_TME_PY[[#All],[Insurance Category Code]],2, AN_TME_PY[[#All],[Advanced Network/Insurance Carrier Org ID]],Q157),2)</f>
        <v>1</v>
      </c>
      <c r="AD157" s="529" t="b">
        <f>ROUND(SUMIFS(AN_TME_PY[[#All],[TOTAL Truncated Unadjusted Claims Expenses (A21 -A19)]], AN_TME_PY[[#All],[Insurance Category Code]],2, AN_TME_PY[[#All],[Advanced Network/Insurance Carrier Org ID]],Q157)+SUMIFS(AN_TME_PY[[#All],[Total Claims Excluded because of Truncation]], AN_TME_PY[[#All],[Insurance Category Code]],2, AN_TME_PY[[#All],[Advanced Network/Insurance Carrier Org ID]],Q157), 2)=ROUND(SUMIFS(AN_TME_PY[[#All],[TOTAL Non-Truncated Unadjusted Claims Expenses]], AN_TME_PY[[#All],[Insurance Category Code]],2, AN_TME_PY[[#All],[Advanced Network/Insurance Carrier Org ID]],Q157),2)</f>
        <v>1</v>
      </c>
      <c r="AF157" s="283" t="str">
        <f t="shared" si="15"/>
        <v>NA</v>
      </c>
    </row>
    <row r="158" spans="2:32" outlineLevel="1" x14ac:dyDescent="0.25">
      <c r="B158" s="216">
        <v>102</v>
      </c>
      <c r="C158" s="404">
        <f>ROUND(SUMIFS(Age_Sex_BY[[#All],[Total Member Months by Age/Sex Band]], Age_Sex_BY[[#All],[Advanced Network ID]], $B158, Age_Sex_BY[[#All],[Insurance Category Code]],2),2)</f>
        <v>0</v>
      </c>
      <c r="D158" s="238">
        <f>ROUND(SUMIFS(Age_Sex_BY[[#All],[Total Dollars Excluded from Spending After Applying Truncation at the Member Level]], Age_Sex_BY[[#All],[Advanced Network ID]], $B158, Age_Sex_BY[[#All],[Insurance Category Code]],2),2)</f>
        <v>0</v>
      </c>
      <c r="E158" s="209">
        <f>ROUND(SUMIFS(Age_Sex_BY[[#All],[Count of Members whose Spending was Truncated]], Age_Sex_BY[[#All],[Advanced Network ID]], $B158, Age_Sex_BY[[#All],[Insurance Category Code]],2),2)</f>
        <v>0</v>
      </c>
      <c r="F158" s="210">
        <f>ROUND(SUMIFS(Age_Sex_BY[[#All],[Total Spending before Truncation is Applied]], Age_Sex_BY[[#All],[Advanced Network ID]], $B158, Age_Sex_BY[[#All],[Insurance Category Code]],2),2)</f>
        <v>0</v>
      </c>
      <c r="G158" s="212">
        <f>ROUND(SUMIFS(Age_Sex_BY[[#All],[Total Spending After Applying Truncation at the Member Level]], Age_Sex_BY[[#All],[Advanced Network ID]], $B158, Age_Sex_BY[[#All],[Insurance Category Code]],2),2)</f>
        <v>0</v>
      </c>
      <c r="H158" s="525" t="str">
        <f>IF(ROUND(C158,0)=ROUND(SUMIFS(AN_TME_BY[[#All],[Member Months]], AN_TME_BY[[#All],[Insurance Category Code]],2, AN_TME_BY[[#All],[Advanced Network/Insurance Carrier Org ID]],B158),0), "TRUE", ROUND(C158-SUMIFS(AN_TME_BY[[#All],[Member Months]], AN_TME_BY[[#All],[Insurance Category Code]],2, AN_TME_BY[[#All],[Advanced Network/Insurance Carrier Org ID]],B158),2))</f>
        <v>TRUE</v>
      </c>
      <c r="I158" s="533" t="str">
        <f>IF(ROUND(D158,0)=ROUND(SUMIFS(AN_TME_BY[[#All],[Total Claims Excluded because of Truncation]], AN_TME_BY[[#All],[Insurance Category Code]],2, AN_TME_BY[[#All],[Advanced Network/Insurance Carrier Org ID]],B158),0), "TRUE", ROUND(D158-SUMIFS(AN_TME_BY[[#All],[Total Claims Excluded because of Truncation]], AN_TME_BY[[#All],[Insurance Category Code]],2, AN_TME_BY[[#All],[Advanced Network/Insurance Carrier Org ID]],B158),2))</f>
        <v>TRUE</v>
      </c>
      <c r="J158" s="537" t="str">
        <f>IF(ROUND(E158,0)=ROUND(SUMIFS(AN_TME_BY[[#All],[Count of Members with Claims Truncated]], AN_TME_BY[[#All],[Insurance Category Code]],2, AN_TME_BY[[#All],[Advanced Network/Insurance Carrier Org ID]],B158),0), "TRUE", ROUND(E158-SUMIFS(AN_TME_BY[[#All],[Count of Members with Claims Truncated]], AN_TME_BY[[#All],[Insurance Category Code]],2, AN_TME_BY[[#All],[Advanced Network/Insurance Carrier Org ID]],B158),2))</f>
        <v>TRUE</v>
      </c>
      <c r="K158" s="533" t="str">
        <f>IF(ROUND(F158,0)=ROUND(SUMIFS(AN_TME_BY[[#All],[TOTAL Non-Truncated Unadjusted Claims Expenses]], AN_TME_BY[[#All],[Insurance Category Code]],2, AN_TME_BY[[#All],[Advanced Network/Insurance Carrier Org ID]],B158),0), "TRUE", ROUND(F158-SUMIFS(AN_TME_BY[[#All],[TOTAL Non-Truncated Unadjusted Claims Expenses]], AN_TME_BY[[#All],[Insurance Category Code]],2, AN_TME_BY[[#All],[Advanced Network/Insurance Carrier Org ID]],B158),2))</f>
        <v>TRUE</v>
      </c>
      <c r="L158" s="534" t="str">
        <f>IF(ROUND(G158,0)=ROUND(SUMIFS(AN_TME_BY[[#All],[TOTAL Truncated Unadjusted Claims Expenses (A21 -A19)]], AN_TME_BY[[#All],[Insurance Category Code]],2, AN_TME_BY[[#All],[Advanced Network/Insurance Carrier Org ID]],B158),0), "TRUE", ROUND(G158-SUMIFS(AN_TME_BY[[#All],[TOTAL Truncated Unadjusted Claims Expenses (A21 -A19)]], AN_TME_BY[[#All],[Insurance Category Code]],2, AN_TME_BY[[#All],[Advanced Network/Insurance Carrier Org ID]],B158),2))</f>
        <v>TRUE</v>
      </c>
      <c r="M158" s="525" t="str">
        <f t="shared" si="14"/>
        <v>TRUE</v>
      </c>
      <c r="N158" s="533" t="b">
        <f>ROUND(SUMIFS(AN_TME_BY[[#All],[TOTAL Non-Truncated Unadjusted Claims Expenses]], AN_TME_BY[[#All],[Insurance Category Code]],2, AN_TME_BY[[#All],[Advanced Network/Insurance Carrier Org ID]],B158),2)&gt;=ROUND(SUMIFS(AN_TME_BY[[#All],[TOTAL Truncated Unadjusted Claims Expenses (A21 -A19)]], AN_TME_BY[[#All],[Insurance Category Code]],2, AN_TME_BY[[#All],[Advanced Network/Insurance Carrier Org ID]],B158), 2)</f>
        <v>1</v>
      </c>
      <c r="O158" s="534" t="b">
        <f>ROUND(SUMIFS(AN_TME_BY[[#All],[TOTAL Truncated Unadjusted Claims Expenses (A21 -A19)]], AN_TME_BY[[#All],[Insurance Category Code]],2, AN_TME_BY[[#All],[Advanced Network/Insurance Carrier Org ID]],B158)+SUMIFS(AN_TME_BY[[#All],[Total Claims Excluded because of Truncation]], AN_TME_BY[[#All],[Insurance Category Code]],2, AN_TME_BY[[#All],[Advanced Network/Insurance Carrier Org ID]],B158),2)=ROUND(SUMIFS(AN_TME_BY[[#All],[TOTAL Non-Truncated Unadjusted Claims Expenses]], AN_TME_BY[[#All],[Insurance Category Code]],2, AN_TME_BY[[#All],[Advanced Network/Insurance Carrier Org ID]],B158), 2)</f>
        <v>1</v>
      </c>
      <c r="Q158" s="216">
        <v>102</v>
      </c>
      <c r="R158" s="404">
        <f>ROUND(SUMIFS(Age_Sex_PY[[#All],[Total Member Months by Age/Sex Band]], Age_Sex_PY[[#All],[Advanced Network ID]], $Q158, Age_Sex_PY[[#All],[Insurance Category Code]],2),2)</f>
        <v>0</v>
      </c>
      <c r="S158" s="238">
        <f>ROUND(SUMIFS(Age_Sex_PY[[#All],[Total Dollars Excluded from Spending After Applying Truncation at the Member Level]], Age_Sex_PY[[#All],[Advanced Network ID]], $B158, Age_Sex_PY[[#All],[Insurance Category Code]],2),2)</f>
        <v>0</v>
      </c>
      <c r="T158" s="209">
        <f>ROUND(SUMIFS(Age_Sex_PY[[#All],[Count of Members whose Spending was Truncated]], Age_Sex_PY[[#All],[Advanced Network ID]], $B158, Age_Sex_PY[[#All],[Insurance Category Code]],2),2)</f>
        <v>0</v>
      </c>
      <c r="U158" s="210">
        <f>ROUND(SUMIFS(Age_Sex_PY[[#All],[Total Spending before Truncation is Applied]], Age_Sex_PY[[#All],[Advanced Network ID]], $B158, Age_Sex_PY[[#All],[Insurance Category Code]],2),2)</f>
        <v>0</v>
      </c>
      <c r="V158" s="212">
        <f>ROUND(SUMIFS(Age_Sex_PY[[#All],[Total Spending After Applying Truncation at the Member Level]], Age_Sex_PY[[#All],[Advanced Network ID]], $B158, Age_Sex_PY[[#All],[Insurance Category Code]],2), 2)</f>
        <v>0</v>
      </c>
      <c r="W158" s="525" t="str">
        <f>IF(ROUND(R158,0)=ROUND(SUMIFS(AN_TME_PY[[#All],[Member Months]], AN_TME_PY[[#All],[Insurance Category Code]],2, AN_TME_PY[[#All],[Advanced Network/Insurance Carrier Org ID]],Q158),0), "TRUE", ROUND(R158-SUMIFS(AN_TME_PY[[#All],[Member Months]], AN_TME_PY[[#All],[Insurance Category Code]],2, AN_TME_PY[[#All],[Advanced Network/Insurance Carrier Org ID]],Q158),2))</f>
        <v>TRUE</v>
      </c>
      <c r="X158" s="527" t="str">
        <f>IF(ROUND(S158,0)=ROUND(SUMIFS(AN_TME_PY[[#All],[Total Claims Excluded because of Truncation]], AN_TME_PY[[#All],[Insurance Category Code]],2, AN_TME_PY[[#All],[Advanced Network/Insurance Carrier Org ID]],Q158),0), "TRUE", ROUND(S158-SUMIFS(AN_TME_PY[[#All],[Total Claims Excluded because of Truncation]], AN_TME_PY[[#All],[Insurance Category Code]],2, AN_TME_PY[[#All],[Advanced Network/Insurance Carrier Org ID]],Q158),2))</f>
        <v>TRUE</v>
      </c>
      <c r="Y158" s="537" t="str">
        <f>IF(ROUND(T158,0)=ROUND(SUMIFS(AN_TME_PY[[#All],[Count of Members with Claims Truncated]], AN_TME_PY[[#All],[Insurance Category Code]],2, AN_TME_PY[[#All],[Advanced Network/Insurance Carrier Org ID]],Q158),0), "TRUE", ROUND(T158-SUMIFS(AN_TME_PY[[#All],[Count of Members with Claims Truncated]], AN_TME_PY[[#All],[Insurance Category Code]],2, AN_TME_PY[[#All],[Advanced Network/Insurance Carrier Org ID]],Q158),2))</f>
        <v>TRUE</v>
      </c>
      <c r="Z158" s="528" t="str">
        <f>IF(ROUND(U158,0)=ROUND(SUMIFS(AN_TME_PY[[#All],[TOTAL Non-Truncated Unadjusted Claims Expenses]], AN_TME_PY[[#All],[Insurance Category Code]],2, AN_TME_PY[[#All],[Advanced Network/Insurance Carrier Org ID]],Q158),0), "TRUE", ROUND(U158-SUMIFS(AN_TME_PY[[#All],[TOTAL Non-Truncated Unadjusted Claims Expenses]], AN_TME_PY[[#All],[Insurance Category Code]],2, AN_TME_PY[[#All],[Advanced Network/Insurance Carrier Org ID]],Q158),2))</f>
        <v>TRUE</v>
      </c>
      <c r="AA158" s="529" t="str">
        <f>IF(ROUND(V158,0)=ROUND(SUMIFS(AN_TME_PY[[#All],[TOTAL Truncated Unadjusted Claims Expenses (A21 -A19)]], AN_TME_PY[[#All],[Insurance Category Code]],2, AN_TME_PY[[#All],[Advanced Network/Insurance Carrier Org ID]],Q158),0), "TRUE", ROUND(V158-SUMIFS(AN_TME_PY[[#All],[TOTAL Truncated Unadjusted Claims Expenses (A21 -A19)]], AN_TME_PY[[#All],[Insurance Category Code]],2, AN_TME_PY[[#All],[Advanced Network/Insurance Carrier Org ID]],Q158),2))</f>
        <v>TRUE</v>
      </c>
      <c r="AB158" s="525" t="str">
        <f t="shared" si="16"/>
        <v>TRUE</v>
      </c>
      <c r="AC158" s="528" t="b">
        <f>ROUND(SUMIFS(AN_TME_PY[[#All],[TOTAL Non-Truncated Unadjusted Claims Expenses]], AN_TME_PY[[#All],[Insurance Category Code]],2, AN_TME_PY[[#All],[Advanced Network/Insurance Carrier Org ID]],Q158),2)&gt;=ROUND(SUMIFS(AN_TME_PY[[#All],[TOTAL Truncated Unadjusted Claims Expenses (A21 -A19)]], AN_TME_PY[[#All],[Insurance Category Code]],2, AN_TME_PY[[#All],[Advanced Network/Insurance Carrier Org ID]],Q158),2)</f>
        <v>1</v>
      </c>
      <c r="AD158" s="529" t="b">
        <f>ROUND(SUMIFS(AN_TME_PY[[#All],[TOTAL Truncated Unadjusted Claims Expenses (A21 -A19)]], AN_TME_PY[[#All],[Insurance Category Code]],2, AN_TME_PY[[#All],[Advanced Network/Insurance Carrier Org ID]],Q158)+SUMIFS(AN_TME_PY[[#All],[Total Claims Excluded because of Truncation]], AN_TME_PY[[#All],[Insurance Category Code]],2, AN_TME_PY[[#All],[Advanced Network/Insurance Carrier Org ID]],Q158), 2)=ROUND(SUMIFS(AN_TME_PY[[#All],[TOTAL Non-Truncated Unadjusted Claims Expenses]], AN_TME_PY[[#All],[Insurance Category Code]],2, AN_TME_PY[[#All],[Advanced Network/Insurance Carrier Org ID]],Q158),2)</f>
        <v>1</v>
      </c>
      <c r="AF158" s="283" t="str">
        <f t="shared" si="15"/>
        <v>NA</v>
      </c>
    </row>
    <row r="159" spans="2:32" outlineLevel="1" x14ac:dyDescent="0.25">
      <c r="B159" s="216">
        <v>103</v>
      </c>
      <c r="C159" s="404">
        <f>ROUND(SUMIFS(Age_Sex_BY[[#All],[Total Member Months by Age/Sex Band]], Age_Sex_BY[[#All],[Advanced Network ID]], $B159, Age_Sex_BY[[#All],[Insurance Category Code]],2),2)</f>
        <v>0</v>
      </c>
      <c r="D159" s="238">
        <f>ROUND(SUMIFS(Age_Sex_BY[[#All],[Total Dollars Excluded from Spending After Applying Truncation at the Member Level]], Age_Sex_BY[[#All],[Advanced Network ID]], $B159, Age_Sex_BY[[#All],[Insurance Category Code]],2),2)</f>
        <v>0</v>
      </c>
      <c r="E159" s="209">
        <f>ROUND(SUMIFS(Age_Sex_BY[[#All],[Count of Members whose Spending was Truncated]], Age_Sex_BY[[#All],[Advanced Network ID]], $B159, Age_Sex_BY[[#All],[Insurance Category Code]],2),2)</f>
        <v>0</v>
      </c>
      <c r="F159" s="210">
        <f>ROUND(SUMIFS(Age_Sex_BY[[#All],[Total Spending before Truncation is Applied]], Age_Sex_BY[[#All],[Advanced Network ID]], $B159, Age_Sex_BY[[#All],[Insurance Category Code]],2),2)</f>
        <v>0</v>
      </c>
      <c r="G159" s="212">
        <f>ROUND(SUMIFS(Age_Sex_BY[[#All],[Total Spending After Applying Truncation at the Member Level]], Age_Sex_BY[[#All],[Advanced Network ID]], $B159, Age_Sex_BY[[#All],[Insurance Category Code]],2),2)</f>
        <v>0</v>
      </c>
      <c r="H159" s="525" t="str">
        <f>IF(ROUND(C159,0)=ROUND(SUMIFS(AN_TME_BY[[#All],[Member Months]], AN_TME_BY[[#All],[Insurance Category Code]],2, AN_TME_BY[[#All],[Advanced Network/Insurance Carrier Org ID]],B159),0), "TRUE", ROUND(C159-SUMIFS(AN_TME_BY[[#All],[Member Months]], AN_TME_BY[[#All],[Insurance Category Code]],2, AN_TME_BY[[#All],[Advanced Network/Insurance Carrier Org ID]],B159),2))</f>
        <v>TRUE</v>
      </c>
      <c r="I159" s="533" t="str">
        <f>IF(ROUND(D159,0)=ROUND(SUMIFS(AN_TME_BY[[#All],[Total Claims Excluded because of Truncation]], AN_TME_BY[[#All],[Insurance Category Code]],2, AN_TME_BY[[#All],[Advanced Network/Insurance Carrier Org ID]],B159),0), "TRUE", ROUND(D159-SUMIFS(AN_TME_BY[[#All],[Total Claims Excluded because of Truncation]], AN_TME_BY[[#All],[Insurance Category Code]],2, AN_TME_BY[[#All],[Advanced Network/Insurance Carrier Org ID]],B159),2))</f>
        <v>TRUE</v>
      </c>
      <c r="J159" s="537" t="str">
        <f>IF(ROUND(E159,0)=ROUND(SUMIFS(AN_TME_BY[[#All],[Count of Members with Claims Truncated]], AN_TME_BY[[#All],[Insurance Category Code]],2, AN_TME_BY[[#All],[Advanced Network/Insurance Carrier Org ID]],B159),0), "TRUE", ROUND(E159-SUMIFS(AN_TME_BY[[#All],[Count of Members with Claims Truncated]], AN_TME_BY[[#All],[Insurance Category Code]],2, AN_TME_BY[[#All],[Advanced Network/Insurance Carrier Org ID]],B159),2))</f>
        <v>TRUE</v>
      </c>
      <c r="K159" s="533" t="str">
        <f>IF(ROUND(F159,0)=ROUND(SUMIFS(AN_TME_BY[[#All],[TOTAL Non-Truncated Unadjusted Claims Expenses]], AN_TME_BY[[#All],[Insurance Category Code]],2, AN_TME_BY[[#All],[Advanced Network/Insurance Carrier Org ID]],B159),0), "TRUE", ROUND(F159-SUMIFS(AN_TME_BY[[#All],[TOTAL Non-Truncated Unadjusted Claims Expenses]], AN_TME_BY[[#All],[Insurance Category Code]],2, AN_TME_BY[[#All],[Advanced Network/Insurance Carrier Org ID]],B159),2))</f>
        <v>TRUE</v>
      </c>
      <c r="L159" s="534" t="str">
        <f>IF(ROUND(G159,0)=ROUND(SUMIFS(AN_TME_BY[[#All],[TOTAL Truncated Unadjusted Claims Expenses (A21 -A19)]], AN_TME_BY[[#All],[Insurance Category Code]],2, AN_TME_BY[[#All],[Advanced Network/Insurance Carrier Org ID]],B159),0), "TRUE", ROUND(G159-SUMIFS(AN_TME_BY[[#All],[TOTAL Truncated Unadjusted Claims Expenses (A21 -A19)]], AN_TME_BY[[#All],[Insurance Category Code]],2, AN_TME_BY[[#All],[Advanced Network/Insurance Carrier Org ID]],B159),2))</f>
        <v>TRUE</v>
      </c>
      <c r="M159" s="525" t="str">
        <f t="shared" si="14"/>
        <v>TRUE</v>
      </c>
      <c r="N159" s="533" t="b">
        <f>ROUND(SUMIFS(AN_TME_BY[[#All],[TOTAL Non-Truncated Unadjusted Claims Expenses]], AN_TME_BY[[#All],[Insurance Category Code]],2, AN_TME_BY[[#All],[Advanced Network/Insurance Carrier Org ID]],B159),2)&gt;=ROUND(SUMIFS(AN_TME_BY[[#All],[TOTAL Truncated Unadjusted Claims Expenses (A21 -A19)]], AN_TME_BY[[#All],[Insurance Category Code]],2, AN_TME_BY[[#All],[Advanced Network/Insurance Carrier Org ID]],B159), 2)</f>
        <v>1</v>
      </c>
      <c r="O159" s="534" t="b">
        <f>ROUND(SUMIFS(AN_TME_BY[[#All],[TOTAL Truncated Unadjusted Claims Expenses (A21 -A19)]], AN_TME_BY[[#All],[Insurance Category Code]],2, AN_TME_BY[[#All],[Advanced Network/Insurance Carrier Org ID]],B159)+SUMIFS(AN_TME_BY[[#All],[Total Claims Excluded because of Truncation]], AN_TME_BY[[#All],[Insurance Category Code]],2, AN_TME_BY[[#All],[Advanced Network/Insurance Carrier Org ID]],B159),2)=ROUND(SUMIFS(AN_TME_BY[[#All],[TOTAL Non-Truncated Unadjusted Claims Expenses]], AN_TME_BY[[#All],[Insurance Category Code]],2, AN_TME_BY[[#All],[Advanced Network/Insurance Carrier Org ID]],B159), 2)</f>
        <v>1</v>
      </c>
      <c r="Q159" s="216">
        <v>103</v>
      </c>
      <c r="R159" s="404">
        <f>ROUND(SUMIFS(Age_Sex_PY[[#All],[Total Member Months by Age/Sex Band]], Age_Sex_PY[[#All],[Advanced Network ID]], $Q159, Age_Sex_PY[[#All],[Insurance Category Code]],2),2)</f>
        <v>0</v>
      </c>
      <c r="S159" s="238">
        <f>ROUND(SUMIFS(Age_Sex_PY[[#All],[Total Dollars Excluded from Spending After Applying Truncation at the Member Level]], Age_Sex_PY[[#All],[Advanced Network ID]], $B159, Age_Sex_PY[[#All],[Insurance Category Code]],2),2)</f>
        <v>0</v>
      </c>
      <c r="T159" s="209">
        <f>ROUND(SUMIFS(Age_Sex_PY[[#All],[Count of Members whose Spending was Truncated]], Age_Sex_PY[[#All],[Advanced Network ID]], $B159, Age_Sex_PY[[#All],[Insurance Category Code]],2),2)</f>
        <v>0</v>
      </c>
      <c r="U159" s="210">
        <f>ROUND(SUMIFS(Age_Sex_PY[[#All],[Total Spending before Truncation is Applied]], Age_Sex_PY[[#All],[Advanced Network ID]], $B159, Age_Sex_PY[[#All],[Insurance Category Code]],2),2)</f>
        <v>0</v>
      </c>
      <c r="V159" s="212">
        <f>ROUND(SUMIFS(Age_Sex_PY[[#All],[Total Spending After Applying Truncation at the Member Level]], Age_Sex_PY[[#All],[Advanced Network ID]], $B159, Age_Sex_PY[[#All],[Insurance Category Code]],2), 2)</f>
        <v>0</v>
      </c>
      <c r="W159" s="525" t="str">
        <f>IF(ROUND(R159,0)=ROUND(SUMIFS(AN_TME_PY[[#All],[Member Months]], AN_TME_PY[[#All],[Insurance Category Code]],2, AN_TME_PY[[#All],[Advanced Network/Insurance Carrier Org ID]],Q159),0), "TRUE", ROUND(R159-SUMIFS(AN_TME_PY[[#All],[Member Months]], AN_TME_PY[[#All],[Insurance Category Code]],2, AN_TME_PY[[#All],[Advanced Network/Insurance Carrier Org ID]],Q159),2))</f>
        <v>TRUE</v>
      </c>
      <c r="X159" s="527" t="str">
        <f>IF(ROUND(S159,0)=ROUND(SUMIFS(AN_TME_PY[[#All],[Total Claims Excluded because of Truncation]], AN_TME_PY[[#All],[Insurance Category Code]],2, AN_TME_PY[[#All],[Advanced Network/Insurance Carrier Org ID]],Q159),0), "TRUE", ROUND(S159-SUMIFS(AN_TME_PY[[#All],[Total Claims Excluded because of Truncation]], AN_TME_PY[[#All],[Insurance Category Code]],2, AN_TME_PY[[#All],[Advanced Network/Insurance Carrier Org ID]],Q159),2))</f>
        <v>TRUE</v>
      </c>
      <c r="Y159" s="537" t="str">
        <f>IF(ROUND(T159,0)=ROUND(SUMIFS(AN_TME_PY[[#All],[Count of Members with Claims Truncated]], AN_TME_PY[[#All],[Insurance Category Code]],2, AN_TME_PY[[#All],[Advanced Network/Insurance Carrier Org ID]],Q159),0), "TRUE", ROUND(T159-SUMIFS(AN_TME_PY[[#All],[Count of Members with Claims Truncated]], AN_TME_PY[[#All],[Insurance Category Code]],2, AN_TME_PY[[#All],[Advanced Network/Insurance Carrier Org ID]],Q159),2))</f>
        <v>TRUE</v>
      </c>
      <c r="Z159" s="528" t="str">
        <f>IF(ROUND(U159,0)=ROUND(SUMIFS(AN_TME_PY[[#All],[TOTAL Non-Truncated Unadjusted Claims Expenses]], AN_TME_PY[[#All],[Insurance Category Code]],2, AN_TME_PY[[#All],[Advanced Network/Insurance Carrier Org ID]],Q159),0), "TRUE", ROUND(U159-SUMIFS(AN_TME_PY[[#All],[TOTAL Non-Truncated Unadjusted Claims Expenses]], AN_TME_PY[[#All],[Insurance Category Code]],2, AN_TME_PY[[#All],[Advanced Network/Insurance Carrier Org ID]],Q159),2))</f>
        <v>TRUE</v>
      </c>
      <c r="AA159" s="529" t="str">
        <f>IF(ROUND(V159,0)=ROUND(SUMIFS(AN_TME_PY[[#All],[TOTAL Truncated Unadjusted Claims Expenses (A21 -A19)]], AN_TME_PY[[#All],[Insurance Category Code]],2, AN_TME_PY[[#All],[Advanced Network/Insurance Carrier Org ID]],Q159),0), "TRUE", ROUND(V159-SUMIFS(AN_TME_PY[[#All],[TOTAL Truncated Unadjusted Claims Expenses (A21 -A19)]], AN_TME_PY[[#All],[Insurance Category Code]],2, AN_TME_PY[[#All],[Advanced Network/Insurance Carrier Org ID]],Q159),2))</f>
        <v>TRUE</v>
      </c>
      <c r="AB159" s="525" t="str">
        <f t="shared" si="16"/>
        <v>TRUE</v>
      </c>
      <c r="AC159" s="528" t="b">
        <f>ROUND(SUMIFS(AN_TME_PY[[#All],[TOTAL Non-Truncated Unadjusted Claims Expenses]], AN_TME_PY[[#All],[Insurance Category Code]],2, AN_TME_PY[[#All],[Advanced Network/Insurance Carrier Org ID]],Q159),2)&gt;=ROUND(SUMIFS(AN_TME_PY[[#All],[TOTAL Truncated Unadjusted Claims Expenses (A21 -A19)]], AN_TME_PY[[#All],[Insurance Category Code]],2, AN_TME_PY[[#All],[Advanced Network/Insurance Carrier Org ID]],Q159),2)</f>
        <v>1</v>
      </c>
      <c r="AD159" s="529" t="b">
        <f>ROUND(SUMIFS(AN_TME_PY[[#All],[TOTAL Truncated Unadjusted Claims Expenses (A21 -A19)]], AN_TME_PY[[#All],[Insurance Category Code]],2, AN_TME_PY[[#All],[Advanced Network/Insurance Carrier Org ID]],Q159)+SUMIFS(AN_TME_PY[[#All],[Total Claims Excluded because of Truncation]], AN_TME_PY[[#All],[Insurance Category Code]],2, AN_TME_PY[[#All],[Advanced Network/Insurance Carrier Org ID]],Q159), 2)=ROUND(SUMIFS(AN_TME_PY[[#All],[TOTAL Non-Truncated Unadjusted Claims Expenses]], AN_TME_PY[[#All],[Insurance Category Code]],2, AN_TME_PY[[#All],[Advanced Network/Insurance Carrier Org ID]],Q159),2)</f>
        <v>1</v>
      </c>
      <c r="AF159" s="283" t="str">
        <f t="shared" si="15"/>
        <v>NA</v>
      </c>
    </row>
    <row r="160" spans="2:32" outlineLevel="1" x14ac:dyDescent="0.25">
      <c r="B160" s="216">
        <v>104</v>
      </c>
      <c r="C160" s="404">
        <f>ROUND(SUMIFS(Age_Sex_BY[[#All],[Total Member Months by Age/Sex Band]], Age_Sex_BY[[#All],[Advanced Network ID]], $B160, Age_Sex_BY[[#All],[Insurance Category Code]],2),2)</f>
        <v>0</v>
      </c>
      <c r="D160" s="238">
        <f>ROUND(SUMIFS(Age_Sex_BY[[#All],[Total Dollars Excluded from Spending After Applying Truncation at the Member Level]], Age_Sex_BY[[#All],[Advanced Network ID]], $B160, Age_Sex_BY[[#All],[Insurance Category Code]],2),2)</f>
        <v>0</v>
      </c>
      <c r="E160" s="209">
        <f>ROUND(SUMIFS(Age_Sex_BY[[#All],[Count of Members whose Spending was Truncated]], Age_Sex_BY[[#All],[Advanced Network ID]], $B160, Age_Sex_BY[[#All],[Insurance Category Code]],2),2)</f>
        <v>0</v>
      </c>
      <c r="F160" s="210">
        <f>ROUND(SUMIFS(Age_Sex_BY[[#All],[Total Spending before Truncation is Applied]], Age_Sex_BY[[#All],[Advanced Network ID]], $B160, Age_Sex_BY[[#All],[Insurance Category Code]],2),2)</f>
        <v>0</v>
      </c>
      <c r="G160" s="212">
        <f>ROUND(SUMIFS(Age_Sex_BY[[#All],[Total Spending After Applying Truncation at the Member Level]], Age_Sex_BY[[#All],[Advanced Network ID]], $B160, Age_Sex_BY[[#All],[Insurance Category Code]],2),2)</f>
        <v>0</v>
      </c>
      <c r="H160" s="525" t="str">
        <f>IF(ROUND(C160,0)=ROUND(SUMIFS(AN_TME_BY[[#All],[Member Months]], AN_TME_BY[[#All],[Insurance Category Code]],2, AN_TME_BY[[#All],[Advanced Network/Insurance Carrier Org ID]],B160),0), "TRUE", ROUND(C160-SUMIFS(AN_TME_BY[[#All],[Member Months]], AN_TME_BY[[#All],[Insurance Category Code]],2, AN_TME_BY[[#All],[Advanced Network/Insurance Carrier Org ID]],B160),2))</f>
        <v>TRUE</v>
      </c>
      <c r="I160" s="533" t="str">
        <f>IF(ROUND(D160,0)=ROUND(SUMIFS(AN_TME_BY[[#All],[Total Claims Excluded because of Truncation]], AN_TME_BY[[#All],[Insurance Category Code]],2, AN_TME_BY[[#All],[Advanced Network/Insurance Carrier Org ID]],B160),0), "TRUE", ROUND(D160-SUMIFS(AN_TME_BY[[#All],[Total Claims Excluded because of Truncation]], AN_TME_BY[[#All],[Insurance Category Code]],2, AN_TME_BY[[#All],[Advanced Network/Insurance Carrier Org ID]],B160),2))</f>
        <v>TRUE</v>
      </c>
      <c r="J160" s="537" t="str">
        <f>IF(ROUND(E160,0)=ROUND(SUMIFS(AN_TME_BY[[#All],[Count of Members with Claims Truncated]], AN_TME_BY[[#All],[Insurance Category Code]],2, AN_TME_BY[[#All],[Advanced Network/Insurance Carrier Org ID]],B160),0), "TRUE", ROUND(E160-SUMIFS(AN_TME_BY[[#All],[Count of Members with Claims Truncated]], AN_TME_BY[[#All],[Insurance Category Code]],2, AN_TME_BY[[#All],[Advanced Network/Insurance Carrier Org ID]],B160),2))</f>
        <v>TRUE</v>
      </c>
      <c r="K160" s="533" t="str">
        <f>IF(ROUND(F160,0)=ROUND(SUMIFS(AN_TME_BY[[#All],[TOTAL Non-Truncated Unadjusted Claims Expenses]], AN_TME_BY[[#All],[Insurance Category Code]],2, AN_TME_BY[[#All],[Advanced Network/Insurance Carrier Org ID]],B160),0), "TRUE", ROUND(F160-SUMIFS(AN_TME_BY[[#All],[TOTAL Non-Truncated Unadjusted Claims Expenses]], AN_TME_BY[[#All],[Insurance Category Code]],2, AN_TME_BY[[#All],[Advanced Network/Insurance Carrier Org ID]],B160),2))</f>
        <v>TRUE</v>
      </c>
      <c r="L160" s="534" t="str">
        <f>IF(ROUND(G160,0)=ROUND(SUMIFS(AN_TME_BY[[#All],[TOTAL Truncated Unadjusted Claims Expenses (A21 -A19)]], AN_TME_BY[[#All],[Insurance Category Code]],2, AN_TME_BY[[#All],[Advanced Network/Insurance Carrier Org ID]],B160),0), "TRUE", ROUND(G160-SUMIFS(AN_TME_BY[[#All],[TOTAL Truncated Unadjusted Claims Expenses (A21 -A19)]], AN_TME_BY[[#All],[Insurance Category Code]],2, AN_TME_BY[[#All],[Advanced Network/Insurance Carrier Org ID]],B160),2))</f>
        <v>TRUE</v>
      </c>
      <c r="M160" s="525" t="str">
        <f t="shared" si="14"/>
        <v>TRUE</v>
      </c>
      <c r="N160" s="533" t="b">
        <f>ROUND(SUMIFS(AN_TME_BY[[#All],[TOTAL Non-Truncated Unadjusted Claims Expenses]], AN_TME_BY[[#All],[Insurance Category Code]],2, AN_TME_BY[[#All],[Advanced Network/Insurance Carrier Org ID]],B160),2)&gt;=ROUND(SUMIFS(AN_TME_BY[[#All],[TOTAL Truncated Unadjusted Claims Expenses (A21 -A19)]], AN_TME_BY[[#All],[Insurance Category Code]],2, AN_TME_BY[[#All],[Advanced Network/Insurance Carrier Org ID]],B160), 2)</f>
        <v>1</v>
      </c>
      <c r="O160" s="534" t="b">
        <f>ROUND(SUMIFS(AN_TME_BY[[#All],[TOTAL Truncated Unadjusted Claims Expenses (A21 -A19)]], AN_TME_BY[[#All],[Insurance Category Code]],2, AN_TME_BY[[#All],[Advanced Network/Insurance Carrier Org ID]],B160)+SUMIFS(AN_TME_BY[[#All],[Total Claims Excluded because of Truncation]], AN_TME_BY[[#All],[Insurance Category Code]],2, AN_TME_BY[[#All],[Advanced Network/Insurance Carrier Org ID]],B160),2)=ROUND(SUMIFS(AN_TME_BY[[#All],[TOTAL Non-Truncated Unadjusted Claims Expenses]], AN_TME_BY[[#All],[Insurance Category Code]],2, AN_TME_BY[[#All],[Advanced Network/Insurance Carrier Org ID]],B160), 2)</f>
        <v>1</v>
      </c>
      <c r="Q160" s="216">
        <v>104</v>
      </c>
      <c r="R160" s="404">
        <f>ROUND(SUMIFS(Age_Sex_PY[[#All],[Total Member Months by Age/Sex Band]], Age_Sex_PY[[#All],[Advanced Network ID]], $Q160, Age_Sex_PY[[#All],[Insurance Category Code]],2),2)</f>
        <v>0</v>
      </c>
      <c r="S160" s="238">
        <f>ROUND(SUMIFS(Age_Sex_PY[[#All],[Total Dollars Excluded from Spending After Applying Truncation at the Member Level]], Age_Sex_PY[[#All],[Advanced Network ID]], $B160, Age_Sex_PY[[#All],[Insurance Category Code]],2),2)</f>
        <v>0</v>
      </c>
      <c r="T160" s="209">
        <f>ROUND(SUMIFS(Age_Sex_PY[[#All],[Count of Members whose Spending was Truncated]], Age_Sex_PY[[#All],[Advanced Network ID]], $B160, Age_Sex_PY[[#All],[Insurance Category Code]],2),2)</f>
        <v>0</v>
      </c>
      <c r="U160" s="210">
        <f>ROUND(SUMIFS(Age_Sex_PY[[#All],[Total Spending before Truncation is Applied]], Age_Sex_PY[[#All],[Advanced Network ID]], $B160, Age_Sex_PY[[#All],[Insurance Category Code]],2),2)</f>
        <v>0</v>
      </c>
      <c r="V160" s="212">
        <f>ROUND(SUMIFS(Age_Sex_PY[[#All],[Total Spending After Applying Truncation at the Member Level]], Age_Sex_PY[[#All],[Advanced Network ID]], $B160, Age_Sex_PY[[#All],[Insurance Category Code]],2), 2)</f>
        <v>0</v>
      </c>
      <c r="W160" s="525" t="str">
        <f>IF(ROUND(R160,0)=ROUND(SUMIFS(AN_TME_PY[[#All],[Member Months]], AN_TME_PY[[#All],[Insurance Category Code]],2, AN_TME_PY[[#All],[Advanced Network/Insurance Carrier Org ID]],Q160),0), "TRUE", ROUND(R160-SUMIFS(AN_TME_PY[[#All],[Member Months]], AN_TME_PY[[#All],[Insurance Category Code]],2, AN_TME_PY[[#All],[Advanced Network/Insurance Carrier Org ID]],Q160),2))</f>
        <v>TRUE</v>
      </c>
      <c r="X160" s="527" t="str">
        <f>IF(ROUND(S160,0)=ROUND(SUMIFS(AN_TME_PY[[#All],[Total Claims Excluded because of Truncation]], AN_TME_PY[[#All],[Insurance Category Code]],2, AN_TME_PY[[#All],[Advanced Network/Insurance Carrier Org ID]],Q160),0), "TRUE", ROUND(S160-SUMIFS(AN_TME_PY[[#All],[Total Claims Excluded because of Truncation]], AN_TME_PY[[#All],[Insurance Category Code]],2, AN_TME_PY[[#All],[Advanced Network/Insurance Carrier Org ID]],Q160),2))</f>
        <v>TRUE</v>
      </c>
      <c r="Y160" s="537" t="str">
        <f>IF(ROUND(T160,0)=ROUND(SUMIFS(AN_TME_PY[[#All],[Count of Members with Claims Truncated]], AN_TME_PY[[#All],[Insurance Category Code]],2, AN_TME_PY[[#All],[Advanced Network/Insurance Carrier Org ID]],Q160),0), "TRUE", ROUND(T160-SUMIFS(AN_TME_PY[[#All],[Count of Members with Claims Truncated]], AN_TME_PY[[#All],[Insurance Category Code]],2, AN_TME_PY[[#All],[Advanced Network/Insurance Carrier Org ID]],Q160),2))</f>
        <v>TRUE</v>
      </c>
      <c r="Z160" s="528" t="str">
        <f>IF(ROUND(U160,0)=ROUND(SUMIFS(AN_TME_PY[[#All],[TOTAL Non-Truncated Unadjusted Claims Expenses]], AN_TME_PY[[#All],[Insurance Category Code]],2, AN_TME_PY[[#All],[Advanced Network/Insurance Carrier Org ID]],Q160),0), "TRUE", ROUND(U160-SUMIFS(AN_TME_PY[[#All],[TOTAL Non-Truncated Unadjusted Claims Expenses]], AN_TME_PY[[#All],[Insurance Category Code]],2, AN_TME_PY[[#All],[Advanced Network/Insurance Carrier Org ID]],Q160),2))</f>
        <v>TRUE</v>
      </c>
      <c r="AA160" s="529" t="str">
        <f>IF(ROUND(V160,0)=ROUND(SUMIFS(AN_TME_PY[[#All],[TOTAL Truncated Unadjusted Claims Expenses (A21 -A19)]], AN_TME_PY[[#All],[Insurance Category Code]],2, AN_TME_PY[[#All],[Advanced Network/Insurance Carrier Org ID]],Q160),0), "TRUE", ROUND(V160-SUMIFS(AN_TME_PY[[#All],[TOTAL Truncated Unadjusted Claims Expenses (A21 -A19)]], AN_TME_PY[[#All],[Insurance Category Code]],2, AN_TME_PY[[#All],[Advanced Network/Insurance Carrier Org ID]],Q160),2))</f>
        <v>TRUE</v>
      </c>
      <c r="AB160" s="525" t="str">
        <f t="shared" si="16"/>
        <v>TRUE</v>
      </c>
      <c r="AC160" s="528" t="b">
        <f>ROUND(SUMIFS(AN_TME_PY[[#All],[TOTAL Non-Truncated Unadjusted Claims Expenses]], AN_TME_PY[[#All],[Insurance Category Code]],2, AN_TME_PY[[#All],[Advanced Network/Insurance Carrier Org ID]],Q160),2)&gt;=ROUND(SUMIFS(AN_TME_PY[[#All],[TOTAL Truncated Unadjusted Claims Expenses (A21 -A19)]], AN_TME_PY[[#All],[Insurance Category Code]],2, AN_TME_PY[[#All],[Advanced Network/Insurance Carrier Org ID]],Q160),2)</f>
        <v>1</v>
      </c>
      <c r="AD160" s="529" t="b">
        <f>ROUND(SUMIFS(AN_TME_PY[[#All],[TOTAL Truncated Unadjusted Claims Expenses (A21 -A19)]], AN_TME_PY[[#All],[Insurance Category Code]],2, AN_TME_PY[[#All],[Advanced Network/Insurance Carrier Org ID]],Q160)+SUMIFS(AN_TME_PY[[#All],[Total Claims Excluded because of Truncation]], AN_TME_PY[[#All],[Insurance Category Code]],2, AN_TME_PY[[#All],[Advanced Network/Insurance Carrier Org ID]],Q160), 2)=ROUND(SUMIFS(AN_TME_PY[[#All],[TOTAL Non-Truncated Unadjusted Claims Expenses]], AN_TME_PY[[#All],[Insurance Category Code]],2, AN_TME_PY[[#All],[Advanced Network/Insurance Carrier Org ID]],Q160),2)</f>
        <v>1</v>
      </c>
      <c r="AF160" s="283" t="str">
        <f t="shared" si="15"/>
        <v>NA</v>
      </c>
    </row>
    <row r="161" spans="2:32" outlineLevel="1" x14ac:dyDescent="0.25">
      <c r="B161" s="216">
        <v>105</v>
      </c>
      <c r="C161" s="404">
        <f>ROUND(SUMIFS(Age_Sex_BY[[#All],[Total Member Months by Age/Sex Band]], Age_Sex_BY[[#All],[Advanced Network ID]], $B161, Age_Sex_BY[[#All],[Insurance Category Code]],2),2)</f>
        <v>0</v>
      </c>
      <c r="D161" s="238">
        <f>ROUND(SUMIFS(Age_Sex_BY[[#All],[Total Dollars Excluded from Spending After Applying Truncation at the Member Level]], Age_Sex_BY[[#All],[Advanced Network ID]], $B161, Age_Sex_BY[[#All],[Insurance Category Code]],2),2)</f>
        <v>0</v>
      </c>
      <c r="E161" s="209">
        <f>ROUND(SUMIFS(Age_Sex_BY[[#All],[Count of Members whose Spending was Truncated]], Age_Sex_BY[[#All],[Advanced Network ID]], $B161, Age_Sex_BY[[#All],[Insurance Category Code]],2),2)</f>
        <v>0</v>
      </c>
      <c r="F161" s="210">
        <f>ROUND(SUMIFS(Age_Sex_BY[[#All],[Total Spending before Truncation is Applied]], Age_Sex_BY[[#All],[Advanced Network ID]], $B161, Age_Sex_BY[[#All],[Insurance Category Code]],2),2)</f>
        <v>0</v>
      </c>
      <c r="G161" s="212">
        <f>ROUND(SUMIFS(Age_Sex_BY[[#All],[Total Spending After Applying Truncation at the Member Level]], Age_Sex_BY[[#All],[Advanced Network ID]], $B161, Age_Sex_BY[[#All],[Insurance Category Code]],2),2)</f>
        <v>0</v>
      </c>
      <c r="H161" s="525" t="str">
        <f>IF(ROUND(C161,0)=ROUND(SUMIFS(AN_TME_BY[[#All],[Member Months]], AN_TME_BY[[#All],[Insurance Category Code]],2, AN_TME_BY[[#All],[Advanced Network/Insurance Carrier Org ID]],B161),0), "TRUE", ROUND(C161-SUMIFS(AN_TME_BY[[#All],[Member Months]], AN_TME_BY[[#All],[Insurance Category Code]],2, AN_TME_BY[[#All],[Advanced Network/Insurance Carrier Org ID]],B161),2))</f>
        <v>TRUE</v>
      </c>
      <c r="I161" s="533" t="str">
        <f>IF(ROUND(D161,0)=ROUND(SUMIFS(AN_TME_BY[[#All],[Total Claims Excluded because of Truncation]], AN_TME_BY[[#All],[Insurance Category Code]],2, AN_TME_BY[[#All],[Advanced Network/Insurance Carrier Org ID]],B161),0), "TRUE", ROUND(D161-SUMIFS(AN_TME_BY[[#All],[Total Claims Excluded because of Truncation]], AN_TME_BY[[#All],[Insurance Category Code]],2, AN_TME_BY[[#All],[Advanced Network/Insurance Carrier Org ID]],B161),2))</f>
        <v>TRUE</v>
      </c>
      <c r="J161" s="537" t="str">
        <f>IF(ROUND(E161,0)=ROUND(SUMIFS(AN_TME_BY[[#All],[Count of Members with Claims Truncated]], AN_TME_BY[[#All],[Insurance Category Code]],2, AN_TME_BY[[#All],[Advanced Network/Insurance Carrier Org ID]],B161),0), "TRUE", ROUND(E161-SUMIFS(AN_TME_BY[[#All],[Count of Members with Claims Truncated]], AN_TME_BY[[#All],[Insurance Category Code]],2, AN_TME_BY[[#All],[Advanced Network/Insurance Carrier Org ID]],B161),2))</f>
        <v>TRUE</v>
      </c>
      <c r="K161" s="533" t="str">
        <f>IF(ROUND(F161,0)=ROUND(SUMIFS(AN_TME_BY[[#All],[TOTAL Non-Truncated Unadjusted Claims Expenses]], AN_TME_BY[[#All],[Insurance Category Code]],2, AN_TME_BY[[#All],[Advanced Network/Insurance Carrier Org ID]],B161),0), "TRUE", ROUND(F161-SUMIFS(AN_TME_BY[[#All],[TOTAL Non-Truncated Unadjusted Claims Expenses]], AN_TME_BY[[#All],[Insurance Category Code]],2, AN_TME_BY[[#All],[Advanced Network/Insurance Carrier Org ID]],B161),2))</f>
        <v>TRUE</v>
      </c>
      <c r="L161" s="534" t="str">
        <f>IF(ROUND(G161,0)=ROUND(SUMIFS(AN_TME_BY[[#All],[TOTAL Truncated Unadjusted Claims Expenses (A21 -A19)]], AN_TME_BY[[#All],[Insurance Category Code]],2, AN_TME_BY[[#All],[Advanced Network/Insurance Carrier Org ID]],B161),0), "TRUE", ROUND(G161-SUMIFS(AN_TME_BY[[#All],[TOTAL Truncated Unadjusted Claims Expenses (A21 -A19)]], AN_TME_BY[[#All],[Insurance Category Code]],2, AN_TME_BY[[#All],[Advanced Network/Insurance Carrier Org ID]],B161),2))</f>
        <v>TRUE</v>
      </c>
      <c r="M161" s="525" t="str">
        <f t="shared" si="14"/>
        <v>TRUE</v>
      </c>
      <c r="N161" s="533" t="b">
        <f>ROUND(SUMIFS(AN_TME_BY[[#All],[TOTAL Non-Truncated Unadjusted Claims Expenses]], AN_TME_BY[[#All],[Insurance Category Code]],2, AN_TME_BY[[#All],[Advanced Network/Insurance Carrier Org ID]],B161),2)&gt;=ROUND(SUMIFS(AN_TME_BY[[#All],[TOTAL Truncated Unadjusted Claims Expenses (A21 -A19)]], AN_TME_BY[[#All],[Insurance Category Code]],2, AN_TME_BY[[#All],[Advanced Network/Insurance Carrier Org ID]],B161), 2)</f>
        <v>1</v>
      </c>
      <c r="O161" s="534" t="b">
        <f>ROUND(SUMIFS(AN_TME_BY[[#All],[TOTAL Truncated Unadjusted Claims Expenses (A21 -A19)]], AN_TME_BY[[#All],[Insurance Category Code]],2, AN_TME_BY[[#All],[Advanced Network/Insurance Carrier Org ID]],B161)+SUMIFS(AN_TME_BY[[#All],[Total Claims Excluded because of Truncation]], AN_TME_BY[[#All],[Insurance Category Code]],2, AN_TME_BY[[#All],[Advanced Network/Insurance Carrier Org ID]],B161),2)=ROUND(SUMIFS(AN_TME_BY[[#All],[TOTAL Non-Truncated Unadjusted Claims Expenses]], AN_TME_BY[[#All],[Insurance Category Code]],2, AN_TME_BY[[#All],[Advanced Network/Insurance Carrier Org ID]],B161), 2)</f>
        <v>1</v>
      </c>
      <c r="Q161" s="216">
        <v>105</v>
      </c>
      <c r="R161" s="404">
        <f>ROUND(SUMIFS(Age_Sex_PY[[#All],[Total Member Months by Age/Sex Band]], Age_Sex_PY[[#All],[Advanced Network ID]], $Q161, Age_Sex_PY[[#All],[Insurance Category Code]],2),2)</f>
        <v>0</v>
      </c>
      <c r="S161" s="238">
        <f>ROUND(SUMIFS(Age_Sex_PY[[#All],[Total Dollars Excluded from Spending After Applying Truncation at the Member Level]], Age_Sex_PY[[#All],[Advanced Network ID]], $B161, Age_Sex_PY[[#All],[Insurance Category Code]],2),2)</f>
        <v>0</v>
      </c>
      <c r="T161" s="209">
        <f>ROUND(SUMIFS(Age_Sex_PY[[#All],[Count of Members whose Spending was Truncated]], Age_Sex_PY[[#All],[Advanced Network ID]], $B161, Age_Sex_PY[[#All],[Insurance Category Code]],2),2)</f>
        <v>0</v>
      </c>
      <c r="U161" s="210">
        <f>ROUND(SUMIFS(Age_Sex_PY[[#All],[Total Spending before Truncation is Applied]], Age_Sex_PY[[#All],[Advanced Network ID]], $B161, Age_Sex_PY[[#All],[Insurance Category Code]],2),2)</f>
        <v>0</v>
      </c>
      <c r="V161" s="212">
        <f>ROUND(SUMIFS(Age_Sex_PY[[#All],[Total Spending After Applying Truncation at the Member Level]], Age_Sex_PY[[#All],[Advanced Network ID]], $B161, Age_Sex_PY[[#All],[Insurance Category Code]],2), 2)</f>
        <v>0</v>
      </c>
      <c r="W161" s="525" t="str">
        <f>IF(ROUND(R161,0)=ROUND(SUMIFS(AN_TME_PY[[#All],[Member Months]], AN_TME_PY[[#All],[Insurance Category Code]],2, AN_TME_PY[[#All],[Advanced Network/Insurance Carrier Org ID]],Q161),0), "TRUE", ROUND(R161-SUMIFS(AN_TME_PY[[#All],[Member Months]], AN_TME_PY[[#All],[Insurance Category Code]],2, AN_TME_PY[[#All],[Advanced Network/Insurance Carrier Org ID]],Q161),2))</f>
        <v>TRUE</v>
      </c>
      <c r="X161" s="527" t="str">
        <f>IF(ROUND(S161,0)=ROUND(SUMIFS(AN_TME_PY[[#All],[Total Claims Excluded because of Truncation]], AN_TME_PY[[#All],[Insurance Category Code]],2, AN_TME_PY[[#All],[Advanced Network/Insurance Carrier Org ID]],Q161),0), "TRUE", ROUND(S161-SUMIFS(AN_TME_PY[[#All],[Total Claims Excluded because of Truncation]], AN_TME_PY[[#All],[Insurance Category Code]],2, AN_TME_PY[[#All],[Advanced Network/Insurance Carrier Org ID]],Q161),2))</f>
        <v>TRUE</v>
      </c>
      <c r="Y161" s="537" t="str">
        <f>IF(ROUND(T161,0)=ROUND(SUMIFS(AN_TME_PY[[#All],[Count of Members with Claims Truncated]], AN_TME_PY[[#All],[Insurance Category Code]],2, AN_TME_PY[[#All],[Advanced Network/Insurance Carrier Org ID]],Q161),0), "TRUE", ROUND(T161-SUMIFS(AN_TME_PY[[#All],[Count of Members with Claims Truncated]], AN_TME_PY[[#All],[Insurance Category Code]],2, AN_TME_PY[[#All],[Advanced Network/Insurance Carrier Org ID]],Q161),2))</f>
        <v>TRUE</v>
      </c>
      <c r="Z161" s="528" t="str">
        <f>IF(ROUND(U161,0)=ROUND(SUMIFS(AN_TME_PY[[#All],[TOTAL Non-Truncated Unadjusted Claims Expenses]], AN_TME_PY[[#All],[Insurance Category Code]],2, AN_TME_PY[[#All],[Advanced Network/Insurance Carrier Org ID]],Q161),0), "TRUE", ROUND(U161-SUMIFS(AN_TME_PY[[#All],[TOTAL Non-Truncated Unadjusted Claims Expenses]], AN_TME_PY[[#All],[Insurance Category Code]],2, AN_TME_PY[[#All],[Advanced Network/Insurance Carrier Org ID]],Q161),2))</f>
        <v>TRUE</v>
      </c>
      <c r="AA161" s="529" t="str">
        <f>IF(ROUND(V161,0)=ROUND(SUMIFS(AN_TME_PY[[#All],[TOTAL Truncated Unadjusted Claims Expenses (A21 -A19)]], AN_TME_PY[[#All],[Insurance Category Code]],2, AN_TME_PY[[#All],[Advanced Network/Insurance Carrier Org ID]],Q161),0), "TRUE", ROUND(V161-SUMIFS(AN_TME_PY[[#All],[TOTAL Truncated Unadjusted Claims Expenses (A21 -A19)]], AN_TME_PY[[#All],[Insurance Category Code]],2, AN_TME_PY[[#All],[Advanced Network/Insurance Carrier Org ID]],Q161),2))</f>
        <v>TRUE</v>
      </c>
      <c r="AB161" s="525" t="str">
        <f t="shared" si="16"/>
        <v>TRUE</v>
      </c>
      <c r="AC161" s="528" t="b">
        <f>ROUND(SUMIFS(AN_TME_PY[[#All],[TOTAL Non-Truncated Unadjusted Claims Expenses]], AN_TME_PY[[#All],[Insurance Category Code]],2, AN_TME_PY[[#All],[Advanced Network/Insurance Carrier Org ID]],Q161),2)&gt;=ROUND(SUMIFS(AN_TME_PY[[#All],[TOTAL Truncated Unadjusted Claims Expenses (A21 -A19)]], AN_TME_PY[[#All],[Insurance Category Code]],2, AN_TME_PY[[#All],[Advanced Network/Insurance Carrier Org ID]],Q161),2)</f>
        <v>1</v>
      </c>
      <c r="AD161" s="529" t="b">
        <f>ROUND(SUMIFS(AN_TME_PY[[#All],[TOTAL Truncated Unadjusted Claims Expenses (A21 -A19)]], AN_TME_PY[[#All],[Insurance Category Code]],2, AN_TME_PY[[#All],[Advanced Network/Insurance Carrier Org ID]],Q161)+SUMIFS(AN_TME_PY[[#All],[Total Claims Excluded because of Truncation]], AN_TME_PY[[#All],[Insurance Category Code]],2, AN_TME_PY[[#All],[Advanced Network/Insurance Carrier Org ID]],Q161), 2)=ROUND(SUMIFS(AN_TME_PY[[#All],[TOTAL Non-Truncated Unadjusted Claims Expenses]], AN_TME_PY[[#All],[Insurance Category Code]],2, AN_TME_PY[[#All],[Advanced Network/Insurance Carrier Org ID]],Q161),2)</f>
        <v>1</v>
      </c>
      <c r="AF161" s="283" t="str">
        <f t="shared" si="15"/>
        <v>NA</v>
      </c>
    </row>
    <row r="162" spans="2:32" outlineLevel="1" x14ac:dyDescent="0.25">
      <c r="B162" s="216">
        <v>106</v>
      </c>
      <c r="C162" s="404">
        <f>ROUND(SUMIFS(Age_Sex_BY[[#All],[Total Member Months by Age/Sex Band]], Age_Sex_BY[[#All],[Advanced Network ID]], $B162, Age_Sex_BY[[#All],[Insurance Category Code]],2),2)</f>
        <v>0</v>
      </c>
      <c r="D162" s="238">
        <f>ROUND(SUMIFS(Age_Sex_BY[[#All],[Total Dollars Excluded from Spending After Applying Truncation at the Member Level]], Age_Sex_BY[[#All],[Advanced Network ID]], $B162, Age_Sex_BY[[#All],[Insurance Category Code]],2),2)</f>
        <v>0</v>
      </c>
      <c r="E162" s="209">
        <f>ROUND(SUMIFS(Age_Sex_BY[[#All],[Count of Members whose Spending was Truncated]], Age_Sex_BY[[#All],[Advanced Network ID]], $B162, Age_Sex_BY[[#All],[Insurance Category Code]],2),2)</f>
        <v>0</v>
      </c>
      <c r="F162" s="210">
        <f>ROUND(SUMIFS(Age_Sex_BY[[#All],[Total Spending before Truncation is Applied]], Age_Sex_BY[[#All],[Advanced Network ID]], $B162, Age_Sex_BY[[#All],[Insurance Category Code]],2),2)</f>
        <v>0</v>
      </c>
      <c r="G162" s="212">
        <f>ROUND(SUMIFS(Age_Sex_BY[[#All],[Total Spending After Applying Truncation at the Member Level]], Age_Sex_BY[[#All],[Advanced Network ID]], $B162, Age_Sex_BY[[#All],[Insurance Category Code]],2),2)</f>
        <v>0</v>
      </c>
      <c r="H162" s="525" t="str">
        <f>IF(ROUND(C162,0)=ROUND(SUMIFS(AN_TME_BY[[#All],[Member Months]], AN_TME_BY[[#All],[Insurance Category Code]],2, AN_TME_BY[[#All],[Advanced Network/Insurance Carrier Org ID]],B162),0), "TRUE", ROUND(C162-SUMIFS(AN_TME_BY[[#All],[Member Months]], AN_TME_BY[[#All],[Insurance Category Code]],2, AN_TME_BY[[#All],[Advanced Network/Insurance Carrier Org ID]],B162),2))</f>
        <v>TRUE</v>
      </c>
      <c r="I162" s="533" t="str">
        <f>IF(ROUND(D162,0)=ROUND(SUMIFS(AN_TME_BY[[#All],[Total Claims Excluded because of Truncation]], AN_TME_BY[[#All],[Insurance Category Code]],2, AN_TME_BY[[#All],[Advanced Network/Insurance Carrier Org ID]],B162),0), "TRUE", ROUND(D162-SUMIFS(AN_TME_BY[[#All],[Total Claims Excluded because of Truncation]], AN_TME_BY[[#All],[Insurance Category Code]],2, AN_TME_BY[[#All],[Advanced Network/Insurance Carrier Org ID]],B162),2))</f>
        <v>TRUE</v>
      </c>
      <c r="J162" s="537" t="str">
        <f>IF(ROUND(E162,0)=ROUND(SUMIFS(AN_TME_BY[[#All],[Count of Members with Claims Truncated]], AN_TME_BY[[#All],[Insurance Category Code]],2, AN_TME_BY[[#All],[Advanced Network/Insurance Carrier Org ID]],B162),0), "TRUE", ROUND(E162-SUMIFS(AN_TME_BY[[#All],[Count of Members with Claims Truncated]], AN_TME_BY[[#All],[Insurance Category Code]],2, AN_TME_BY[[#All],[Advanced Network/Insurance Carrier Org ID]],B162),2))</f>
        <v>TRUE</v>
      </c>
      <c r="K162" s="533" t="str">
        <f>IF(ROUND(F162,0)=ROUND(SUMIFS(AN_TME_BY[[#All],[TOTAL Non-Truncated Unadjusted Claims Expenses]], AN_TME_BY[[#All],[Insurance Category Code]],2, AN_TME_BY[[#All],[Advanced Network/Insurance Carrier Org ID]],B162),0), "TRUE", ROUND(F162-SUMIFS(AN_TME_BY[[#All],[TOTAL Non-Truncated Unadjusted Claims Expenses]], AN_TME_BY[[#All],[Insurance Category Code]],2, AN_TME_BY[[#All],[Advanced Network/Insurance Carrier Org ID]],B162),2))</f>
        <v>TRUE</v>
      </c>
      <c r="L162" s="534" t="str">
        <f>IF(ROUND(G162,0)=ROUND(SUMIFS(AN_TME_BY[[#All],[TOTAL Truncated Unadjusted Claims Expenses (A21 -A19)]], AN_TME_BY[[#All],[Insurance Category Code]],2, AN_TME_BY[[#All],[Advanced Network/Insurance Carrier Org ID]],B162),0), "TRUE", ROUND(G162-SUMIFS(AN_TME_BY[[#All],[TOTAL Truncated Unadjusted Claims Expenses (A21 -A19)]], AN_TME_BY[[#All],[Insurance Category Code]],2, AN_TME_BY[[#All],[Advanced Network/Insurance Carrier Org ID]],B162),2))</f>
        <v>TRUE</v>
      </c>
      <c r="M162" s="525" t="str">
        <f t="shared" si="14"/>
        <v>TRUE</v>
      </c>
      <c r="N162" s="533" t="b">
        <f>ROUND(SUMIFS(AN_TME_BY[[#All],[TOTAL Non-Truncated Unadjusted Claims Expenses]], AN_TME_BY[[#All],[Insurance Category Code]],2, AN_TME_BY[[#All],[Advanced Network/Insurance Carrier Org ID]],B162),2)&gt;=ROUND(SUMIFS(AN_TME_BY[[#All],[TOTAL Truncated Unadjusted Claims Expenses (A21 -A19)]], AN_TME_BY[[#All],[Insurance Category Code]],2, AN_TME_BY[[#All],[Advanced Network/Insurance Carrier Org ID]],B162), 2)</f>
        <v>1</v>
      </c>
      <c r="O162" s="534" t="b">
        <f>ROUND(SUMIFS(AN_TME_BY[[#All],[TOTAL Truncated Unadjusted Claims Expenses (A21 -A19)]], AN_TME_BY[[#All],[Insurance Category Code]],2, AN_TME_BY[[#All],[Advanced Network/Insurance Carrier Org ID]],B162)+SUMIFS(AN_TME_BY[[#All],[Total Claims Excluded because of Truncation]], AN_TME_BY[[#All],[Insurance Category Code]],2, AN_TME_BY[[#All],[Advanced Network/Insurance Carrier Org ID]],B162),2)=ROUND(SUMIFS(AN_TME_BY[[#All],[TOTAL Non-Truncated Unadjusted Claims Expenses]], AN_TME_BY[[#All],[Insurance Category Code]],2, AN_TME_BY[[#All],[Advanced Network/Insurance Carrier Org ID]],B162), 2)</f>
        <v>1</v>
      </c>
      <c r="Q162" s="216">
        <v>106</v>
      </c>
      <c r="R162" s="404">
        <f>ROUND(SUMIFS(Age_Sex_PY[[#All],[Total Member Months by Age/Sex Band]], Age_Sex_PY[[#All],[Advanced Network ID]], $Q162, Age_Sex_PY[[#All],[Insurance Category Code]],2),2)</f>
        <v>0</v>
      </c>
      <c r="S162" s="238">
        <f>ROUND(SUMIFS(Age_Sex_PY[[#All],[Total Dollars Excluded from Spending After Applying Truncation at the Member Level]], Age_Sex_PY[[#All],[Advanced Network ID]], $B162, Age_Sex_PY[[#All],[Insurance Category Code]],2),2)</f>
        <v>0</v>
      </c>
      <c r="T162" s="209">
        <f>ROUND(SUMIFS(Age_Sex_PY[[#All],[Count of Members whose Spending was Truncated]], Age_Sex_PY[[#All],[Advanced Network ID]], $B162, Age_Sex_PY[[#All],[Insurance Category Code]],2),2)</f>
        <v>0</v>
      </c>
      <c r="U162" s="210">
        <f>ROUND(SUMIFS(Age_Sex_PY[[#All],[Total Spending before Truncation is Applied]], Age_Sex_PY[[#All],[Advanced Network ID]], $B162, Age_Sex_PY[[#All],[Insurance Category Code]],2),2)</f>
        <v>0</v>
      </c>
      <c r="V162" s="212">
        <f>ROUND(SUMIFS(Age_Sex_PY[[#All],[Total Spending After Applying Truncation at the Member Level]], Age_Sex_PY[[#All],[Advanced Network ID]], $B162, Age_Sex_PY[[#All],[Insurance Category Code]],2), 2)</f>
        <v>0</v>
      </c>
      <c r="W162" s="525" t="str">
        <f>IF(ROUND(R162,0)=ROUND(SUMIFS(AN_TME_PY[[#All],[Member Months]], AN_TME_PY[[#All],[Insurance Category Code]],2, AN_TME_PY[[#All],[Advanced Network/Insurance Carrier Org ID]],Q162),0), "TRUE", ROUND(R162-SUMIFS(AN_TME_PY[[#All],[Member Months]], AN_TME_PY[[#All],[Insurance Category Code]],2, AN_TME_PY[[#All],[Advanced Network/Insurance Carrier Org ID]],Q162),2))</f>
        <v>TRUE</v>
      </c>
      <c r="X162" s="527" t="str">
        <f>IF(ROUND(S162,0)=ROUND(SUMIFS(AN_TME_PY[[#All],[Total Claims Excluded because of Truncation]], AN_TME_PY[[#All],[Insurance Category Code]],2, AN_TME_PY[[#All],[Advanced Network/Insurance Carrier Org ID]],Q162),0), "TRUE", ROUND(S162-SUMIFS(AN_TME_PY[[#All],[Total Claims Excluded because of Truncation]], AN_TME_PY[[#All],[Insurance Category Code]],2, AN_TME_PY[[#All],[Advanced Network/Insurance Carrier Org ID]],Q162),2))</f>
        <v>TRUE</v>
      </c>
      <c r="Y162" s="537" t="str">
        <f>IF(ROUND(T162,0)=ROUND(SUMIFS(AN_TME_PY[[#All],[Count of Members with Claims Truncated]], AN_TME_PY[[#All],[Insurance Category Code]],2, AN_TME_PY[[#All],[Advanced Network/Insurance Carrier Org ID]],Q162),0), "TRUE", ROUND(T162-SUMIFS(AN_TME_PY[[#All],[Count of Members with Claims Truncated]], AN_TME_PY[[#All],[Insurance Category Code]],2, AN_TME_PY[[#All],[Advanced Network/Insurance Carrier Org ID]],Q162),2))</f>
        <v>TRUE</v>
      </c>
      <c r="Z162" s="528" t="str">
        <f>IF(ROUND(U162,0)=ROUND(SUMIFS(AN_TME_PY[[#All],[TOTAL Non-Truncated Unadjusted Claims Expenses]], AN_TME_PY[[#All],[Insurance Category Code]],2, AN_TME_PY[[#All],[Advanced Network/Insurance Carrier Org ID]],Q162),0), "TRUE", ROUND(U162-SUMIFS(AN_TME_PY[[#All],[TOTAL Non-Truncated Unadjusted Claims Expenses]], AN_TME_PY[[#All],[Insurance Category Code]],2, AN_TME_PY[[#All],[Advanced Network/Insurance Carrier Org ID]],Q162),2))</f>
        <v>TRUE</v>
      </c>
      <c r="AA162" s="529" t="str">
        <f>IF(ROUND(V162,0)=ROUND(SUMIFS(AN_TME_PY[[#All],[TOTAL Truncated Unadjusted Claims Expenses (A21 -A19)]], AN_TME_PY[[#All],[Insurance Category Code]],2, AN_TME_PY[[#All],[Advanced Network/Insurance Carrier Org ID]],Q162),0), "TRUE", ROUND(V162-SUMIFS(AN_TME_PY[[#All],[TOTAL Truncated Unadjusted Claims Expenses (A21 -A19)]], AN_TME_PY[[#All],[Insurance Category Code]],2, AN_TME_PY[[#All],[Advanced Network/Insurance Carrier Org ID]],Q162),2))</f>
        <v>TRUE</v>
      </c>
      <c r="AB162" s="525" t="str">
        <f t="shared" si="16"/>
        <v>TRUE</v>
      </c>
      <c r="AC162" s="528" t="b">
        <f>ROUND(SUMIFS(AN_TME_PY[[#All],[TOTAL Non-Truncated Unadjusted Claims Expenses]], AN_TME_PY[[#All],[Insurance Category Code]],2, AN_TME_PY[[#All],[Advanced Network/Insurance Carrier Org ID]],Q162),2)&gt;=ROUND(SUMIFS(AN_TME_PY[[#All],[TOTAL Truncated Unadjusted Claims Expenses (A21 -A19)]], AN_TME_PY[[#All],[Insurance Category Code]],2, AN_TME_PY[[#All],[Advanced Network/Insurance Carrier Org ID]],Q162),2)</f>
        <v>1</v>
      </c>
      <c r="AD162" s="529" t="b">
        <f>ROUND(SUMIFS(AN_TME_PY[[#All],[TOTAL Truncated Unadjusted Claims Expenses (A21 -A19)]], AN_TME_PY[[#All],[Insurance Category Code]],2, AN_TME_PY[[#All],[Advanced Network/Insurance Carrier Org ID]],Q162)+SUMIFS(AN_TME_PY[[#All],[Total Claims Excluded because of Truncation]], AN_TME_PY[[#All],[Insurance Category Code]],2, AN_TME_PY[[#All],[Advanced Network/Insurance Carrier Org ID]],Q162), 2)=ROUND(SUMIFS(AN_TME_PY[[#All],[TOTAL Non-Truncated Unadjusted Claims Expenses]], AN_TME_PY[[#All],[Insurance Category Code]],2, AN_TME_PY[[#All],[Advanced Network/Insurance Carrier Org ID]],Q162),2)</f>
        <v>1</v>
      </c>
      <c r="AF162" s="283" t="str">
        <f t="shared" si="15"/>
        <v>NA</v>
      </c>
    </row>
    <row r="163" spans="2:32" outlineLevel="1" x14ac:dyDescent="0.25">
      <c r="B163" s="216">
        <v>107</v>
      </c>
      <c r="C163" s="404">
        <f>ROUND(SUMIFS(Age_Sex_BY[[#All],[Total Member Months by Age/Sex Band]], Age_Sex_BY[[#All],[Advanced Network ID]], $B163, Age_Sex_BY[[#All],[Insurance Category Code]],2),2)</f>
        <v>0</v>
      </c>
      <c r="D163" s="238">
        <f>ROUND(SUMIFS(Age_Sex_BY[[#All],[Total Dollars Excluded from Spending After Applying Truncation at the Member Level]], Age_Sex_BY[[#All],[Advanced Network ID]], $B163, Age_Sex_BY[[#All],[Insurance Category Code]],2),2)</f>
        <v>0</v>
      </c>
      <c r="E163" s="209">
        <f>ROUND(SUMIFS(Age_Sex_BY[[#All],[Count of Members whose Spending was Truncated]], Age_Sex_BY[[#All],[Advanced Network ID]], $B163, Age_Sex_BY[[#All],[Insurance Category Code]],2),2)</f>
        <v>0</v>
      </c>
      <c r="F163" s="210">
        <f>ROUND(SUMIFS(Age_Sex_BY[[#All],[Total Spending before Truncation is Applied]], Age_Sex_BY[[#All],[Advanced Network ID]], $B163, Age_Sex_BY[[#All],[Insurance Category Code]],2),2)</f>
        <v>0</v>
      </c>
      <c r="G163" s="212">
        <f>ROUND(SUMIFS(Age_Sex_BY[[#All],[Total Spending After Applying Truncation at the Member Level]], Age_Sex_BY[[#All],[Advanced Network ID]], $B163, Age_Sex_BY[[#All],[Insurance Category Code]],2),2)</f>
        <v>0</v>
      </c>
      <c r="H163" s="525" t="str">
        <f>IF(ROUND(C163,0)=ROUND(SUMIFS(AN_TME_BY[[#All],[Member Months]], AN_TME_BY[[#All],[Insurance Category Code]],2, AN_TME_BY[[#All],[Advanced Network/Insurance Carrier Org ID]],B163),0), "TRUE", ROUND(C163-SUMIFS(AN_TME_BY[[#All],[Member Months]], AN_TME_BY[[#All],[Insurance Category Code]],2, AN_TME_BY[[#All],[Advanced Network/Insurance Carrier Org ID]],B163),2))</f>
        <v>TRUE</v>
      </c>
      <c r="I163" s="533" t="str">
        <f>IF(ROUND(D163,0)=ROUND(SUMIFS(AN_TME_BY[[#All],[Total Claims Excluded because of Truncation]], AN_TME_BY[[#All],[Insurance Category Code]],2, AN_TME_BY[[#All],[Advanced Network/Insurance Carrier Org ID]],B163),0), "TRUE", ROUND(D163-SUMIFS(AN_TME_BY[[#All],[Total Claims Excluded because of Truncation]], AN_TME_BY[[#All],[Insurance Category Code]],2, AN_TME_BY[[#All],[Advanced Network/Insurance Carrier Org ID]],B163),2))</f>
        <v>TRUE</v>
      </c>
      <c r="J163" s="537" t="str">
        <f>IF(ROUND(E163,0)=ROUND(SUMIFS(AN_TME_BY[[#All],[Count of Members with Claims Truncated]], AN_TME_BY[[#All],[Insurance Category Code]],2, AN_TME_BY[[#All],[Advanced Network/Insurance Carrier Org ID]],B163),0), "TRUE", ROUND(E163-SUMIFS(AN_TME_BY[[#All],[Count of Members with Claims Truncated]], AN_TME_BY[[#All],[Insurance Category Code]],2, AN_TME_BY[[#All],[Advanced Network/Insurance Carrier Org ID]],B163),2))</f>
        <v>TRUE</v>
      </c>
      <c r="K163" s="533" t="str">
        <f>IF(ROUND(F163,0)=ROUND(SUMIFS(AN_TME_BY[[#All],[TOTAL Non-Truncated Unadjusted Claims Expenses]], AN_TME_BY[[#All],[Insurance Category Code]],2, AN_TME_BY[[#All],[Advanced Network/Insurance Carrier Org ID]],B163),0), "TRUE", ROUND(F163-SUMIFS(AN_TME_BY[[#All],[TOTAL Non-Truncated Unadjusted Claims Expenses]], AN_TME_BY[[#All],[Insurance Category Code]],2, AN_TME_BY[[#All],[Advanced Network/Insurance Carrier Org ID]],B163),2))</f>
        <v>TRUE</v>
      </c>
      <c r="L163" s="534" t="str">
        <f>IF(ROUND(G163,0)=ROUND(SUMIFS(AN_TME_BY[[#All],[TOTAL Truncated Unadjusted Claims Expenses (A21 -A19)]], AN_TME_BY[[#All],[Insurance Category Code]],2, AN_TME_BY[[#All],[Advanced Network/Insurance Carrier Org ID]],B163),0), "TRUE", ROUND(G163-SUMIFS(AN_TME_BY[[#All],[TOTAL Truncated Unadjusted Claims Expenses (A21 -A19)]], AN_TME_BY[[#All],[Insurance Category Code]],2, AN_TME_BY[[#All],[Advanced Network/Insurance Carrier Org ID]],B163),2))</f>
        <v>TRUE</v>
      </c>
      <c r="M163" s="525" t="str">
        <f t="shared" si="14"/>
        <v>TRUE</v>
      </c>
      <c r="N163" s="533" t="b">
        <f>ROUND(SUMIFS(AN_TME_BY[[#All],[TOTAL Non-Truncated Unadjusted Claims Expenses]], AN_TME_BY[[#All],[Insurance Category Code]],2, AN_TME_BY[[#All],[Advanced Network/Insurance Carrier Org ID]],B163),2)&gt;=ROUND(SUMIFS(AN_TME_BY[[#All],[TOTAL Truncated Unadjusted Claims Expenses (A21 -A19)]], AN_TME_BY[[#All],[Insurance Category Code]],2, AN_TME_BY[[#All],[Advanced Network/Insurance Carrier Org ID]],B163), 2)</f>
        <v>1</v>
      </c>
      <c r="O163" s="534" t="b">
        <f>ROUND(SUMIFS(AN_TME_BY[[#All],[TOTAL Truncated Unadjusted Claims Expenses (A21 -A19)]], AN_TME_BY[[#All],[Insurance Category Code]],2, AN_TME_BY[[#All],[Advanced Network/Insurance Carrier Org ID]],B163)+SUMIFS(AN_TME_BY[[#All],[Total Claims Excluded because of Truncation]], AN_TME_BY[[#All],[Insurance Category Code]],2, AN_TME_BY[[#All],[Advanced Network/Insurance Carrier Org ID]],B163),2)=ROUND(SUMIFS(AN_TME_BY[[#All],[TOTAL Non-Truncated Unadjusted Claims Expenses]], AN_TME_BY[[#All],[Insurance Category Code]],2, AN_TME_BY[[#All],[Advanced Network/Insurance Carrier Org ID]],B163), 2)</f>
        <v>1</v>
      </c>
      <c r="Q163" s="216">
        <v>107</v>
      </c>
      <c r="R163" s="404">
        <f>ROUND(SUMIFS(Age_Sex_PY[[#All],[Total Member Months by Age/Sex Band]], Age_Sex_PY[[#All],[Advanced Network ID]], $Q163, Age_Sex_PY[[#All],[Insurance Category Code]],2),2)</f>
        <v>0</v>
      </c>
      <c r="S163" s="238">
        <f>ROUND(SUMIFS(Age_Sex_PY[[#All],[Total Dollars Excluded from Spending After Applying Truncation at the Member Level]], Age_Sex_PY[[#All],[Advanced Network ID]], $B163, Age_Sex_PY[[#All],[Insurance Category Code]],2),2)</f>
        <v>0</v>
      </c>
      <c r="T163" s="209">
        <f>ROUND(SUMIFS(Age_Sex_PY[[#All],[Count of Members whose Spending was Truncated]], Age_Sex_PY[[#All],[Advanced Network ID]], $B163, Age_Sex_PY[[#All],[Insurance Category Code]],2),2)</f>
        <v>0</v>
      </c>
      <c r="U163" s="210">
        <f>ROUND(SUMIFS(Age_Sex_PY[[#All],[Total Spending before Truncation is Applied]], Age_Sex_PY[[#All],[Advanced Network ID]], $B163, Age_Sex_PY[[#All],[Insurance Category Code]],2),2)</f>
        <v>0</v>
      </c>
      <c r="V163" s="212">
        <f>ROUND(SUMIFS(Age_Sex_PY[[#All],[Total Spending After Applying Truncation at the Member Level]], Age_Sex_PY[[#All],[Advanced Network ID]], $B163, Age_Sex_PY[[#All],[Insurance Category Code]],2), 2)</f>
        <v>0</v>
      </c>
      <c r="W163" s="525" t="str">
        <f>IF(ROUND(R163,0)=ROUND(SUMIFS(AN_TME_PY[[#All],[Member Months]], AN_TME_PY[[#All],[Insurance Category Code]],2, AN_TME_PY[[#All],[Advanced Network/Insurance Carrier Org ID]],Q163),0), "TRUE", ROUND(R163-SUMIFS(AN_TME_PY[[#All],[Member Months]], AN_TME_PY[[#All],[Insurance Category Code]],2, AN_TME_PY[[#All],[Advanced Network/Insurance Carrier Org ID]],Q163),2))</f>
        <v>TRUE</v>
      </c>
      <c r="X163" s="527" t="str">
        <f>IF(ROUND(S163,0)=ROUND(SUMIFS(AN_TME_PY[[#All],[Total Claims Excluded because of Truncation]], AN_TME_PY[[#All],[Insurance Category Code]],2, AN_TME_PY[[#All],[Advanced Network/Insurance Carrier Org ID]],Q163),0), "TRUE", ROUND(S163-SUMIFS(AN_TME_PY[[#All],[Total Claims Excluded because of Truncation]], AN_TME_PY[[#All],[Insurance Category Code]],2, AN_TME_PY[[#All],[Advanced Network/Insurance Carrier Org ID]],Q163),2))</f>
        <v>TRUE</v>
      </c>
      <c r="Y163" s="537" t="str">
        <f>IF(ROUND(T163,0)=ROUND(SUMIFS(AN_TME_PY[[#All],[Count of Members with Claims Truncated]], AN_TME_PY[[#All],[Insurance Category Code]],2, AN_TME_PY[[#All],[Advanced Network/Insurance Carrier Org ID]],Q163),0), "TRUE", ROUND(T163-SUMIFS(AN_TME_PY[[#All],[Count of Members with Claims Truncated]], AN_TME_PY[[#All],[Insurance Category Code]],2, AN_TME_PY[[#All],[Advanced Network/Insurance Carrier Org ID]],Q163),2))</f>
        <v>TRUE</v>
      </c>
      <c r="Z163" s="528" t="str">
        <f>IF(ROUND(U163,0)=ROUND(SUMIFS(AN_TME_PY[[#All],[TOTAL Non-Truncated Unadjusted Claims Expenses]], AN_TME_PY[[#All],[Insurance Category Code]],2, AN_TME_PY[[#All],[Advanced Network/Insurance Carrier Org ID]],Q163),0), "TRUE", ROUND(U163-SUMIFS(AN_TME_PY[[#All],[TOTAL Non-Truncated Unadjusted Claims Expenses]], AN_TME_PY[[#All],[Insurance Category Code]],2, AN_TME_PY[[#All],[Advanced Network/Insurance Carrier Org ID]],Q163),2))</f>
        <v>TRUE</v>
      </c>
      <c r="AA163" s="529" t="str">
        <f>IF(ROUND(V163,0)=ROUND(SUMIFS(AN_TME_PY[[#All],[TOTAL Truncated Unadjusted Claims Expenses (A21 -A19)]], AN_TME_PY[[#All],[Insurance Category Code]],2, AN_TME_PY[[#All],[Advanced Network/Insurance Carrier Org ID]],Q163),0), "TRUE", ROUND(V163-SUMIFS(AN_TME_PY[[#All],[TOTAL Truncated Unadjusted Claims Expenses (A21 -A19)]], AN_TME_PY[[#All],[Insurance Category Code]],2, AN_TME_PY[[#All],[Advanced Network/Insurance Carrier Org ID]],Q163),2))</f>
        <v>TRUE</v>
      </c>
      <c r="AB163" s="525" t="str">
        <f t="shared" si="16"/>
        <v>TRUE</v>
      </c>
      <c r="AC163" s="528" t="b">
        <f>ROUND(SUMIFS(AN_TME_PY[[#All],[TOTAL Non-Truncated Unadjusted Claims Expenses]], AN_TME_PY[[#All],[Insurance Category Code]],2, AN_TME_PY[[#All],[Advanced Network/Insurance Carrier Org ID]],Q163),2)&gt;=ROUND(SUMIFS(AN_TME_PY[[#All],[TOTAL Truncated Unadjusted Claims Expenses (A21 -A19)]], AN_TME_PY[[#All],[Insurance Category Code]],2, AN_TME_PY[[#All],[Advanced Network/Insurance Carrier Org ID]],Q163),2)</f>
        <v>1</v>
      </c>
      <c r="AD163" s="529" t="b">
        <f>ROUND(SUMIFS(AN_TME_PY[[#All],[TOTAL Truncated Unadjusted Claims Expenses (A21 -A19)]], AN_TME_PY[[#All],[Insurance Category Code]],2, AN_TME_PY[[#All],[Advanced Network/Insurance Carrier Org ID]],Q163)+SUMIFS(AN_TME_PY[[#All],[Total Claims Excluded because of Truncation]], AN_TME_PY[[#All],[Insurance Category Code]],2, AN_TME_PY[[#All],[Advanced Network/Insurance Carrier Org ID]],Q163), 2)=ROUND(SUMIFS(AN_TME_PY[[#All],[TOTAL Non-Truncated Unadjusted Claims Expenses]], AN_TME_PY[[#All],[Insurance Category Code]],2, AN_TME_PY[[#All],[Advanced Network/Insurance Carrier Org ID]],Q163),2)</f>
        <v>1</v>
      </c>
      <c r="AF163" s="283" t="str">
        <f t="shared" si="15"/>
        <v>NA</v>
      </c>
    </row>
    <row r="164" spans="2:32" outlineLevel="1" x14ac:dyDescent="0.25">
      <c r="B164" s="216">
        <v>108</v>
      </c>
      <c r="C164" s="404">
        <f>ROUND(SUMIFS(Age_Sex_BY[[#All],[Total Member Months by Age/Sex Band]], Age_Sex_BY[[#All],[Advanced Network ID]], $B164, Age_Sex_BY[[#All],[Insurance Category Code]],2),2)</f>
        <v>0</v>
      </c>
      <c r="D164" s="238">
        <f>ROUND(SUMIFS(Age_Sex_BY[[#All],[Total Dollars Excluded from Spending After Applying Truncation at the Member Level]], Age_Sex_BY[[#All],[Advanced Network ID]], $B164, Age_Sex_BY[[#All],[Insurance Category Code]],2),2)</f>
        <v>0</v>
      </c>
      <c r="E164" s="209">
        <f>ROUND(SUMIFS(Age_Sex_BY[[#All],[Count of Members whose Spending was Truncated]], Age_Sex_BY[[#All],[Advanced Network ID]], $B164, Age_Sex_BY[[#All],[Insurance Category Code]],2),2)</f>
        <v>0</v>
      </c>
      <c r="F164" s="210">
        <f>ROUND(SUMIFS(Age_Sex_BY[[#All],[Total Spending before Truncation is Applied]], Age_Sex_BY[[#All],[Advanced Network ID]], $B164, Age_Sex_BY[[#All],[Insurance Category Code]],2),2)</f>
        <v>0</v>
      </c>
      <c r="G164" s="212">
        <f>ROUND(SUMIFS(Age_Sex_BY[[#All],[Total Spending After Applying Truncation at the Member Level]], Age_Sex_BY[[#All],[Advanced Network ID]], $B164, Age_Sex_BY[[#All],[Insurance Category Code]],2),2)</f>
        <v>0</v>
      </c>
      <c r="H164" s="525" t="str">
        <f>IF(ROUND(C164,0)=ROUND(SUMIFS(AN_TME_BY[[#All],[Member Months]], AN_TME_BY[[#All],[Insurance Category Code]],2, AN_TME_BY[[#All],[Advanced Network/Insurance Carrier Org ID]],B164),0), "TRUE", ROUND(C164-SUMIFS(AN_TME_BY[[#All],[Member Months]], AN_TME_BY[[#All],[Insurance Category Code]],2, AN_TME_BY[[#All],[Advanced Network/Insurance Carrier Org ID]],B164),2))</f>
        <v>TRUE</v>
      </c>
      <c r="I164" s="533" t="str">
        <f>IF(ROUND(D164,0)=ROUND(SUMIFS(AN_TME_BY[[#All],[Total Claims Excluded because of Truncation]], AN_TME_BY[[#All],[Insurance Category Code]],2, AN_TME_BY[[#All],[Advanced Network/Insurance Carrier Org ID]],B164),0), "TRUE", ROUND(D164-SUMIFS(AN_TME_BY[[#All],[Total Claims Excluded because of Truncation]], AN_TME_BY[[#All],[Insurance Category Code]],2, AN_TME_BY[[#All],[Advanced Network/Insurance Carrier Org ID]],B164),2))</f>
        <v>TRUE</v>
      </c>
      <c r="J164" s="537" t="str">
        <f>IF(ROUND(E164,0)=ROUND(SUMIFS(AN_TME_BY[[#All],[Count of Members with Claims Truncated]], AN_TME_BY[[#All],[Insurance Category Code]],2, AN_TME_BY[[#All],[Advanced Network/Insurance Carrier Org ID]],B164),0), "TRUE", ROUND(E164-SUMIFS(AN_TME_BY[[#All],[Count of Members with Claims Truncated]], AN_TME_BY[[#All],[Insurance Category Code]],2, AN_TME_BY[[#All],[Advanced Network/Insurance Carrier Org ID]],B164),2))</f>
        <v>TRUE</v>
      </c>
      <c r="K164" s="533" t="str">
        <f>IF(ROUND(F164,0)=ROUND(SUMIFS(AN_TME_BY[[#All],[TOTAL Non-Truncated Unadjusted Claims Expenses]], AN_TME_BY[[#All],[Insurance Category Code]],2, AN_TME_BY[[#All],[Advanced Network/Insurance Carrier Org ID]],B164),0), "TRUE", ROUND(F164-SUMIFS(AN_TME_BY[[#All],[TOTAL Non-Truncated Unadjusted Claims Expenses]], AN_TME_BY[[#All],[Insurance Category Code]],2, AN_TME_BY[[#All],[Advanced Network/Insurance Carrier Org ID]],B164),2))</f>
        <v>TRUE</v>
      </c>
      <c r="L164" s="534" t="str">
        <f>IF(ROUND(G164,0)=ROUND(SUMIFS(AN_TME_BY[[#All],[TOTAL Truncated Unadjusted Claims Expenses (A21 -A19)]], AN_TME_BY[[#All],[Insurance Category Code]],2, AN_TME_BY[[#All],[Advanced Network/Insurance Carrier Org ID]],B164),0), "TRUE", ROUND(G164-SUMIFS(AN_TME_BY[[#All],[TOTAL Truncated Unadjusted Claims Expenses (A21 -A19)]], AN_TME_BY[[#All],[Insurance Category Code]],2, AN_TME_BY[[#All],[Advanced Network/Insurance Carrier Org ID]],B164),2))</f>
        <v>TRUE</v>
      </c>
      <c r="M164" s="525" t="str">
        <f t="shared" si="14"/>
        <v>TRUE</v>
      </c>
      <c r="N164" s="533" t="b">
        <f>ROUND(SUMIFS(AN_TME_BY[[#All],[TOTAL Non-Truncated Unadjusted Claims Expenses]], AN_TME_BY[[#All],[Insurance Category Code]],2, AN_TME_BY[[#All],[Advanced Network/Insurance Carrier Org ID]],B164),2)&gt;=ROUND(SUMIFS(AN_TME_BY[[#All],[TOTAL Truncated Unadjusted Claims Expenses (A21 -A19)]], AN_TME_BY[[#All],[Insurance Category Code]],2, AN_TME_BY[[#All],[Advanced Network/Insurance Carrier Org ID]],B164), 2)</f>
        <v>1</v>
      </c>
      <c r="O164" s="534" t="b">
        <f>ROUND(SUMIFS(AN_TME_BY[[#All],[TOTAL Truncated Unadjusted Claims Expenses (A21 -A19)]], AN_TME_BY[[#All],[Insurance Category Code]],2, AN_TME_BY[[#All],[Advanced Network/Insurance Carrier Org ID]],B164)+SUMIFS(AN_TME_BY[[#All],[Total Claims Excluded because of Truncation]], AN_TME_BY[[#All],[Insurance Category Code]],2, AN_TME_BY[[#All],[Advanced Network/Insurance Carrier Org ID]],B164),2)=ROUND(SUMIFS(AN_TME_BY[[#All],[TOTAL Non-Truncated Unadjusted Claims Expenses]], AN_TME_BY[[#All],[Insurance Category Code]],2, AN_TME_BY[[#All],[Advanced Network/Insurance Carrier Org ID]],B164), 2)</f>
        <v>1</v>
      </c>
      <c r="Q164" s="216">
        <v>108</v>
      </c>
      <c r="R164" s="404">
        <f>ROUND(SUMIFS(Age_Sex_PY[[#All],[Total Member Months by Age/Sex Band]], Age_Sex_PY[[#All],[Advanced Network ID]], $Q164, Age_Sex_PY[[#All],[Insurance Category Code]],2),2)</f>
        <v>0</v>
      </c>
      <c r="S164" s="238">
        <f>ROUND(SUMIFS(Age_Sex_PY[[#All],[Total Dollars Excluded from Spending After Applying Truncation at the Member Level]], Age_Sex_PY[[#All],[Advanced Network ID]], $B164, Age_Sex_PY[[#All],[Insurance Category Code]],2),2)</f>
        <v>0</v>
      </c>
      <c r="T164" s="209">
        <f>ROUND(SUMIFS(Age_Sex_PY[[#All],[Count of Members whose Spending was Truncated]], Age_Sex_PY[[#All],[Advanced Network ID]], $B164, Age_Sex_PY[[#All],[Insurance Category Code]],2),2)</f>
        <v>0</v>
      </c>
      <c r="U164" s="210">
        <f>ROUND(SUMIFS(Age_Sex_PY[[#All],[Total Spending before Truncation is Applied]], Age_Sex_PY[[#All],[Advanced Network ID]], $B164, Age_Sex_PY[[#All],[Insurance Category Code]],2),2)</f>
        <v>0</v>
      </c>
      <c r="V164" s="212">
        <f>ROUND(SUMIFS(Age_Sex_PY[[#All],[Total Spending After Applying Truncation at the Member Level]], Age_Sex_PY[[#All],[Advanced Network ID]], $B164, Age_Sex_PY[[#All],[Insurance Category Code]],2), 2)</f>
        <v>0</v>
      </c>
      <c r="W164" s="525" t="str">
        <f>IF(ROUND(R164,0)=ROUND(SUMIFS(AN_TME_PY[[#All],[Member Months]], AN_TME_PY[[#All],[Insurance Category Code]],2, AN_TME_PY[[#All],[Advanced Network/Insurance Carrier Org ID]],Q164),0), "TRUE", ROUND(R164-SUMIFS(AN_TME_PY[[#All],[Member Months]], AN_TME_PY[[#All],[Insurance Category Code]],2, AN_TME_PY[[#All],[Advanced Network/Insurance Carrier Org ID]],Q164),2))</f>
        <v>TRUE</v>
      </c>
      <c r="X164" s="527" t="str">
        <f>IF(ROUND(S164,0)=ROUND(SUMIFS(AN_TME_PY[[#All],[Total Claims Excluded because of Truncation]], AN_TME_PY[[#All],[Insurance Category Code]],2, AN_TME_PY[[#All],[Advanced Network/Insurance Carrier Org ID]],Q164),0), "TRUE", ROUND(S164-SUMIFS(AN_TME_PY[[#All],[Total Claims Excluded because of Truncation]], AN_TME_PY[[#All],[Insurance Category Code]],2, AN_TME_PY[[#All],[Advanced Network/Insurance Carrier Org ID]],Q164),2))</f>
        <v>TRUE</v>
      </c>
      <c r="Y164" s="537" t="str">
        <f>IF(ROUND(T164,0)=ROUND(SUMIFS(AN_TME_PY[[#All],[Count of Members with Claims Truncated]], AN_TME_PY[[#All],[Insurance Category Code]],2, AN_TME_PY[[#All],[Advanced Network/Insurance Carrier Org ID]],Q164),0), "TRUE", ROUND(T164-SUMIFS(AN_TME_PY[[#All],[Count of Members with Claims Truncated]], AN_TME_PY[[#All],[Insurance Category Code]],2, AN_TME_PY[[#All],[Advanced Network/Insurance Carrier Org ID]],Q164),2))</f>
        <v>TRUE</v>
      </c>
      <c r="Z164" s="528" t="str">
        <f>IF(ROUND(U164,0)=ROUND(SUMIFS(AN_TME_PY[[#All],[TOTAL Non-Truncated Unadjusted Claims Expenses]], AN_TME_PY[[#All],[Insurance Category Code]],2, AN_TME_PY[[#All],[Advanced Network/Insurance Carrier Org ID]],Q164),0), "TRUE", ROUND(U164-SUMIFS(AN_TME_PY[[#All],[TOTAL Non-Truncated Unadjusted Claims Expenses]], AN_TME_PY[[#All],[Insurance Category Code]],2, AN_TME_PY[[#All],[Advanced Network/Insurance Carrier Org ID]],Q164),2))</f>
        <v>TRUE</v>
      </c>
      <c r="AA164" s="529" t="str">
        <f>IF(ROUND(V164,0)=ROUND(SUMIFS(AN_TME_PY[[#All],[TOTAL Truncated Unadjusted Claims Expenses (A21 -A19)]], AN_TME_PY[[#All],[Insurance Category Code]],2, AN_TME_PY[[#All],[Advanced Network/Insurance Carrier Org ID]],Q164),0), "TRUE", ROUND(V164-SUMIFS(AN_TME_PY[[#All],[TOTAL Truncated Unadjusted Claims Expenses (A21 -A19)]], AN_TME_PY[[#All],[Insurance Category Code]],2, AN_TME_PY[[#All],[Advanced Network/Insurance Carrier Org ID]],Q164),2))</f>
        <v>TRUE</v>
      </c>
      <c r="AB164" s="525" t="str">
        <f t="shared" si="16"/>
        <v>TRUE</v>
      </c>
      <c r="AC164" s="528" t="b">
        <f>ROUND(SUMIFS(AN_TME_PY[[#All],[TOTAL Non-Truncated Unadjusted Claims Expenses]], AN_TME_PY[[#All],[Insurance Category Code]],2, AN_TME_PY[[#All],[Advanced Network/Insurance Carrier Org ID]],Q164),2)&gt;=ROUND(SUMIFS(AN_TME_PY[[#All],[TOTAL Truncated Unadjusted Claims Expenses (A21 -A19)]], AN_TME_PY[[#All],[Insurance Category Code]],2, AN_TME_PY[[#All],[Advanced Network/Insurance Carrier Org ID]],Q164),2)</f>
        <v>1</v>
      </c>
      <c r="AD164" s="529" t="b">
        <f>ROUND(SUMIFS(AN_TME_PY[[#All],[TOTAL Truncated Unadjusted Claims Expenses (A21 -A19)]], AN_TME_PY[[#All],[Insurance Category Code]],2, AN_TME_PY[[#All],[Advanced Network/Insurance Carrier Org ID]],Q164)+SUMIFS(AN_TME_PY[[#All],[Total Claims Excluded because of Truncation]], AN_TME_PY[[#All],[Insurance Category Code]],2, AN_TME_PY[[#All],[Advanced Network/Insurance Carrier Org ID]],Q164), 2)=ROUND(SUMIFS(AN_TME_PY[[#All],[TOTAL Non-Truncated Unadjusted Claims Expenses]], AN_TME_PY[[#All],[Insurance Category Code]],2, AN_TME_PY[[#All],[Advanced Network/Insurance Carrier Org ID]],Q164),2)</f>
        <v>1</v>
      </c>
      <c r="AF164" s="283" t="str">
        <f t="shared" si="15"/>
        <v>NA</v>
      </c>
    </row>
    <row r="165" spans="2:32" outlineLevel="1" x14ac:dyDescent="0.25">
      <c r="B165" s="216">
        <v>109</v>
      </c>
      <c r="C165" s="404">
        <f>ROUND(SUMIFS(Age_Sex_BY[[#All],[Total Member Months by Age/Sex Band]], Age_Sex_BY[[#All],[Advanced Network ID]], $B165, Age_Sex_BY[[#All],[Insurance Category Code]],2),2)</f>
        <v>0</v>
      </c>
      <c r="D165" s="238">
        <f>ROUND(SUMIFS(Age_Sex_BY[[#All],[Total Dollars Excluded from Spending After Applying Truncation at the Member Level]], Age_Sex_BY[[#All],[Advanced Network ID]], $B165, Age_Sex_BY[[#All],[Insurance Category Code]],2),2)</f>
        <v>0</v>
      </c>
      <c r="E165" s="209">
        <f>ROUND(SUMIFS(Age_Sex_BY[[#All],[Count of Members whose Spending was Truncated]], Age_Sex_BY[[#All],[Advanced Network ID]], $B165, Age_Sex_BY[[#All],[Insurance Category Code]],2),2)</f>
        <v>0</v>
      </c>
      <c r="F165" s="210">
        <f>ROUND(SUMIFS(Age_Sex_BY[[#All],[Total Spending before Truncation is Applied]], Age_Sex_BY[[#All],[Advanced Network ID]], $B165, Age_Sex_BY[[#All],[Insurance Category Code]],2),2)</f>
        <v>0</v>
      </c>
      <c r="G165" s="212">
        <f>ROUND(SUMIFS(Age_Sex_BY[[#All],[Total Spending After Applying Truncation at the Member Level]], Age_Sex_BY[[#All],[Advanced Network ID]], $B165, Age_Sex_BY[[#All],[Insurance Category Code]],2),2)</f>
        <v>0</v>
      </c>
      <c r="H165" s="525" t="str">
        <f>IF(ROUND(C165,0)=ROUND(SUMIFS(AN_TME_BY[[#All],[Member Months]], AN_TME_BY[[#All],[Insurance Category Code]],2, AN_TME_BY[[#All],[Advanced Network/Insurance Carrier Org ID]],B165),0), "TRUE", ROUND(C165-SUMIFS(AN_TME_BY[[#All],[Member Months]], AN_TME_BY[[#All],[Insurance Category Code]],2, AN_TME_BY[[#All],[Advanced Network/Insurance Carrier Org ID]],B165),2))</f>
        <v>TRUE</v>
      </c>
      <c r="I165" s="533" t="str">
        <f>IF(ROUND(D165,0)=ROUND(SUMIFS(AN_TME_BY[[#All],[Total Claims Excluded because of Truncation]], AN_TME_BY[[#All],[Insurance Category Code]],2, AN_TME_BY[[#All],[Advanced Network/Insurance Carrier Org ID]],B165),0), "TRUE", ROUND(D165-SUMIFS(AN_TME_BY[[#All],[Total Claims Excluded because of Truncation]], AN_TME_BY[[#All],[Insurance Category Code]],2, AN_TME_BY[[#All],[Advanced Network/Insurance Carrier Org ID]],B165),2))</f>
        <v>TRUE</v>
      </c>
      <c r="J165" s="537" t="str">
        <f>IF(ROUND(E165,0)=ROUND(SUMIFS(AN_TME_BY[[#All],[Count of Members with Claims Truncated]], AN_TME_BY[[#All],[Insurance Category Code]],2, AN_TME_BY[[#All],[Advanced Network/Insurance Carrier Org ID]],B165),0), "TRUE", ROUND(E165-SUMIFS(AN_TME_BY[[#All],[Count of Members with Claims Truncated]], AN_TME_BY[[#All],[Insurance Category Code]],2, AN_TME_BY[[#All],[Advanced Network/Insurance Carrier Org ID]],B165),2))</f>
        <v>TRUE</v>
      </c>
      <c r="K165" s="533" t="str">
        <f>IF(ROUND(F165,0)=ROUND(SUMIFS(AN_TME_BY[[#All],[TOTAL Non-Truncated Unadjusted Claims Expenses]], AN_TME_BY[[#All],[Insurance Category Code]],2, AN_TME_BY[[#All],[Advanced Network/Insurance Carrier Org ID]],B165),0), "TRUE", ROUND(F165-SUMIFS(AN_TME_BY[[#All],[TOTAL Non-Truncated Unadjusted Claims Expenses]], AN_TME_BY[[#All],[Insurance Category Code]],2, AN_TME_BY[[#All],[Advanced Network/Insurance Carrier Org ID]],B165),2))</f>
        <v>TRUE</v>
      </c>
      <c r="L165" s="534" t="str">
        <f>IF(ROUND(G165,0)=ROUND(SUMIFS(AN_TME_BY[[#All],[TOTAL Truncated Unadjusted Claims Expenses (A21 -A19)]], AN_TME_BY[[#All],[Insurance Category Code]],2, AN_TME_BY[[#All],[Advanced Network/Insurance Carrier Org ID]],B165),0), "TRUE", ROUND(G165-SUMIFS(AN_TME_BY[[#All],[TOTAL Truncated Unadjusted Claims Expenses (A21 -A19)]], AN_TME_BY[[#All],[Insurance Category Code]],2, AN_TME_BY[[#All],[Advanced Network/Insurance Carrier Org ID]],B165),2))</f>
        <v>TRUE</v>
      </c>
      <c r="M165" s="525" t="str">
        <f t="shared" si="14"/>
        <v>TRUE</v>
      </c>
      <c r="N165" s="533" t="b">
        <f>ROUND(SUMIFS(AN_TME_BY[[#All],[TOTAL Non-Truncated Unadjusted Claims Expenses]], AN_TME_BY[[#All],[Insurance Category Code]],2, AN_TME_BY[[#All],[Advanced Network/Insurance Carrier Org ID]],B165),2)&gt;=ROUND(SUMIFS(AN_TME_BY[[#All],[TOTAL Truncated Unadjusted Claims Expenses (A21 -A19)]], AN_TME_BY[[#All],[Insurance Category Code]],2, AN_TME_BY[[#All],[Advanced Network/Insurance Carrier Org ID]],B165), 2)</f>
        <v>1</v>
      </c>
      <c r="O165" s="534" t="b">
        <f>ROUND(SUMIFS(AN_TME_BY[[#All],[TOTAL Truncated Unadjusted Claims Expenses (A21 -A19)]], AN_TME_BY[[#All],[Insurance Category Code]],2, AN_TME_BY[[#All],[Advanced Network/Insurance Carrier Org ID]],B165)+SUMIFS(AN_TME_BY[[#All],[Total Claims Excluded because of Truncation]], AN_TME_BY[[#All],[Insurance Category Code]],2, AN_TME_BY[[#All],[Advanced Network/Insurance Carrier Org ID]],B165),2)=ROUND(SUMIFS(AN_TME_BY[[#All],[TOTAL Non-Truncated Unadjusted Claims Expenses]], AN_TME_BY[[#All],[Insurance Category Code]],2, AN_TME_BY[[#All],[Advanced Network/Insurance Carrier Org ID]],B165), 2)</f>
        <v>1</v>
      </c>
      <c r="Q165" s="216">
        <v>109</v>
      </c>
      <c r="R165" s="404">
        <f>ROUND(SUMIFS(Age_Sex_PY[[#All],[Total Member Months by Age/Sex Band]], Age_Sex_PY[[#All],[Advanced Network ID]], $Q165, Age_Sex_PY[[#All],[Insurance Category Code]],2),2)</f>
        <v>0</v>
      </c>
      <c r="S165" s="238">
        <f>ROUND(SUMIFS(Age_Sex_PY[[#All],[Total Dollars Excluded from Spending After Applying Truncation at the Member Level]], Age_Sex_PY[[#All],[Advanced Network ID]], $B165, Age_Sex_PY[[#All],[Insurance Category Code]],2),2)</f>
        <v>0</v>
      </c>
      <c r="T165" s="209">
        <f>ROUND(SUMIFS(Age_Sex_PY[[#All],[Count of Members whose Spending was Truncated]], Age_Sex_PY[[#All],[Advanced Network ID]], $B165, Age_Sex_PY[[#All],[Insurance Category Code]],2),2)</f>
        <v>0</v>
      </c>
      <c r="U165" s="210">
        <f>ROUND(SUMIFS(Age_Sex_PY[[#All],[Total Spending before Truncation is Applied]], Age_Sex_PY[[#All],[Advanced Network ID]], $B165, Age_Sex_PY[[#All],[Insurance Category Code]],2),2)</f>
        <v>0</v>
      </c>
      <c r="V165" s="212">
        <f>ROUND(SUMIFS(Age_Sex_PY[[#All],[Total Spending After Applying Truncation at the Member Level]], Age_Sex_PY[[#All],[Advanced Network ID]], $B165, Age_Sex_PY[[#All],[Insurance Category Code]],2), 2)</f>
        <v>0</v>
      </c>
      <c r="W165" s="525" t="str">
        <f>IF(ROUND(R165,0)=ROUND(SUMIFS(AN_TME_PY[[#All],[Member Months]], AN_TME_PY[[#All],[Insurance Category Code]],2, AN_TME_PY[[#All],[Advanced Network/Insurance Carrier Org ID]],Q165),0), "TRUE", ROUND(R165-SUMIFS(AN_TME_PY[[#All],[Member Months]], AN_TME_PY[[#All],[Insurance Category Code]],2, AN_TME_PY[[#All],[Advanced Network/Insurance Carrier Org ID]],Q165),2))</f>
        <v>TRUE</v>
      </c>
      <c r="X165" s="527" t="str">
        <f>IF(ROUND(S165,0)=ROUND(SUMIFS(AN_TME_PY[[#All],[Total Claims Excluded because of Truncation]], AN_TME_PY[[#All],[Insurance Category Code]],2, AN_TME_PY[[#All],[Advanced Network/Insurance Carrier Org ID]],Q165),0), "TRUE", ROUND(S165-SUMIFS(AN_TME_PY[[#All],[Total Claims Excluded because of Truncation]], AN_TME_PY[[#All],[Insurance Category Code]],2, AN_TME_PY[[#All],[Advanced Network/Insurance Carrier Org ID]],Q165),2))</f>
        <v>TRUE</v>
      </c>
      <c r="Y165" s="537" t="str">
        <f>IF(ROUND(T165,0)=ROUND(SUMIFS(AN_TME_PY[[#All],[Count of Members with Claims Truncated]], AN_TME_PY[[#All],[Insurance Category Code]],2, AN_TME_PY[[#All],[Advanced Network/Insurance Carrier Org ID]],Q165),0), "TRUE", ROUND(T165-SUMIFS(AN_TME_PY[[#All],[Count of Members with Claims Truncated]], AN_TME_PY[[#All],[Insurance Category Code]],2, AN_TME_PY[[#All],[Advanced Network/Insurance Carrier Org ID]],Q165),2))</f>
        <v>TRUE</v>
      </c>
      <c r="Z165" s="528" t="str">
        <f>IF(ROUND(U165,0)=ROUND(SUMIFS(AN_TME_PY[[#All],[TOTAL Non-Truncated Unadjusted Claims Expenses]], AN_TME_PY[[#All],[Insurance Category Code]],2, AN_TME_PY[[#All],[Advanced Network/Insurance Carrier Org ID]],Q165),0), "TRUE", ROUND(U165-SUMIFS(AN_TME_PY[[#All],[TOTAL Non-Truncated Unadjusted Claims Expenses]], AN_TME_PY[[#All],[Insurance Category Code]],2, AN_TME_PY[[#All],[Advanced Network/Insurance Carrier Org ID]],Q165),2))</f>
        <v>TRUE</v>
      </c>
      <c r="AA165" s="529" t="str">
        <f>IF(ROUND(V165,0)=ROUND(SUMIFS(AN_TME_PY[[#All],[TOTAL Truncated Unadjusted Claims Expenses (A21 -A19)]], AN_TME_PY[[#All],[Insurance Category Code]],2, AN_TME_PY[[#All],[Advanced Network/Insurance Carrier Org ID]],Q165),0), "TRUE", ROUND(V165-SUMIFS(AN_TME_PY[[#All],[TOTAL Truncated Unadjusted Claims Expenses (A21 -A19)]], AN_TME_PY[[#All],[Insurance Category Code]],2, AN_TME_PY[[#All],[Advanced Network/Insurance Carrier Org ID]],Q165),2))</f>
        <v>TRUE</v>
      </c>
      <c r="AB165" s="525" t="str">
        <f t="shared" si="16"/>
        <v>TRUE</v>
      </c>
      <c r="AC165" s="528" t="b">
        <f>ROUND(SUMIFS(AN_TME_PY[[#All],[TOTAL Non-Truncated Unadjusted Claims Expenses]], AN_TME_PY[[#All],[Insurance Category Code]],2, AN_TME_PY[[#All],[Advanced Network/Insurance Carrier Org ID]],Q165),2)&gt;=ROUND(SUMIFS(AN_TME_PY[[#All],[TOTAL Truncated Unadjusted Claims Expenses (A21 -A19)]], AN_TME_PY[[#All],[Insurance Category Code]],2, AN_TME_PY[[#All],[Advanced Network/Insurance Carrier Org ID]],Q165),2)</f>
        <v>1</v>
      </c>
      <c r="AD165" s="529" t="b">
        <f>ROUND(SUMIFS(AN_TME_PY[[#All],[TOTAL Truncated Unadjusted Claims Expenses (A21 -A19)]], AN_TME_PY[[#All],[Insurance Category Code]],2, AN_TME_PY[[#All],[Advanced Network/Insurance Carrier Org ID]],Q165)+SUMIFS(AN_TME_PY[[#All],[Total Claims Excluded because of Truncation]], AN_TME_PY[[#All],[Insurance Category Code]],2, AN_TME_PY[[#All],[Advanced Network/Insurance Carrier Org ID]],Q165), 2)=ROUND(SUMIFS(AN_TME_PY[[#All],[TOTAL Non-Truncated Unadjusted Claims Expenses]], AN_TME_PY[[#All],[Insurance Category Code]],2, AN_TME_PY[[#All],[Advanced Network/Insurance Carrier Org ID]],Q165),2)</f>
        <v>1</v>
      </c>
      <c r="AF165" s="283" t="str">
        <f t="shared" si="15"/>
        <v>NA</v>
      </c>
    </row>
    <row r="166" spans="2:32" outlineLevel="1" x14ac:dyDescent="0.25">
      <c r="B166" s="216">
        <v>110</v>
      </c>
      <c r="C166" s="404">
        <f>ROUND(SUMIFS(Age_Sex_BY[[#All],[Total Member Months by Age/Sex Band]], Age_Sex_BY[[#All],[Advanced Network ID]], $B166, Age_Sex_BY[[#All],[Insurance Category Code]],2),2)</f>
        <v>0</v>
      </c>
      <c r="D166" s="238">
        <f>ROUND(SUMIFS(Age_Sex_BY[[#All],[Total Dollars Excluded from Spending After Applying Truncation at the Member Level]], Age_Sex_BY[[#All],[Advanced Network ID]], $B166, Age_Sex_BY[[#All],[Insurance Category Code]],2),2)</f>
        <v>0</v>
      </c>
      <c r="E166" s="209">
        <f>ROUND(SUMIFS(Age_Sex_BY[[#All],[Count of Members whose Spending was Truncated]], Age_Sex_BY[[#All],[Advanced Network ID]], $B166, Age_Sex_BY[[#All],[Insurance Category Code]],2),2)</f>
        <v>0</v>
      </c>
      <c r="F166" s="210">
        <f>ROUND(SUMIFS(Age_Sex_BY[[#All],[Total Spending before Truncation is Applied]], Age_Sex_BY[[#All],[Advanced Network ID]], $B166, Age_Sex_BY[[#All],[Insurance Category Code]],2),2)</f>
        <v>0</v>
      </c>
      <c r="G166" s="212">
        <f>ROUND(SUMIFS(Age_Sex_BY[[#All],[Total Spending After Applying Truncation at the Member Level]], Age_Sex_BY[[#All],[Advanced Network ID]], $B166, Age_Sex_BY[[#All],[Insurance Category Code]],2),2)</f>
        <v>0</v>
      </c>
      <c r="H166" s="525" t="str">
        <f>IF(ROUND(C166,0)=ROUND(SUMIFS(AN_TME_BY[[#All],[Member Months]], AN_TME_BY[[#All],[Insurance Category Code]],2, AN_TME_BY[[#All],[Advanced Network/Insurance Carrier Org ID]],B166),0), "TRUE", ROUND(C166-SUMIFS(AN_TME_BY[[#All],[Member Months]], AN_TME_BY[[#All],[Insurance Category Code]],2, AN_TME_BY[[#All],[Advanced Network/Insurance Carrier Org ID]],B166),2))</f>
        <v>TRUE</v>
      </c>
      <c r="I166" s="533" t="str">
        <f>IF(ROUND(D166,0)=ROUND(SUMIFS(AN_TME_BY[[#All],[Total Claims Excluded because of Truncation]], AN_TME_BY[[#All],[Insurance Category Code]],2, AN_TME_BY[[#All],[Advanced Network/Insurance Carrier Org ID]],B166),0), "TRUE", ROUND(D166-SUMIFS(AN_TME_BY[[#All],[Total Claims Excluded because of Truncation]], AN_TME_BY[[#All],[Insurance Category Code]],2, AN_TME_BY[[#All],[Advanced Network/Insurance Carrier Org ID]],B166),2))</f>
        <v>TRUE</v>
      </c>
      <c r="J166" s="537" t="str">
        <f>IF(ROUND(E166,0)=ROUND(SUMIFS(AN_TME_BY[[#All],[Count of Members with Claims Truncated]], AN_TME_BY[[#All],[Insurance Category Code]],2, AN_TME_BY[[#All],[Advanced Network/Insurance Carrier Org ID]],B166),0), "TRUE", ROUND(E166-SUMIFS(AN_TME_BY[[#All],[Count of Members with Claims Truncated]], AN_TME_BY[[#All],[Insurance Category Code]],2, AN_TME_BY[[#All],[Advanced Network/Insurance Carrier Org ID]],B166),2))</f>
        <v>TRUE</v>
      </c>
      <c r="K166" s="533" t="str">
        <f>IF(ROUND(F166,0)=ROUND(SUMIFS(AN_TME_BY[[#All],[TOTAL Non-Truncated Unadjusted Claims Expenses]], AN_TME_BY[[#All],[Insurance Category Code]],2, AN_TME_BY[[#All],[Advanced Network/Insurance Carrier Org ID]],B166),0), "TRUE", ROUND(F166-SUMIFS(AN_TME_BY[[#All],[TOTAL Non-Truncated Unadjusted Claims Expenses]], AN_TME_BY[[#All],[Insurance Category Code]],2, AN_TME_BY[[#All],[Advanced Network/Insurance Carrier Org ID]],B166),2))</f>
        <v>TRUE</v>
      </c>
      <c r="L166" s="534" t="str">
        <f>IF(ROUND(G166,0)=ROUND(SUMIFS(AN_TME_BY[[#All],[TOTAL Truncated Unadjusted Claims Expenses (A21 -A19)]], AN_TME_BY[[#All],[Insurance Category Code]],2, AN_TME_BY[[#All],[Advanced Network/Insurance Carrier Org ID]],B166),0), "TRUE", ROUND(G166-SUMIFS(AN_TME_BY[[#All],[TOTAL Truncated Unadjusted Claims Expenses (A21 -A19)]], AN_TME_BY[[#All],[Insurance Category Code]],2, AN_TME_BY[[#All],[Advanced Network/Insurance Carrier Org ID]],B166),2))</f>
        <v>TRUE</v>
      </c>
      <c r="M166" s="525" t="str">
        <f t="shared" si="14"/>
        <v>TRUE</v>
      </c>
      <c r="N166" s="533" t="b">
        <f>ROUND(SUMIFS(AN_TME_BY[[#All],[TOTAL Non-Truncated Unadjusted Claims Expenses]], AN_TME_BY[[#All],[Insurance Category Code]],2, AN_TME_BY[[#All],[Advanced Network/Insurance Carrier Org ID]],B166),2)&gt;=ROUND(SUMIFS(AN_TME_BY[[#All],[TOTAL Truncated Unadjusted Claims Expenses (A21 -A19)]], AN_TME_BY[[#All],[Insurance Category Code]],2, AN_TME_BY[[#All],[Advanced Network/Insurance Carrier Org ID]],B166), 2)</f>
        <v>1</v>
      </c>
      <c r="O166" s="534" t="b">
        <f>ROUND(SUMIFS(AN_TME_BY[[#All],[TOTAL Truncated Unadjusted Claims Expenses (A21 -A19)]], AN_TME_BY[[#All],[Insurance Category Code]],2, AN_TME_BY[[#All],[Advanced Network/Insurance Carrier Org ID]],B166)+SUMIFS(AN_TME_BY[[#All],[Total Claims Excluded because of Truncation]], AN_TME_BY[[#All],[Insurance Category Code]],2, AN_TME_BY[[#All],[Advanced Network/Insurance Carrier Org ID]],B166),2)=ROUND(SUMIFS(AN_TME_BY[[#All],[TOTAL Non-Truncated Unadjusted Claims Expenses]], AN_TME_BY[[#All],[Insurance Category Code]],2, AN_TME_BY[[#All],[Advanced Network/Insurance Carrier Org ID]],B166), 2)</f>
        <v>1</v>
      </c>
      <c r="Q166" s="216">
        <v>110</v>
      </c>
      <c r="R166" s="404">
        <f>ROUND(SUMIFS(Age_Sex_PY[[#All],[Total Member Months by Age/Sex Band]], Age_Sex_PY[[#All],[Advanced Network ID]], $Q166, Age_Sex_PY[[#All],[Insurance Category Code]],2),2)</f>
        <v>0</v>
      </c>
      <c r="S166" s="238">
        <f>ROUND(SUMIFS(Age_Sex_PY[[#All],[Total Dollars Excluded from Spending After Applying Truncation at the Member Level]], Age_Sex_PY[[#All],[Advanced Network ID]], $B166, Age_Sex_PY[[#All],[Insurance Category Code]],2),2)</f>
        <v>0</v>
      </c>
      <c r="T166" s="209">
        <f>ROUND(SUMIFS(Age_Sex_PY[[#All],[Count of Members whose Spending was Truncated]], Age_Sex_PY[[#All],[Advanced Network ID]], $B166, Age_Sex_PY[[#All],[Insurance Category Code]],2),2)</f>
        <v>0</v>
      </c>
      <c r="U166" s="210">
        <f>ROUND(SUMIFS(Age_Sex_PY[[#All],[Total Spending before Truncation is Applied]], Age_Sex_PY[[#All],[Advanced Network ID]], $B166, Age_Sex_PY[[#All],[Insurance Category Code]],2),2)</f>
        <v>0</v>
      </c>
      <c r="V166" s="212">
        <f>ROUND(SUMIFS(Age_Sex_PY[[#All],[Total Spending After Applying Truncation at the Member Level]], Age_Sex_PY[[#All],[Advanced Network ID]], $B166, Age_Sex_PY[[#All],[Insurance Category Code]],2), 2)</f>
        <v>0</v>
      </c>
      <c r="W166" s="525" t="str">
        <f>IF(ROUND(R166,0)=ROUND(SUMIFS(AN_TME_PY[[#All],[Member Months]], AN_TME_PY[[#All],[Insurance Category Code]],2, AN_TME_PY[[#All],[Advanced Network/Insurance Carrier Org ID]],Q166),0), "TRUE", ROUND(R166-SUMIFS(AN_TME_PY[[#All],[Member Months]], AN_TME_PY[[#All],[Insurance Category Code]],2, AN_TME_PY[[#All],[Advanced Network/Insurance Carrier Org ID]],Q166),2))</f>
        <v>TRUE</v>
      </c>
      <c r="X166" s="527" t="str">
        <f>IF(ROUND(S166,0)=ROUND(SUMIFS(AN_TME_PY[[#All],[Total Claims Excluded because of Truncation]], AN_TME_PY[[#All],[Insurance Category Code]],2, AN_TME_PY[[#All],[Advanced Network/Insurance Carrier Org ID]],Q166),0), "TRUE", ROUND(S166-SUMIFS(AN_TME_PY[[#All],[Total Claims Excluded because of Truncation]], AN_TME_PY[[#All],[Insurance Category Code]],2, AN_TME_PY[[#All],[Advanced Network/Insurance Carrier Org ID]],Q166),2))</f>
        <v>TRUE</v>
      </c>
      <c r="Y166" s="537" t="str">
        <f>IF(ROUND(T166,0)=ROUND(SUMIFS(AN_TME_PY[[#All],[Count of Members with Claims Truncated]], AN_TME_PY[[#All],[Insurance Category Code]],2, AN_TME_PY[[#All],[Advanced Network/Insurance Carrier Org ID]],Q166),0), "TRUE", ROUND(T166-SUMIFS(AN_TME_PY[[#All],[Count of Members with Claims Truncated]], AN_TME_PY[[#All],[Insurance Category Code]],2, AN_TME_PY[[#All],[Advanced Network/Insurance Carrier Org ID]],Q166),2))</f>
        <v>TRUE</v>
      </c>
      <c r="Z166" s="528" t="str">
        <f>IF(ROUND(U166,0)=ROUND(SUMIFS(AN_TME_PY[[#All],[TOTAL Non-Truncated Unadjusted Claims Expenses]], AN_TME_PY[[#All],[Insurance Category Code]],2, AN_TME_PY[[#All],[Advanced Network/Insurance Carrier Org ID]],Q166),0), "TRUE", ROUND(U166-SUMIFS(AN_TME_PY[[#All],[TOTAL Non-Truncated Unadjusted Claims Expenses]], AN_TME_PY[[#All],[Insurance Category Code]],2, AN_TME_PY[[#All],[Advanced Network/Insurance Carrier Org ID]],Q166),2))</f>
        <v>TRUE</v>
      </c>
      <c r="AA166" s="529" t="str">
        <f>IF(ROUND(V166,0)=ROUND(SUMIFS(AN_TME_PY[[#All],[TOTAL Truncated Unadjusted Claims Expenses (A21 -A19)]], AN_TME_PY[[#All],[Insurance Category Code]],2, AN_TME_PY[[#All],[Advanced Network/Insurance Carrier Org ID]],Q166),0), "TRUE", ROUND(V166-SUMIFS(AN_TME_PY[[#All],[TOTAL Truncated Unadjusted Claims Expenses (A21 -A19)]], AN_TME_PY[[#All],[Insurance Category Code]],2, AN_TME_PY[[#All],[Advanced Network/Insurance Carrier Org ID]],Q166),2))</f>
        <v>TRUE</v>
      </c>
      <c r="AB166" s="525" t="str">
        <f t="shared" si="16"/>
        <v>TRUE</v>
      </c>
      <c r="AC166" s="528" t="b">
        <f>ROUND(SUMIFS(AN_TME_PY[[#All],[TOTAL Non-Truncated Unadjusted Claims Expenses]], AN_TME_PY[[#All],[Insurance Category Code]],2, AN_TME_PY[[#All],[Advanced Network/Insurance Carrier Org ID]],Q166),2)&gt;=ROUND(SUMIFS(AN_TME_PY[[#All],[TOTAL Truncated Unadjusted Claims Expenses (A21 -A19)]], AN_TME_PY[[#All],[Insurance Category Code]],2, AN_TME_PY[[#All],[Advanced Network/Insurance Carrier Org ID]],Q166),2)</f>
        <v>1</v>
      </c>
      <c r="AD166" s="529" t="b">
        <f>ROUND(SUMIFS(AN_TME_PY[[#All],[TOTAL Truncated Unadjusted Claims Expenses (A21 -A19)]], AN_TME_PY[[#All],[Insurance Category Code]],2, AN_TME_PY[[#All],[Advanced Network/Insurance Carrier Org ID]],Q166)+SUMIFS(AN_TME_PY[[#All],[Total Claims Excluded because of Truncation]], AN_TME_PY[[#All],[Insurance Category Code]],2, AN_TME_PY[[#All],[Advanced Network/Insurance Carrier Org ID]],Q166), 2)=ROUND(SUMIFS(AN_TME_PY[[#All],[TOTAL Non-Truncated Unadjusted Claims Expenses]], AN_TME_PY[[#All],[Insurance Category Code]],2, AN_TME_PY[[#All],[Advanced Network/Insurance Carrier Org ID]],Q166),2)</f>
        <v>1</v>
      </c>
      <c r="AF166" s="283" t="str">
        <f t="shared" si="15"/>
        <v>NA</v>
      </c>
    </row>
    <row r="167" spans="2:32" outlineLevel="1" x14ac:dyDescent="0.25">
      <c r="B167" s="216">
        <v>111</v>
      </c>
      <c r="C167" s="404">
        <f>ROUND(SUMIFS(Age_Sex_BY[[#All],[Total Member Months by Age/Sex Band]], Age_Sex_BY[[#All],[Advanced Network ID]], $B167, Age_Sex_BY[[#All],[Insurance Category Code]],2),2)</f>
        <v>0</v>
      </c>
      <c r="D167" s="238">
        <f>ROUND(SUMIFS(Age_Sex_BY[[#All],[Total Dollars Excluded from Spending After Applying Truncation at the Member Level]], Age_Sex_BY[[#All],[Advanced Network ID]], $B167, Age_Sex_BY[[#All],[Insurance Category Code]],2),2)</f>
        <v>0</v>
      </c>
      <c r="E167" s="209">
        <f>ROUND(SUMIFS(Age_Sex_BY[[#All],[Count of Members whose Spending was Truncated]], Age_Sex_BY[[#All],[Advanced Network ID]], $B167, Age_Sex_BY[[#All],[Insurance Category Code]],2),2)</f>
        <v>0</v>
      </c>
      <c r="F167" s="210">
        <f>ROUND(SUMIFS(Age_Sex_BY[[#All],[Total Spending before Truncation is Applied]], Age_Sex_BY[[#All],[Advanced Network ID]], $B167, Age_Sex_BY[[#All],[Insurance Category Code]],2),2)</f>
        <v>0</v>
      </c>
      <c r="G167" s="212">
        <f>ROUND(SUMIFS(Age_Sex_BY[[#All],[Total Spending After Applying Truncation at the Member Level]], Age_Sex_BY[[#All],[Advanced Network ID]], $B167, Age_Sex_BY[[#All],[Insurance Category Code]],2),2)</f>
        <v>0</v>
      </c>
      <c r="H167" s="525" t="str">
        <f>IF(ROUND(C167,0)=ROUND(SUMIFS(AN_TME_BY[[#All],[Member Months]], AN_TME_BY[[#All],[Insurance Category Code]],2, AN_TME_BY[[#All],[Advanced Network/Insurance Carrier Org ID]],B167),0), "TRUE", ROUND(C167-SUMIFS(AN_TME_BY[[#All],[Member Months]], AN_TME_BY[[#All],[Insurance Category Code]],2, AN_TME_BY[[#All],[Advanced Network/Insurance Carrier Org ID]],B167),2))</f>
        <v>TRUE</v>
      </c>
      <c r="I167" s="533" t="str">
        <f>IF(ROUND(D167,0)=ROUND(SUMIFS(AN_TME_BY[[#All],[Total Claims Excluded because of Truncation]], AN_TME_BY[[#All],[Insurance Category Code]],2, AN_TME_BY[[#All],[Advanced Network/Insurance Carrier Org ID]],B167),0), "TRUE", ROUND(D167-SUMIFS(AN_TME_BY[[#All],[Total Claims Excluded because of Truncation]], AN_TME_BY[[#All],[Insurance Category Code]],2, AN_TME_BY[[#All],[Advanced Network/Insurance Carrier Org ID]],B167),2))</f>
        <v>TRUE</v>
      </c>
      <c r="J167" s="537" t="str">
        <f>IF(ROUND(E167,0)=ROUND(SUMIFS(AN_TME_BY[[#All],[Count of Members with Claims Truncated]], AN_TME_BY[[#All],[Insurance Category Code]],2, AN_TME_BY[[#All],[Advanced Network/Insurance Carrier Org ID]],B167),0), "TRUE", ROUND(E167-SUMIFS(AN_TME_BY[[#All],[Count of Members with Claims Truncated]], AN_TME_BY[[#All],[Insurance Category Code]],2, AN_TME_BY[[#All],[Advanced Network/Insurance Carrier Org ID]],B167),2))</f>
        <v>TRUE</v>
      </c>
      <c r="K167" s="533" t="str">
        <f>IF(ROUND(F167,0)=ROUND(SUMIFS(AN_TME_BY[[#All],[TOTAL Non-Truncated Unadjusted Claims Expenses]], AN_TME_BY[[#All],[Insurance Category Code]],2, AN_TME_BY[[#All],[Advanced Network/Insurance Carrier Org ID]],B167),0), "TRUE", ROUND(F167-SUMIFS(AN_TME_BY[[#All],[TOTAL Non-Truncated Unadjusted Claims Expenses]], AN_TME_BY[[#All],[Insurance Category Code]],2, AN_TME_BY[[#All],[Advanced Network/Insurance Carrier Org ID]],B167),2))</f>
        <v>TRUE</v>
      </c>
      <c r="L167" s="534" t="str">
        <f>IF(ROUND(G167,0)=ROUND(SUMIFS(AN_TME_BY[[#All],[TOTAL Truncated Unadjusted Claims Expenses (A21 -A19)]], AN_TME_BY[[#All],[Insurance Category Code]],2, AN_TME_BY[[#All],[Advanced Network/Insurance Carrier Org ID]],B167),0), "TRUE", ROUND(G167-SUMIFS(AN_TME_BY[[#All],[TOTAL Truncated Unadjusted Claims Expenses (A21 -A19)]], AN_TME_BY[[#All],[Insurance Category Code]],2, AN_TME_BY[[#All],[Advanced Network/Insurance Carrier Org ID]],B167),2))</f>
        <v>TRUE</v>
      </c>
      <c r="M167" s="525" t="str">
        <f t="shared" si="14"/>
        <v>TRUE</v>
      </c>
      <c r="N167" s="533" t="b">
        <f>ROUND(SUMIFS(AN_TME_BY[[#All],[TOTAL Non-Truncated Unadjusted Claims Expenses]], AN_TME_BY[[#All],[Insurance Category Code]],2, AN_TME_BY[[#All],[Advanced Network/Insurance Carrier Org ID]],B167),2)&gt;=ROUND(SUMIFS(AN_TME_BY[[#All],[TOTAL Truncated Unadjusted Claims Expenses (A21 -A19)]], AN_TME_BY[[#All],[Insurance Category Code]],2, AN_TME_BY[[#All],[Advanced Network/Insurance Carrier Org ID]],B167), 2)</f>
        <v>1</v>
      </c>
      <c r="O167" s="534" t="b">
        <f>ROUND(SUMIFS(AN_TME_BY[[#All],[TOTAL Truncated Unadjusted Claims Expenses (A21 -A19)]], AN_TME_BY[[#All],[Insurance Category Code]],2, AN_TME_BY[[#All],[Advanced Network/Insurance Carrier Org ID]],B167)+SUMIFS(AN_TME_BY[[#All],[Total Claims Excluded because of Truncation]], AN_TME_BY[[#All],[Insurance Category Code]],2, AN_TME_BY[[#All],[Advanced Network/Insurance Carrier Org ID]],B167),2)=ROUND(SUMIFS(AN_TME_BY[[#All],[TOTAL Non-Truncated Unadjusted Claims Expenses]], AN_TME_BY[[#All],[Insurance Category Code]],2, AN_TME_BY[[#All],[Advanced Network/Insurance Carrier Org ID]],B167), 2)</f>
        <v>1</v>
      </c>
      <c r="Q167" s="216">
        <v>111</v>
      </c>
      <c r="R167" s="404">
        <f>ROUND(SUMIFS(Age_Sex_PY[[#All],[Total Member Months by Age/Sex Band]], Age_Sex_PY[[#All],[Advanced Network ID]], $Q167, Age_Sex_PY[[#All],[Insurance Category Code]],2),2)</f>
        <v>0</v>
      </c>
      <c r="S167" s="238">
        <f>ROUND(SUMIFS(Age_Sex_PY[[#All],[Total Dollars Excluded from Spending After Applying Truncation at the Member Level]], Age_Sex_PY[[#All],[Advanced Network ID]], $B167, Age_Sex_PY[[#All],[Insurance Category Code]],2),2)</f>
        <v>0</v>
      </c>
      <c r="T167" s="209">
        <f>ROUND(SUMIFS(Age_Sex_PY[[#All],[Count of Members whose Spending was Truncated]], Age_Sex_PY[[#All],[Advanced Network ID]], $B167, Age_Sex_PY[[#All],[Insurance Category Code]],2),2)</f>
        <v>0</v>
      </c>
      <c r="U167" s="210">
        <f>ROUND(SUMIFS(Age_Sex_PY[[#All],[Total Spending before Truncation is Applied]], Age_Sex_PY[[#All],[Advanced Network ID]], $B167, Age_Sex_PY[[#All],[Insurance Category Code]],2),2)</f>
        <v>0</v>
      </c>
      <c r="V167" s="212">
        <f>ROUND(SUMIFS(Age_Sex_PY[[#All],[Total Spending After Applying Truncation at the Member Level]], Age_Sex_PY[[#All],[Advanced Network ID]], $B167, Age_Sex_PY[[#All],[Insurance Category Code]],2), 2)</f>
        <v>0</v>
      </c>
      <c r="W167" s="525" t="str">
        <f>IF(ROUND(R167,0)=ROUND(SUMIFS(AN_TME_PY[[#All],[Member Months]], AN_TME_PY[[#All],[Insurance Category Code]],2, AN_TME_PY[[#All],[Advanced Network/Insurance Carrier Org ID]],Q167),0), "TRUE", ROUND(R167-SUMIFS(AN_TME_PY[[#All],[Member Months]], AN_TME_PY[[#All],[Insurance Category Code]],2, AN_TME_PY[[#All],[Advanced Network/Insurance Carrier Org ID]],Q167),2))</f>
        <v>TRUE</v>
      </c>
      <c r="X167" s="527" t="str">
        <f>IF(ROUND(S167,0)=ROUND(SUMIFS(AN_TME_PY[[#All],[Total Claims Excluded because of Truncation]], AN_TME_PY[[#All],[Insurance Category Code]],2, AN_TME_PY[[#All],[Advanced Network/Insurance Carrier Org ID]],Q167),0), "TRUE", ROUND(S167-SUMIFS(AN_TME_PY[[#All],[Total Claims Excluded because of Truncation]], AN_TME_PY[[#All],[Insurance Category Code]],2, AN_TME_PY[[#All],[Advanced Network/Insurance Carrier Org ID]],Q167),2))</f>
        <v>TRUE</v>
      </c>
      <c r="Y167" s="537" t="str">
        <f>IF(ROUND(T167,0)=ROUND(SUMIFS(AN_TME_PY[[#All],[Count of Members with Claims Truncated]], AN_TME_PY[[#All],[Insurance Category Code]],2, AN_TME_PY[[#All],[Advanced Network/Insurance Carrier Org ID]],Q167),0), "TRUE", ROUND(T167-SUMIFS(AN_TME_PY[[#All],[Count of Members with Claims Truncated]], AN_TME_PY[[#All],[Insurance Category Code]],2, AN_TME_PY[[#All],[Advanced Network/Insurance Carrier Org ID]],Q167),2))</f>
        <v>TRUE</v>
      </c>
      <c r="Z167" s="528" t="str">
        <f>IF(ROUND(U167,0)=ROUND(SUMIFS(AN_TME_PY[[#All],[TOTAL Non-Truncated Unadjusted Claims Expenses]], AN_TME_PY[[#All],[Insurance Category Code]],2, AN_TME_PY[[#All],[Advanced Network/Insurance Carrier Org ID]],Q167),0), "TRUE", ROUND(U167-SUMIFS(AN_TME_PY[[#All],[TOTAL Non-Truncated Unadjusted Claims Expenses]], AN_TME_PY[[#All],[Insurance Category Code]],2, AN_TME_PY[[#All],[Advanced Network/Insurance Carrier Org ID]],Q167),2))</f>
        <v>TRUE</v>
      </c>
      <c r="AA167" s="529" t="str">
        <f>IF(ROUND(V167,0)=ROUND(SUMIFS(AN_TME_PY[[#All],[TOTAL Truncated Unadjusted Claims Expenses (A21 -A19)]], AN_TME_PY[[#All],[Insurance Category Code]],2, AN_TME_PY[[#All],[Advanced Network/Insurance Carrier Org ID]],Q167),0), "TRUE", ROUND(V167-SUMIFS(AN_TME_PY[[#All],[TOTAL Truncated Unadjusted Claims Expenses (A21 -A19)]], AN_TME_PY[[#All],[Insurance Category Code]],2, AN_TME_PY[[#All],[Advanced Network/Insurance Carrier Org ID]],Q167),2))</f>
        <v>TRUE</v>
      </c>
      <c r="AB167" s="525" t="str">
        <f t="shared" si="16"/>
        <v>TRUE</v>
      </c>
      <c r="AC167" s="528" t="b">
        <f>ROUND(SUMIFS(AN_TME_PY[[#All],[TOTAL Non-Truncated Unadjusted Claims Expenses]], AN_TME_PY[[#All],[Insurance Category Code]],2, AN_TME_PY[[#All],[Advanced Network/Insurance Carrier Org ID]],Q167),2)&gt;=ROUND(SUMIFS(AN_TME_PY[[#All],[TOTAL Truncated Unadjusted Claims Expenses (A21 -A19)]], AN_TME_PY[[#All],[Insurance Category Code]],2, AN_TME_PY[[#All],[Advanced Network/Insurance Carrier Org ID]],Q167),2)</f>
        <v>1</v>
      </c>
      <c r="AD167" s="529" t="b">
        <f>ROUND(SUMIFS(AN_TME_PY[[#All],[TOTAL Truncated Unadjusted Claims Expenses (A21 -A19)]], AN_TME_PY[[#All],[Insurance Category Code]],2, AN_TME_PY[[#All],[Advanced Network/Insurance Carrier Org ID]],Q167)+SUMIFS(AN_TME_PY[[#All],[Total Claims Excluded because of Truncation]], AN_TME_PY[[#All],[Insurance Category Code]],2, AN_TME_PY[[#All],[Advanced Network/Insurance Carrier Org ID]],Q167), 2)=ROUND(SUMIFS(AN_TME_PY[[#All],[TOTAL Non-Truncated Unadjusted Claims Expenses]], AN_TME_PY[[#All],[Insurance Category Code]],2, AN_TME_PY[[#All],[Advanced Network/Insurance Carrier Org ID]],Q167),2)</f>
        <v>1</v>
      </c>
      <c r="AF167" s="283" t="str">
        <f t="shared" si="15"/>
        <v>NA</v>
      </c>
    </row>
    <row r="168" spans="2:32" outlineLevel="1" x14ac:dyDescent="0.25">
      <c r="B168" s="216">
        <v>112</v>
      </c>
      <c r="C168" s="404">
        <f>ROUND(SUMIFS(Age_Sex_BY[[#All],[Total Member Months by Age/Sex Band]], Age_Sex_BY[[#All],[Advanced Network ID]], $B168, Age_Sex_BY[[#All],[Insurance Category Code]],2),2)</f>
        <v>0</v>
      </c>
      <c r="D168" s="238">
        <f>ROUND(SUMIFS(Age_Sex_BY[[#All],[Total Dollars Excluded from Spending After Applying Truncation at the Member Level]], Age_Sex_BY[[#All],[Advanced Network ID]], $B168, Age_Sex_BY[[#All],[Insurance Category Code]],2),2)</f>
        <v>0</v>
      </c>
      <c r="E168" s="209">
        <f>ROUND(SUMIFS(Age_Sex_BY[[#All],[Count of Members whose Spending was Truncated]], Age_Sex_BY[[#All],[Advanced Network ID]], $B168, Age_Sex_BY[[#All],[Insurance Category Code]],2),2)</f>
        <v>0</v>
      </c>
      <c r="F168" s="210">
        <f>ROUND(SUMIFS(Age_Sex_BY[[#All],[Total Spending before Truncation is Applied]], Age_Sex_BY[[#All],[Advanced Network ID]], $B168, Age_Sex_BY[[#All],[Insurance Category Code]],2),2)</f>
        <v>0</v>
      </c>
      <c r="G168" s="212">
        <f>ROUND(SUMIFS(Age_Sex_BY[[#All],[Total Spending After Applying Truncation at the Member Level]], Age_Sex_BY[[#All],[Advanced Network ID]], $B168, Age_Sex_BY[[#All],[Insurance Category Code]],2),2)</f>
        <v>0</v>
      </c>
      <c r="H168" s="525" t="str">
        <f>IF(ROUND(C168,0)=ROUND(SUMIFS(AN_TME_BY[[#All],[Member Months]], AN_TME_BY[[#All],[Insurance Category Code]],2, AN_TME_BY[[#All],[Advanced Network/Insurance Carrier Org ID]],B168),0), "TRUE", ROUND(C168-SUMIFS(AN_TME_BY[[#All],[Member Months]], AN_TME_BY[[#All],[Insurance Category Code]],2, AN_TME_BY[[#All],[Advanced Network/Insurance Carrier Org ID]],B168),2))</f>
        <v>TRUE</v>
      </c>
      <c r="I168" s="533" t="str">
        <f>IF(ROUND(D168,0)=ROUND(SUMIFS(AN_TME_BY[[#All],[Total Claims Excluded because of Truncation]], AN_TME_BY[[#All],[Insurance Category Code]],2, AN_TME_BY[[#All],[Advanced Network/Insurance Carrier Org ID]],B168),0), "TRUE", ROUND(D168-SUMIFS(AN_TME_BY[[#All],[Total Claims Excluded because of Truncation]], AN_TME_BY[[#All],[Insurance Category Code]],2, AN_TME_BY[[#All],[Advanced Network/Insurance Carrier Org ID]],B168),2))</f>
        <v>TRUE</v>
      </c>
      <c r="J168" s="537" t="str">
        <f>IF(ROUND(E168,0)=ROUND(SUMIFS(AN_TME_BY[[#All],[Count of Members with Claims Truncated]], AN_TME_BY[[#All],[Insurance Category Code]],2, AN_TME_BY[[#All],[Advanced Network/Insurance Carrier Org ID]],B168),0), "TRUE", ROUND(E168-SUMIFS(AN_TME_BY[[#All],[Count of Members with Claims Truncated]], AN_TME_BY[[#All],[Insurance Category Code]],2, AN_TME_BY[[#All],[Advanced Network/Insurance Carrier Org ID]],B168),2))</f>
        <v>TRUE</v>
      </c>
      <c r="K168" s="533" t="str">
        <f>IF(ROUND(F168,0)=ROUND(SUMIFS(AN_TME_BY[[#All],[TOTAL Non-Truncated Unadjusted Claims Expenses]], AN_TME_BY[[#All],[Insurance Category Code]],2, AN_TME_BY[[#All],[Advanced Network/Insurance Carrier Org ID]],B168),0), "TRUE", ROUND(F168-SUMIFS(AN_TME_BY[[#All],[TOTAL Non-Truncated Unadjusted Claims Expenses]], AN_TME_BY[[#All],[Insurance Category Code]],2, AN_TME_BY[[#All],[Advanced Network/Insurance Carrier Org ID]],B168),2))</f>
        <v>TRUE</v>
      </c>
      <c r="L168" s="534" t="str">
        <f>IF(ROUND(G168,0)=ROUND(SUMIFS(AN_TME_BY[[#All],[TOTAL Truncated Unadjusted Claims Expenses (A21 -A19)]], AN_TME_BY[[#All],[Insurance Category Code]],2, AN_TME_BY[[#All],[Advanced Network/Insurance Carrier Org ID]],B168),0), "TRUE", ROUND(G168-SUMIFS(AN_TME_BY[[#All],[TOTAL Truncated Unadjusted Claims Expenses (A21 -A19)]], AN_TME_BY[[#All],[Insurance Category Code]],2, AN_TME_BY[[#All],[Advanced Network/Insurance Carrier Org ID]],B168),2))</f>
        <v>TRUE</v>
      </c>
      <c r="M168" s="525" t="str">
        <f t="shared" si="14"/>
        <v>TRUE</v>
      </c>
      <c r="N168" s="533" t="b">
        <f>ROUND(SUMIFS(AN_TME_BY[[#All],[TOTAL Non-Truncated Unadjusted Claims Expenses]], AN_TME_BY[[#All],[Insurance Category Code]],2, AN_TME_BY[[#All],[Advanced Network/Insurance Carrier Org ID]],B168),2)&gt;=ROUND(SUMIFS(AN_TME_BY[[#All],[TOTAL Truncated Unadjusted Claims Expenses (A21 -A19)]], AN_TME_BY[[#All],[Insurance Category Code]],2, AN_TME_BY[[#All],[Advanced Network/Insurance Carrier Org ID]],B168), 2)</f>
        <v>1</v>
      </c>
      <c r="O168" s="534" t="b">
        <f>ROUND(SUMIFS(AN_TME_BY[[#All],[TOTAL Truncated Unadjusted Claims Expenses (A21 -A19)]], AN_TME_BY[[#All],[Insurance Category Code]],2, AN_TME_BY[[#All],[Advanced Network/Insurance Carrier Org ID]],B168)+SUMIFS(AN_TME_BY[[#All],[Total Claims Excluded because of Truncation]], AN_TME_BY[[#All],[Insurance Category Code]],2, AN_TME_BY[[#All],[Advanced Network/Insurance Carrier Org ID]],B168),2)=ROUND(SUMIFS(AN_TME_BY[[#All],[TOTAL Non-Truncated Unadjusted Claims Expenses]], AN_TME_BY[[#All],[Insurance Category Code]],2, AN_TME_BY[[#All],[Advanced Network/Insurance Carrier Org ID]],B168), 2)</f>
        <v>1</v>
      </c>
      <c r="Q168" s="216">
        <v>112</v>
      </c>
      <c r="R168" s="404">
        <f>ROUND(SUMIFS(Age_Sex_PY[[#All],[Total Member Months by Age/Sex Band]], Age_Sex_PY[[#All],[Advanced Network ID]], $Q168, Age_Sex_PY[[#All],[Insurance Category Code]],2),2)</f>
        <v>0</v>
      </c>
      <c r="S168" s="238">
        <f>ROUND(SUMIFS(Age_Sex_PY[[#All],[Total Dollars Excluded from Spending After Applying Truncation at the Member Level]], Age_Sex_PY[[#All],[Advanced Network ID]], $B168, Age_Sex_PY[[#All],[Insurance Category Code]],2),2)</f>
        <v>0</v>
      </c>
      <c r="T168" s="209">
        <f>ROUND(SUMIFS(Age_Sex_PY[[#All],[Count of Members whose Spending was Truncated]], Age_Sex_PY[[#All],[Advanced Network ID]], $B168, Age_Sex_PY[[#All],[Insurance Category Code]],2),2)</f>
        <v>0</v>
      </c>
      <c r="U168" s="210">
        <f>ROUND(SUMIFS(Age_Sex_PY[[#All],[Total Spending before Truncation is Applied]], Age_Sex_PY[[#All],[Advanced Network ID]], $B168, Age_Sex_PY[[#All],[Insurance Category Code]],2),2)</f>
        <v>0</v>
      </c>
      <c r="V168" s="212">
        <f>ROUND(SUMIFS(Age_Sex_PY[[#All],[Total Spending After Applying Truncation at the Member Level]], Age_Sex_PY[[#All],[Advanced Network ID]], $B168, Age_Sex_PY[[#All],[Insurance Category Code]],2), 2)</f>
        <v>0</v>
      </c>
      <c r="W168" s="525" t="str">
        <f>IF(ROUND(R168,0)=ROUND(SUMIFS(AN_TME_PY[[#All],[Member Months]], AN_TME_PY[[#All],[Insurance Category Code]],2, AN_TME_PY[[#All],[Advanced Network/Insurance Carrier Org ID]],Q168),0), "TRUE", ROUND(R168-SUMIFS(AN_TME_PY[[#All],[Member Months]], AN_TME_PY[[#All],[Insurance Category Code]],2, AN_TME_PY[[#All],[Advanced Network/Insurance Carrier Org ID]],Q168),2))</f>
        <v>TRUE</v>
      </c>
      <c r="X168" s="527" t="str">
        <f>IF(ROUND(S168,0)=ROUND(SUMIFS(AN_TME_PY[[#All],[Total Claims Excluded because of Truncation]], AN_TME_PY[[#All],[Insurance Category Code]],2, AN_TME_PY[[#All],[Advanced Network/Insurance Carrier Org ID]],Q168),0), "TRUE", ROUND(S168-SUMIFS(AN_TME_PY[[#All],[Total Claims Excluded because of Truncation]], AN_TME_PY[[#All],[Insurance Category Code]],2, AN_TME_PY[[#All],[Advanced Network/Insurance Carrier Org ID]],Q168),2))</f>
        <v>TRUE</v>
      </c>
      <c r="Y168" s="537" t="str">
        <f>IF(ROUND(T168,0)=ROUND(SUMIFS(AN_TME_PY[[#All],[Count of Members with Claims Truncated]], AN_TME_PY[[#All],[Insurance Category Code]],2, AN_TME_PY[[#All],[Advanced Network/Insurance Carrier Org ID]],Q168),0), "TRUE", ROUND(T168-SUMIFS(AN_TME_PY[[#All],[Count of Members with Claims Truncated]], AN_TME_PY[[#All],[Insurance Category Code]],2, AN_TME_PY[[#All],[Advanced Network/Insurance Carrier Org ID]],Q168),2))</f>
        <v>TRUE</v>
      </c>
      <c r="Z168" s="528" t="str">
        <f>IF(ROUND(U168,0)=ROUND(SUMIFS(AN_TME_PY[[#All],[TOTAL Non-Truncated Unadjusted Claims Expenses]], AN_TME_PY[[#All],[Insurance Category Code]],2, AN_TME_PY[[#All],[Advanced Network/Insurance Carrier Org ID]],Q168),0), "TRUE", ROUND(U168-SUMIFS(AN_TME_PY[[#All],[TOTAL Non-Truncated Unadjusted Claims Expenses]], AN_TME_PY[[#All],[Insurance Category Code]],2, AN_TME_PY[[#All],[Advanced Network/Insurance Carrier Org ID]],Q168),2))</f>
        <v>TRUE</v>
      </c>
      <c r="AA168" s="529" t="str">
        <f>IF(ROUND(V168,0)=ROUND(SUMIFS(AN_TME_PY[[#All],[TOTAL Truncated Unadjusted Claims Expenses (A21 -A19)]], AN_TME_PY[[#All],[Insurance Category Code]],2, AN_TME_PY[[#All],[Advanced Network/Insurance Carrier Org ID]],Q168),0), "TRUE", ROUND(V168-SUMIFS(AN_TME_PY[[#All],[TOTAL Truncated Unadjusted Claims Expenses (A21 -A19)]], AN_TME_PY[[#All],[Insurance Category Code]],2, AN_TME_PY[[#All],[Advanced Network/Insurance Carrier Org ID]],Q168),2))</f>
        <v>TRUE</v>
      </c>
      <c r="AB168" s="525" t="str">
        <f t="shared" si="16"/>
        <v>TRUE</v>
      </c>
      <c r="AC168" s="528" t="b">
        <f>ROUND(SUMIFS(AN_TME_PY[[#All],[TOTAL Non-Truncated Unadjusted Claims Expenses]], AN_TME_PY[[#All],[Insurance Category Code]],2, AN_TME_PY[[#All],[Advanced Network/Insurance Carrier Org ID]],Q168),2)&gt;=ROUND(SUMIFS(AN_TME_PY[[#All],[TOTAL Truncated Unadjusted Claims Expenses (A21 -A19)]], AN_TME_PY[[#All],[Insurance Category Code]],2, AN_TME_PY[[#All],[Advanced Network/Insurance Carrier Org ID]],Q168),2)</f>
        <v>1</v>
      </c>
      <c r="AD168" s="529" t="b">
        <f>ROUND(SUMIFS(AN_TME_PY[[#All],[TOTAL Truncated Unadjusted Claims Expenses (A21 -A19)]], AN_TME_PY[[#All],[Insurance Category Code]],2, AN_TME_PY[[#All],[Advanced Network/Insurance Carrier Org ID]],Q168)+SUMIFS(AN_TME_PY[[#All],[Total Claims Excluded because of Truncation]], AN_TME_PY[[#All],[Insurance Category Code]],2, AN_TME_PY[[#All],[Advanced Network/Insurance Carrier Org ID]],Q168), 2)=ROUND(SUMIFS(AN_TME_PY[[#All],[TOTAL Non-Truncated Unadjusted Claims Expenses]], AN_TME_PY[[#All],[Insurance Category Code]],2, AN_TME_PY[[#All],[Advanced Network/Insurance Carrier Org ID]],Q168),2)</f>
        <v>1</v>
      </c>
      <c r="AF168" s="283" t="str">
        <f t="shared" si="15"/>
        <v>NA</v>
      </c>
    </row>
    <row r="169" spans="2:32" outlineLevel="1" x14ac:dyDescent="0.25">
      <c r="B169" s="216">
        <v>113</v>
      </c>
      <c r="C169" s="404">
        <f>ROUND(SUMIFS(Age_Sex_BY[[#All],[Total Member Months by Age/Sex Band]], Age_Sex_BY[[#All],[Advanced Network ID]], $B169, Age_Sex_BY[[#All],[Insurance Category Code]],2),2)</f>
        <v>0</v>
      </c>
      <c r="D169" s="238">
        <f>ROUND(SUMIFS(Age_Sex_BY[[#All],[Total Dollars Excluded from Spending After Applying Truncation at the Member Level]], Age_Sex_BY[[#All],[Advanced Network ID]], $B169, Age_Sex_BY[[#All],[Insurance Category Code]],2),2)</f>
        <v>0</v>
      </c>
      <c r="E169" s="209">
        <f>ROUND(SUMIFS(Age_Sex_BY[[#All],[Count of Members whose Spending was Truncated]], Age_Sex_BY[[#All],[Advanced Network ID]], $B169, Age_Sex_BY[[#All],[Insurance Category Code]],2),2)</f>
        <v>0</v>
      </c>
      <c r="F169" s="210">
        <f>ROUND(SUMIFS(Age_Sex_BY[[#All],[Total Spending before Truncation is Applied]], Age_Sex_BY[[#All],[Advanced Network ID]], $B169, Age_Sex_BY[[#All],[Insurance Category Code]],2),2)</f>
        <v>0</v>
      </c>
      <c r="G169" s="212">
        <f>ROUND(SUMIFS(Age_Sex_BY[[#All],[Total Spending After Applying Truncation at the Member Level]], Age_Sex_BY[[#All],[Advanced Network ID]], $B169, Age_Sex_BY[[#All],[Insurance Category Code]],2),2)</f>
        <v>0</v>
      </c>
      <c r="H169" s="525" t="str">
        <f>IF(ROUND(C169,0)=ROUND(SUMIFS(AN_TME_BY[[#All],[Member Months]], AN_TME_BY[[#All],[Insurance Category Code]],2, AN_TME_BY[[#All],[Advanced Network/Insurance Carrier Org ID]],B169),0), "TRUE", ROUND(C169-SUMIFS(AN_TME_BY[[#All],[Member Months]], AN_TME_BY[[#All],[Insurance Category Code]],2, AN_TME_BY[[#All],[Advanced Network/Insurance Carrier Org ID]],B169),2))</f>
        <v>TRUE</v>
      </c>
      <c r="I169" s="533" t="str">
        <f>IF(ROUND(D169,0)=ROUND(SUMIFS(AN_TME_BY[[#All],[Total Claims Excluded because of Truncation]], AN_TME_BY[[#All],[Insurance Category Code]],2, AN_TME_BY[[#All],[Advanced Network/Insurance Carrier Org ID]],B169),0), "TRUE", ROUND(D169-SUMIFS(AN_TME_BY[[#All],[Total Claims Excluded because of Truncation]], AN_TME_BY[[#All],[Insurance Category Code]],2, AN_TME_BY[[#All],[Advanced Network/Insurance Carrier Org ID]],B169),2))</f>
        <v>TRUE</v>
      </c>
      <c r="J169" s="537" t="str">
        <f>IF(ROUND(E169,0)=ROUND(SUMIFS(AN_TME_BY[[#All],[Count of Members with Claims Truncated]], AN_TME_BY[[#All],[Insurance Category Code]],2, AN_TME_BY[[#All],[Advanced Network/Insurance Carrier Org ID]],B169),0), "TRUE", ROUND(E169-SUMIFS(AN_TME_BY[[#All],[Count of Members with Claims Truncated]], AN_TME_BY[[#All],[Insurance Category Code]],2, AN_TME_BY[[#All],[Advanced Network/Insurance Carrier Org ID]],B169),2))</f>
        <v>TRUE</v>
      </c>
      <c r="K169" s="533" t="str">
        <f>IF(ROUND(F169,0)=ROUND(SUMIFS(AN_TME_BY[[#All],[TOTAL Non-Truncated Unadjusted Claims Expenses]], AN_TME_BY[[#All],[Insurance Category Code]],2, AN_TME_BY[[#All],[Advanced Network/Insurance Carrier Org ID]],B169),0), "TRUE", ROUND(F169-SUMIFS(AN_TME_BY[[#All],[TOTAL Non-Truncated Unadjusted Claims Expenses]], AN_TME_BY[[#All],[Insurance Category Code]],2, AN_TME_BY[[#All],[Advanced Network/Insurance Carrier Org ID]],B169),2))</f>
        <v>TRUE</v>
      </c>
      <c r="L169" s="534" t="str">
        <f>IF(ROUND(G169,0)=ROUND(SUMIFS(AN_TME_BY[[#All],[TOTAL Truncated Unadjusted Claims Expenses (A21 -A19)]], AN_TME_BY[[#All],[Insurance Category Code]],2, AN_TME_BY[[#All],[Advanced Network/Insurance Carrier Org ID]],B169),0), "TRUE", ROUND(G169-SUMIFS(AN_TME_BY[[#All],[TOTAL Truncated Unadjusted Claims Expenses (A21 -A19)]], AN_TME_BY[[#All],[Insurance Category Code]],2, AN_TME_BY[[#All],[Advanced Network/Insurance Carrier Org ID]],B169),2))</f>
        <v>TRUE</v>
      </c>
      <c r="M169" s="525" t="str">
        <f t="shared" si="14"/>
        <v>TRUE</v>
      </c>
      <c r="N169" s="533" t="b">
        <f>ROUND(SUMIFS(AN_TME_BY[[#All],[TOTAL Non-Truncated Unadjusted Claims Expenses]], AN_TME_BY[[#All],[Insurance Category Code]],2, AN_TME_BY[[#All],[Advanced Network/Insurance Carrier Org ID]],B169),2)&gt;=ROUND(SUMIFS(AN_TME_BY[[#All],[TOTAL Truncated Unadjusted Claims Expenses (A21 -A19)]], AN_TME_BY[[#All],[Insurance Category Code]],2, AN_TME_BY[[#All],[Advanced Network/Insurance Carrier Org ID]],B169), 2)</f>
        <v>1</v>
      </c>
      <c r="O169" s="534" t="b">
        <f>ROUND(SUMIFS(AN_TME_BY[[#All],[TOTAL Truncated Unadjusted Claims Expenses (A21 -A19)]], AN_TME_BY[[#All],[Insurance Category Code]],2, AN_TME_BY[[#All],[Advanced Network/Insurance Carrier Org ID]],B169)+SUMIFS(AN_TME_BY[[#All],[Total Claims Excluded because of Truncation]], AN_TME_BY[[#All],[Insurance Category Code]],2, AN_TME_BY[[#All],[Advanced Network/Insurance Carrier Org ID]],B169),2)=ROUND(SUMIFS(AN_TME_BY[[#All],[TOTAL Non-Truncated Unadjusted Claims Expenses]], AN_TME_BY[[#All],[Insurance Category Code]],2, AN_TME_BY[[#All],[Advanced Network/Insurance Carrier Org ID]],B169), 2)</f>
        <v>1</v>
      </c>
      <c r="Q169" s="216">
        <v>113</v>
      </c>
      <c r="R169" s="404">
        <f>ROUND(SUMIFS(Age_Sex_PY[[#All],[Total Member Months by Age/Sex Band]], Age_Sex_PY[[#All],[Advanced Network ID]], $Q169, Age_Sex_PY[[#All],[Insurance Category Code]],2),2)</f>
        <v>0</v>
      </c>
      <c r="S169" s="238">
        <f>ROUND(SUMIFS(Age_Sex_PY[[#All],[Total Dollars Excluded from Spending After Applying Truncation at the Member Level]], Age_Sex_PY[[#All],[Advanced Network ID]], $B169, Age_Sex_PY[[#All],[Insurance Category Code]],2),2)</f>
        <v>0</v>
      </c>
      <c r="T169" s="209">
        <f>ROUND(SUMIFS(Age_Sex_PY[[#All],[Count of Members whose Spending was Truncated]], Age_Sex_PY[[#All],[Advanced Network ID]], $B169, Age_Sex_PY[[#All],[Insurance Category Code]],2),2)</f>
        <v>0</v>
      </c>
      <c r="U169" s="210">
        <f>ROUND(SUMIFS(Age_Sex_PY[[#All],[Total Spending before Truncation is Applied]], Age_Sex_PY[[#All],[Advanced Network ID]], $B169, Age_Sex_PY[[#All],[Insurance Category Code]],2),2)</f>
        <v>0</v>
      </c>
      <c r="V169" s="212">
        <f>ROUND(SUMIFS(Age_Sex_PY[[#All],[Total Spending After Applying Truncation at the Member Level]], Age_Sex_PY[[#All],[Advanced Network ID]], $B169, Age_Sex_PY[[#All],[Insurance Category Code]],2), 2)</f>
        <v>0</v>
      </c>
      <c r="W169" s="525" t="str">
        <f>IF(ROUND(R169,0)=ROUND(SUMIFS(AN_TME_PY[[#All],[Member Months]], AN_TME_PY[[#All],[Insurance Category Code]],2, AN_TME_PY[[#All],[Advanced Network/Insurance Carrier Org ID]],Q169),0), "TRUE", ROUND(R169-SUMIFS(AN_TME_PY[[#All],[Member Months]], AN_TME_PY[[#All],[Insurance Category Code]],2, AN_TME_PY[[#All],[Advanced Network/Insurance Carrier Org ID]],Q169),2))</f>
        <v>TRUE</v>
      </c>
      <c r="X169" s="527" t="str">
        <f>IF(ROUND(S169,0)=ROUND(SUMIFS(AN_TME_PY[[#All],[Total Claims Excluded because of Truncation]], AN_TME_PY[[#All],[Insurance Category Code]],2, AN_TME_PY[[#All],[Advanced Network/Insurance Carrier Org ID]],Q169),0), "TRUE", ROUND(S169-SUMIFS(AN_TME_PY[[#All],[Total Claims Excluded because of Truncation]], AN_TME_PY[[#All],[Insurance Category Code]],2, AN_TME_PY[[#All],[Advanced Network/Insurance Carrier Org ID]],Q169),2))</f>
        <v>TRUE</v>
      </c>
      <c r="Y169" s="537" t="str">
        <f>IF(ROUND(T169,0)=ROUND(SUMIFS(AN_TME_PY[[#All],[Count of Members with Claims Truncated]], AN_TME_PY[[#All],[Insurance Category Code]],2, AN_TME_PY[[#All],[Advanced Network/Insurance Carrier Org ID]],Q169),0), "TRUE", ROUND(T169-SUMIFS(AN_TME_PY[[#All],[Count of Members with Claims Truncated]], AN_TME_PY[[#All],[Insurance Category Code]],2, AN_TME_PY[[#All],[Advanced Network/Insurance Carrier Org ID]],Q169),2))</f>
        <v>TRUE</v>
      </c>
      <c r="Z169" s="528" t="str">
        <f>IF(ROUND(U169,0)=ROUND(SUMIFS(AN_TME_PY[[#All],[TOTAL Non-Truncated Unadjusted Claims Expenses]], AN_TME_PY[[#All],[Insurance Category Code]],2, AN_TME_PY[[#All],[Advanced Network/Insurance Carrier Org ID]],Q169),0), "TRUE", ROUND(U169-SUMIFS(AN_TME_PY[[#All],[TOTAL Non-Truncated Unadjusted Claims Expenses]], AN_TME_PY[[#All],[Insurance Category Code]],2, AN_TME_PY[[#All],[Advanced Network/Insurance Carrier Org ID]],Q169),2))</f>
        <v>TRUE</v>
      </c>
      <c r="AA169" s="529" t="str">
        <f>IF(ROUND(V169,0)=ROUND(SUMIFS(AN_TME_PY[[#All],[TOTAL Truncated Unadjusted Claims Expenses (A21 -A19)]], AN_TME_PY[[#All],[Insurance Category Code]],2, AN_TME_PY[[#All],[Advanced Network/Insurance Carrier Org ID]],Q169),0), "TRUE", ROUND(V169-SUMIFS(AN_TME_PY[[#All],[TOTAL Truncated Unadjusted Claims Expenses (A21 -A19)]], AN_TME_PY[[#All],[Insurance Category Code]],2, AN_TME_PY[[#All],[Advanced Network/Insurance Carrier Org ID]],Q169),2))</f>
        <v>TRUE</v>
      </c>
      <c r="AB169" s="525" t="str">
        <f t="shared" si="16"/>
        <v>TRUE</v>
      </c>
      <c r="AC169" s="528" t="b">
        <f>ROUND(SUMIFS(AN_TME_PY[[#All],[TOTAL Non-Truncated Unadjusted Claims Expenses]], AN_TME_PY[[#All],[Insurance Category Code]],2, AN_TME_PY[[#All],[Advanced Network/Insurance Carrier Org ID]],Q169),2)&gt;=ROUND(SUMIFS(AN_TME_PY[[#All],[TOTAL Truncated Unadjusted Claims Expenses (A21 -A19)]], AN_TME_PY[[#All],[Insurance Category Code]],2, AN_TME_PY[[#All],[Advanced Network/Insurance Carrier Org ID]],Q169),2)</f>
        <v>1</v>
      </c>
      <c r="AD169" s="529" t="b">
        <f>ROUND(SUMIFS(AN_TME_PY[[#All],[TOTAL Truncated Unadjusted Claims Expenses (A21 -A19)]], AN_TME_PY[[#All],[Insurance Category Code]],2, AN_TME_PY[[#All],[Advanced Network/Insurance Carrier Org ID]],Q169)+SUMIFS(AN_TME_PY[[#All],[Total Claims Excluded because of Truncation]], AN_TME_PY[[#All],[Insurance Category Code]],2, AN_TME_PY[[#All],[Advanced Network/Insurance Carrier Org ID]],Q169), 2)=ROUND(SUMIFS(AN_TME_PY[[#All],[TOTAL Non-Truncated Unadjusted Claims Expenses]], AN_TME_PY[[#All],[Insurance Category Code]],2, AN_TME_PY[[#All],[Advanced Network/Insurance Carrier Org ID]],Q169),2)</f>
        <v>1</v>
      </c>
      <c r="AF169" s="283" t="str">
        <f t="shared" si="15"/>
        <v>NA</v>
      </c>
    </row>
    <row r="170" spans="2:32" outlineLevel="1" x14ac:dyDescent="0.25">
      <c r="B170" s="216">
        <v>114</v>
      </c>
      <c r="C170" s="404">
        <f>ROUND(SUMIFS(Age_Sex_BY[[#All],[Total Member Months by Age/Sex Band]], Age_Sex_BY[[#All],[Advanced Network ID]], $B170, Age_Sex_BY[[#All],[Insurance Category Code]],2),2)</f>
        <v>0</v>
      </c>
      <c r="D170" s="238">
        <f>ROUND(SUMIFS(Age_Sex_BY[[#All],[Total Dollars Excluded from Spending After Applying Truncation at the Member Level]], Age_Sex_BY[[#All],[Advanced Network ID]], $B170, Age_Sex_BY[[#All],[Insurance Category Code]],2),2)</f>
        <v>0</v>
      </c>
      <c r="E170" s="209">
        <f>ROUND(SUMIFS(Age_Sex_BY[[#All],[Count of Members whose Spending was Truncated]], Age_Sex_BY[[#All],[Advanced Network ID]], $B170, Age_Sex_BY[[#All],[Insurance Category Code]],2),2)</f>
        <v>0</v>
      </c>
      <c r="F170" s="210">
        <f>ROUND(SUMIFS(Age_Sex_BY[[#All],[Total Spending before Truncation is Applied]], Age_Sex_BY[[#All],[Advanced Network ID]], $B170, Age_Sex_BY[[#All],[Insurance Category Code]],2),2)</f>
        <v>0</v>
      </c>
      <c r="G170" s="212">
        <f>ROUND(SUMIFS(Age_Sex_BY[[#All],[Total Spending After Applying Truncation at the Member Level]], Age_Sex_BY[[#All],[Advanced Network ID]], $B170, Age_Sex_BY[[#All],[Insurance Category Code]],2),2)</f>
        <v>0</v>
      </c>
      <c r="H170" s="525" t="str">
        <f>IF(ROUND(C170,0)=ROUND(SUMIFS(AN_TME_BY[[#All],[Member Months]], AN_TME_BY[[#All],[Insurance Category Code]],2, AN_TME_BY[[#All],[Advanced Network/Insurance Carrier Org ID]],B170),0), "TRUE", ROUND(C170-SUMIFS(AN_TME_BY[[#All],[Member Months]], AN_TME_BY[[#All],[Insurance Category Code]],2, AN_TME_BY[[#All],[Advanced Network/Insurance Carrier Org ID]],B170),2))</f>
        <v>TRUE</v>
      </c>
      <c r="I170" s="533" t="str">
        <f>IF(ROUND(D170,0)=ROUND(SUMIFS(AN_TME_BY[[#All],[Total Claims Excluded because of Truncation]], AN_TME_BY[[#All],[Insurance Category Code]],2, AN_TME_BY[[#All],[Advanced Network/Insurance Carrier Org ID]],B170),0), "TRUE", ROUND(D170-SUMIFS(AN_TME_BY[[#All],[Total Claims Excluded because of Truncation]], AN_TME_BY[[#All],[Insurance Category Code]],2, AN_TME_BY[[#All],[Advanced Network/Insurance Carrier Org ID]],B170),2))</f>
        <v>TRUE</v>
      </c>
      <c r="J170" s="537" t="str">
        <f>IF(ROUND(E170,0)=ROUND(SUMIFS(AN_TME_BY[[#All],[Count of Members with Claims Truncated]], AN_TME_BY[[#All],[Insurance Category Code]],2, AN_TME_BY[[#All],[Advanced Network/Insurance Carrier Org ID]],B170),0), "TRUE", ROUND(E170-SUMIFS(AN_TME_BY[[#All],[Count of Members with Claims Truncated]], AN_TME_BY[[#All],[Insurance Category Code]],2, AN_TME_BY[[#All],[Advanced Network/Insurance Carrier Org ID]],B170),2))</f>
        <v>TRUE</v>
      </c>
      <c r="K170" s="533" t="str">
        <f>IF(ROUND(F170,0)=ROUND(SUMIFS(AN_TME_BY[[#All],[TOTAL Non-Truncated Unadjusted Claims Expenses]], AN_TME_BY[[#All],[Insurance Category Code]],2, AN_TME_BY[[#All],[Advanced Network/Insurance Carrier Org ID]],B170),0), "TRUE", ROUND(F170-SUMIFS(AN_TME_BY[[#All],[TOTAL Non-Truncated Unadjusted Claims Expenses]], AN_TME_BY[[#All],[Insurance Category Code]],2, AN_TME_BY[[#All],[Advanced Network/Insurance Carrier Org ID]],B170),2))</f>
        <v>TRUE</v>
      </c>
      <c r="L170" s="534" t="str">
        <f>IF(ROUND(G170,0)=ROUND(SUMIFS(AN_TME_BY[[#All],[TOTAL Truncated Unadjusted Claims Expenses (A21 -A19)]], AN_TME_BY[[#All],[Insurance Category Code]],2, AN_TME_BY[[#All],[Advanced Network/Insurance Carrier Org ID]],B170),0), "TRUE", ROUND(G170-SUMIFS(AN_TME_BY[[#All],[TOTAL Truncated Unadjusted Claims Expenses (A21 -A19)]], AN_TME_BY[[#All],[Insurance Category Code]],2, AN_TME_BY[[#All],[Advanced Network/Insurance Carrier Org ID]],B170),2))</f>
        <v>TRUE</v>
      </c>
      <c r="M170" s="525" t="str">
        <f t="shared" si="14"/>
        <v>TRUE</v>
      </c>
      <c r="N170" s="533" t="b">
        <f>ROUND(SUMIFS(AN_TME_BY[[#All],[TOTAL Non-Truncated Unadjusted Claims Expenses]], AN_TME_BY[[#All],[Insurance Category Code]],2, AN_TME_BY[[#All],[Advanced Network/Insurance Carrier Org ID]],B170),2)&gt;=ROUND(SUMIFS(AN_TME_BY[[#All],[TOTAL Truncated Unadjusted Claims Expenses (A21 -A19)]], AN_TME_BY[[#All],[Insurance Category Code]],2, AN_TME_BY[[#All],[Advanced Network/Insurance Carrier Org ID]],B170), 2)</f>
        <v>1</v>
      </c>
      <c r="O170" s="534" t="b">
        <f>ROUND(SUMIFS(AN_TME_BY[[#All],[TOTAL Truncated Unadjusted Claims Expenses (A21 -A19)]], AN_TME_BY[[#All],[Insurance Category Code]],2, AN_TME_BY[[#All],[Advanced Network/Insurance Carrier Org ID]],B170)+SUMIFS(AN_TME_BY[[#All],[Total Claims Excluded because of Truncation]], AN_TME_BY[[#All],[Insurance Category Code]],2, AN_TME_BY[[#All],[Advanced Network/Insurance Carrier Org ID]],B170),2)=ROUND(SUMIFS(AN_TME_BY[[#All],[TOTAL Non-Truncated Unadjusted Claims Expenses]], AN_TME_BY[[#All],[Insurance Category Code]],2, AN_TME_BY[[#All],[Advanced Network/Insurance Carrier Org ID]],B170), 2)</f>
        <v>1</v>
      </c>
      <c r="Q170" s="216">
        <v>114</v>
      </c>
      <c r="R170" s="404">
        <f>ROUND(SUMIFS(Age_Sex_PY[[#All],[Total Member Months by Age/Sex Band]], Age_Sex_PY[[#All],[Advanced Network ID]], $Q170, Age_Sex_PY[[#All],[Insurance Category Code]],2),2)</f>
        <v>0</v>
      </c>
      <c r="S170" s="238">
        <f>ROUND(SUMIFS(Age_Sex_PY[[#All],[Total Dollars Excluded from Spending After Applying Truncation at the Member Level]], Age_Sex_PY[[#All],[Advanced Network ID]], $B170, Age_Sex_PY[[#All],[Insurance Category Code]],2),2)</f>
        <v>0</v>
      </c>
      <c r="T170" s="209">
        <f>ROUND(SUMIFS(Age_Sex_PY[[#All],[Count of Members whose Spending was Truncated]], Age_Sex_PY[[#All],[Advanced Network ID]], $B170, Age_Sex_PY[[#All],[Insurance Category Code]],2),2)</f>
        <v>0</v>
      </c>
      <c r="U170" s="210">
        <f>ROUND(SUMIFS(Age_Sex_PY[[#All],[Total Spending before Truncation is Applied]], Age_Sex_PY[[#All],[Advanced Network ID]], $B170, Age_Sex_PY[[#All],[Insurance Category Code]],2),2)</f>
        <v>0</v>
      </c>
      <c r="V170" s="212">
        <f>ROUND(SUMIFS(Age_Sex_PY[[#All],[Total Spending After Applying Truncation at the Member Level]], Age_Sex_PY[[#All],[Advanced Network ID]], $B170, Age_Sex_PY[[#All],[Insurance Category Code]],2), 2)</f>
        <v>0</v>
      </c>
      <c r="W170" s="525" t="str">
        <f>IF(ROUND(R170,0)=ROUND(SUMIFS(AN_TME_PY[[#All],[Member Months]], AN_TME_PY[[#All],[Insurance Category Code]],2, AN_TME_PY[[#All],[Advanced Network/Insurance Carrier Org ID]],Q170),0), "TRUE", ROUND(R170-SUMIFS(AN_TME_PY[[#All],[Member Months]], AN_TME_PY[[#All],[Insurance Category Code]],2, AN_TME_PY[[#All],[Advanced Network/Insurance Carrier Org ID]],Q170),2))</f>
        <v>TRUE</v>
      </c>
      <c r="X170" s="527" t="str">
        <f>IF(ROUND(S170,0)=ROUND(SUMIFS(AN_TME_PY[[#All],[Total Claims Excluded because of Truncation]], AN_TME_PY[[#All],[Insurance Category Code]],2, AN_TME_PY[[#All],[Advanced Network/Insurance Carrier Org ID]],Q170),0), "TRUE", ROUND(S170-SUMIFS(AN_TME_PY[[#All],[Total Claims Excluded because of Truncation]], AN_TME_PY[[#All],[Insurance Category Code]],2, AN_TME_PY[[#All],[Advanced Network/Insurance Carrier Org ID]],Q170),2))</f>
        <v>TRUE</v>
      </c>
      <c r="Y170" s="537" t="str">
        <f>IF(ROUND(T170,0)=ROUND(SUMIFS(AN_TME_PY[[#All],[Count of Members with Claims Truncated]], AN_TME_PY[[#All],[Insurance Category Code]],2, AN_TME_PY[[#All],[Advanced Network/Insurance Carrier Org ID]],Q170),0), "TRUE", ROUND(T170-SUMIFS(AN_TME_PY[[#All],[Count of Members with Claims Truncated]], AN_TME_PY[[#All],[Insurance Category Code]],2, AN_TME_PY[[#All],[Advanced Network/Insurance Carrier Org ID]],Q170),2))</f>
        <v>TRUE</v>
      </c>
      <c r="Z170" s="528" t="str">
        <f>IF(ROUND(U170,0)=ROUND(SUMIFS(AN_TME_PY[[#All],[TOTAL Non-Truncated Unadjusted Claims Expenses]], AN_TME_PY[[#All],[Insurance Category Code]],2, AN_TME_PY[[#All],[Advanced Network/Insurance Carrier Org ID]],Q170),0), "TRUE", ROUND(U170-SUMIFS(AN_TME_PY[[#All],[TOTAL Non-Truncated Unadjusted Claims Expenses]], AN_TME_PY[[#All],[Insurance Category Code]],2, AN_TME_PY[[#All],[Advanced Network/Insurance Carrier Org ID]],Q170),2))</f>
        <v>TRUE</v>
      </c>
      <c r="AA170" s="529" t="str">
        <f>IF(ROUND(V170,0)=ROUND(SUMIFS(AN_TME_PY[[#All],[TOTAL Truncated Unadjusted Claims Expenses (A21 -A19)]], AN_TME_PY[[#All],[Insurance Category Code]],2, AN_TME_PY[[#All],[Advanced Network/Insurance Carrier Org ID]],Q170),0), "TRUE", ROUND(V170-SUMIFS(AN_TME_PY[[#All],[TOTAL Truncated Unadjusted Claims Expenses (A21 -A19)]], AN_TME_PY[[#All],[Insurance Category Code]],2, AN_TME_PY[[#All],[Advanced Network/Insurance Carrier Org ID]],Q170),2))</f>
        <v>TRUE</v>
      </c>
      <c r="AB170" s="525" t="str">
        <f t="shared" si="16"/>
        <v>TRUE</v>
      </c>
      <c r="AC170" s="528" t="b">
        <f>ROUND(SUMIFS(AN_TME_PY[[#All],[TOTAL Non-Truncated Unadjusted Claims Expenses]], AN_TME_PY[[#All],[Insurance Category Code]],2, AN_TME_PY[[#All],[Advanced Network/Insurance Carrier Org ID]],Q170),2)&gt;=ROUND(SUMIFS(AN_TME_PY[[#All],[TOTAL Truncated Unadjusted Claims Expenses (A21 -A19)]], AN_TME_PY[[#All],[Insurance Category Code]],2, AN_TME_PY[[#All],[Advanced Network/Insurance Carrier Org ID]],Q170),2)</f>
        <v>1</v>
      </c>
      <c r="AD170" s="529" t="b">
        <f>ROUND(SUMIFS(AN_TME_PY[[#All],[TOTAL Truncated Unadjusted Claims Expenses (A21 -A19)]], AN_TME_PY[[#All],[Insurance Category Code]],2, AN_TME_PY[[#All],[Advanced Network/Insurance Carrier Org ID]],Q170)+SUMIFS(AN_TME_PY[[#All],[Total Claims Excluded because of Truncation]], AN_TME_PY[[#All],[Insurance Category Code]],2, AN_TME_PY[[#All],[Advanced Network/Insurance Carrier Org ID]],Q170), 2)=ROUND(SUMIFS(AN_TME_PY[[#All],[TOTAL Non-Truncated Unadjusted Claims Expenses]], AN_TME_PY[[#All],[Insurance Category Code]],2, AN_TME_PY[[#All],[Advanced Network/Insurance Carrier Org ID]],Q170),2)</f>
        <v>1</v>
      </c>
      <c r="AF170" s="283" t="str">
        <f t="shared" si="15"/>
        <v>NA</v>
      </c>
    </row>
    <row r="171" spans="2:32" outlineLevel="1" x14ac:dyDescent="0.25">
      <c r="B171" s="216">
        <v>115</v>
      </c>
      <c r="C171" s="404">
        <f>ROUND(SUMIFS(Age_Sex_BY[[#All],[Total Member Months by Age/Sex Band]], Age_Sex_BY[[#All],[Advanced Network ID]], $B171, Age_Sex_BY[[#All],[Insurance Category Code]],2),2)</f>
        <v>0</v>
      </c>
      <c r="D171" s="238">
        <f>ROUND(SUMIFS(Age_Sex_BY[[#All],[Total Dollars Excluded from Spending After Applying Truncation at the Member Level]], Age_Sex_BY[[#All],[Advanced Network ID]], $B171, Age_Sex_BY[[#All],[Insurance Category Code]],2),2)</f>
        <v>0</v>
      </c>
      <c r="E171" s="209">
        <f>ROUND(SUMIFS(Age_Sex_BY[[#All],[Count of Members whose Spending was Truncated]], Age_Sex_BY[[#All],[Advanced Network ID]], $B171, Age_Sex_BY[[#All],[Insurance Category Code]],2),2)</f>
        <v>0</v>
      </c>
      <c r="F171" s="210">
        <f>ROUND(SUMIFS(Age_Sex_BY[[#All],[Total Spending before Truncation is Applied]], Age_Sex_BY[[#All],[Advanced Network ID]], $B171, Age_Sex_BY[[#All],[Insurance Category Code]],2),2)</f>
        <v>0</v>
      </c>
      <c r="G171" s="212">
        <f>ROUND(SUMIFS(Age_Sex_BY[[#All],[Total Spending After Applying Truncation at the Member Level]], Age_Sex_BY[[#All],[Advanced Network ID]], $B171, Age_Sex_BY[[#All],[Insurance Category Code]],2),2)</f>
        <v>0</v>
      </c>
      <c r="H171" s="525" t="str">
        <f>IF(ROUND(C171,0)=ROUND(SUMIFS(AN_TME_BY[[#All],[Member Months]], AN_TME_BY[[#All],[Insurance Category Code]],2, AN_TME_BY[[#All],[Advanced Network/Insurance Carrier Org ID]],B171),0), "TRUE", ROUND(C171-SUMIFS(AN_TME_BY[[#All],[Member Months]], AN_TME_BY[[#All],[Insurance Category Code]],2, AN_TME_BY[[#All],[Advanced Network/Insurance Carrier Org ID]],B171),2))</f>
        <v>TRUE</v>
      </c>
      <c r="I171" s="533" t="str">
        <f>IF(ROUND(D171,0)=ROUND(SUMIFS(AN_TME_BY[[#All],[Total Claims Excluded because of Truncation]], AN_TME_BY[[#All],[Insurance Category Code]],2, AN_TME_BY[[#All],[Advanced Network/Insurance Carrier Org ID]],B171),0), "TRUE", ROUND(D171-SUMIFS(AN_TME_BY[[#All],[Total Claims Excluded because of Truncation]], AN_TME_BY[[#All],[Insurance Category Code]],2, AN_TME_BY[[#All],[Advanced Network/Insurance Carrier Org ID]],B171),2))</f>
        <v>TRUE</v>
      </c>
      <c r="J171" s="537" t="str">
        <f>IF(ROUND(E171,0)=ROUND(SUMIFS(AN_TME_BY[[#All],[Count of Members with Claims Truncated]], AN_TME_BY[[#All],[Insurance Category Code]],2, AN_TME_BY[[#All],[Advanced Network/Insurance Carrier Org ID]],B171),0), "TRUE", ROUND(E171-SUMIFS(AN_TME_BY[[#All],[Count of Members with Claims Truncated]], AN_TME_BY[[#All],[Insurance Category Code]],2, AN_TME_BY[[#All],[Advanced Network/Insurance Carrier Org ID]],B171),2))</f>
        <v>TRUE</v>
      </c>
      <c r="K171" s="533" t="str">
        <f>IF(ROUND(F171,0)=ROUND(SUMIFS(AN_TME_BY[[#All],[TOTAL Non-Truncated Unadjusted Claims Expenses]], AN_TME_BY[[#All],[Insurance Category Code]],2, AN_TME_BY[[#All],[Advanced Network/Insurance Carrier Org ID]],B171),0), "TRUE", ROUND(F171-SUMIFS(AN_TME_BY[[#All],[TOTAL Non-Truncated Unadjusted Claims Expenses]], AN_TME_BY[[#All],[Insurance Category Code]],2, AN_TME_BY[[#All],[Advanced Network/Insurance Carrier Org ID]],B171),2))</f>
        <v>TRUE</v>
      </c>
      <c r="L171" s="534" t="str">
        <f>IF(ROUND(G171,0)=ROUND(SUMIFS(AN_TME_BY[[#All],[TOTAL Truncated Unadjusted Claims Expenses (A21 -A19)]], AN_TME_BY[[#All],[Insurance Category Code]],2, AN_TME_BY[[#All],[Advanced Network/Insurance Carrier Org ID]],B171),0), "TRUE", ROUND(G171-SUMIFS(AN_TME_BY[[#All],[TOTAL Truncated Unadjusted Claims Expenses (A21 -A19)]], AN_TME_BY[[#All],[Insurance Category Code]],2, AN_TME_BY[[#All],[Advanced Network/Insurance Carrier Org ID]],B171),2))</f>
        <v>TRUE</v>
      </c>
      <c r="M171" s="525" t="str">
        <f t="shared" si="14"/>
        <v>TRUE</v>
      </c>
      <c r="N171" s="533" t="b">
        <f>ROUND(SUMIFS(AN_TME_BY[[#All],[TOTAL Non-Truncated Unadjusted Claims Expenses]], AN_TME_BY[[#All],[Insurance Category Code]],2, AN_TME_BY[[#All],[Advanced Network/Insurance Carrier Org ID]],B171),2)&gt;=ROUND(SUMIFS(AN_TME_BY[[#All],[TOTAL Truncated Unadjusted Claims Expenses (A21 -A19)]], AN_TME_BY[[#All],[Insurance Category Code]],2, AN_TME_BY[[#All],[Advanced Network/Insurance Carrier Org ID]],B171), 2)</f>
        <v>1</v>
      </c>
      <c r="O171" s="534" t="b">
        <f>ROUND(SUMIFS(AN_TME_BY[[#All],[TOTAL Truncated Unadjusted Claims Expenses (A21 -A19)]], AN_TME_BY[[#All],[Insurance Category Code]],2, AN_TME_BY[[#All],[Advanced Network/Insurance Carrier Org ID]],B171)+SUMIFS(AN_TME_BY[[#All],[Total Claims Excluded because of Truncation]], AN_TME_BY[[#All],[Insurance Category Code]],2, AN_TME_BY[[#All],[Advanced Network/Insurance Carrier Org ID]],B171),2)=ROUND(SUMIFS(AN_TME_BY[[#All],[TOTAL Non-Truncated Unadjusted Claims Expenses]], AN_TME_BY[[#All],[Insurance Category Code]],2, AN_TME_BY[[#All],[Advanced Network/Insurance Carrier Org ID]],B171), 2)</f>
        <v>1</v>
      </c>
      <c r="Q171" s="216">
        <v>115</v>
      </c>
      <c r="R171" s="404">
        <f>ROUND(SUMIFS(Age_Sex_PY[[#All],[Total Member Months by Age/Sex Band]], Age_Sex_PY[[#All],[Advanced Network ID]], $Q171, Age_Sex_PY[[#All],[Insurance Category Code]],2),2)</f>
        <v>0</v>
      </c>
      <c r="S171" s="238">
        <f>ROUND(SUMIFS(Age_Sex_PY[[#All],[Total Dollars Excluded from Spending After Applying Truncation at the Member Level]], Age_Sex_PY[[#All],[Advanced Network ID]], $B171, Age_Sex_PY[[#All],[Insurance Category Code]],2),2)</f>
        <v>0</v>
      </c>
      <c r="T171" s="209">
        <f>ROUND(SUMIFS(Age_Sex_PY[[#All],[Count of Members whose Spending was Truncated]], Age_Sex_PY[[#All],[Advanced Network ID]], $B171, Age_Sex_PY[[#All],[Insurance Category Code]],2),2)</f>
        <v>0</v>
      </c>
      <c r="U171" s="210">
        <f>ROUND(SUMIFS(Age_Sex_PY[[#All],[Total Spending before Truncation is Applied]], Age_Sex_PY[[#All],[Advanced Network ID]], $B171, Age_Sex_PY[[#All],[Insurance Category Code]],2),2)</f>
        <v>0</v>
      </c>
      <c r="V171" s="212">
        <f>ROUND(SUMIFS(Age_Sex_PY[[#All],[Total Spending After Applying Truncation at the Member Level]], Age_Sex_PY[[#All],[Advanced Network ID]], $B171, Age_Sex_PY[[#All],[Insurance Category Code]],2), 2)</f>
        <v>0</v>
      </c>
      <c r="W171" s="525" t="str">
        <f>IF(ROUND(R171,0)=ROUND(SUMIFS(AN_TME_PY[[#All],[Member Months]], AN_TME_PY[[#All],[Insurance Category Code]],2, AN_TME_PY[[#All],[Advanced Network/Insurance Carrier Org ID]],Q171),0), "TRUE", ROUND(R171-SUMIFS(AN_TME_PY[[#All],[Member Months]], AN_TME_PY[[#All],[Insurance Category Code]],2, AN_TME_PY[[#All],[Advanced Network/Insurance Carrier Org ID]],Q171),2))</f>
        <v>TRUE</v>
      </c>
      <c r="X171" s="527" t="str">
        <f>IF(ROUND(S171,0)=ROUND(SUMIFS(AN_TME_PY[[#All],[Total Claims Excluded because of Truncation]], AN_TME_PY[[#All],[Insurance Category Code]],2, AN_TME_PY[[#All],[Advanced Network/Insurance Carrier Org ID]],Q171),0), "TRUE", ROUND(S171-SUMIFS(AN_TME_PY[[#All],[Total Claims Excluded because of Truncation]], AN_TME_PY[[#All],[Insurance Category Code]],2, AN_TME_PY[[#All],[Advanced Network/Insurance Carrier Org ID]],Q171),2))</f>
        <v>TRUE</v>
      </c>
      <c r="Y171" s="537" t="str">
        <f>IF(ROUND(T171,0)=ROUND(SUMIFS(AN_TME_PY[[#All],[Count of Members with Claims Truncated]], AN_TME_PY[[#All],[Insurance Category Code]],2, AN_TME_PY[[#All],[Advanced Network/Insurance Carrier Org ID]],Q171),0), "TRUE", ROUND(T171-SUMIFS(AN_TME_PY[[#All],[Count of Members with Claims Truncated]], AN_TME_PY[[#All],[Insurance Category Code]],2, AN_TME_PY[[#All],[Advanced Network/Insurance Carrier Org ID]],Q171),2))</f>
        <v>TRUE</v>
      </c>
      <c r="Z171" s="528" t="str">
        <f>IF(ROUND(U171,0)=ROUND(SUMIFS(AN_TME_PY[[#All],[TOTAL Non-Truncated Unadjusted Claims Expenses]], AN_TME_PY[[#All],[Insurance Category Code]],2, AN_TME_PY[[#All],[Advanced Network/Insurance Carrier Org ID]],Q171),0), "TRUE", ROUND(U171-SUMIFS(AN_TME_PY[[#All],[TOTAL Non-Truncated Unadjusted Claims Expenses]], AN_TME_PY[[#All],[Insurance Category Code]],2, AN_TME_PY[[#All],[Advanced Network/Insurance Carrier Org ID]],Q171),2))</f>
        <v>TRUE</v>
      </c>
      <c r="AA171" s="529" t="str">
        <f>IF(ROUND(V171,0)=ROUND(SUMIFS(AN_TME_PY[[#All],[TOTAL Truncated Unadjusted Claims Expenses (A21 -A19)]], AN_TME_PY[[#All],[Insurance Category Code]],2, AN_TME_PY[[#All],[Advanced Network/Insurance Carrier Org ID]],Q171),0), "TRUE", ROUND(V171-SUMIFS(AN_TME_PY[[#All],[TOTAL Truncated Unadjusted Claims Expenses (A21 -A19)]], AN_TME_PY[[#All],[Insurance Category Code]],2, AN_TME_PY[[#All],[Advanced Network/Insurance Carrier Org ID]],Q171),2))</f>
        <v>TRUE</v>
      </c>
      <c r="AB171" s="525" t="str">
        <f t="shared" si="16"/>
        <v>TRUE</v>
      </c>
      <c r="AC171" s="528" t="b">
        <f>ROUND(SUMIFS(AN_TME_PY[[#All],[TOTAL Non-Truncated Unadjusted Claims Expenses]], AN_TME_PY[[#All],[Insurance Category Code]],2, AN_TME_PY[[#All],[Advanced Network/Insurance Carrier Org ID]],Q171),2)&gt;=ROUND(SUMIFS(AN_TME_PY[[#All],[TOTAL Truncated Unadjusted Claims Expenses (A21 -A19)]], AN_TME_PY[[#All],[Insurance Category Code]],2, AN_TME_PY[[#All],[Advanced Network/Insurance Carrier Org ID]],Q171),2)</f>
        <v>1</v>
      </c>
      <c r="AD171" s="529" t="b">
        <f>ROUND(SUMIFS(AN_TME_PY[[#All],[TOTAL Truncated Unadjusted Claims Expenses (A21 -A19)]], AN_TME_PY[[#All],[Insurance Category Code]],2, AN_TME_PY[[#All],[Advanced Network/Insurance Carrier Org ID]],Q171)+SUMIFS(AN_TME_PY[[#All],[Total Claims Excluded because of Truncation]], AN_TME_PY[[#All],[Insurance Category Code]],2, AN_TME_PY[[#All],[Advanced Network/Insurance Carrier Org ID]],Q171), 2)=ROUND(SUMIFS(AN_TME_PY[[#All],[TOTAL Non-Truncated Unadjusted Claims Expenses]], AN_TME_PY[[#All],[Insurance Category Code]],2, AN_TME_PY[[#All],[Advanced Network/Insurance Carrier Org ID]],Q171),2)</f>
        <v>1</v>
      </c>
      <c r="AF171" s="283" t="str">
        <f t="shared" si="15"/>
        <v>NA</v>
      </c>
    </row>
    <row r="172" spans="2:32" outlineLevel="1" x14ac:dyDescent="0.25">
      <c r="B172" s="216">
        <v>116</v>
      </c>
      <c r="C172" s="404">
        <f>ROUND(SUMIFS(Age_Sex_BY[[#All],[Total Member Months by Age/Sex Band]], Age_Sex_BY[[#All],[Advanced Network ID]], $B172, Age_Sex_BY[[#All],[Insurance Category Code]],2),2)</f>
        <v>0</v>
      </c>
      <c r="D172" s="238">
        <f>ROUND(SUMIFS(Age_Sex_BY[[#All],[Total Dollars Excluded from Spending After Applying Truncation at the Member Level]], Age_Sex_BY[[#All],[Advanced Network ID]], $B172, Age_Sex_BY[[#All],[Insurance Category Code]],2),2)</f>
        <v>0</v>
      </c>
      <c r="E172" s="209">
        <f>ROUND(SUMIFS(Age_Sex_BY[[#All],[Count of Members whose Spending was Truncated]], Age_Sex_BY[[#All],[Advanced Network ID]], $B172, Age_Sex_BY[[#All],[Insurance Category Code]],2),2)</f>
        <v>0</v>
      </c>
      <c r="F172" s="210">
        <f>ROUND(SUMIFS(Age_Sex_BY[[#All],[Total Spending before Truncation is Applied]], Age_Sex_BY[[#All],[Advanced Network ID]], $B172, Age_Sex_BY[[#All],[Insurance Category Code]],2),2)</f>
        <v>0</v>
      </c>
      <c r="G172" s="212">
        <f>ROUND(SUMIFS(Age_Sex_BY[[#All],[Total Spending After Applying Truncation at the Member Level]], Age_Sex_BY[[#All],[Advanced Network ID]], $B172, Age_Sex_BY[[#All],[Insurance Category Code]],2),2)</f>
        <v>0</v>
      </c>
      <c r="H172" s="525" t="str">
        <f>IF(ROUND(C172,0)=ROUND(SUMIFS(AN_TME_BY[[#All],[Member Months]], AN_TME_BY[[#All],[Insurance Category Code]],2, AN_TME_BY[[#All],[Advanced Network/Insurance Carrier Org ID]],B172),0), "TRUE", ROUND(C172-SUMIFS(AN_TME_BY[[#All],[Member Months]], AN_TME_BY[[#All],[Insurance Category Code]],2, AN_TME_BY[[#All],[Advanced Network/Insurance Carrier Org ID]],B172),2))</f>
        <v>TRUE</v>
      </c>
      <c r="I172" s="533" t="str">
        <f>IF(ROUND(D172,0)=ROUND(SUMIFS(AN_TME_BY[[#All],[Total Claims Excluded because of Truncation]], AN_TME_BY[[#All],[Insurance Category Code]],2, AN_TME_BY[[#All],[Advanced Network/Insurance Carrier Org ID]],B172),0), "TRUE", ROUND(D172-SUMIFS(AN_TME_BY[[#All],[Total Claims Excluded because of Truncation]], AN_TME_BY[[#All],[Insurance Category Code]],2, AN_TME_BY[[#All],[Advanced Network/Insurance Carrier Org ID]],B172),2))</f>
        <v>TRUE</v>
      </c>
      <c r="J172" s="537" t="str">
        <f>IF(ROUND(E172,0)=ROUND(SUMIFS(AN_TME_BY[[#All],[Count of Members with Claims Truncated]], AN_TME_BY[[#All],[Insurance Category Code]],2, AN_TME_BY[[#All],[Advanced Network/Insurance Carrier Org ID]],B172),0), "TRUE", ROUND(E172-SUMIFS(AN_TME_BY[[#All],[Count of Members with Claims Truncated]], AN_TME_BY[[#All],[Insurance Category Code]],2, AN_TME_BY[[#All],[Advanced Network/Insurance Carrier Org ID]],B172),2))</f>
        <v>TRUE</v>
      </c>
      <c r="K172" s="533" t="str">
        <f>IF(ROUND(F172,0)=ROUND(SUMIFS(AN_TME_BY[[#All],[TOTAL Non-Truncated Unadjusted Claims Expenses]], AN_TME_BY[[#All],[Insurance Category Code]],2, AN_TME_BY[[#All],[Advanced Network/Insurance Carrier Org ID]],B172),0), "TRUE", ROUND(F172-SUMIFS(AN_TME_BY[[#All],[TOTAL Non-Truncated Unadjusted Claims Expenses]], AN_TME_BY[[#All],[Insurance Category Code]],2, AN_TME_BY[[#All],[Advanced Network/Insurance Carrier Org ID]],B172),2))</f>
        <v>TRUE</v>
      </c>
      <c r="L172" s="534" t="str">
        <f>IF(ROUND(G172,0)=ROUND(SUMIFS(AN_TME_BY[[#All],[TOTAL Truncated Unadjusted Claims Expenses (A21 -A19)]], AN_TME_BY[[#All],[Insurance Category Code]],2, AN_TME_BY[[#All],[Advanced Network/Insurance Carrier Org ID]],B172),0), "TRUE", ROUND(G172-SUMIFS(AN_TME_BY[[#All],[TOTAL Truncated Unadjusted Claims Expenses (A21 -A19)]], AN_TME_BY[[#All],[Insurance Category Code]],2, AN_TME_BY[[#All],[Advanced Network/Insurance Carrier Org ID]],B172),2))</f>
        <v>TRUE</v>
      </c>
      <c r="M172" s="525" t="str">
        <f t="shared" si="14"/>
        <v>TRUE</v>
      </c>
      <c r="N172" s="533" t="b">
        <f>ROUND(SUMIFS(AN_TME_BY[[#All],[TOTAL Non-Truncated Unadjusted Claims Expenses]], AN_TME_BY[[#All],[Insurance Category Code]],2, AN_TME_BY[[#All],[Advanced Network/Insurance Carrier Org ID]],B172),2)&gt;=ROUND(SUMIFS(AN_TME_BY[[#All],[TOTAL Truncated Unadjusted Claims Expenses (A21 -A19)]], AN_TME_BY[[#All],[Insurance Category Code]],2, AN_TME_BY[[#All],[Advanced Network/Insurance Carrier Org ID]],B172), 2)</f>
        <v>1</v>
      </c>
      <c r="O172" s="534" t="b">
        <f>ROUND(SUMIFS(AN_TME_BY[[#All],[TOTAL Truncated Unadjusted Claims Expenses (A21 -A19)]], AN_TME_BY[[#All],[Insurance Category Code]],2, AN_TME_BY[[#All],[Advanced Network/Insurance Carrier Org ID]],B172)+SUMIFS(AN_TME_BY[[#All],[Total Claims Excluded because of Truncation]], AN_TME_BY[[#All],[Insurance Category Code]],2, AN_TME_BY[[#All],[Advanced Network/Insurance Carrier Org ID]],B172),2)=ROUND(SUMIFS(AN_TME_BY[[#All],[TOTAL Non-Truncated Unadjusted Claims Expenses]], AN_TME_BY[[#All],[Insurance Category Code]],2, AN_TME_BY[[#All],[Advanced Network/Insurance Carrier Org ID]],B172), 2)</f>
        <v>1</v>
      </c>
      <c r="Q172" s="216">
        <v>116</v>
      </c>
      <c r="R172" s="404">
        <f>ROUND(SUMIFS(Age_Sex_PY[[#All],[Total Member Months by Age/Sex Band]], Age_Sex_PY[[#All],[Advanced Network ID]], $Q172, Age_Sex_PY[[#All],[Insurance Category Code]],2),2)</f>
        <v>0</v>
      </c>
      <c r="S172" s="238">
        <f>ROUND(SUMIFS(Age_Sex_PY[[#All],[Total Dollars Excluded from Spending After Applying Truncation at the Member Level]], Age_Sex_PY[[#All],[Advanced Network ID]], $B172, Age_Sex_PY[[#All],[Insurance Category Code]],2),2)</f>
        <v>0</v>
      </c>
      <c r="T172" s="209">
        <f>ROUND(SUMIFS(Age_Sex_PY[[#All],[Count of Members whose Spending was Truncated]], Age_Sex_PY[[#All],[Advanced Network ID]], $B172, Age_Sex_PY[[#All],[Insurance Category Code]],2),2)</f>
        <v>0</v>
      </c>
      <c r="U172" s="210">
        <f>ROUND(SUMIFS(Age_Sex_PY[[#All],[Total Spending before Truncation is Applied]], Age_Sex_PY[[#All],[Advanced Network ID]], $B172, Age_Sex_PY[[#All],[Insurance Category Code]],2),2)</f>
        <v>0</v>
      </c>
      <c r="V172" s="212">
        <f>ROUND(SUMIFS(Age_Sex_PY[[#All],[Total Spending After Applying Truncation at the Member Level]], Age_Sex_PY[[#All],[Advanced Network ID]], $B172, Age_Sex_PY[[#All],[Insurance Category Code]],2), 2)</f>
        <v>0</v>
      </c>
      <c r="W172" s="525" t="str">
        <f>IF(ROUND(R172,0)=ROUND(SUMIFS(AN_TME_PY[[#All],[Member Months]], AN_TME_PY[[#All],[Insurance Category Code]],2, AN_TME_PY[[#All],[Advanced Network/Insurance Carrier Org ID]],Q172),0), "TRUE", ROUND(R172-SUMIFS(AN_TME_PY[[#All],[Member Months]], AN_TME_PY[[#All],[Insurance Category Code]],2, AN_TME_PY[[#All],[Advanced Network/Insurance Carrier Org ID]],Q172),2))</f>
        <v>TRUE</v>
      </c>
      <c r="X172" s="527" t="str">
        <f>IF(ROUND(S172,0)=ROUND(SUMIFS(AN_TME_PY[[#All],[Total Claims Excluded because of Truncation]], AN_TME_PY[[#All],[Insurance Category Code]],2, AN_TME_PY[[#All],[Advanced Network/Insurance Carrier Org ID]],Q172),0), "TRUE", ROUND(S172-SUMIFS(AN_TME_PY[[#All],[Total Claims Excluded because of Truncation]], AN_TME_PY[[#All],[Insurance Category Code]],2, AN_TME_PY[[#All],[Advanced Network/Insurance Carrier Org ID]],Q172),2))</f>
        <v>TRUE</v>
      </c>
      <c r="Y172" s="537" t="str">
        <f>IF(ROUND(T172,0)=ROUND(SUMIFS(AN_TME_PY[[#All],[Count of Members with Claims Truncated]], AN_TME_PY[[#All],[Insurance Category Code]],2, AN_TME_PY[[#All],[Advanced Network/Insurance Carrier Org ID]],Q172),0), "TRUE", ROUND(T172-SUMIFS(AN_TME_PY[[#All],[Count of Members with Claims Truncated]], AN_TME_PY[[#All],[Insurance Category Code]],2, AN_TME_PY[[#All],[Advanced Network/Insurance Carrier Org ID]],Q172),2))</f>
        <v>TRUE</v>
      </c>
      <c r="Z172" s="528" t="str">
        <f>IF(ROUND(U172,0)=ROUND(SUMIFS(AN_TME_PY[[#All],[TOTAL Non-Truncated Unadjusted Claims Expenses]], AN_TME_PY[[#All],[Insurance Category Code]],2, AN_TME_PY[[#All],[Advanced Network/Insurance Carrier Org ID]],Q172),0), "TRUE", ROUND(U172-SUMIFS(AN_TME_PY[[#All],[TOTAL Non-Truncated Unadjusted Claims Expenses]], AN_TME_PY[[#All],[Insurance Category Code]],2, AN_TME_PY[[#All],[Advanced Network/Insurance Carrier Org ID]],Q172),2))</f>
        <v>TRUE</v>
      </c>
      <c r="AA172" s="529" t="str">
        <f>IF(ROUND(V172,0)=ROUND(SUMIFS(AN_TME_PY[[#All],[TOTAL Truncated Unadjusted Claims Expenses (A21 -A19)]], AN_TME_PY[[#All],[Insurance Category Code]],2, AN_TME_PY[[#All],[Advanced Network/Insurance Carrier Org ID]],Q172),0), "TRUE", ROUND(V172-SUMIFS(AN_TME_PY[[#All],[TOTAL Truncated Unadjusted Claims Expenses (A21 -A19)]], AN_TME_PY[[#All],[Insurance Category Code]],2, AN_TME_PY[[#All],[Advanced Network/Insurance Carrier Org ID]],Q172),2))</f>
        <v>TRUE</v>
      </c>
      <c r="AB172" s="525" t="str">
        <f t="shared" si="16"/>
        <v>TRUE</v>
      </c>
      <c r="AC172" s="528" t="b">
        <f>ROUND(SUMIFS(AN_TME_PY[[#All],[TOTAL Non-Truncated Unadjusted Claims Expenses]], AN_TME_PY[[#All],[Insurance Category Code]],2, AN_TME_PY[[#All],[Advanced Network/Insurance Carrier Org ID]],Q172),2)&gt;=ROUND(SUMIFS(AN_TME_PY[[#All],[TOTAL Truncated Unadjusted Claims Expenses (A21 -A19)]], AN_TME_PY[[#All],[Insurance Category Code]],2, AN_TME_PY[[#All],[Advanced Network/Insurance Carrier Org ID]],Q172),2)</f>
        <v>1</v>
      </c>
      <c r="AD172" s="529" t="b">
        <f>ROUND(SUMIFS(AN_TME_PY[[#All],[TOTAL Truncated Unadjusted Claims Expenses (A21 -A19)]], AN_TME_PY[[#All],[Insurance Category Code]],2, AN_TME_PY[[#All],[Advanced Network/Insurance Carrier Org ID]],Q172)+SUMIFS(AN_TME_PY[[#All],[Total Claims Excluded because of Truncation]], AN_TME_PY[[#All],[Insurance Category Code]],2, AN_TME_PY[[#All],[Advanced Network/Insurance Carrier Org ID]],Q172), 2)=ROUND(SUMIFS(AN_TME_PY[[#All],[TOTAL Non-Truncated Unadjusted Claims Expenses]], AN_TME_PY[[#All],[Insurance Category Code]],2, AN_TME_PY[[#All],[Advanced Network/Insurance Carrier Org ID]],Q172),2)</f>
        <v>1</v>
      </c>
      <c r="AF172" s="283" t="str">
        <f t="shared" si="15"/>
        <v>NA</v>
      </c>
    </row>
    <row r="173" spans="2:32" outlineLevel="1" x14ac:dyDescent="0.25">
      <c r="B173" s="216">
        <v>117</v>
      </c>
      <c r="C173" s="404">
        <f>ROUND(SUMIFS(Age_Sex_BY[[#All],[Total Member Months by Age/Sex Band]], Age_Sex_BY[[#All],[Advanced Network ID]], $B173, Age_Sex_BY[[#All],[Insurance Category Code]],2),2)</f>
        <v>0</v>
      </c>
      <c r="D173" s="238">
        <f>ROUND(SUMIFS(Age_Sex_BY[[#All],[Total Dollars Excluded from Spending After Applying Truncation at the Member Level]], Age_Sex_BY[[#All],[Advanced Network ID]], $B173, Age_Sex_BY[[#All],[Insurance Category Code]],2),2)</f>
        <v>0</v>
      </c>
      <c r="E173" s="209">
        <f>ROUND(SUMIFS(Age_Sex_BY[[#All],[Count of Members whose Spending was Truncated]], Age_Sex_BY[[#All],[Advanced Network ID]], $B173, Age_Sex_BY[[#All],[Insurance Category Code]],2),2)</f>
        <v>0</v>
      </c>
      <c r="F173" s="210">
        <f>ROUND(SUMIFS(Age_Sex_BY[[#All],[Total Spending before Truncation is Applied]], Age_Sex_BY[[#All],[Advanced Network ID]], $B173, Age_Sex_BY[[#All],[Insurance Category Code]],2),2)</f>
        <v>0</v>
      </c>
      <c r="G173" s="212">
        <f>ROUND(SUMIFS(Age_Sex_BY[[#All],[Total Spending After Applying Truncation at the Member Level]], Age_Sex_BY[[#All],[Advanced Network ID]], $B173, Age_Sex_BY[[#All],[Insurance Category Code]],2),2)</f>
        <v>0</v>
      </c>
      <c r="H173" s="525" t="str">
        <f>IF(ROUND(C173,0)=ROUND(SUMIFS(AN_TME_BY[[#All],[Member Months]], AN_TME_BY[[#All],[Insurance Category Code]],2, AN_TME_BY[[#All],[Advanced Network/Insurance Carrier Org ID]],B173),0), "TRUE", ROUND(C173-SUMIFS(AN_TME_BY[[#All],[Member Months]], AN_TME_BY[[#All],[Insurance Category Code]],2, AN_TME_BY[[#All],[Advanced Network/Insurance Carrier Org ID]],B173),2))</f>
        <v>TRUE</v>
      </c>
      <c r="I173" s="533" t="str">
        <f>IF(ROUND(D173,0)=ROUND(SUMIFS(AN_TME_BY[[#All],[Total Claims Excluded because of Truncation]], AN_TME_BY[[#All],[Insurance Category Code]],2, AN_TME_BY[[#All],[Advanced Network/Insurance Carrier Org ID]],B173),0), "TRUE", ROUND(D173-SUMIFS(AN_TME_BY[[#All],[Total Claims Excluded because of Truncation]], AN_TME_BY[[#All],[Insurance Category Code]],2, AN_TME_BY[[#All],[Advanced Network/Insurance Carrier Org ID]],B173),2))</f>
        <v>TRUE</v>
      </c>
      <c r="J173" s="537" t="str">
        <f>IF(ROUND(E173,0)=ROUND(SUMIFS(AN_TME_BY[[#All],[Count of Members with Claims Truncated]], AN_TME_BY[[#All],[Insurance Category Code]],2, AN_TME_BY[[#All],[Advanced Network/Insurance Carrier Org ID]],B173),0), "TRUE", ROUND(E173-SUMIFS(AN_TME_BY[[#All],[Count of Members with Claims Truncated]], AN_TME_BY[[#All],[Insurance Category Code]],2, AN_TME_BY[[#All],[Advanced Network/Insurance Carrier Org ID]],B173),2))</f>
        <v>TRUE</v>
      </c>
      <c r="K173" s="533" t="str">
        <f>IF(ROUND(F173,0)=ROUND(SUMIFS(AN_TME_BY[[#All],[TOTAL Non-Truncated Unadjusted Claims Expenses]], AN_TME_BY[[#All],[Insurance Category Code]],2, AN_TME_BY[[#All],[Advanced Network/Insurance Carrier Org ID]],B173),0), "TRUE", ROUND(F173-SUMIFS(AN_TME_BY[[#All],[TOTAL Non-Truncated Unadjusted Claims Expenses]], AN_TME_BY[[#All],[Insurance Category Code]],2, AN_TME_BY[[#All],[Advanced Network/Insurance Carrier Org ID]],B173),2))</f>
        <v>TRUE</v>
      </c>
      <c r="L173" s="534" t="str">
        <f>IF(ROUND(G173,0)=ROUND(SUMIFS(AN_TME_BY[[#All],[TOTAL Truncated Unadjusted Claims Expenses (A21 -A19)]], AN_TME_BY[[#All],[Insurance Category Code]],2, AN_TME_BY[[#All],[Advanced Network/Insurance Carrier Org ID]],B173),0), "TRUE", ROUND(G173-SUMIFS(AN_TME_BY[[#All],[TOTAL Truncated Unadjusted Claims Expenses (A21 -A19)]], AN_TME_BY[[#All],[Insurance Category Code]],2, AN_TME_BY[[#All],[Advanced Network/Insurance Carrier Org ID]],B173),2))</f>
        <v>TRUE</v>
      </c>
      <c r="M173" s="525" t="str">
        <f t="shared" si="14"/>
        <v>TRUE</v>
      </c>
      <c r="N173" s="533" t="b">
        <f>ROUND(SUMIFS(AN_TME_BY[[#All],[TOTAL Non-Truncated Unadjusted Claims Expenses]], AN_TME_BY[[#All],[Insurance Category Code]],2, AN_TME_BY[[#All],[Advanced Network/Insurance Carrier Org ID]],B173),2)&gt;=ROUND(SUMIFS(AN_TME_BY[[#All],[TOTAL Truncated Unadjusted Claims Expenses (A21 -A19)]], AN_TME_BY[[#All],[Insurance Category Code]],2, AN_TME_BY[[#All],[Advanced Network/Insurance Carrier Org ID]],B173), 2)</f>
        <v>1</v>
      </c>
      <c r="O173" s="534" t="b">
        <f>ROUND(SUMIFS(AN_TME_BY[[#All],[TOTAL Truncated Unadjusted Claims Expenses (A21 -A19)]], AN_TME_BY[[#All],[Insurance Category Code]],2, AN_TME_BY[[#All],[Advanced Network/Insurance Carrier Org ID]],B173)+SUMIFS(AN_TME_BY[[#All],[Total Claims Excluded because of Truncation]], AN_TME_BY[[#All],[Insurance Category Code]],2, AN_TME_BY[[#All],[Advanced Network/Insurance Carrier Org ID]],B173),2)=ROUND(SUMIFS(AN_TME_BY[[#All],[TOTAL Non-Truncated Unadjusted Claims Expenses]], AN_TME_BY[[#All],[Insurance Category Code]],2, AN_TME_BY[[#All],[Advanced Network/Insurance Carrier Org ID]],B173), 2)</f>
        <v>1</v>
      </c>
      <c r="Q173" s="216">
        <v>117</v>
      </c>
      <c r="R173" s="404">
        <f>ROUND(SUMIFS(Age_Sex_PY[[#All],[Total Member Months by Age/Sex Band]], Age_Sex_PY[[#All],[Advanced Network ID]], $Q173, Age_Sex_PY[[#All],[Insurance Category Code]],2),2)</f>
        <v>0</v>
      </c>
      <c r="S173" s="238">
        <f>ROUND(SUMIFS(Age_Sex_PY[[#All],[Total Dollars Excluded from Spending After Applying Truncation at the Member Level]], Age_Sex_PY[[#All],[Advanced Network ID]], $B173, Age_Sex_PY[[#All],[Insurance Category Code]],2),2)</f>
        <v>0</v>
      </c>
      <c r="T173" s="209">
        <f>ROUND(SUMIFS(Age_Sex_PY[[#All],[Count of Members whose Spending was Truncated]], Age_Sex_PY[[#All],[Advanced Network ID]], $B173, Age_Sex_PY[[#All],[Insurance Category Code]],2),2)</f>
        <v>0</v>
      </c>
      <c r="U173" s="210">
        <f>ROUND(SUMIFS(Age_Sex_PY[[#All],[Total Spending before Truncation is Applied]], Age_Sex_PY[[#All],[Advanced Network ID]], $B173, Age_Sex_PY[[#All],[Insurance Category Code]],2),2)</f>
        <v>0</v>
      </c>
      <c r="V173" s="212">
        <f>ROUND(SUMIFS(Age_Sex_PY[[#All],[Total Spending After Applying Truncation at the Member Level]], Age_Sex_PY[[#All],[Advanced Network ID]], $B173, Age_Sex_PY[[#All],[Insurance Category Code]],2), 2)</f>
        <v>0</v>
      </c>
      <c r="W173" s="525" t="str">
        <f>IF(ROUND(R173,0)=ROUND(SUMIFS(AN_TME_PY[[#All],[Member Months]], AN_TME_PY[[#All],[Insurance Category Code]],2, AN_TME_PY[[#All],[Advanced Network/Insurance Carrier Org ID]],Q173),0), "TRUE", ROUND(R173-SUMIFS(AN_TME_PY[[#All],[Member Months]], AN_TME_PY[[#All],[Insurance Category Code]],2, AN_TME_PY[[#All],[Advanced Network/Insurance Carrier Org ID]],Q173),2))</f>
        <v>TRUE</v>
      </c>
      <c r="X173" s="527" t="str">
        <f>IF(ROUND(S173,0)=ROUND(SUMIFS(AN_TME_PY[[#All],[Total Claims Excluded because of Truncation]], AN_TME_PY[[#All],[Insurance Category Code]],2, AN_TME_PY[[#All],[Advanced Network/Insurance Carrier Org ID]],Q173),0), "TRUE", ROUND(S173-SUMIFS(AN_TME_PY[[#All],[Total Claims Excluded because of Truncation]], AN_TME_PY[[#All],[Insurance Category Code]],2, AN_TME_PY[[#All],[Advanced Network/Insurance Carrier Org ID]],Q173),2))</f>
        <v>TRUE</v>
      </c>
      <c r="Y173" s="537" t="str">
        <f>IF(ROUND(T173,0)=ROUND(SUMIFS(AN_TME_PY[[#All],[Count of Members with Claims Truncated]], AN_TME_PY[[#All],[Insurance Category Code]],2, AN_TME_PY[[#All],[Advanced Network/Insurance Carrier Org ID]],Q173),0), "TRUE", ROUND(T173-SUMIFS(AN_TME_PY[[#All],[Count of Members with Claims Truncated]], AN_TME_PY[[#All],[Insurance Category Code]],2, AN_TME_PY[[#All],[Advanced Network/Insurance Carrier Org ID]],Q173),2))</f>
        <v>TRUE</v>
      </c>
      <c r="Z173" s="528" t="str">
        <f>IF(ROUND(U173,0)=ROUND(SUMIFS(AN_TME_PY[[#All],[TOTAL Non-Truncated Unadjusted Claims Expenses]], AN_TME_PY[[#All],[Insurance Category Code]],2, AN_TME_PY[[#All],[Advanced Network/Insurance Carrier Org ID]],Q173),0), "TRUE", ROUND(U173-SUMIFS(AN_TME_PY[[#All],[TOTAL Non-Truncated Unadjusted Claims Expenses]], AN_TME_PY[[#All],[Insurance Category Code]],2, AN_TME_PY[[#All],[Advanced Network/Insurance Carrier Org ID]],Q173),2))</f>
        <v>TRUE</v>
      </c>
      <c r="AA173" s="529" t="str">
        <f>IF(ROUND(V173,0)=ROUND(SUMIFS(AN_TME_PY[[#All],[TOTAL Truncated Unadjusted Claims Expenses (A21 -A19)]], AN_TME_PY[[#All],[Insurance Category Code]],2, AN_TME_PY[[#All],[Advanced Network/Insurance Carrier Org ID]],Q173),0), "TRUE", ROUND(V173-SUMIFS(AN_TME_PY[[#All],[TOTAL Truncated Unadjusted Claims Expenses (A21 -A19)]], AN_TME_PY[[#All],[Insurance Category Code]],2, AN_TME_PY[[#All],[Advanced Network/Insurance Carrier Org ID]],Q173),2))</f>
        <v>TRUE</v>
      </c>
      <c r="AB173" s="525" t="str">
        <f t="shared" si="16"/>
        <v>TRUE</v>
      </c>
      <c r="AC173" s="528" t="b">
        <f>ROUND(SUMIFS(AN_TME_PY[[#All],[TOTAL Non-Truncated Unadjusted Claims Expenses]], AN_TME_PY[[#All],[Insurance Category Code]],2, AN_TME_PY[[#All],[Advanced Network/Insurance Carrier Org ID]],Q173),2)&gt;=ROUND(SUMIFS(AN_TME_PY[[#All],[TOTAL Truncated Unadjusted Claims Expenses (A21 -A19)]], AN_TME_PY[[#All],[Insurance Category Code]],2, AN_TME_PY[[#All],[Advanced Network/Insurance Carrier Org ID]],Q173),2)</f>
        <v>1</v>
      </c>
      <c r="AD173" s="529" t="b">
        <f>ROUND(SUMIFS(AN_TME_PY[[#All],[TOTAL Truncated Unadjusted Claims Expenses (A21 -A19)]], AN_TME_PY[[#All],[Insurance Category Code]],2, AN_TME_PY[[#All],[Advanced Network/Insurance Carrier Org ID]],Q173)+SUMIFS(AN_TME_PY[[#All],[Total Claims Excluded because of Truncation]], AN_TME_PY[[#All],[Insurance Category Code]],2, AN_TME_PY[[#All],[Advanced Network/Insurance Carrier Org ID]],Q173), 2)=ROUND(SUMIFS(AN_TME_PY[[#All],[TOTAL Non-Truncated Unadjusted Claims Expenses]], AN_TME_PY[[#All],[Insurance Category Code]],2, AN_TME_PY[[#All],[Advanced Network/Insurance Carrier Org ID]],Q173),2)</f>
        <v>1</v>
      </c>
      <c r="AF173" s="283" t="str">
        <f t="shared" si="15"/>
        <v>NA</v>
      </c>
    </row>
    <row r="174" spans="2:32" outlineLevel="1" x14ac:dyDescent="0.25">
      <c r="B174" s="216">
        <v>118</v>
      </c>
      <c r="C174" s="404">
        <f>ROUND(SUMIFS(Age_Sex_BY[[#All],[Total Member Months by Age/Sex Band]], Age_Sex_BY[[#All],[Advanced Network ID]], $B174, Age_Sex_BY[[#All],[Insurance Category Code]],2),2)</f>
        <v>0</v>
      </c>
      <c r="D174" s="238">
        <f>ROUND(SUMIFS(Age_Sex_BY[[#All],[Total Dollars Excluded from Spending After Applying Truncation at the Member Level]], Age_Sex_BY[[#All],[Advanced Network ID]], $B174, Age_Sex_BY[[#All],[Insurance Category Code]],2),2)</f>
        <v>0</v>
      </c>
      <c r="E174" s="209">
        <f>ROUND(SUMIFS(Age_Sex_BY[[#All],[Count of Members whose Spending was Truncated]], Age_Sex_BY[[#All],[Advanced Network ID]], $B174, Age_Sex_BY[[#All],[Insurance Category Code]],2),2)</f>
        <v>0</v>
      </c>
      <c r="F174" s="210">
        <f>ROUND(SUMIFS(Age_Sex_BY[[#All],[Total Spending before Truncation is Applied]], Age_Sex_BY[[#All],[Advanced Network ID]], $B174, Age_Sex_BY[[#All],[Insurance Category Code]],2),2)</f>
        <v>0</v>
      </c>
      <c r="G174" s="212">
        <f>ROUND(SUMIFS(Age_Sex_BY[[#All],[Total Spending After Applying Truncation at the Member Level]], Age_Sex_BY[[#All],[Advanced Network ID]], $B174, Age_Sex_BY[[#All],[Insurance Category Code]],2),2)</f>
        <v>0</v>
      </c>
      <c r="H174" s="525" t="str">
        <f>IF(ROUND(C174,0)=ROUND(SUMIFS(AN_TME_BY[[#All],[Member Months]], AN_TME_BY[[#All],[Insurance Category Code]],2, AN_TME_BY[[#All],[Advanced Network/Insurance Carrier Org ID]],B174),0), "TRUE", ROUND(C174-SUMIFS(AN_TME_BY[[#All],[Member Months]], AN_TME_BY[[#All],[Insurance Category Code]],2, AN_TME_BY[[#All],[Advanced Network/Insurance Carrier Org ID]],B174),2))</f>
        <v>TRUE</v>
      </c>
      <c r="I174" s="533" t="str">
        <f>IF(ROUND(D174,0)=ROUND(SUMIFS(AN_TME_BY[[#All],[Total Claims Excluded because of Truncation]], AN_TME_BY[[#All],[Insurance Category Code]],2, AN_TME_BY[[#All],[Advanced Network/Insurance Carrier Org ID]],B174),0), "TRUE", ROUND(D174-SUMIFS(AN_TME_BY[[#All],[Total Claims Excluded because of Truncation]], AN_TME_BY[[#All],[Insurance Category Code]],2, AN_TME_BY[[#All],[Advanced Network/Insurance Carrier Org ID]],B174),2))</f>
        <v>TRUE</v>
      </c>
      <c r="J174" s="537" t="str">
        <f>IF(ROUND(E174,0)=ROUND(SUMIFS(AN_TME_BY[[#All],[Count of Members with Claims Truncated]], AN_TME_BY[[#All],[Insurance Category Code]],2, AN_TME_BY[[#All],[Advanced Network/Insurance Carrier Org ID]],B174),0), "TRUE", ROUND(E174-SUMIFS(AN_TME_BY[[#All],[Count of Members with Claims Truncated]], AN_TME_BY[[#All],[Insurance Category Code]],2, AN_TME_BY[[#All],[Advanced Network/Insurance Carrier Org ID]],B174),2))</f>
        <v>TRUE</v>
      </c>
      <c r="K174" s="533" t="str">
        <f>IF(ROUND(F174,0)=ROUND(SUMIFS(AN_TME_BY[[#All],[TOTAL Non-Truncated Unadjusted Claims Expenses]], AN_TME_BY[[#All],[Insurance Category Code]],2, AN_TME_BY[[#All],[Advanced Network/Insurance Carrier Org ID]],B174),0), "TRUE", ROUND(F174-SUMIFS(AN_TME_BY[[#All],[TOTAL Non-Truncated Unadjusted Claims Expenses]], AN_TME_BY[[#All],[Insurance Category Code]],2, AN_TME_BY[[#All],[Advanced Network/Insurance Carrier Org ID]],B174),2))</f>
        <v>TRUE</v>
      </c>
      <c r="L174" s="534" t="str">
        <f>IF(ROUND(G174,0)=ROUND(SUMIFS(AN_TME_BY[[#All],[TOTAL Truncated Unadjusted Claims Expenses (A21 -A19)]], AN_TME_BY[[#All],[Insurance Category Code]],2, AN_TME_BY[[#All],[Advanced Network/Insurance Carrier Org ID]],B174),0), "TRUE", ROUND(G174-SUMIFS(AN_TME_BY[[#All],[TOTAL Truncated Unadjusted Claims Expenses (A21 -A19)]], AN_TME_BY[[#All],[Insurance Category Code]],2, AN_TME_BY[[#All],[Advanced Network/Insurance Carrier Org ID]],B174),2))</f>
        <v>TRUE</v>
      </c>
      <c r="M174" s="525" t="str">
        <f t="shared" si="14"/>
        <v>TRUE</v>
      </c>
      <c r="N174" s="533" t="b">
        <f>ROUND(SUMIFS(AN_TME_BY[[#All],[TOTAL Non-Truncated Unadjusted Claims Expenses]], AN_TME_BY[[#All],[Insurance Category Code]],2, AN_TME_BY[[#All],[Advanced Network/Insurance Carrier Org ID]],B174),2)&gt;=ROUND(SUMIFS(AN_TME_BY[[#All],[TOTAL Truncated Unadjusted Claims Expenses (A21 -A19)]], AN_TME_BY[[#All],[Insurance Category Code]],2, AN_TME_BY[[#All],[Advanced Network/Insurance Carrier Org ID]],B174), 2)</f>
        <v>1</v>
      </c>
      <c r="O174" s="534" t="b">
        <f>ROUND(SUMIFS(AN_TME_BY[[#All],[TOTAL Truncated Unadjusted Claims Expenses (A21 -A19)]], AN_TME_BY[[#All],[Insurance Category Code]],2, AN_TME_BY[[#All],[Advanced Network/Insurance Carrier Org ID]],B174)+SUMIFS(AN_TME_BY[[#All],[Total Claims Excluded because of Truncation]], AN_TME_BY[[#All],[Insurance Category Code]],2, AN_TME_BY[[#All],[Advanced Network/Insurance Carrier Org ID]],B174),2)=ROUND(SUMIFS(AN_TME_BY[[#All],[TOTAL Non-Truncated Unadjusted Claims Expenses]], AN_TME_BY[[#All],[Insurance Category Code]],2, AN_TME_BY[[#All],[Advanced Network/Insurance Carrier Org ID]],B174), 2)</f>
        <v>1</v>
      </c>
      <c r="Q174" s="216">
        <v>118</v>
      </c>
      <c r="R174" s="404">
        <f>ROUND(SUMIFS(Age_Sex_PY[[#All],[Total Member Months by Age/Sex Band]], Age_Sex_PY[[#All],[Advanced Network ID]], $Q174, Age_Sex_PY[[#All],[Insurance Category Code]],2),2)</f>
        <v>0</v>
      </c>
      <c r="S174" s="238">
        <f>ROUND(SUMIFS(Age_Sex_PY[[#All],[Total Dollars Excluded from Spending After Applying Truncation at the Member Level]], Age_Sex_PY[[#All],[Advanced Network ID]], $B174, Age_Sex_PY[[#All],[Insurance Category Code]],2),2)</f>
        <v>0</v>
      </c>
      <c r="T174" s="209">
        <f>ROUND(SUMIFS(Age_Sex_PY[[#All],[Count of Members whose Spending was Truncated]], Age_Sex_PY[[#All],[Advanced Network ID]], $B174, Age_Sex_PY[[#All],[Insurance Category Code]],2),2)</f>
        <v>0</v>
      </c>
      <c r="U174" s="210">
        <f>ROUND(SUMIFS(Age_Sex_PY[[#All],[Total Spending before Truncation is Applied]], Age_Sex_PY[[#All],[Advanced Network ID]], $B174, Age_Sex_PY[[#All],[Insurance Category Code]],2),2)</f>
        <v>0</v>
      </c>
      <c r="V174" s="212">
        <f>ROUND(SUMIFS(Age_Sex_PY[[#All],[Total Spending After Applying Truncation at the Member Level]], Age_Sex_PY[[#All],[Advanced Network ID]], $B174, Age_Sex_PY[[#All],[Insurance Category Code]],2), 2)</f>
        <v>0</v>
      </c>
      <c r="W174" s="525" t="str">
        <f>IF(ROUND(R174,0)=ROUND(SUMIFS(AN_TME_PY[[#All],[Member Months]], AN_TME_PY[[#All],[Insurance Category Code]],2, AN_TME_PY[[#All],[Advanced Network/Insurance Carrier Org ID]],Q174),0), "TRUE", ROUND(R174-SUMIFS(AN_TME_PY[[#All],[Member Months]], AN_TME_PY[[#All],[Insurance Category Code]],2, AN_TME_PY[[#All],[Advanced Network/Insurance Carrier Org ID]],Q174),2))</f>
        <v>TRUE</v>
      </c>
      <c r="X174" s="527" t="str">
        <f>IF(ROUND(S174,0)=ROUND(SUMIFS(AN_TME_PY[[#All],[Total Claims Excluded because of Truncation]], AN_TME_PY[[#All],[Insurance Category Code]],2, AN_TME_PY[[#All],[Advanced Network/Insurance Carrier Org ID]],Q174),0), "TRUE", ROUND(S174-SUMIFS(AN_TME_PY[[#All],[Total Claims Excluded because of Truncation]], AN_TME_PY[[#All],[Insurance Category Code]],2, AN_TME_PY[[#All],[Advanced Network/Insurance Carrier Org ID]],Q174),2))</f>
        <v>TRUE</v>
      </c>
      <c r="Y174" s="537" t="str">
        <f>IF(ROUND(T174,0)=ROUND(SUMIFS(AN_TME_PY[[#All],[Count of Members with Claims Truncated]], AN_TME_PY[[#All],[Insurance Category Code]],2, AN_TME_PY[[#All],[Advanced Network/Insurance Carrier Org ID]],Q174),0), "TRUE", ROUND(T174-SUMIFS(AN_TME_PY[[#All],[Count of Members with Claims Truncated]], AN_TME_PY[[#All],[Insurance Category Code]],2, AN_TME_PY[[#All],[Advanced Network/Insurance Carrier Org ID]],Q174),2))</f>
        <v>TRUE</v>
      </c>
      <c r="Z174" s="528" t="str">
        <f>IF(ROUND(U174,0)=ROUND(SUMIFS(AN_TME_PY[[#All],[TOTAL Non-Truncated Unadjusted Claims Expenses]], AN_TME_PY[[#All],[Insurance Category Code]],2, AN_TME_PY[[#All],[Advanced Network/Insurance Carrier Org ID]],Q174),0), "TRUE", ROUND(U174-SUMIFS(AN_TME_PY[[#All],[TOTAL Non-Truncated Unadjusted Claims Expenses]], AN_TME_PY[[#All],[Insurance Category Code]],2, AN_TME_PY[[#All],[Advanced Network/Insurance Carrier Org ID]],Q174),2))</f>
        <v>TRUE</v>
      </c>
      <c r="AA174" s="529" t="str">
        <f>IF(ROUND(V174,0)=ROUND(SUMIFS(AN_TME_PY[[#All],[TOTAL Truncated Unadjusted Claims Expenses (A21 -A19)]], AN_TME_PY[[#All],[Insurance Category Code]],2, AN_TME_PY[[#All],[Advanced Network/Insurance Carrier Org ID]],Q174),0), "TRUE", ROUND(V174-SUMIFS(AN_TME_PY[[#All],[TOTAL Truncated Unadjusted Claims Expenses (A21 -A19)]], AN_TME_PY[[#All],[Insurance Category Code]],2, AN_TME_PY[[#All],[Advanced Network/Insurance Carrier Org ID]],Q174),2))</f>
        <v>TRUE</v>
      </c>
      <c r="AB174" s="525" t="str">
        <f t="shared" si="16"/>
        <v>TRUE</v>
      </c>
      <c r="AC174" s="528" t="b">
        <f>ROUND(SUMIFS(AN_TME_PY[[#All],[TOTAL Non-Truncated Unadjusted Claims Expenses]], AN_TME_PY[[#All],[Insurance Category Code]],2, AN_TME_PY[[#All],[Advanced Network/Insurance Carrier Org ID]],Q174),2)&gt;=ROUND(SUMIFS(AN_TME_PY[[#All],[TOTAL Truncated Unadjusted Claims Expenses (A21 -A19)]], AN_TME_PY[[#All],[Insurance Category Code]],2, AN_TME_PY[[#All],[Advanced Network/Insurance Carrier Org ID]],Q174),2)</f>
        <v>1</v>
      </c>
      <c r="AD174" s="529" t="b">
        <f>ROUND(SUMIFS(AN_TME_PY[[#All],[TOTAL Truncated Unadjusted Claims Expenses (A21 -A19)]], AN_TME_PY[[#All],[Insurance Category Code]],2, AN_TME_PY[[#All],[Advanced Network/Insurance Carrier Org ID]],Q174)+SUMIFS(AN_TME_PY[[#All],[Total Claims Excluded because of Truncation]], AN_TME_PY[[#All],[Insurance Category Code]],2, AN_TME_PY[[#All],[Advanced Network/Insurance Carrier Org ID]],Q174), 2)=ROUND(SUMIFS(AN_TME_PY[[#All],[TOTAL Non-Truncated Unadjusted Claims Expenses]], AN_TME_PY[[#All],[Insurance Category Code]],2, AN_TME_PY[[#All],[Advanced Network/Insurance Carrier Org ID]],Q174),2)</f>
        <v>1</v>
      </c>
      <c r="AF174" s="283" t="str">
        <f t="shared" si="15"/>
        <v>NA</v>
      </c>
    </row>
    <row r="175" spans="2:32" outlineLevel="1" x14ac:dyDescent="0.25">
      <c r="B175" s="216">
        <v>119</v>
      </c>
      <c r="C175" s="404">
        <f>ROUND(SUMIFS(Age_Sex_BY[[#All],[Total Member Months by Age/Sex Band]], Age_Sex_BY[[#All],[Advanced Network ID]], $B175, Age_Sex_BY[[#All],[Insurance Category Code]],2),2)</f>
        <v>0</v>
      </c>
      <c r="D175" s="238">
        <f>ROUND(SUMIFS(Age_Sex_BY[[#All],[Total Dollars Excluded from Spending After Applying Truncation at the Member Level]], Age_Sex_BY[[#All],[Advanced Network ID]], $B175, Age_Sex_BY[[#All],[Insurance Category Code]],2),2)</f>
        <v>0</v>
      </c>
      <c r="E175" s="209">
        <f>ROUND(SUMIFS(Age_Sex_BY[[#All],[Count of Members whose Spending was Truncated]], Age_Sex_BY[[#All],[Advanced Network ID]], $B175, Age_Sex_BY[[#All],[Insurance Category Code]],2),2)</f>
        <v>0</v>
      </c>
      <c r="F175" s="210">
        <f>ROUND(SUMIFS(Age_Sex_BY[[#All],[Total Spending before Truncation is Applied]], Age_Sex_BY[[#All],[Advanced Network ID]], $B175, Age_Sex_BY[[#All],[Insurance Category Code]],2),2)</f>
        <v>0</v>
      </c>
      <c r="G175" s="212">
        <f>ROUND(SUMIFS(Age_Sex_BY[[#All],[Total Spending After Applying Truncation at the Member Level]], Age_Sex_BY[[#All],[Advanced Network ID]], $B175, Age_Sex_BY[[#All],[Insurance Category Code]],2),2)</f>
        <v>0</v>
      </c>
      <c r="H175" s="525" t="str">
        <f>IF(ROUND(C175,0)=ROUND(SUMIFS(AN_TME_BY[[#All],[Member Months]], AN_TME_BY[[#All],[Insurance Category Code]],2, AN_TME_BY[[#All],[Advanced Network/Insurance Carrier Org ID]],B175),0), "TRUE", ROUND(C175-SUMIFS(AN_TME_BY[[#All],[Member Months]], AN_TME_BY[[#All],[Insurance Category Code]],2, AN_TME_BY[[#All],[Advanced Network/Insurance Carrier Org ID]],B175),2))</f>
        <v>TRUE</v>
      </c>
      <c r="I175" s="533" t="str">
        <f>IF(ROUND(D175,0)=ROUND(SUMIFS(AN_TME_BY[[#All],[Total Claims Excluded because of Truncation]], AN_TME_BY[[#All],[Insurance Category Code]],2, AN_TME_BY[[#All],[Advanced Network/Insurance Carrier Org ID]],B175),0), "TRUE", ROUND(D175-SUMIFS(AN_TME_BY[[#All],[Total Claims Excluded because of Truncation]], AN_TME_BY[[#All],[Insurance Category Code]],2, AN_TME_BY[[#All],[Advanced Network/Insurance Carrier Org ID]],B175),2))</f>
        <v>TRUE</v>
      </c>
      <c r="J175" s="537" t="str">
        <f>IF(ROUND(E175,0)=ROUND(SUMIFS(AN_TME_BY[[#All],[Count of Members with Claims Truncated]], AN_TME_BY[[#All],[Insurance Category Code]],2, AN_TME_BY[[#All],[Advanced Network/Insurance Carrier Org ID]],B175),0), "TRUE", ROUND(E175-SUMIFS(AN_TME_BY[[#All],[Count of Members with Claims Truncated]], AN_TME_BY[[#All],[Insurance Category Code]],2, AN_TME_BY[[#All],[Advanced Network/Insurance Carrier Org ID]],B175),2))</f>
        <v>TRUE</v>
      </c>
      <c r="K175" s="533" t="str">
        <f>IF(ROUND(F175,0)=ROUND(SUMIFS(AN_TME_BY[[#All],[TOTAL Non-Truncated Unadjusted Claims Expenses]], AN_TME_BY[[#All],[Insurance Category Code]],2, AN_TME_BY[[#All],[Advanced Network/Insurance Carrier Org ID]],B175),0), "TRUE", ROUND(F175-SUMIFS(AN_TME_BY[[#All],[TOTAL Non-Truncated Unadjusted Claims Expenses]], AN_TME_BY[[#All],[Insurance Category Code]],2, AN_TME_BY[[#All],[Advanced Network/Insurance Carrier Org ID]],B175),2))</f>
        <v>TRUE</v>
      </c>
      <c r="L175" s="534" t="str">
        <f>IF(ROUND(G175,0)=ROUND(SUMIFS(AN_TME_BY[[#All],[TOTAL Truncated Unadjusted Claims Expenses (A21 -A19)]], AN_TME_BY[[#All],[Insurance Category Code]],2, AN_TME_BY[[#All],[Advanced Network/Insurance Carrier Org ID]],B175),0), "TRUE", ROUND(G175-SUMIFS(AN_TME_BY[[#All],[TOTAL Truncated Unadjusted Claims Expenses (A21 -A19)]], AN_TME_BY[[#All],[Insurance Category Code]],2, AN_TME_BY[[#All],[Advanced Network/Insurance Carrier Org ID]],B175),2))</f>
        <v>TRUE</v>
      </c>
      <c r="M175" s="525" t="str">
        <f t="shared" si="14"/>
        <v>TRUE</v>
      </c>
      <c r="N175" s="533" t="b">
        <f>ROUND(SUMIFS(AN_TME_BY[[#All],[TOTAL Non-Truncated Unadjusted Claims Expenses]], AN_TME_BY[[#All],[Insurance Category Code]],2, AN_TME_BY[[#All],[Advanced Network/Insurance Carrier Org ID]],B175),2)&gt;=ROUND(SUMIFS(AN_TME_BY[[#All],[TOTAL Truncated Unadjusted Claims Expenses (A21 -A19)]], AN_TME_BY[[#All],[Insurance Category Code]],2, AN_TME_BY[[#All],[Advanced Network/Insurance Carrier Org ID]],B175), 2)</f>
        <v>1</v>
      </c>
      <c r="O175" s="534" t="b">
        <f>ROUND(SUMIFS(AN_TME_BY[[#All],[TOTAL Truncated Unadjusted Claims Expenses (A21 -A19)]], AN_TME_BY[[#All],[Insurance Category Code]],2, AN_TME_BY[[#All],[Advanced Network/Insurance Carrier Org ID]],B175)+SUMIFS(AN_TME_BY[[#All],[Total Claims Excluded because of Truncation]], AN_TME_BY[[#All],[Insurance Category Code]],2, AN_TME_BY[[#All],[Advanced Network/Insurance Carrier Org ID]],B175),2)=ROUND(SUMIFS(AN_TME_BY[[#All],[TOTAL Non-Truncated Unadjusted Claims Expenses]], AN_TME_BY[[#All],[Insurance Category Code]],2, AN_TME_BY[[#All],[Advanced Network/Insurance Carrier Org ID]],B175), 2)</f>
        <v>1</v>
      </c>
      <c r="Q175" s="216">
        <v>119</v>
      </c>
      <c r="R175" s="404">
        <f>ROUND(SUMIFS(Age_Sex_PY[[#All],[Total Member Months by Age/Sex Band]], Age_Sex_PY[[#All],[Advanced Network ID]], $Q175, Age_Sex_PY[[#All],[Insurance Category Code]],2),2)</f>
        <v>0</v>
      </c>
      <c r="S175" s="238">
        <f>ROUND(SUMIFS(Age_Sex_PY[[#All],[Total Dollars Excluded from Spending After Applying Truncation at the Member Level]], Age_Sex_PY[[#All],[Advanced Network ID]], $B175, Age_Sex_PY[[#All],[Insurance Category Code]],2),2)</f>
        <v>0</v>
      </c>
      <c r="T175" s="209">
        <f>ROUND(SUMIFS(Age_Sex_PY[[#All],[Count of Members whose Spending was Truncated]], Age_Sex_PY[[#All],[Advanced Network ID]], $B175, Age_Sex_PY[[#All],[Insurance Category Code]],2),2)</f>
        <v>0</v>
      </c>
      <c r="U175" s="210">
        <f>ROUND(SUMIFS(Age_Sex_PY[[#All],[Total Spending before Truncation is Applied]], Age_Sex_PY[[#All],[Advanced Network ID]], $B175, Age_Sex_PY[[#All],[Insurance Category Code]],2),2)</f>
        <v>0</v>
      </c>
      <c r="V175" s="212">
        <f>ROUND(SUMIFS(Age_Sex_PY[[#All],[Total Spending After Applying Truncation at the Member Level]], Age_Sex_PY[[#All],[Advanced Network ID]], $B175, Age_Sex_PY[[#All],[Insurance Category Code]],2), 2)</f>
        <v>0</v>
      </c>
      <c r="W175" s="525" t="str">
        <f>IF(ROUND(R175,0)=ROUND(SUMIFS(AN_TME_PY[[#All],[Member Months]], AN_TME_PY[[#All],[Insurance Category Code]],2, AN_TME_PY[[#All],[Advanced Network/Insurance Carrier Org ID]],Q175),0), "TRUE", ROUND(R175-SUMIFS(AN_TME_PY[[#All],[Member Months]], AN_TME_PY[[#All],[Insurance Category Code]],2, AN_TME_PY[[#All],[Advanced Network/Insurance Carrier Org ID]],Q175),2))</f>
        <v>TRUE</v>
      </c>
      <c r="X175" s="527" t="str">
        <f>IF(ROUND(S175,0)=ROUND(SUMIFS(AN_TME_PY[[#All],[Total Claims Excluded because of Truncation]], AN_TME_PY[[#All],[Insurance Category Code]],2, AN_TME_PY[[#All],[Advanced Network/Insurance Carrier Org ID]],Q175),0), "TRUE", ROUND(S175-SUMIFS(AN_TME_PY[[#All],[Total Claims Excluded because of Truncation]], AN_TME_PY[[#All],[Insurance Category Code]],2, AN_TME_PY[[#All],[Advanced Network/Insurance Carrier Org ID]],Q175),2))</f>
        <v>TRUE</v>
      </c>
      <c r="Y175" s="537" t="str">
        <f>IF(ROUND(T175,0)=ROUND(SUMIFS(AN_TME_PY[[#All],[Count of Members with Claims Truncated]], AN_TME_PY[[#All],[Insurance Category Code]],2, AN_TME_PY[[#All],[Advanced Network/Insurance Carrier Org ID]],Q175),0), "TRUE", ROUND(T175-SUMIFS(AN_TME_PY[[#All],[Count of Members with Claims Truncated]], AN_TME_PY[[#All],[Insurance Category Code]],2, AN_TME_PY[[#All],[Advanced Network/Insurance Carrier Org ID]],Q175),2))</f>
        <v>TRUE</v>
      </c>
      <c r="Z175" s="528" t="str">
        <f>IF(ROUND(U175,0)=ROUND(SUMIFS(AN_TME_PY[[#All],[TOTAL Non-Truncated Unadjusted Claims Expenses]], AN_TME_PY[[#All],[Insurance Category Code]],2, AN_TME_PY[[#All],[Advanced Network/Insurance Carrier Org ID]],Q175),0), "TRUE", ROUND(U175-SUMIFS(AN_TME_PY[[#All],[TOTAL Non-Truncated Unadjusted Claims Expenses]], AN_TME_PY[[#All],[Insurance Category Code]],2, AN_TME_PY[[#All],[Advanced Network/Insurance Carrier Org ID]],Q175),2))</f>
        <v>TRUE</v>
      </c>
      <c r="AA175" s="529" t="str">
        <f>IF(ROUND(V175,0)=ROUND(SUMIFS(AN_TME_PY[[#All],[TOTAL Truncated Unadjusted Claims Expenses (A21 -A19)]], AN_TME_PY[[#All],[Insurance Category Code]],2, AN_TME_PY[[#All],[Advanced Network/Insurance Carrier Org ID]],Q175),0), "TRUE", ROUND(V175-SUMIFS(AN_TME_PY[[#All],[TOTAL Truncated Unadjusted Claims Expenses (A21 -A19)]], AN_TME_PY[[#All],[Insurance Category Code]],2, AN_TME_PY[[#All],[Advanced Network/Insurance Carrier Org ID]],Q175),2))</f>
        <v>TRUE</v>
      </c>
      <c r="AB175" s="525" t="str">
        <f t="shared" si="16"/>
        <v>TRUE</v>
      </c>
      <c r="AC175" s="528" t="b">
        <f>ROUND(SUMIFS(AN_TME_PY[[#All],[TOTAL Non-Truncated Unadjusted Claims Expenses]], AN_TME_PY[[#All],[Insurance Category Code]],2, AN_TME_PY[[#All],[Advanced Network/Insurance Carrier Org ID]],Q175),2)&gt;=ROUND(SUMIFS(AN_TME_PY[[#All],[TOTAL Truncated Unadjusted Claims Expenses (A21 -A19)]], AN_TME_PY[[#All],[Insurance Category Code]],2, AN_TME_PY[[#All],[Advanced Network/Insurance Carrier Org ID]],Q175),2)</f>
        <v>1</v>
      </c>
      <c r="AD175" s="529" t="b">
        <f>ROUND(SUMIFS(AN_TME_PY[[#All],[TOTAL Truncated Unadjusted Claims Expenses (A21 -A19)]], AN_TME_PY[[#All],[Insurance Category Code]],2, AN_TME_PY[[#All],[Advanced Network/Insurance Carrier Org ID]],Q175)+SUMIFS(AN_TME_PY[[#All],[Total Claims Excluded because of Truncation]], AN_TME_PY[[#All],[Insurance Category Code]],2, AN_TME_PY[[#All],[Advanced Network/Insurance Carrier Org ID]],Q175), 2)=ROUND(SUMIFS(AN_TME_PY[[#All],[TOTAL Non-Truncated Unadjusted Claims Expenses]], AN_TME_PY[[#All],[Insurance Category Code]],2, AN_TME_PY[[#All],[Advanced Network/Insurance Carrier Org ID]],Q175),2)</f>
        <v>1</v>
      </c>
      <c r="AF175" s="283" t="str">
        <f t="shared" si="15"/>
        <v>NA</v>
      </c>
    </row>
    <row r="176" spans="2:32" outlineLevel="1" x14ac:dyDescent="0.25">
      <c r="B176" s="216">
        <v>120</v>
      </c>
      <c r="C176" s="404">
        <f>ROUND(SUMIFS(Age_Sex_BY[[#All],[Total Member Months by Age/Sex Band]], Age_Sex_BY[[#All],[Advanced Network ID]], $B176, Age_Sex_BY[[#All],[Insurance Category Code]],2),2)</f>
        <v>0</v>
      </c>
      <c r="D176" s="238">
        <f>ROUND(SUMIFS(Age_Sex_BY[[#All],[Total Dollars Excluded from Spending After Applying Truncation at the Member Level]], Age_Sex_BY[[#All],[Advanced Network ID]], $B176, Age_Sex_BY[[#All],[Insurance Category Code]],2),2)</f>
        <v>0</v>
      </c>
      <c r="E176" s="209">
        <f>ROUND(SUMIFS(Age_Sex_BY[[#All],[Count of Members whose Spending was Truncated]], Age_Sex_BY[[#All],[Advanced Network ID]], $B176, Age_Sex_BY[[#All],[Insurance Category Code]],2),2)</f>
        <v>0</v>
      </c>
      <c r="F176" s="210">
        <f>ROUND(SUMIFS(Age_Sex_BY[[#All],[Total Spending before Truncation is Applied]], Age_Sex_BY[[#All],[Advanced Network ID]], $B176, Age_Sex_BY[[#All],[Insurance Category Code]],2),2)</f>
        <v>0</v>
      </c>
      <c r="G176" s="212">
        <f>ROUND(SUMIFS(Age_Sex_BY[[#All],[Total Spending After Applying Truncation at the Member Level]], Age_Sex_BY[[#All],[Advanced Network ID]], $B176, Age_Sex_BY[[#All],[Insurance Category Code]],2),2)</f>
        <v>0</v>
      </c>
      <c r="H176" s="525" t="str">
        <f>IF(ROUND(C176,0)=ROUND(SUMIFS(AN_TME_BY[[#All],[Member Months]], AN_TME_BY[[#All],[Insurance Category Code]],2, AN_TME_BY[[#All],[Advanced Network/Insurance Carrier Org ID]],B176),0), "TRUE", ROUND(C176-SUMIFS(AN_TME_BY[[#All],[Member Months]], AN_TME_BY[[#All],[Insurance Category Code]],2, AN_TME_BY[[#All],[Advanced Network/Insurance Carrier Org ID]],B176),2))</f>
        <v>TRUE</v>
      </c>
      <c r="I176" s="533" t="str">
        <f>IF(ROUND(D176,0)=ROUND(SUMIFS(AN_TME_BY[[#All],[Total Claims Excluded because of Truncation]], AN_TME_BY[[#All],[Insurance Category Code]],2, AN_TME_BY[[#All],[Advanced Network/Insurance Carrier Org ID]],B176),0), "TRUE", ROUND(D176-SUMIFS(AN_TME_BY[[#All],[Total Claims Excluded because of Truncation]], AN_TME_BY[[#All],[Insurance Category Code]],2, AN_TME_BY[[#All],[Advanced Network/Insurance Carrier Org ID]],B176),2))</f>
        <v>TRUE</v>
      </c>
      <c r="J176" s="537" t="str">
        <f>IF(ROUND(E176,0)=ROUND(SUMIFS(AN_TME_BY[[#All],[Count of Members with Claims Truncated]], AN_TME_BY[[#All],[Insurance Category Code]],2, AN_TME_BY[[#All],[Advanced Network/Insurance Carrier Org ID]],B176),0), "TRUE", ROUND(E176-SUMIFS(AN_TME_BY[[#All],[Count of Members with Claims Truncated]], AN_TME_BY[[#All],[Insurance Category Code]],2, AN_TME_BY[[#All],[Advanced Network/Insurance Carrier Org ID]],B176),2))</f>
        <v>TRUE</v>
      </c>
      <c r="K176" s="533" t="str">
        <f>IF(ROUND(F176,0)=ROUND(SUMIFS(AN_TME_BY[[#All],[TOTAL Non-Truncated Unadjusted Claims Expenses]], AN_TME_BY[[#All],[Insurance Category Code]],2, AN_TME_BY[[#All],[Advanced Network/Insurance Carrier Org ID]],B176),0), "TRUE", ROUND(F176-SUMIFS(AN_TME_BY[[#All],[TOTAL Non-Truncated Unadjusted Claims Expenses]], AN_TME_BY[[#All],[Insurance Category Code]],2, AN_TME_BY[[#All],[Advanced Network/Insurance Carrier Org ID]],B176),2))</f>
        <v>TRUE</v>
      </c>
      <c r="L176" s="534" t="str">
        <f>IF(ROUND(G176,0)=ROUND(SUMIFS(AN_TME_BY[[#All],[TOTAL Truncated Unadjusted Claims Expenses (A21 -A19)]], AN_TME_BY[[#All],[Insurance Category Code]],2, AN_TME_BY[[#All],[Advanced Network/Insurance Carrier Org ID]],B176),0), "TRUE", ROUND(G176-SUMIFS(AN_TME_BY[[#All],[TOTAL Truncated Unadjusted Claims Expenses (A21 -A19)]], AN_TME_BY[[#All],[Insurance Category Code]],2, AN_TME_BY[[#All],[Advanced Network/Insurance Carrier Org ID]],B176),2))</f>
        <v>TRUE</v>
      </c>
      <c r="M176" s="525" t="str">
        <f t="shared" si="14"/>
        <v>TRUE</v>
      </c>
      <c r="N176" s="533" t="b">
        <f>ROUND(SUMIFS(AN_TME_BY[[#All],[TOTAL Non-Truncated Unadjusted Claims Expenses]], AN_TME_BY[[#All],[Insurance Category Code]],2, AN_TME_BY[[#All],[Advanced Network/Insurance Carrier Org ID]],B176),2)&gt;=ROUND(SUMIFS(AN_TME_BY[[#All],[TOTAL Truncated Unadjusted Claims Expenses (A21 -A19)]], AN_TME_BY[[#All],[Insurance Category Code]],2, AN_TME_BY[[#All],[Advanced Network/Insurance Carrier Org ID]],B176), 2)</f>
        <v>1</v>
      </c>
      <c r="O176" s="534" t="b">
        <f>ROUND(SUMIFS(AN_TME_BY[[#All],[TOTAL Truncated Unadjusted Claims Expenses (A21 -A19)]], AN_TME_BY[[#All],[Insurance Category Code]],2, AN_TME_BY[[#All],[Advanced Network/Insurance Carrier Org ID]],B176)+SUMIFS(AN_TME_BY[[#All],[Total Claims Excluded because of Truncation]], AN_TME_BY[[#All],[Insurance Category Code]],2, AN_TME_BY[[#All],[Advanced Network/Insurance Carrier Org ID]],B176),2)=ROUND(SUMIFS(AN_TME_BY[[#All],[TOTAL Non-Truncated Unadjusted Claims Expenses]], AN_TME_BY[[#All],[Insurance Category Code]],2, AN_TME_BY[[#All],[Advanced Network/Insurance Carrier Org ID]],B176), 2)</f>
        <v>1</v>
      </c>
      <c r="Q176" s="216">
        <v>120</v>
      </c>
      <c r="R176" s="404">
        <f>ROUND(SUMIFS(Age_Sex_PY[[#All],[Total Member Months by Age/Sex Band]], Age_Sex_PY[[#All],[Advanced Network ID]], $Q176, Age_Sex_PY[[#All],[Insurance Category Code]],2),2)</f>
        <v>0</v>
      </c>
      <c r="S176" s="238">
        <f>ROUND(SUMIFS(Age_Sex_PY[[#All],[Total Dollars Excluded from Spending After Applying Truncation at the Member Level]], Age_Sex_PY[[#All],[Advanced Network ID]], $B176, Age_Sex_PY[[#All],[Insurance Category Code]],2),2)</f>
        <v>0</v>
      </c>
      <c r="T176" s="209">
        <f>ROUND(SUMIFS(Age_Sex_PY[[#All],[Count of Members whose Spending was Truncated]], Age_Sex_PY[[#All],[Advanced Network ID]], $B176, Age_Sex_PY[[#All],[Insurance Category Code]],2),2)</f>
        <v>0</v>
      </c>
      <c r="U176" s="210">
        <f>ROUND(SUMIFS(Age_Sex_PY[[#All],[Total Spending before Truncation is Applied]], Age_Sex_PY[[#All],[Advanced Network ID]], $B176, Age_Sex_PY[[#All],[Insurance Category Code]],2),2)</f>
        <v>0</v>
      </c>
      <c r="V176" s="212">
        <f>ROUND(SUMIFS(Age_Sex_PY[[#All],[Total Spending After Applying Truncation at the Member Level]], Age_Sex_PY[[#All],[Advanced Network ID]], $B176, Age_Sex_PY[[#All],[Insurance Category Code]],2), 2)</f>
        <v>0</v>
      </c>
      <c r="W176" s="525" t="str">
        <f>IF(ROUND(R176,0)=ROUND(SUMIFS(AN_TME_PY[[#All],[Member Months]], AN_TME_PY[[#All],[Insurance Category Code]],2, AN_TME_PY[[#All],[Advanced Network/Insurance Carrier Org ID]],Q176),0), "TRUE", ROUND(R176-SUMIFS(AN_TME_PY[[#All],[Member Months]], AN_TME_PY[[#All],[Insurance Category Code]],2, AN_TME_PY[[#All],[Advanced Network/Insurance Carrier Org ID]],Q176),2))</f>
        <v>TRUE</v>
      </c>
      <c r="X176" s="527" t="str">
        <f>IF(ROUND(S176,0)=ROUND(SUMIFS(AN_TME_PY[[#All],[Total Claims Excluded because of Truncation]], AN_TME_PY[[#All],[Insurance Category Code]],2, AN_TME_PY[[#All],[Advanced Network/Insurance Carrier Org ID]],Q176),0), "TRUE", ROUND(S176-SUMIFS(AN_TME_PY[[#All],[Total Claims Excluded because of Truncation]], AN_TME_PY[[#All],[Insurance Category Code]],2, AN_TME_PY[[#All],[Advanced Network/Insurance Carrier Org ID]],Q176),2))</f>
        <v>TRUE</v>
      </c>
      <c r="Y176" s="537" t="str">
        <f>IF(ROUND(T176,0)=ROUND(SUMIFS(AN_TME_PY[[#All],[Count of Members with Claims Truncated]], AN_TME_PY[[#All],[Insurance Category Code]],2, AN_TME_PY[[#All],[Advanced Network/Insurance Carrier Org ID]],Q176),0), "TRUE", ROUND(T176-SUMIFS(AN_TME_PY[[#All],[Count of Members with Claims Truncated]], AN_TME_PY[[#All],[Insurance Category Code]],2, AN_TME_PY[[#All],[Advanced Network/Insurance Carrier Org ID]],Q176),2))</f>
        <v>TRUE</v>
      </c>
      <c r="Z176" s="528" t="str">
        <f>IF(ROUND(U176,0)=ROUND(SUMIFS(AN_TME_PY[[#All],[TOTAL Non-Truncated Unadjusted Claims Expenses]], AN_TME_PY[[#All],[Insurance Category Code]],2, AN_TME_PY[[#All],[Advanced Network/Insurance Carrier Org ID]],Q176),0), "TRUE", ROUND(U176-SUMIFS(AN_TME_PY[[#All],[TOTAL Non-Truncated Unadjusted Claims Expenses]], AN_TME_PY[[#All],[Insurance Category Code]],2, AN_TME_PY[[#All],[Advanced Network/Insurance Carrier Org ID]],Q176),2))</f>
        <v>TRUE</v>
      </c>
      <c r="AA176" s="529" t="str">
        <f>IF(ROUND(V176,0)=ROUND(SUMIFS(AN_TME_PY[[#All],[TOTAL Truncated Unadjusted Claims Expenses (A21 -A19)]], AN_TME_PY[[#All],[Insurance Category Code]],2, AN_TME_PY[[#All],[Advanced Network/Insurance Carrier Org ID]],Q176),0), "TRUE", ROUND(V176-SUMIFS(AN_TME_PY[[#All],[TOTAL Truncated Unadjusted Claims Expenses (A21 -A19)]], AN_TME_PY[[#All],[Insurance Category Code]],2, AN_TME_PY[[#All],[Advanced Network/Insurance Carrier Org ID]],Q176),2))</f>
        <v>TRUE</v>
      </c>
      <c r="AB176" s="525" t="str">
        <f t="shared" si="16"/>
        <v>TRUE</v>
      </c>
      <c r="AC176" s="528" t="b">
        <f>ROUND(SUMIFS(AN_TME_PY[[#All],[TOTAL Non-Truncated Unadjusted Claims Expenses]], AN_TME_PY[[#All],[Insurance Category Code]],2, AN_TME_PY[[#All],[Advanced Network/Insurance Carrier Org ID]],Q176),2)&gt;=ROUND(SUMIFS(AN_TME_PY[[#All],[TOTAL Truncated Unadjusted Claims Expenses (A21 -A19)]], AN_TME_PY[[#All],[Insurance Category Code]],2, AN_TME_PY[[#All],[Advanced Network/Insurance Carrier Org ID]],Q176),2)</f>
        <v>1</v>
      </c>
      <c r="AD176" s="529" t="b">
        <f>ROUND(SUMIFS(AN_TME_PY[[#All],[TOTAL Truncated Unadjusted Claims Expenses (A21 -A19)]], AN_TME_PY[[#All],[Insurance Category Code]],2, AN_TME_PY[[#All],[Advanced Network/Insurance Carrier Org ID]],Q176)+SUMIFS(AN_TME_PY[[#All],[Total Claims Excluded because of Truncation]], AN_TME_PY[[#All],[Insurance Category Code]],2, AN_TME_PY[[#All],[Advanced Network/Insurance Carrier Org ID]],Q176), 2)=ROUND(SUMIFS(AN_TME_PY[[#All],[TOTAL Non-Truncated Unadjusted Claims Expenses]], AN_TME_PY[[#All],[Insurance Category Code]],2, AN_TME_PY[[#All],[Advanced Network/Insurance Carrier Org ID]],Q176),2)</f>
        <v>1</v>
      </c>
      <c r="AF176" s="283" t="str">
        <f t="shared" si="15"/>
        <v>NA</v>
      </c>
    </row>
    <row r="177" spans="2:32" outlineLevel="1" x14ac:dyDescent="0.25">
      <c r="B177" s="216">
        <v>121</v>
      </c>
      <c r="C177" s="404">
        <f>ROUND(SUMIFS(Age_Sex_BY[[#All],[Total Member Months by Age/Sex Band]], Age_Sex_BY[[#All],[Advanced Network ID]], $B177, Age_Sex_BY[[#All],[Insurance Category Code]],2),2)</f>
        <v>0</v>
      </c>
      <c r="D177" s="238">
        <f>ROUND(SUMIFS(Age_Sex_BY[[#All],[Total Dollars Excluded from Spending After Applying Truncation at the Member Level]], Age_Sex_BY[[#All],[Advanced Network ID]], $B177, Age_Sex_BY[[#All],[Insurance Category Code]],2),2)</f>
        <v>0</v>
      </c>
      <c r="E177" s="209">
        <f>ROUND(SUMIFS(Age_Sex_BY[[#All],[Count of Members whose Spending was Truncated]], Age_Sex_BY[[#All],[Advanced Network ID]], $B177, Age_Sex_BY[[#All],[Insurance Category Code]],2),2)</f>
        <v>0</v>
      </c>
      <c r="F177" s="210">
        <f>ROUND(SUMIFS(Age_Sex_BY[[#All],[Total Spending before Truncation is Applied]], Age_Sex_BY[[#All],[Advanced Network ID]], $B177, Age_Sex_BY[[#All],[Insurance Category Code]],2),2)</f>
        <v>0</v>
      </c>
      <c r="G177" s="212">
        <f>ROUND(SUMIFS(Age_Sex_BY[[#All],[Total Spending After Applying Truncation at the Member Level]], Age_Sex_BY[[#All],[Advanced Network ID]], $B177, Age_Sex_BY[[#All],[Insurance Category Code]],2),2)</f>
        <v>0</v>
      </c>
      <c r="H177" s="525" t="str">
        <f>IF(ROUND(C177,0)=ROUND(SUMIFS(AN_TME_BY[[#All],[Member Months]], AN_TME_BY[[#All],[Insurance Category Code]],2, AN_TME_BY[[#All],[Advanced Network/Insurance Carrier Org ID]],B177),0), "TRUE", ROUND(C177-SUMIFS(AN_TME_BY[[#All],[Member Months]], AN_TME_BY[[#All],[Insurance Category Code]],2, AN_TME_BY[[#All],[Advanced Network/Insurance Carrier Org ID]],B177),2))</f>
        <v>TRUE</v>
      </c>
      <c r="I177" s="533" t="str">
        <f>IF(ROUND(D177,0)=ROUND(SUMIFS(AN_TME_BY[[#All],[Total Claims Excluded because of Truncation]], AN_TME_BY[[#All],[Insurance Category Code]],2, AN_TME_BY[[#All],[Advanced Network/Insurance Carrier Org ID]],B177),0), "TRUE", ROUND(D177-SUMIFS(AN_TME_BY[[#All],[Total Claims Excluded because of Truncation]], AN_TME_BY[[#All],[Insurance Category Code]],2, AN_TME_BY[[#All],[Advanced Network/Insurance Carrier Org ID]],B177),2))</f>
        <v>TRUE</v>
      </c>
      <c r="J177" s="537" t="str">
        <f>IF(ROUND(E177,0)=ROUND(SUMIFS(AN_TME_BY[[#All],[Count of Members with Claims Truncated]], AN_TME_BY[[#All],[Insurance Category Code]],2, AN_TME_BY[[#All],[Advanced Network/Insurance Carrier Org ID]],B177),0), "TRUE", ROUND(E177-SUMIFS(AN_TME_BY[[#All],[Count of Members with Claims Truncated]], AN_TME_BY[[#All],[Insurance Category Code]],2, AN_TME_BY[[#All],[Advanced Network/Insurance Carrier Org ID]],B177),2))</f>
        <v>TRUE</v>
      </c>
      <c r="K177" s="533" t="str">
        <f>IF(ROUND(F177,0)=ROUND(SUMIFS(AN_TME_BY[[#All],[TOTAL Non-Truncated Unadjusted Claims Expenses]], AN_TME_BY[[#All],[Insurance Category Code]],2, AN_TME_BY[[#All],[Advanced Network/Insurance Carrier Org ID]],B177),0), "TRUE", ROUND(F177-SUMIFS(AN_TME_BY[[#All],[TOTAL Non-Truncated Unadjusted Claims Expenses]], AN_TME_BY[[#All],[Insurance Category Code]],2, AN_TME_BY[[#All],[Advanced Network/Insurance Carrier Org ID]],B177),2))</f>
        <v>TRUE</v>
      </c>
      <c r="L177" s="534" t="str">
        <f>IF(ROUND(G177,0)=ROUND(SUMIFS(AN_TME_BY[[#All],[TOTAL Truncated Unadjusted Claims Expenses (A21 -A19)]], AN_TME_BY[[#All],[Insurance Category Code]],2, AN_TME_BY[[#All],[Advanced Network/Insurance Carrier Org ID]],B177),0), "TRUE", ROUND(G177-SUMIFS(AN_TME_BY[[#All],[TOTAL Truncated Unadjusted Claims Expenses (A21 -A19)]], AN_TME_BY[[#All],[Insurance Category Code]],2, AN_TME_BY[[#All],[Advanced Network/Insurance Carrier Org ID]],B177),2))</f>
        <v>TRUE</v>
      </c>
      <c r="M177" s="525" t="str">
        <f t="shared" si="14"/>
        <v>TRUE</v>
      </c>
      <c r="N177" s="533" t="b">
        <f>ROUND(SUMIFS(AN_TME_BY[[#All],[TOTAL Non-Truncated Unadjusted Claims Expenses]], AN_TME_BY[[#All],[Insurance Category Code]],2, AN_TME_BY[[#All],[Advanced Network/Insurance Carrier Org ID]],B177),2)&gt;=ROUND(SUMIFS(AN_TME_BY[[#All],[TOTAL Truncated Unadjusted Claims Expenses (A21 -A19)]], AN_TME_BY[[#All],[Insurance Category Code]],2, AN_TME_BY[[#All],[Advanced Network/Insurance Carrier Org ID]],B177), 2)</f>
        <v>1</v>
      </c>
      <c r="O177" s="534" t="b">
        <f>ROUND(SUMIFS(AN_TME_BY[[#All],[TOTAL Truncated Unadjusted Claims Expenses (A21 -A19)]], AN_TME_BY[[#All],[Insurance Category Code]],2, AN_TME_BY[[#All],[Advanced Network/Insurance Carrier Org ID]],B177)+SUMIFS(AN_TME_BY[[#All],[Total Claims Excluded because of Truncation]], AN_TME_BY[[#All],[Insurance Category Code]],2, AN_TME_BY[[#All],[Advanced Network/Insurance Carrier Org ID]],B177),2)=ROUND(SUMIFS(AN_TME_BY[[#All],[TOTAL Non-Truncated Unadjusted Claims Expenses]], AN_TME_BY[[#All],[Insurance Category Code]],2, AN_TME_BY[[#All],[Advanced Network/Insurance Carrier Org ID]],B177), 2)</f>
        <v>1</v>
      </c>
      <c r="Q177" s="216">
        <v>121</v>
      </c>
      <c r="R177" s="404">
        <f>ROUND(SUMIFS(Age_Sex_PY[[#All],[Total Member Months by Age/Sex Band]], Age_Sex_PY[[#All],[Advanced Network ID]], $Q177, Age_Sex_PY[[#All],[Insurance Category Code]],2),2)</f>
        <v>0</v>
      </c>
      <c r="S177" s="238">
        <f>ROUND(SUMIFS(Age_Sex_PY[[#All],[Total Dollars Excluded from Spending After Applying Truncation at the Member Level]], Age_Sex_PY[[#All],[Advanced Network ID]], $B177, Age_Sex_PY[[#All],[Insurance Category Code]],2),2)</f>
        <v>0</v>
      </c>
      <c r="T177" s="209">
        <f>ROUND(SUMIFS(Age_Sex_PY[[#All],[Count of Members whose Spending was Truncated]], Age_Sex_PY[[#All],[Advanced Network ID]], $B177, Age_Sex_PY[[#All],[Insurance Category Code]],2),2)</f>
        <v>0</v>
      </c>
      <c r="U177" s="210">
        <f>ROUND(SUMIFS(Age_Sex_PY[[#All],[Total Spending before Truncation is Applied]], Age_Sex_PY[[#All],[Advanced Network ID]], $B177, Age_Sex_PY[[#All],[Insurance Category Code]],2),2)</f>
        <v>0</v>
      </c>
      <c r="V177" s="212">
        <f>ROUND(SUMIFS(Age_Sex_PY[[#All],[Total Spending After Applying Truncation at the Member Level]], Age_Sex_PY[[#All],[Advanced Network ID]], $B177, Age_Sex_PY[[#All],[Insurance Category Code]],2), 2)</f>
        <v>0</v>
      </c>
      <c r="W177" s="525" t="str">
        <f>IF(ROUND(R177,0)=ROUND(SUMIFS(AN_TME_PY[[#All],[Member Months]], AN_TME_PY[[#All],[Insurance Category Code]],2, AN_TME_PY[[#All],[Advanced Network/Insurance Carrier Org ID]],Q177),0), "TRUE", ROUND(R177-SUMIFS(AN_TME_PY[[#All],[Member Months]], AN_TME_PY[[#All],[Insurance Category Code]],2, AN_TME_PY[[#All],[Advanced Network/Insurance Carrier Org ID]],Q177),2))</f>
        <v>TRUE</v>
      </c>
      <c r="X177" s="527" t="str">
        <f>IF(ROUND(S177,0)=ROUND(SUMIFS(AN_TME_PY[[#All],[Total Claims Excluded because of Truncation]], AN_TME_PY[[#All],[Insurance Category Code]],2, AN_TME_PY[[#All],[Advanced Network/Insurance Carrier Org ID]],Q177),0), "TRUE", ROUND(S177-SUMIFS(AN_TME_PY[[#All],[Total Claims Excluded because of Truncation]], AN_TME_PY[[#All],[Insurance Category Code]],2, AN_TME_PY[[#All],[Advanced Network/Insurance Carrier Org ID]],Q177),2))</f>
        <v>TRUE</v>
      </c>
      <c r="Y177" s="537" t="str">
        <f>IF(ROUND(T177,0)=ROUND(SUMIFS(AN_TME_PY[[#All],[Count of Members with Claims Truncated]], AN_TME_PY[[#All],[Insurance Category Code]],2, AN_TME_PY[[#All],[Advanced Network/Insurance Carrier Org ID]],Q177),0), "TRUE", ROUND(T177-SUMIFS(AN_TME_PY[[#All],[Count of Members with Claims Truncated]], AN_TME_PY[[#All],[Insurance Category Code]],2, AN_TME_PY[[#All],[Advanced Network/Insurance Carrier Org ID]],Q177),2))</f>
        <v>TRUE</v>
      </c>
      <c r="Z177" s="528" t="str">
        <f>IF(ROUND(U177,0)=ROUND(SUMIFS(AN_TME_PY[[#All],[TOTAL Non-Truncated Unadjusted Claims Expenses]], AN_TME_PY[[#All],[Insurance Category Code]],2, AN_TME_PY[[#All],[Advanced Network/Insurance Carrier Org ID]],Q177),0), "TRUE", ROUND(U177-SUMIFS(AN_TME_PY[[#All],[TOTAL Non-Truncated Unadjusted Claims Expenses]], AN_TME_PY[[#All],[Insurance Category Code]],2, AN_TME_PY[[#All],[Advanced Network/Insurance Carrier Org ID]],Q177),2))</f>
        <v>TRUE</v>
      </c>
      <c r="AA177" s="529" t="str">
        <f>IF(ROUND(V177,0)=ROUND(SUMIFS(AN_TME_PY[[#All],[TOTAL Truncated Unadjusted Claims Expenses (A21 -A19)]], AN_TME_PY[[#All],[Insurance Category Code]],2, AN_TME_PY[[#All],[Advanced Network/Insurance Carrier Org ID]],Q177),0), "TRUE", ROUND(V177-SUMIFS(AN_TME_PY[[#All],[TOTAL Truncated Unadjusted Claims Expenses (A21 -A19)]], AN_TME_PY[[#All],[Insurance Category Code]],2, AN_TME_PY[[#All],[Advanced Network/Insurance Carrier Org ID]],Q177),2))</f>
        <v>TRUE</v>
      </c>
      <c r="AB177" s="525" t="str">
        <f t="shared" si="16"/>
        <v>TRUE</v>
      </c>
      <c r="AC177" s="528" t="b">
        <f>ROUND(SUMIFS(AN_TME_PY[[#All],[TOTAL Non-Truncated Unadjusted Claims Expenses]], AN_TME_PY[[#All],[Insurance Category Code]],2, AN_TME_PY[[#All],[Advanced Network/Insurance Carrier Org ID]],Q177),2)&gt;=ROUND(SUMIFS(AN_TME_PY[[#All],[TOTAL Truncated Unadjusted Claims Expenses (A21 -A19)]], AN_TME_PY[[#All],[Insurance Category Code]],2, AN_TME_PY[[#All],[Advanced Network/Insurance Carrier Org ID]],Q177),2)</f>
        <v>1</v>
      </c>
      <c r="AD177" s="529" t="b">
        <f>ROUND(SUMIFS(AN_TME_PY[[#All],[TOTAL Truncated Unadjusted Claims Expenses (A21 -A19)]], AN_TME_PY[[#All],[Insurance Category Code]],2, AN_TME_PY[[#All],[Advanced Network/Insurance Carrier Org ID]],Q177)+SUMIFS(AN_TME_PY[[#All],[Total Claims Excluded because of Truncation]], AN_TME_PY[[#All],[Insurance Category Code]],2, AN_TME_PY[[#All],[Advanced Network/Insurance Carrier Org ID]],Q177), 2)=ROUND(SUMIFS(AN_TME_PY[[#All],[TOTAL Non-Truncated Unadjusted Claims Expenses]], AN_TME_PY[[#All],[Insurance Category Code]],2, AN_TME_PY[[#All],[Advanced Network/Insurance Carrier Org ID]],Q177),2)</f>
        <v>1</v>
      </c>
      <c r="AF177" s="283" t="str">
        <f t="shared" si="15"/>
        <v>NA</v>
      </c>
    </row>
    <row r="178" spans="2:32" outlineLevel="1" x14ac:dyDescent="0.25">
      <c r="B178" s="216">
        <v>122</v>
      </c>
      <c r="C178" s="404">
        <f>ROUND(SUMIFS(Age_Sex_BY[[#All],[Total Member Months by Age/Sex Band]], Age_Sex_BY[[#All],[Advanced Network ID]], $B178, Age_Sex_BY[[#All],[Insurance Category Code]],2),2)</f>
        <v>0</v>
      </c>
      <c r="D178" s="238">
        <f>ROUND(SUMIFS(Age_Sex_BY[[#All],[Total Dollars Excluded from Spending After Applying Truncation at the Member Level]], Age_Sex_BY[[#All],[Advanced Network ID]], $B178, Age_Sex_BY[[#All],[Insurance Category Code]],2),2)</f>
        <v>0</v>
      </c>
      <c r="E178" s="209">
        <f>ROUND(SUMIFS(Age_Sex_BY[[#All],[Count of Members whose Spending was Truncated]], Age_Sex_BY[[#All],[Advanced Network ID]], $B178, Age_Sex_BY[[#All],[Insurance Category Code]],2),2)</f>
        <v>0</v>
      </c>
      <c r="F178" s="210">
        <f>ROUND(SUMIFS(Age_Sex_BY[[#All],[Total Spending before Truncation is Applied]], Age_Sex_BY[[#All],[Advanced Network ID]], $B178, Age_Sex_BY[[#All],[Insurance Category Code]],2),2)</f>
        <v>0</v>
      </c>
      <c r="G178" s="212">
        <f>ROUND(SUMIFS(Age_Sex_BY[[#All],[Total Spending After Applying Truncation at the Member Level]], Age_Sex_BY[[#All],[Advanced Network ID]], $B178, Age_Sex_BY[[#All],[Insurance Category Code]],2),2)</f>
        <v>0</v>
      </c>
      <c r="H178" s="525" t="str">
        <f>IF(ROUND(C178,0)=ROUND(SUMIFS(AN_TME_BY[[#All],[Member Months]], AN_TME_BY[[#All],[Insurance Category Code]],2, AN_TME_BY[[#All],[Advanced Network/Insurance Carrier Org ID]],B178),0), "TRUE", ROUND(C178-SUMIFS(AN_TME_BY[[#All],[Member Months]], AN_TME_BY[[#All],[Insurance Category Code]],2, AN_TME_BY[[#All],[Advanced Network/Insurance Carrier Org ID]],B178),2))</f>
        <v>TRUE</v>
      </c>
      <c r="I178" s="533" t="str">
        <f>IF(ROUND(D178,0)=ROUND(SUMIFS(AN_TME_BY[[#All],[Total Claims Excluded because of Truncation]], AN_TME_BY[[#All],[Insurance Category Code]],2, AN_TME_BY[[#All],[Advanced Network/Insurance Carrier Org ID]],B178),0), "TRUE", ROUND(D178-SUMIFS(AN_TME_BY[[#All],[Total Claims Excluded because of Truncation]], AN_TME_BY[[#All],[Insurance Category Code]],2, AN_TME_BY[[#All],[Advanced Network/Insurance Carrier Org ID]],B178),2))</f>
        <v>TRUE</v>
      </c>
      <c r="J178" s="537" t="str">
        <f>IF(ROUND(E178,0)=ROUND(SUMIFS(AN_TME_BY[[#All],[Count of Members with Claims Truncated]], AN_TME_BY[[#All],[Insurance Category Code]],2, AN_TME_BY[[#All],[Advanced Network/Insurance Carrier Org ID]],B178),0), "TRUE", ROUND(E178-SUMIFS(AN_TME_BY[[#All],[Count of Members with Claims Truncated]], AN_TME_BY[[#All],[Insurance Category Code]],2, AN_TME_BY[[#All],[Advanced Network/Insurance Carrier Org ID]],B178),2))</f>
        <v>TRUE</v>
      </c>
      <c r="K178" s="533" t="str">
        <f>IF(ROUND(F178,0)=ROUND(SUMIFS(AN_TME_BY[[#All],[TOTAL Non-Truncated Unadjusted Claims Expenses]], AN_TME_BY[[#All],[Insurance Category Code]],2, AN_TME_BY[[#All],[Advanced Network/Insurance Carrier Org ID]],B178),0), "TRUE", ROUND(F178-SUMIFS(AN_TME_BY[[#All],[TOTAL Non-Truncated Unadjusted Claims Expenses]], AN_TME_BY[[#All],[Insurance Category Code]],2, AN_TME_BY[[#All],[Advanced Network/Insurance Carrier Org ID]],B178),2))</f>
        <v>TRUE</v>
      </c>
      <c r="L178" s="534" t="str">
        <f>IF(ROUND(G178,0)=ROUND(SUMIFS(AN_TME_BY[[#All],[TOTAL Truncated Unadjusted Claims Expenses (A21 -A19)]], AN_TME_BY[[#All],[Insurance Category Code]],2, AN_TME_BY[[#All],[Advanced Network/Insurance Carrier Org ID]],B178),0), "TRUE", ROUND(G178-SUMIFS(AN_TME_BY[[#All],[TOTAL Truncated Unadjusted Claims Expenses (A21 -A19)]], AN_TME_BY[[#All],[Insurance Category Code]],2, AN_TME_BY[[#All],[Advanced Network/Insurance Carrier Org ID]],B178),2))</f>
        <v>TRUE</v>
      </c>
      <c r="M178" s="525" t="str">
        <f t="shared" si="14"/>
        <v>TRUE</v>
      </c>
      <c r="N178" s="533" t="b">
        <f>ROUND(SUMIFS(AN_TME_BY[[#All],[TOTAL Non-Truncated Unadjusted Claims Expenses]], AN_TME_BY[[#All],[Insurance Category Code]],2, AN_TME_BY[[#All],[Advanced Network/Insurance Carrier Org ID]],B178),2)&gt;=ROUND(SUMIFS(AN_TME_BY[[#All],[TOTAL Truncated Unadjusted Claims Expenses (A21 -A19)]], AN_TME_BY[[#All],[Insurance Category Code]],2, AN_TME_BY[[#All],[Advanced Network/Insurance Carrier Org ID]],B178), 2)</f>
        <v>1</v>
      </c>
      <c r="O178" s="534" t="b">
        <f>ROUND(SUMIFS(AN_TME_BY[[#All],[TOTAL Truncated Unadjusted Claims Expenses (A21 -A19)]], AN_TME_BY[[#All],[Insurance Category Code]],2, AN_TME_BY[[#All],[Advanced Network/Insurance Carrier Org ID]],B178)+SUMIFS(AN_TME_BY[[#All],[Total Claims Excluded because of Truncation]], AN_TME_BY[[#All],[Insurance Category Code]],2, AN_TME_BY[[#All],[Advanced Network/Insurance Carrier Org ID]],B178),2)=ROUND(SUMIFS(AN_TME_BY[[#All],[TOTAL Non-Truncated Unadjusted Claims Expenses]], AN_TME_BY[[#All],[Insurance Category Code]],2, AN_TME_BY[[#All],[Advanced Network/Insurance Carrier Org ID]],B178), 2)</f>
        <v>1</v>
      </c>
      <c r="Q178" s="216">
        <v>122</v>
      </c>
      <c r="R178" s="404">
        <f>ROUND(SUMIFS(Age_Sex_PY[[#All],[Total Member Months by Age/Sex Band]], Age_Sex_PY[[#All],[Advanced Network ID]], $Q178, Age_Sex_PY[[#All],[Insurance Category Code]],2),2)</f>
        <v>0</v>
      </c>
      <c r="S178" s="238">
        <f>ROUND(SUMIFS(Age_Sex_PY[[#All],[Total Dollars Excluded from Spending After Applying Truncation at the Member Level]], Age_Sex_PY[[#All],[Advanced Network ID]], $B178, Age_Sex_PY[[#All],[Insurance Category Code]],2),2)</f>
        <v>0</v>
      </c>
      <c r="T178" s="209">
        <f>ROUND(SUMIFS(Age_Sex_PY[[#All],[Count of Members whose Spending was Truncated]], Age_Sex_PY[[#All],[Advanced Network ID]], $B178, Age_Sex_PY[[#All],[Insurance Category Code]],2),2)</f>
        <v>0</v>
      </c>
      <c r="U178" s="210">
        <f>ROUND(SUMIFS(Age_Sex_PY[[#All],[Total Spending before Truncation is Applied]], Age_Sex_PY[[#All],[Advanced Network ID]], $B178, Age_Sex_PY[[#All],[Insurance Category Code]],2),2)</f>
        <v>0</v>
      </c>
      <c r="V178" s="212">
        <f>ROUND(SUMIFS(Age_Sex_PY[[#All],[Total Spending After Applying Truncation at the Member Level]], Age_Sex_PY[[#All],[Advanced Network ID]], $B178, Age_Sex_PY[[#All],[Insurance Category Code]],2), 2)</f>
        <v>0</v>
      </c>
      <c r="W178" s="525" t="str">
        <f>IF(ROUND(R178,0)=ROUND(SUMIFS(AN_TME_PY[[#All],[Member Months]], AN_TME_PY[[#All],[Insurance Category Code]],2, AN_TME_PY[[#All],[Advanced Network/Insurance Carrier Org ID]],Q178),0), "TRUE", ROUND(R178-SUMIFS(AN_TME_PY[[#All],[Member Months]], AN_TME_PY[[#All],[Insurance Category Code]],2, AN_TME_PY[[#All],[Advanced Network/Insurance Carrier Org ID]],Q178),2))</f>
        <v>TRUE</v>
      </c>
      <c r="X178" s="527" t="str">
        <f>IF(ROUND(S178,0)=ROUND(SUMIFS(AN_TME_PY[[#All],[Total Claims Excluded because of Truncation]], AN_TME_PY[[#All],[Insurance Category Code]],2, AN_TME_PY[[#All],[Advanced Network/Insurance Carrier Org ID]],Q178),0), "TRUE", ROUND(S178-SUMIFS(AN_TME_PY[[#All],[Total Claims Excluded because of Truncation]], AN_TME_PY[[#All],[Insurance Category Code]],2, AN_TME_PY[[#All],[Advanced Network/Insurance Carrier Org ID]],Q178),2))</f>
        <v>TRUE</v>
      </c>
      <c r="Y178" s="537" t="str">
        <f>IF(ROUND(T178,0)=ROUND(SUMIFS(AN_TME_PY[[#All],[Count of Members with Claims Truncated]], AN_TME_PY[[#All],[Insurance Category Code]],2, AN_TME_PY[[#All],[Advanced Network/Insurance Carrier Org ID]],Q178),0), "TRUE", ROUND(T178-SUMIFS(AN_TME_PY[[#All],[Count of Members with Claims Truncated]], AN_TME_PY[[#All],[Insurance Category Code]],2, AN_TME_PY[[#All],[Advanced Network/Insurance Carrier Org ID]],Q178),2))</f>
        <v>TRUE</v>
      </c>
      <c r="Z178" s="528" t="str">
        <f>IF(ROUND(U178,0)=ROUND(SUMIFS(AN_TME_PY[[#All],[TOTAL Non-Truncated Unadjusted Claims Expenses]], AN_TME_PY[[#All],[Insurance Category Code]],2, AN_TME_PY[[#All],[Advanced Network/Insurance Carrier Org ID]],Q178),0), "TRUE", ROUND(U178-SUMIFS(AN_TME_PY[[#All],[TOTAL Non-Truncated Unadjusted Claims Expenses]], AN_TME_PY[[#All],[Insurance Category Code]],2, AN_TME_PY[[#All],[Advanced Network/Insurance Carrier Org ID]],Q178),2))</f>
        <v>TRUE</v>
      </c>
      <c r="AA178" s="529" t="str">
        <f>IF(ROUND(V178,0)=ROUND(SUMIFS(AN_TME_PY[[#All],[TOTAL Truncated Unadjusted Claims Expenses (A21 -A19)]], AN_TME_PY[[#All],[Insurance Category Code]],2, AN_TME_PY[[#All],[Advanced Network/Insurance Carrier Org ID]],Q178),0), "TRUE", ROUND(V178-SUMIFS(AN_TME_PY[[#All],[TOTAL Truncated Unadjusted Claims Expenses (A21 -A19)]], AN_TME_PY[[#All],[Insurance Category Code]],2, AN_TME_PY[[#All],[Advanced Network/Insurance Carrier Org ID]],Q178),2))</f>
        <v>TRUE</v>
      </c>
      <c r="AB178" s="525" t="str">
        <f t="shared" si="16"/>
        <v>TRUE</v>
      </c>
      <c r="AC178" s="528" t="b">
        <f>ROUND(SUMIFS(AN_TME_PY[[#All],[TOTAL Non-Truncated Unadjusted Claims Expenses]], AN_TME_PY[[#All],[Insurance Category Code]],2, AN_TME_PY[[#All],[Advanced Network/Insurance Carrier Org ID]],Q178),2)&gt;=ROUND(SUMIFS(AN_TME_PY[[#All],[TOTAL Truncated Unadjusted Claims Expenses (A21 -A19)]], AN_TME_PY[[#All],[Insurance Category Code]],2, AN_TME_PY[[#All],[Advanced Network/Insurance Carrier Org ID]],Q178),2)</f>
        <v>1</v>
      </c>
      <c r="AD178" s="529" t="b">
        <f>ROUND(SUMIFS(AN_TME_PY[[#All],[TOTAL Truncated Unadjusted Claims Expenses (A21 -A19)]], AN_TME_PY[[#All],[Insurance Category Code]],2, AN_TME_PY[[#All],[Advanced Network/Insurance Carrier Org ID]],Q178)+SUMIFS(AN_TME_PY[[#All],[Total Claims Excluded because of Truncation]], AN_TME_PY[[#All],[Insurance Category Code]],2, AN_TME_PY[[#All],[Advanced Network/Insurance Carrier Org ID]],Q178), 2)=ROUND(SUMIFS(AN_TME_PY[[#All],[TOTAL Non-Truncated Unadjusted Claims Expenses]], AN_TME_PY[[#All],[Insurance Category Code]],2, AN_TME_PY[[#All],[Advanced Network/Insurance Carrier Org ID]],Q178),2)</f>
        <v>1</v>
      </c>
      <c r="AF178" s="283" t="str">
        <f t="shared" si="15"/>
        <v>NA</v>
      </c>
    </row>
    <row r="179" spans="2:32" outlineLevel="1" x14ac:dyDescent="0.25">
      <c r="B179" s="216">
        <v>123</v>
      </c>
      <c r="C179" s="404">
        <f>ROUND(SUMIFS(Age_Sex_BY[[#All],[Total Member Months by Age/Sex Band]], Age_Sex_BY[[#All],[Advanced Network ID]], $B179, Age_Sex_BY[[#All],[Insurance Category Code]],2),2)</f>
        <v>0</v>
      </c>
      <c r="D179" s="238">
        <f>ROUND(SUMIFS(Age_Sex_BY[[#All],[Total Dollars Excluded from Spending After Applying Truncation at the Member Level]], Age_Sex_BY[[#All],[Advanced Network ID]], $B179, Age_Sex_BY[[#All],[Insurance Category Code]],2),2)</f>
        <v>0</v>
      </c>
      <c r="E179" s="209">
        <f>ROUND(SUMIFS(Age_Sex_BY[[#All],[Count of Members whose Spending was Truncated]], Age_Sex_BY[[#All],[Advanced Network ID]], $B179, Age_Sex_BY[[#All],[Insurance Category Code]],2),2)</f>
        <v>0</v>
      </c>
      <c r="F179" s="210">
        <f>ROUND(SUMIFS(Age_Sex_BY[[#All],[Total Spending before Truncation is Applied]], Age_Sex_BY[[#All],[Advanced Network ID]], $B179, Age_Sex_BY[[#All],[Insurance Category Code]],2),2)</f>
        <v>0</v>
      </c>
      <c r="G179" s="212">
        <f>ROUND(SUMIFS(Age_Sex_BY[[#All],[Total Spending After Applying Truncation at the Member Level]], Age_Sex_BY[[#All],[Advanced Network ID]], $B179, Age_Sex_BY[[#All],[Insurance Category Code]],2),2)</f>
        <v>0</v>
      </c>
      <c r="H179" s="525" t="str">
        <f>IF(ROUND(C179,0)=ROUND(SUMIFS(AN_TME_BY[[#All],[Member Months]], AN_TME_BY[[#All],[Insurance Category Code]],2, AN_TME_BY[[#All],[Advanced Network/Insurance Carrier Org ID]],B179),0), "TRUE", ROUND(C179-SUMIFS(AN_TME_BY[[#All],[Member Months]], AN_TME_BY[[#All],[Insurance Category Code]],2, AN_TME_BY[[#All],[Advanced Network/Insurance Carrier Org ID]],B179),2))</f>
        <v>TRUE</v>
      </c>
      <c r="I179" s="533" t="str">
        <f>IF(ROUND(D179,0)=ROUND(SUMIFS(AN_TME_BY[[#All],[Total Claims Excluded because of Truncation]], AN_TME_BY[[#All],[Insurance Category Code]],2, AN_TME_BY[[#All],[Advanced Network/Insurance Carrier Org ID]],B179),0), "TRUE", ROUND(D179-SUMIFS(AN_TME_BY[[#All],[Total Claims Excluded because of Truncation]], AN_TME_BY[[#All],[Insurance Category Code]],2, AN_TME_BY[[#All],[Advanced Network/Insurance Carrier Org ID]],B179),2))</f>
        <v>TRUE</v>
      </c>
      <c r="J179" s="537" t="str">
        <f>IF(ROUND(E179,0)=ROUND(SUMIFS(AN_TME_BY[[#All],[Count of Members with Claims Truncated]], AN_TME_BY[[#All],[Insurance Category Code]],2, AN_TME_BY[[#All],[Advanced Network/Insurance Carrier Org ID]],B179),0), "TRUE", ROUND(E179-SUMIFS(AN_TME_BY[[#All],[Count of Members with Claims Truncated]], AN_TME_BY[[#All],[Insurance Category Code]],2, AN_TME_BY[[#All],[Advanced Network/Insurance Carrier Org ID]],B179),2))</f>
        <v>TRUE</v>
      </c>
      <c r="K179" s="533" t="str">
        <f>IF(ROUND(F179,0)=ROUND(SUMIFS(AN_TME_BY[[#All],[TOTAL Non-Truncated Unadjusted Claims Expenses]], AN_TME_BY[[#All],[Insurance Category Code]],2, AN_TME_BY[[#All],[Advanced Network/Insurance Carrier Org ID]],B179),0), "TRUE", ROUND(F179-SUMIFS(AN_TME_BY[[#All],[TOTAL Non-Truncated Unadjusted Claims Expenses]], AN_TME_BY[[#All],[Insurance Category Code]],2, AN_TME_BY[[#All],[Advanced Network/Insurance Carrier Org ID]],B179),2))</f>
        <v>TRUE</v>
      </c>
      <c r="L179" s="534" t="str">
        <f>IF(ROUND(G179,0)=ROUND(SUMIFS(AN_TME_BY[[#All],[TOTAL Truncated Unadjusted Claims Expenses (A21 -A19)]], AN_TME_BY[[#All],[Insurance Category Code]],2, AN_TME_BY[[#All],[Advanced Network/Insurance Carrier Org ID]],B179),0), "TRUE", ROUND(G179-SUMIFS(AN_TME_BY[[#All],[TOTAL Truncated Unadjusted Claims Expenses (A21 -A19)]], AN_TME_BY[[#All],[Insurance Category Code]],2, AN_TME_BY[[#All],[Advanced Network/Insurance Carrier Org ID]],B179),2))</f>
        <v>TRUE</v>
      </c>
      <c r="M179" s="525" t="str">
        <f t="shared" si="14"/>
        <v>TRUE</v>
      </c>
      <c r="N179" s="533" t="b">
        <f>ROUND(SUMIFS(AN_TME_BY[[#All],[TOTAL Non-Truncated Unadjusted Claims Expenses]], AN_TME_BY[[#All],[Insurance Category Code]],2, AN_TME_BY[[#All],[Advanced Network/Insurance Carrier Org ID]],B179),2)&gt;=ROUND(SUMIFS(AN_TME_BY[[#All],[TOTAL Truncated Unadjusted Claims Expenses (A21 -A19)]], AN_TME_BY[[#All],[Insurance Category Code]],2, AN_TME_BY[[#All],[Advanced Network/Insurance Carrier Org ID]],B179), 2)</f>
        <v>1</v>
      </c>
      <c r="O179" s="534" t="b">
        <f>ROUND(SUMIFS(AN_TME_BY[[#All],[TOTAL Truncated Unadjusted Claims Expenses (A21 -A19)]], AN_TME_BY[[#All],[Insurance Category Code]],2, AN_TME_BY[[#All],[Advanced Network/Insurance Carrier Org ID]],B179)+SUMIFS(AN_TME_BY[[#All],[Total Claims Excluded because of Truncation]], AN_TME_BY[[#All],[Insurance Category Code]],2, AN_TME_BY[[#All],[Advanced Network/Insurance Carrier Org ID]],B179),2)=ROUND(SUMIFS(AN_TME_BY[[#All],[TOTAL Non-Truncated Unadjusted Claims Expenses]], AN_TME_BY[[#All],[Insurance Category Code]],2, AN_TME_BY[[#All],[Advanced Network/Insurance Carrier Org ID]],B179), 2)</f>
        <v>1</v>
      </c>
      <c r="Q179" s="216">
        <v>123</v>
      </c>
      <c r="R179" s="404">
        <f>ROUND(SUMIFS(Age_Sex_PY[[#All],[Total Member Months by Age/Sex Band]], Age_Sex_PY[[#All],[Advanced Network ID]], $Q179, Age_Sex_PY[[#All],[Insurance Category Code]],2),2)</f>
        <v>0</v>
      </c>
      <c r="S179" s="238">
        <f>ROUND(SUMIFS(Age_Sex_PY[[#All],[Total Dollars Excluded from Spending After Applying Truncation at the Member Level]], Age_Sex_PY[[#All],[Advanced Network ID]], $B179, Age_Sex_PY[[#All],[Insurance Category Code]],2),2)</f>
        <v>0</v>
      </c>
      <c r="T179" s="209">
        <f>ROUND(SUMIFS(Age_Sex_PY[[#All],[Count of Members whose Spending was Truncated]], Age_Sex_PY[[#All],[Advanced Network ID]], $B179, Age_Sex_PY[[#All],[Insurance Category Code]],2),2)</f>
        <v>0</v>
      </c>
      <c r="U179" s="210">
        <f>ROUND(SUMIFS(Age_Sex_PY[[#All],[Total Spending before Truncation is Applied]], Age_Sex_PY[[#All],[Advanced Network ID]], $B179, Age_Sex_PY[[#All],[Insurance Category Code]],2),2)</f>
        <v>0</v>
      </c>
      <c r="V179" s="212">
        <f>ROUND(SUMIFS(Age_Sex_PY[[#All],[Total Spending After Applying Truncation at the Member Level]], Age_Sex_PY[[#All],[Advanced Network ID]], $B179, Age_Sex_PY[[#All],[Insurance Category Code]],2), 2)</f>
        <v>0</v>
      </c>
      <c r="W179" s="525" t="str">
        <f>IF(ROUND(R179,0)=ROUND(SUMIFS(AN_TME_PY[[#All],[Member Months]], AN_TME_PY[[#All],[Insurance Category Code]],2, AN_TME_PY[[#All],[Advanced Network/Insurance Carrier Org ID]],Q179),0), "TRUE", ROUND(R179-SUMIFS(AN_TME_PY[[#All],[Member Months]], AN_TME_PY[[#All],[Insurance Category Code]],2, AN_TME_PY[[#All],[Advanced Network/Insurance Carrier Org ID]],Q179),2))</f>
        <v>TRUE</v>
      </c>
      <c r="X179" s="527" t="str">
        <f>IF(ROUND(S179,0)=ROUND(SUMIFS(AN_TME_PY[[#All],[Total Claims Excluded because of Truncation]], AN_TME_PY[[#All],[Insurance Category Code]],2, AN_TME_PY[[#All],[Advanced Network/Insurance Carrier Org ID]],Q179),0), "TRUE", ROUND(S179-SUMIFS(AN_TME_PY[[#All],[Total Claims Excluded because of Truncation]], AN_TME_PY[[#All],[Insurance Category Code]],2, AN_TME_PY[[#All],[Advanced Network/Insurance Carrier Org ID]],Q179),2))</f>
        <v>TRUE</v>
      </c>
      <c r="Y179" s="537" t="str">
        <f>IF(ROUND(T179,0)=ROUND(SUMIFS(AN_TME_PY[[#All],[Count of Members with Claims Truncated]], AN_TME_PY[[#All],[Insurance Category Code]],2, AN_TME_PY[[#All],[Advanced Network/Insurance Carrier Org ID]],Q179),0), "TRUE", ROUND(T179-SUMIFS(AN_TME_PY[[#All],[Count of Members with Claims Truncated]], AN_TME_PY[[#All],[Insurance Category Code]],2, AN_TME_PY[[#All],[Advanced Network/Insurance Carrier Org ID]],Q179),2))</f>
        <v>TRUE</v>
      </c>
      <c r="Z179" s="528" t="str">
        <f>IF(ROUND(U179,0)=ROUND(SUMIFS(AN_TME_PY[[#All],[TOTAL Non-Truncated Unadjusted Claims Expenses]], AN_TME_PY[[#All],[Insurance Category Code]],2, AN_TME_PY[[#All],[Advanced Network/Insurance Carrier Org ID]],Q179),0), "TRUE", ROUND(U179-SUMIFS(AN_TME_PY[[#All],[TOTAL Non-Truncated Unadjusted Claims Expenses]], AN_TME_PY[[#All],[Insurance Category Code]],2, AN_TME_PY[[#All],[Advanced Network/Insurance Carrier Org ID]],Q179),2))</f>
        <v>TRUE</v>
      </c>
      <c r="AA179" s="529" t="str">
        <f>IF(ROUND(V179,0)=ROUND(SUMIFS(AN_TME_PY[[#All],[TOTAL Truncated Unadjusted Claims Expenses (A21 -A19)]], AN_TME_PY[[#All],[Insurance Category Code]],2, AN_TME_PY[[#All],[Advanced Network/Insurance Carrier Org ID]],Q179),0), "TRUE", ROUND(V179-SUMIFS(AN_TME_PY[[#All],[TOTAL Truncated Unadjusted Claims Expenses (A21 -A19)]], AN_TME_PY[[#All],[Insurance Category Code]],2, AN_TME_PY[[#All],[Advanced Network/Insurance Carrier Org ID]],Q179),2))</f>
        <v>TRUE</v>
      </c>
      <c r="AB179" s="525" t="str">
        <f t="shared" si="16"/>
        <v>TRUE</v>
      </c>
      <c r="AC179" s="528" t="b">
        <f>ROUND(SUMIFS(AN_TME_PY[[#All],[TOTAL Non-Truncated Unadjusted Claims Expenses]], AN_TME_PY[[#All],[Insurance Category Code]],2, AN_TME_PY[[#All],[Advanced Network/Insurance Carrier Org ID]],Q179),2)&gt;=ROUND(SUMIFS(AN_TME_PY[[#All],[TOTAL Truncated Unadjusted Claims Expenses (A21 -A19)]], AN_TME_PY[[#All],[Insurance Category Code]],2, AN_TME_PY[[#All],[Advanced Network/Insurance Carrier Org ID]],Q179),2)</f>
        <v>1</v>
      </c>
      <c r="AD179" s="529" t="b">
        <f>ROUND(SUMIFS(AN_TME_PY[[#All],[TOTAL Truncated Unadjusted Claims Expenses (A21 -A19)]], AN_TME_PY[[#All],[Insurance Category Code]],2, AN_TME_PY[[#All],[Advanced Network/Insurance Carrier Org ID]],Q179)+SUMIFS(AN_TME_PY[[#All],[Total Claims Excluded because of Truncation]], AN_TME_PY[[#All],[Insurance Category Code]],2, AN_TME_PY[[#All],[Advanced Network/Insurance Carrier Org ID]],Q179), 2)=ROUND(SUMIFS(AN_TME_PY[[#All],[TOTAL Non-Truncated Unadjusted Claims Expenses]], AN_TME_PY[[#All],[Insurance Category Code]],2, AN_TME_PY[[#All],[Advanced Network/Insurance Carrier Org ID]],Q179),2)</f>
        <v>1</v>
      </c>
      <c r="AF179" s="283" t="str">
        <f t="shared" si="15"/>
        <v>NA</v>
      </c>
    </row>
    <row r="180" spans="2:32" outlineLevel="1" x14ac:dyDescent="0.25">
      <c r="B180" s="216">
        <v>124</v>
      </c>
      <c r="C180" s="404">
        <f>ROUND(SUMIFS(Age_Sex_BY[[#All],[Total Member Months by Age/Sex Band]], Age_Sex_BY[[#All],[Advanced Network ID]], $B180, Age_Sex_BY[[#All],[Insurance Category Code]],2),2)</f>
        <v>0</v>
      </c>
      <c r="D180" s="238">
        <f>ROUND(SUMIFS(Age_Sex_BY[[#All],[Total Dollars Excluded from Spending After Applying Truncation at the Member Level]], Age_Sex_BY[[#All],[Advanced Network ID]], $B180, Age_Sex_BY[[#All],[Insurance Category Code]],2),2)</f>
        <v>0</v>
      </c>
      <c r="E180" s="209">
        <f>ROUND(SUMIFS(Age_Sex_BY[[#All],[Count of Members whose Spending was Truncated]], Age_Sex_BY[[#All],[Advanced Network ID]], $B180, Age_Sex_BY[[#All],[Insurance Category Code]],2),2)</f>
        <v>0</v>
      </c>
      <c r="F180" s="210">
        <f>ROUND(SUMIFS(Age_Sex_BY[[#All],[Total Spending before Truncation is Applied]], Age_Sex_BY[[#All],[Advanced Network ID]], $B180, Age_Sex_BY[[#All],[Insurance Category Code]],2),2)</f>
        <v>0</v>
      </c>
      <c r="G180" s="212">
        <f>ROUND(SUMIFS(Age_Sex_BY[[#All],[Total Spending After Applying Truncation at the Member Level]], Age_Sex_BY[[#All],[Advanced Network ID]], $B180, Age_Sex_BY[[#All],[Insurance Category Code]],2),2)</f>
        <v>0</v>
      </c>
      <c r="H180" s="525" t="str">
        <f>IF(ROUND(C180,0)=ROUND(SUMIFS(AN_TME_BY[[#All],[Member Months]], AN_TME_BY[[#All],[Insurance Category Code]],2, AN_TME_BY[[#All],[Advanced Network/Insurance Carrier Org ID]],B180),0), "TRUE", ROUND(C180-SUMIFS(AN_TME_BY[[#All],[Member Months]], AN_TME_BY[[#All],[Insurance Category Code]],2, AN_TME_BY[[#All],[Advanced Network/Insurance Carrier Org ID]],B180),2))</f>
        <v>TRUE</v>
      </c>
      <c r="I180" s="533" t="str">
        <f>IF(ROUND(D180,0)=ROUND(SUMIFS(AN_TME_BY[[#All],[Total Claims Excluded because of Truncation]], AN_TME_BY[[#All],[Insurance Category Code]],2, AN_TME_BY[[#All],[Advanced Network/Insurance Carrier Org ID]],B180),0), "TRUE", ROUND(D180-SUMIFS(AN_TME_BY[[#All],[Total Claims Excluded because of Truncation]], AN_TME_BY[[#All],[Insurance Category Code]],2, AN_TME_BY[[#All],[Advanced Network/Insurance Carrier Org ID]],B180),2))</f>
        <v>TRUE</v>
      </c>
      <c r="J180" s="537" t="str">
        <f>IF(ROUND(E180,0)=ROUND(SUMIFS(AN_TME_BY[[#All],[Count of Members with Claims Truncated]], AN_TME_BY[[#All],[Insurance Category Code]],2, AN_TME_BY[[#All],[Advanced Network/Insurance Carrier Org ID]],B180),0), "TRUE", ROUND(E180-SUMIFS(AN_TME_BY[[#All],[Count of Members with Claims Truncated]], AN_TME_BY[[#All],[Insurance Category Code]],2, AN_TME_BY[[#All],[Advanced Network/Insurance Carrier Org ID]],B180),2))</f>
        <v>TRUE</v>
      </c>
      <c r="K180" s="533" t="str">
        <f>IF(ROUND(F180,0)=ROUND(SUMIFS(AN_TME_BY[[#All],[TOTAL Non-Truncated Unadjusted Claims Expenses]], AN_TME_BY[[#All],[Insurance Category Code]],2, AN_TME_BY[[#All],[Advanced Network/Insurance Carrier Org ID]],B180),0), "TRUE", ROUND(F180-SUMIFS(AN_TME_BY[[#All],[TOTAL Non-Truncated Unadjusted Claims Expenses]], AN_TME_BY[[#All],[Insurance Category Code]],2, AN_TME_BY[[#All],[Advanced Network/Insurance Carrier Org ID]],B180),2))</f>
        <v>TRUE</v>
      </c>
      <c r="L180" s="534" t="str">
        <f>IF(ROUND(G180,0)=ROUND(SUMIFS(AN_TME_BY[[#All],[TOTAL Truncated Unadjusted Claims Expenses (A21 -A19)]], AN_TME_BY[[#All],[Insurance Category Code]],2, AN_TME_BY[[#All],[Advanced Network/Insurance Carrier Org ID]],B180),0), "TRUE", ROUND(G180-SUMIFS(AN_TME_BY[[#All],[TOTAL Truncated Unadjusted Claims Expenses (A21 -A19)]], AN_TME_BY[[#All],[Insurance Category Code]],2, AN_TME_BY[[#All],[Advanced Network/Insurance Carrier Org ID]],B180),2))</f>
        <v>TRUE</v>
      </c>
      <c r="M180" s="525" t="str">
        <f t="shared" si="14"/>
        <v>TRUE</v>
      </c>
      <c r="N180" s="533" t="b">
        <f>ROUND(SUMIFS(AN_TME_BY[[#All],[TOTAL Non-Truncated Unadjusted Claims Expenses]], AN_TME_BY[[#All],[Insurance Category Code]],2, AN_TME_BY[[#All],[Advanced Network/Insurance Carrier Org ID]],B180),2)&gt;=ROUND(SUMIFS(AN_TME_BY[[#All],[TOTAL Truncated Unadjusted Claims Expenses (A21 -A19)]], AN_TME_BY[[#All],[Insurance Category Code]],2, AN_TME_BY[[#All],[Advanced Network/Insurance Carrier Org ID]],B180), 2)</f>
        <v>1</v>
      </c>
      <c r="O180" s="534" t="b">
        <f>ROUND(SUMIFS(AN_TME_BY[[#All],[TOTAL Truncated Unadjusted Claims Expenses (A21 -A19)]], AN_TME_BY[[#All],[Insurance Category Code]],2, AN_TME_BY[[#All],[Advanced Network/Insurance Carrier Org ID]],B180)+SUMIFS(AN_TME_BY[[#All],[Total Claims Excluded because of Truncation]], AN_TME_BY[[#All],[Insurance Category Code]],2, AN_TME_BY[[#All],[Advanced Network/Insurance Carrier Org ID]],B180),2)=ROUND(SUMIFS(AN_TME_BY[[#All],[TOTAL Non-Truncated Unadjusted Claims Expenses]], AN_TME_BY[[#All],[Insurance Category Code]],2, AN_TME_BY[[#All],[Advanced Network/Insurance Carrier Org ID]],B180), 2)</f>
        <v>1</v>
      </c>
      <c r="Q180" s="216">
        <v>124</v>
      </c>
      <c r="R180" s="404">
        <f>ROUND(SUMIFS(Age_Sex_PY[[#All],[Total Member Months by Age/Sex Band]], Age_Sex_PY[[#All],[Advanced Network ID]], $Q180, Age_Sex_PY[[#All],[Insurance Category Code]],2),2)</f>
        <v>0</v>
      </c>
      <c r="S180" s="238">
        <f>ROUND(SUMIFS(Age_Sex_PY[[#All],[Total Dollars Excluded from Spending After Applying Truncation at the Member Level]], Age_Sex_PY[[#All],[Advanced Network ID]], $B180, Age_Sex_PY[[#All],[Insurance Category Code]],2),2)</f>
        <v>0</v>
      </c>
      <c r="T180" s="209">
        <f>ROUND(SUMIFS(Age_Sex_PY[[#All],[Count of Members whose Spending was Truncated]], Age_Sex_PY[[#All],[Advanced Network ID]], $B180, Age_Sex_PY[[#All],[Insurance Category Code]],2),2)</f>
        <v>0</v>
      </c>
      <c r="U180" s="210">
        <f>ROUND(SUMIFS(Age_Sex_PY[[#All],[Total Spending before Truncation is Applied]], Age_Sex_PY[[#All],[Advanced Network ID]], $B180, Age_Sex_PY[[#All],[Insurance Category Code]],2),2)</f>
        <v>0</v>
      </c>
      <c r="V180" s="212">
        <f>ROUND(SUMIFS(Age_Sex_PY[[#All],[Total Spending After Applying Truncation at the Member Level]], Age_Sex_PY[[#All],[Advanced Network ID]], $B180, Age_Sex_PY[[#All],[Insurance Category Code]],2), 2)</f>
        <v>0</v>
      </c>
      <c r="W180" s="525" t="str">
        <f>IF(ROUND(R180,0)=ROUND(SUMIFS(AN_TME_PY[[#All],[Member Months]], AN_TME_PY[[#All],[Insurance Category Code]],2, AN_TME_PY[[#All],[Advanced Network/Insurance Carrier Org ID]],Q180),0), "TRUE", ROUND(R180-SUMIFS(AN_TME_PY[[#All],[Member Months]], AN_TME_PY[[#All],[Insurance Category Code]],2, AN_TME_PY[[#All],[Advanced Network/Insurance Carrier Org ID]],Q180),2))</f>
        <v>TRUE</v>
      </c>
      <c r="X180" s="527" t="str">
        <f>IF(ROUND(S180,0)=ROUND(SUMIFS(AN_TME_PY[[#All],[Total Claims Excluded because of Truncation]], AN_TME_PY[[#All],[Insurance Category Code]],2, AN_TME_PY[[#All],[Advanced Network/Insurance Carrier Org ID]],Q180),0), "TRUE", ROUND(S180-SUMIFS(AN_TME_PY[[#All],[Total Claims Excluded because of Truncation]], AN_TME_PY[[#All],[Insurance Category Code]],2, AN_TME_PY[[#All],[Advanced Network/Insurance Carrier Org ID]],Q180),2))</f>
        <v>TRUE</v>
      </c>
      <c r="Y180" s="537" t="str">
        <f>IF(ROUND(T180,0)=ROUND(SUMIFS(AN_TME_PY[[#All],[Count of Members with Claims Truncated]], AN_TME_PY[[#All],[Insurance Category Code]],2, AN_TME_PY[[#All],[Advanced Network/Insurance Carrier Org ID]],Q180),0), "TRUE", ROUND(T180-SUMIFS(AN_TME_PY[[#All],[Count of Members with Claims Truncated]], AN_TME_PY[[#All],[Insurance Category Code]],2, AN_TME_PY[[#All],[Advanced Network/Insurance Carrier Org ID]],Q180),2))</f>
        <v>TRUE</v>
      </c>
      <c r="Z180" s="528" t="str">
        <f>IF(ROUND(U180,0)=ROUND(SUMIFS(AN_TME_PY[[#All],[TOTAL Non-Truncated Unadjusted Claims Expenses]], AN_TME_PY[[#All],[Insurance Category Code]],2, AN_TME_PY[[#All],[Advanced Network/Insurance Carrier Org ID]],Q180),0), "TRUE", ROUND(U180-SUMIFS(AN_TME_PY[[#All],[TOTAL Non-Truncated Unadjusted Claims Expenses]], AN_TME_PY[[#All],[Insurance Category Code]],2, AN_TME_PY[[#All],[Advanced Network/Insurance Carrier Org ID]],Q180),2))</f>
        <v>TRUE</v>
      </c>
      <c r="AA180" s="529" t="str">
        <f>IF(ROUND(V180,0)=ROUND(SUMIFS(AN_TME_PY[[#All],[TOTAL Truncated Unadjusted Claims Expenses (A21 -A19)]], AN_TME_PY[[#All],[Insurance Category Code]],2, AN_TME_PY[[#All],[Advanced Network/Insurance Carrier Org ID]],Q180),0), "TRUE", ROUND(V180-SUMIFS(AN_TME_PY[[#All],[TOTAL Truncated Unadjusted Claims Expenses (A21 -A19)]], AN_TME_PY[[#All],[Insurance Category Code]],2, AN_TME_PY[[#All],[Advanced Network/Insurance Carrier Org ID]],Q180),2))</f>
        <v>TRUE</v>
      </c>
      <c r="AB180" s="525" t="str">
        <f t="shared" si="16"/>
        <v>TRUE</v>
      </c>
      <c r="AC180" s="528" t="b">
        <f>ROUND(SUMIFS(AN_TME_PY[[#All],[TOTAL Non-Truncated Unadjusted Claims Expenses]], AN_TME_PY[[#All],[Insurance Category Code]],2, AN_TME_PY[[#All],[Advanced Network/Insurance Carrier Org ID]],Q180),2)&gt;=ROUND(SUMIFS(AN_TME_PY[[#All],[TOTAL Truncated Unadjusted Claims Expenses (A21 -A19)]], AN_TME_PY[[#All],[Insurance Category Code]],2, AN_TME_PY[[#All],[Advanced Network/Insurance Carrier Org ID]],Q180),2)</f>
        <v>1</v>
      </c>
      <c r="AD180" s="529" t="b">
        <f>ROUND(SUMIFS(AN_TME_PY[[#All],[TOTAL Truncated Unadjusted Claims Expenses (A21 -A19)]], AN_TME_PY[[#All],[Insurance Category Code]],2, AN_TME_PY[[#All],[Advanced Network/Insurance Carrier Org ID]],Q180)+SUMIFS(AN_TME_PY[[#All],[Total Claims Excluded because of Truncation]], AN_TME_PY[[#All],[Insurance Category Code]],2, AN_TME_PY[[#All],[Advanced Network/Insurance Carrier Org ID]],Q180), 2)=ROUND(SUMIFS(AN_TME_PY[[#All],[TOTAL Non-Truncated Unadjusted Claims Expenses]], AN_TME_PY[[#All],[Insurance Category Code]],2, AN_TME_PY[[#All],[Advanced Network/Insurance Carrier Org ID]],Q180),2)</f>
        <v>1</v>
      </c>
      <c r="AF180" s="283" t="str">
        <f t="shared" si="15"/>
        <v>NA</v>
      </c>
    </row>
    <row r="181" spans="2:32" outlineLevel="1" x14ac:dyDescent="0.25">
      <c r="B181" s="216">
        <v>125</v>
      </c>
      <c r="C181" s="404">
        <f>ROUND(SUMIFS(Age_Sex_BY[[#All],[Total Member Months by Age/Sex Band]], Age_Sex_BY[[#All],[Advanced Network ID]], $B181, Age_Sex_BY[[#All],[Insurance Category Code]],2),2)</f>
        <v>0</v>
      </c>
      <c r="D181" s="238">
        <f>ROUND(SUMIFS(Age_Sex_BY[[#All],[Total Dollars Excluded from Spending After Applying Truncation at the Member Level]], Age_Sex_BY[[#All],[Advanced Network ID]], $B181, Age_Sex_BY[[#All],[Insurance Category Code]],2),2)</f>
        <v>0</v>
      </c>
      <c r="E181" s="209">
        <f>ROUND(SUMIFS(Age_Sex_BY[[#All],[Count of Members whose Spending was Truncated]], Age_Sex_BY[[#All],[Advanced Network ID]], $B181, Age_Sex_BY[[#All],[Insurance Category Code]],2),2)</f>
        <v>0</v>
      </c>
      <c r="F181" s="210">
        <f>ROUND(SUMIFS(Age_Sex_BY[[#All],[Total Spending before Truncation is Applied]], Age_Sex_BY[[#All],[Advanced Network ID]], $B181, Age_Sex_BY[[#All],[Insurance Category Code]],2),2)</f>
        <v>0</v>
      </c>
      <c r="G181" s="212">
        <f>ROUND(SUMIFS(Age_Sex_BY[[#All],[Total Spending After Applying Truncation at the Member Level]], Age_Sex_BY[[#All],[Advanced Network ID]], $B181, Age_Sex_BY[[#All],[Insurance Category Code]],2),2)</f>
        <v>0</v>
      </c>
      <c r="H181" s="525" t="str">
        <f>IF(ROUND(C181,0)=ROUND(SUMIFS(AN_TME_BY[[#All],[Member Months]], AN_TME_BY[[#All],[Insurance Category Code]],2, AN_TME_BY[[#All],[Advanced Network/Insurance Carrier Org ID]],B181),0), "TRUE", ROUND(C181-SUMIFS(AN_TME_BY[[#All],[Member Months]], AN_TME_BY[[#All],[Insurance Category Code]],2, AN_TME_BY[[#All],[Advanced Network/Insurance Carrier Org ID]],B181),2))</f>
        <v>TRUE</v>
      </c>
      <c r="I181" s="533" t="str">
        <f>IF(ROUND(D181,0)=ROUND(SUMIFS(AN_TME_BY[[#All],[Total Claims Excluded because of Truncation]], AN_TME_BY[[#All],[Insurance Category Code]],2, AN_TME_BY[[#All],[Advanced Network/Insurance Carrier Org ID]],B181),0), "TRUE", ROUND(D181-SUMIFS(AN_TME_BY[[#All],[Total Claims Excluded because of Truncation]], AN_TME_BY[[#All],[Insurance Category Code]],2, AN_TME_BY[[#All],[Advanced Network/Insurance Carrier Org ID]],B181),2))</f>
        <v>TRUE</v>
      </c>
      <c r="J181" s="537" t="str">
        <f>IF(ROUND(E181,0)=ROUND(SUMIFS(AN_TME_BY[[#All],[Count of Members with Claims Truncated]], AN_TME_BY[[#All],[Insurance Category Code]],2, AN_TME_BY[[#All],[Advanced Network/Insurance Carrier Org ID]],B181),0), "TRUE", ROUND(E181-SUMIFS(AN_TME_BY[[#All],[Count of Members with Claims Truncated]], AN_TME_BY[[#All],[Insurance Category Code]],2, AN_TME_BY[[#All],[Advanced Network/Insurance Carrier Org ID]],B181),2))</f>
        <v>TRUE</v>
      </c>
      <c r="K181" s="533" t="str">
        <f>IF(ROUND(F181,0)=ROUND(SUMIFS(AN_TME_BY[[#All],[TOTAL Non-Truncated Unadjusted Claims Expenses]], AN_TME_BY[[#All],[Insurance Category Code]],2, AN_TME_BY[[#All],[Advanced Network/Insurance Carrier Org ID]],B181),0), "TRUE", ROUND(F181-SUMIFS(AN_TME_BY[[#All],[TOTAL Non-Truncated Unadjusted Claims Expenses]], AN_TME_BY[[#All],[Insurance Category Code]],2, AN_TME_BY[[#All],[Advanced Network/Insurance Carrier Org ID]],B181),2))</f>
        <v>TRUE</v>
      </c>
      <c r="L181" s="534" t="str">
        <f>IF(ROUND(G181,0)=ROUND(SUMIFS(AN_TME_BY[[#All],[TOTAL Truncated Unadjusted Claims Expenses (A21 -A19)]], AN_TME_BY[[#All],[Insurance Category Code]],2, AN_TME_BY[[#All],[Advanced Network/Insurance Carrier Org ID]],B181),0), "TRUE", ROUND(G181-SUMIFS(AN_TME_BY[[#All],[TOTAL Truncated Unadjusted Claims Expenses (A21 -A19)]], AN_TME_BY[[#All],[Insurance Category Code]],2, AN_TME_BY[[#All],[Advanced Network/Insurance Carrier Org ID]],B181),2))</f>
        <v>TRUE</v>
      </c>
      <c r="M181" s="525" t="str">
        <f t="shared" si="14"/>
        <v>TRUE</v>
      </c>
      <c r="N181" s="533" t="b">
        <f>ROUND(SUMIFS(AN_TME_BY[[#All],[TOTAL Non-Truncated Unadjusted Claims Expenses]], AN_TME_BY[[#All],[Insurance Category Code]],2, AN_TME_BY[[#All],[Advanced Network/Insurance Carrier Org ID]],B181),2)&gt;=ROUND(SUMIFS(AN_TME_BY[[#All],[TOTAL Truncated Unadjusted Claims Expenses (A21 -A19)]], AN_TME_BY[[#All],[Insurance Category Code]],2, AN_TME_BY[[#All],[Advanced Network/Insurance Carrier Org ID]],B181), 2)</f>
        <v>1</v>
      </c>
      <c r="O181" s="534" t="b">
        <f>ROUND(SUMIFS(AN_TME_BY[[#All],[TOTAL Truncated Unadjusted Claims Expenses (A21 -A19)]], AN_TME_BY[[#All],[Insurance Category Code]],2, AN_TME_BY[[#All],[Advanced Network/Insurance Carrier Org ID]],B181)+SUMIFS(AN_TME_BY[[#All],[Total Claims Excluded because of Truncation]], AN_TME_BY[[#All],[Insurance Category Code]],2, AN_TME_BY[[#All],[Advanced Network/Insurance Carrier Org ID]],B181),2)=ROUND(SUMIFS(AN_TME_BY[[#All],[TOTAL Non-Truncated Unadjusted Claims Expenses]], AN_TME_BY[[#All],[Insurance Category Code]],2, AN_TME_BY[[#All],[Advanced Network/Insurance Carrier Org ID]],B181), 2)</f>
        <v>1</v>
      </c>
      <c r="Q181" s="216">
        <v>125</v>
      </c>
      <c r="R181" s="404">
        <f>ROUND(SUMIFS(Age_Sex_PY[[#All],[Total Member Months by Age/Sex Band]], Age_Sex_PY[[#All],[Advanced Network ID]], $Q181, Age_Sex_PY[[#All],[Insurance Category Code]],2),2)</f>
        <v>0</v>
      </c>
      <c r="S181" s="238">
        <f>ROUND(SUMIFS(Age_Sex_PY[[#All],[Total Dollars Excluded from Spending After Applying Truncation at the Member Level]], Age_Sex_PY[[#All],[Advanced Network ID]], $B181, Age_Sex_PY[[#All],[Insurance Category Code]],2),2)</f>
        <v>0</v>
      </c>
      <c r="T181" s="209">
        <f>ROUND(SUMIFS(Age_Sex_PY[[#All],[Count of Members whose Spending was Truncated]], Age_Sex_PY[[#All],[Advanced Network ID]], $B181, Age_Sex_PY[[#All],[Insurance Category Code]],2),2)</f>
        <v>0</v>
      </c>
      <c r="U181" s="210">
        <f>ROUND(SUMIFS(Age_Sex_PY[[#All],[Total Spending before Truncation is Applied]], Age_Sex_PY[[#All],[Advanced Network ID]], $B181, Age_Sex_PY[[#All],[Insurance Category Code]],2),2)</f>
        <v>0</v>
      </c>
      <c r="V181" s="212">
        <f>ROUND(SUMIFS(Age_Sex_PY[[#All],[Total Spending After Applying Truncation at the Member Level]], Age_Sex_PY[[#All],[Advanced Network ID]], $B181, Age_Sex_PY[[#All],[Insurance Category Code]],2), 2)</f>
        <v>0</v>
      </c>
      <c r="W181" s="525" t="str">
        <f>IF(ROUND(R181,0)=ROUND(SUMIFS(AN_TME_PY[[#All],[Member Months]], AN_TME_PY[[#All],[Insurance Category Code]],2, AN_TME_PY[[#All],[Advanced Network/Insurance Carrier Org ID]],Q181),0), "TRUE", ROUND(R181-SUMIFS(AN_TME_PY[[#All],[Member Months]], AN_TME_PY[[#All],[Insurance Category Code]],2, AN_TME_PY[[#All],[Advanced Network/Insurance Carrier Org ID]],Q181),2))</f>
        <v>TRUE</v>
      </c>
      <c r="X181" s="527" t="str">
        <f>IF(ROUND(S181,0)=ROUND(SUMIFS(AN_TME_PY[[#All],[Total Claims Excluded because of Truncation]], AN_TME_PY[[#All],[Insurance Category Code]],2, AN_TME_PY[[#All],[Advanced Network/Insurance Carrier Org ID]],Q181),0), "TRUE", ROUND(S181-SUMIFS(AN_TME_PY[[#All],[Total Claims Excluded because of Truncation]], AN_TME_PY[[#All],[Insurance Category Code]],2, AN_TME_PY[[#All],[Advanced Network/Insurance Carrier Org ID]],Q181),2))</f>
        <v>TRUE</v>
      </c>
      <c r="Y181" s="537" t="str">
        <f>IF(ROUND(T181,0)=ROUND(SUMIFS(AN_TME_PY[[#All],[Count of Members with Claims Truncated]], AN_TME_PY[[#All],[Insurance Category Code]],2, AN_TME_PY[[#All],[Advanced Network/Insurance Carrier Org ID]],Q181),0), "TRUE", ROUND(T181-SUMIFS(AN_TME_PY[[#All],[Count of Members with Claims Truncated]], AN_TME_PY[[#All],[Insurance Category Code]],2, AN_TME_PY[[#All],[Advanced Network/Insurance Carrier Org ID]],Q181),2))</f>
        <v>TRUE</v>
      </c>
      <c r="Z181" s="528" t="str">
        <f>IF(ROUND(U181,0)=ROUND(SUMIFS(AN_TME_PY[[#All],[TOTAL Non-Truncated Unadjusted Claims Expenses]], AN_TME_PY[[#All],[Insurance Category Code]],2, AN_TME_PY[[#All],[Advanced Network/Insurance Carrier Org ID]],Q181),0), "TRUE", ROUND(U181-SUMIFS(AN_TME_PY[[#All],[TOTAL Non-Truncated Unadjusted Claims Expenses]], AN_TME_PY[[#All],[Insurance Category Code]],2, AN_TME_PY[[#All],[Advanced Network/Insurance Carrier Org ID]],Q181),2))</f>
        <v>TRUE</v>
      </c>
      <c r="AA181" s="529" t="str">
        <f>IF(ROUND(V181,0)=ROUND(SUMIFS(AN_TME_PY[[#All],[TOTAL Truncated Unadjusted Claims Expenses (A21 -A19)]], AN_TME_PY[[#All],[Insurance Category Code]],2, AN_TME_PY[[#All],[Advanced Network/Insurance Carrier Org ID]],Q181),0), "TRUE", ROUND(V181-SUMIFS(AN_TME_PY[[#All],[TOTAL Truncated Unadjusted Claims Expenses (A21 -A19)]], AN_TME_PY[[#All],[Insurance Category Code]],2, AN_TME_PY[[#All],[Advanced Network/Insurance Carrier Org ID]],Q181),2))</f>
        <v>TRUE</v>
      </c>
      <c r="AB181" s="525" t="str">
        <f t="shared" si="16"/>
        <v>TRUE</v>
      </c>
      <c r="AC181" s="528" t="b">
        <f>ROUND(SUMIFS(AN_TME_PY[[#All],[TOTAL Non-Truncated Unadjusted Claims Expenses]], AN_TME_PY[[#All],[Insurance Category Code]],2, AN_TME_PY[[#All],[Advanced Network/Insurance Carrier Org ID]],Q181),2)&gt;=ROUND(SUMIFS(AN_TME_PY[[#All],[TOTAL Truncated Unadjusted Claims Expenses (A21 -A19)]], AN_TME_PY[[#All],[Insurance Category Code]],2, AN_TME_PY[[#All],[Advanced Network/Insurance Carrier Org ID]],Q181),2)</f>
        <v>1</v>
      </c>
      <c r="AD181" s="529" t="b">
        <f>ROUND(SUMIFS(AN_TME_PY[[#All],[TOTAL Truncated Unadjusted Claims Expenses (A21 -A19)]], AN_TME_PY[[#All],[Insurance Category Code]],2, AN_TME_PY[[#All],[Advanced Network/Insurance Carrier Org ID]],Q181)+SUMIFS(AN_TME_PY[[#All],[Total Claims Excluded because of Truncation]], AN_TME_PY[[#All],[Insurance Category Code]],2, AN_TME_PY[[#All],[Advanced Network/Insurance Carrier Org ID]],Q181), 2)=ROUND(SUMIFS(AN_TME_PY[[#All],[TOTAL Non-Truncated Unadjusted Claims Expenses]], AN_TME_PY[[#All],[Insurance Category Code]],2, AN_TME_PY[[#All],[Advanced Network/Insurance Carrier Org ID]],Q181),2)</f>
        <v>1</v>
      </c>
      <c r="AF181" s="283" t="str">
        <f t="shared" si="15"/>
        <v>NA</v>
      </c>
    </row>
    <row r="182" spans="2:32" outlineLevel="1" x14ac:dyDescent="0.25">
      <c r="B182" s="216">
        <v>126</v>
      </c>
      <c r="C182" s="404">
        <f>ROUND(SUMIFS(Age_Sex_BY[[#All],[Total Member Months by Age/Sex Band]], Age_Sex_BY[[#All],[Advanced Network ID]], $B182, Age_Sex_BY[[#All],[Insurance Category Code]],2),2)</f>
        <v>0</v>
      </c>
      <c r="D182" s="238">
        <f>ROUND(SUMIFS(Age_Sex_BY[[#All],[Total Dollars Excluded from Spending After Applying Truncation at the Member Level]], Age_Sex_BY[[#All],[Advanced Network ID]], $B182, Age_Sex_BY[[#All],[Insurance Category Code]],2),2)</f>
        <v>0</v>
      </c>
      <c r="E182" s="209">
        <f>ROUND(SUMIFS(Age_Sex_BY[[#All],[Count of Members whose Spending was Truncated]], Age_Sex_BY[[#All],[Advanced Network ID]], $B182, Age_Sex_BY[[#All],[Insurance Category Code]],2),2)</f>
        <v>0</v>
      </c>
      <c r="F182" s="210">
        <f>ROUND(SUMIFS(Age_Sex_BY[[#All],[Total Spending before Truncation is Applied]], Age_Sex_BY[[#All],[Advanced Network ID]], $B182, Age_Sex_BY[[#All],[Insurance Category Code]],2),2)</f>
        <v>0</v>
      </c>
      <c r="G182" s="212">
        <f>ROUND(SUMIFS(Age_Sex_BY[[#All],[Total Spending After Applying Truncation at the Member Level]], Age_Sex_BY[[#All],[Advanced Network ID]], $B182, Age_Sex_BY[[#All],[Insurance Category Code]],2),2)</f>
        <v>0</v>
      </c>
      <c r="H182" s="525" t="str">
        <f>IF(ROUND(C182,0)=ROUND(SUMIFS(AN_TME_BY[[#All],[Member Months]], AN_TME_BY[[#All],[Insurance Category Code]],2, AN_TME_BY[[#All],[Advanced Network/Insurance Carrier Org ID]],B182),0), "TRUE", ROUND(C182-SUMIFS(AN_TME_BY[[#All],[Member Months]], AN_TME_BY[[#All],[Insurance Category Code]],2, AN_TME_BY[[#All],[Advanced Network/Insurance Carrier Org ID]],B182),2))</f>
        <v>TRUE</v>
      </c>
      <c r="I182" s="533" t="str">
        <f>IF(ROUND(D182,0)=ROUND(SUMIFS(AN_TME_BY[[#All],[Total Claims Excluded because of Truncation]], AN_TME_BY[[#All],[Insurance Category Code]],2, AN_TME_BY[[#All],[Advanced Network/Insurance Carrier Org ID]],B182),0), "TRUE", ROUND(D182-SUMIFS(AN_TME_BY[[#All],[Total Claims Excluded because of Truncation]], AN_TME_BY[[#All],[Insurance Category Code]],2, AN_TME_BY[[#All],[Advanced Network/Insurance Carrier Org ID]],B182),2))</f>
        <v>TRUE</v>
      </c>
      <c r="J182" s="537" t="str">
        <f>IF(ROUND(E182,0)=ROUND(SUMIFS(AN_TME_BY[[#All],[Count of Members with Claims Truncated]], AN_TME_BY[[#All],[Insurance Category Code]],2, AN_TME_BY[[#All],[Advanced Network/Insurance Carrier Org ID]],B182),0), "TRUE", ROUND(E182-SUMIFS(AN_TME_BY[[#All],[Count of Members with Claims Truncated]], AN_TME_BY[[#All],[Insurance Category Code]],2, AN_TME_BY[[#All],[Advanced Network/Insurance Carrier Org ID]],B182),2))</f>
        <v>TRUE</v>
      </c>
      <c r="K182" s="533" t="str">
        <f>IF(ROUND(F182,0)=ROUND(SUMIFS(AN_TME_BY[[#All],[TOTAL Non-Truncated Unadjusted Claims Expenses]], AN_TME_BY[[#All],[Insurance Category Code]],2, AN_TME_BY[[#All],[Advanced Network/Insurance Carrier Org ID]],B182),0), "TRUE", ROUND(F182-SUMIFS(AN_TME_BY[[#All],[TOTAL Non-Truncated Unadjusted Claims Expenses]], AN_TME_BY[[#All],[Insurance Category Code]],2, AN_TME_BY[[#All],[Advanced Network/Insurance Carrier Org ID]],B182),2))</f>
        <v>TRUE</v>
      </c>
      <c r="L182" s="534" t="str">
        <f>IF(ROUND(G182,0)=ROUND(SUMIFS(AN_TME_BY[[#All],[TOTAL Truncated Unadjusted Claims Expenses (A21 -A19)]], AN_TME_BY[[#All],[Insurance Category Code]],2, AN_TME_BY[[#All],[Advanced Network/Insurance Carrier Org ID]],B182),0), "TRUE", ROUND(G182-SUMIFS(AN_TME_BY[[#All],[TOTAL Truncated Unadjusted Claims Expenses (A21 -A19)]], AN_TME_BY[[#All],[Insurance Category Code]],2, AN_TME_BY[[#All],[Advanced Network/Insurance Carrier Org ID]],B182),2))</f>
        <v>TRUE</v>
      </c>
      <c r="M182" s="525" t="str">
        <f t="shared" si="14"/>
        <v>TRUE</v>
      </c>
      <c r="N182" s="533" t="b">
        <f>ROUND(SUMIFS(AN_TME_BY[[#All],[TOTAL Non-Truncated Unadjusted Claims Expenses]], AN_TME_BY[[#All],[Insurance Category Code]],2, AN_TME_BY[[#All],[Advanced Network/Insurance Carrier Org ID]],B182),2)&gt;=ROUND(SUMIFS(AN_TME_BY[[#All],[TOTAL Truncated Unadjusted Claims Expenses (A21 -A19)]], AN_TME_BY[[#All],[Insurance Category Code]],2, AN_TME_BY[[#All],[Advanced Network/Insurance Carrier Org ID]],B182), 2)</f>
        <v>1</v>
      </c>
      <c r="O182" s="534" t="b">
        <f>ROUND(SUMIFS(AN_TME_BY[[#All],[TOTAL Truncated Unadjusted Claims Expenses (A21 -A19)]], AN_TME_BY[[#All],[Insurance Category Code]],2, AN_TME_BY[[#All],[Advanced Network/Insurance Carrier Org ID]],B182)+SUMIFS(AN_TME_BY[[#All],[Total Claims Excluded because of Truncation]], AN_TME_BY[[#All],[Insurance Category Code]],2, AN_TME_BY[[#All],[Advanced Network/Insurance Carrier Org ID]],B182),2)=ROUND(SUMIFS(AN_TME_BY[[#All],[TOTAL Non-Truncated Unadjusted Claims Expenses]], AN_TME_BY[[#All],[Insurance Category Code]],2, AN_TME_BY[[#All],[Advanced Network/Insurance Carrier Org ID]],B182), 2)</f>
        <v>1</v>
      </c>
      <c r="Q182" s="216">
        <v>126</v>
      </c>
      <c r="R182" s="404">
        <f>ROUND(SUMIFS(Age_Sex_PY[[#All],[Total Member Months by Age/Sex Band]], Age_Sex_PY[[#All],[Advanced Network ID]], $Q182, Age_Sex_PY[[#All],[Insurance Category Code]],2),2)</f>
        <v>0</v>
      </c>
      <c r="S182" s="238">
        <f>ROUND(SUMIFS(Age_Sex_PY[[#All],[Total Dollars Excluded from Spending After Applying Truncation at the Member Level]], Age_Sex_PY[[#All],[Advanced Network ID]], $B182, Age_Sex_PY[[#All],[Insurance Category Code]],2),2)</f>
        <v>0</v>
      </c>
      <c r="T182" s="209">
        <f>ROUND(SUMIFS(Age_Sex_PY[[#All],[Count of Members whose Spending was Truncated]], Age_Sex_PY[[#All],[Advanced Network ID]], $B182, Age_Sex_PY[[#All],[Insurance Category Code]],2),2)</f>
        <v>0</v>
      </c>
      <c r="U182" s="210">
        <f>ROUND(SUMIFS(Age_Sex_PY[[#All],[Total Spending before Truncation is Applied]], Age_Sex_PY[[#All],[Advanced Network ID]], $B182, Age_Sex_PY[[#All],[Insurance Category Code]],2),2)</f>
        <v>0</v>
      </c>
      <c r="V182" s="212">
        <f>ROUND(SUMIFS(Age_Sex_PY[[#All],[Total Spending After Applying Truncation at the Member Level]], Age_Sex_PY[[#All],[Advanced Network ID]], $B182, Age_Sex_PY[[#All],[Insurance Category Code]],2), 2)</f>
        <v>0</v>
      </c>
      <c r="W182" s="525" t="str">
        <f>IF(ROUND(R182,0)=ROUND(SUMIFS(AN_TME_PY[[#All],[Member Months]], AN_TME_PY[[#All],[Insurance Category Code]],2, AN_TME_PY[[#All],[Advanced Network/Insurance Carrier Org ID]],Q182),0), "TRUE", ROUND(R182-SUMIFS(AN_TME_PY[[#All],[Member Months]], AN_TME_PY[[#All],[Insurance Category Code]],2, AN_TME_PY[[#All],[Advanced Network/Insurance Carrier Org ID]],Q182),2))</f>
        <v>TRUE</v>
      </c>
      <c r="X182" s="527" t="str">
        <f>IF(ROUND(S182,0)=ROUND(SUMIFS(AN_TME_PY[[#All],[Total Claims Excluded because of Truncation]], AN_TME_PY[[#All],[Insurance Category Code]],2, AN_TME_PY[[#All],[Advanced Network/Insurance Carrier Org ID]],Q182),0), "TRUE", ROUND(S182-SUMIFS(AN_TME_PY[[#All],[Total Claims Excluded because of Truncation]], AN_TME_PY[[#All],[Insurance Category Code]],2, AN_TME_PY[[#All],[Advanced Network/Insurance Carrier Org ID]],Q182),2))</f>
        <v>TRUE</v>
      </c>
      <c r="Y182" s="537" t="str">
        <f>IF(ROUND(T182,0)=ROUND(SUMIFS(AN_TME_PY[[#All],[Count of Members with Claims Truncated]], AN_TME_PY[[#All],[Insurance Category Code]],2, AN_TME_PY[[#All],[Advanced Network/Insurance Carrier Org ID]],Q182),0), "TRUE", ROUND(T182-SUMIFS(AN_TME_PY[[#All],[Count of Members with Claims Truncated]], AN_TME_PY[[#All],[Insurance Category Code]],2, AN_TME_PY[[#All],[Advanced Network/Insurance Carrier Org ID]],Q182),2))</f>
        <v>TRUE</v>
      </c>
      <c r="Z182" s="528" t="str">
        <f>IF(ROUND(U182,0)=ROUND(SUMIFS(AN_TME_PY[[#All],[TOTAL Non-Truncated Unadjusted Claims Expenses]], AN_TME_PY[[#All],[Insurance Category Code]],2, AN_TME_PY[[#All],[Advanced Network/Insurance Carrier Org ID]],Q182),0), "TRUE", ROUND(U182-SUMIFS(AN_TME_PY[[#All],[TOTAL Non-Truncated Unadjusted Claims Expenses]], AN_TME_PY[[#All],[Insurance Category Code]],2, AN_TME_PY[[#All],[Advanced Network/Insurance Carrier Org ID]],Q182),2))</f>
        <v>TRUE</v>
      </c>
      <c r="AA182" s="529" t="str">
        <f>IF(ROUND(V182,0)=ROUND(SUMIFS(AN_TME_PY[[#All],[TOTAL Truncated Unadjusted Claims Expenses (A21 -A19)]], AN_TME_PY[[#All],[Insurance Category Code]],2, AN_TME_PY[[#All],[Advanced Network/Insurance Carrier Org ID]],Q182),0), "TRUE", ROUND(V182-SUMIFS(AN_TME_PY[[#All],[TOTAL Truncated Unadjusted Claims Expenses (A21 -A19)]], AN_TME_PY[[#All],[Insurance Category Code]],2, AN_TME_PY[[#All],[Advanced Network/Insurance Carrier Org ID]],Q182),2))</f>
        <v>TRUE</v>
      </c>
      <c r="AB182" s="525" t="str">
        <f t="shared" si="16"/>
        <v>TRUE</v>
      </c>
      <c r="AC182" s="528" t="b">
        <f>ROUND(SUMIFS(AN_TME_PY[[#All],[TOTAL Non-Truncated Unadjusted Claims Expenses]], AN_TME_PY[[#All],[Insurance Category Code]],2, AN_TME_PY[[#All],[Advanced Network/Insurance Carrier Org ID]],Q182),2)&gt;=ROUND(SUMIFS(AN_TME_PY[[#All],[TOTAL Truncated Unadjusted Claims Expenses (A21 -A19)]], AN_TME_PY[[#All],[Insurance Category Code]],2, AN_TME_PY[[#All],[Advanced Network/Insurance Carrier Org ID]],Q182),2)</f>
        <v>1</v>
      </c>
      <c r="AD182" s="529" t="b">
        <f>ROUND(SUMIFS(AN_TME_PY[[#All],[TOTAL Truncated Unadjusted Claims Expenses (A21 -A19)]], AN_TME_PY[[#All],[Insurance Category Code]],2, AN_TME_PY[[#All],[Advanced Network/Insurance Carrier Org ID]],Q182)+SUMIFS(AN_TME_PY[[#All],[Total Claims Excluded because of Truncation]], AN_TME_PY[[#All],[Insurance Category Code]],2, AN_TME_PY[[#All],[Advanced Network/Insurance Carrier Org ID]],Q182), 2)=ROUND(SUMIFS(AN_TME_PY[[#All],[TOTAL Non-Truncated Unadjusted Claims Expenses]], AN_TME_PY[[#All],[Insurance Category Code]],2, AN_TME_PY[[#All],[Advanced Network/Insurance Carrier Org ID]],Q182),2)</f>
        <v>1</v>
      </c>
      <c r="AF182" s="283" t="str">
        <f t="shared" si="15"/>
        <v>NA</v>
      </c>
    </row>
    <row r="183" spans="2:32" outlineLevel="1" x14ac:dyDescent="0.25">
      <c r="B183" s="216">
        <v>127</v>
      </c>
      <c r="C183" s="404">
        <f>ROUND(SUMIFS(Age_Sex_BY[[#All],[Total Member Months by Age/Sex Band]], Age_Sex_BY[[#All],[Advanced Network ID]], $B183, Age_Sex_BY[[#All],[Insurance Category Code]],2),2)</f>
        <v>0</v>
      </c>
      <c r="D183" s="238">
        <f>ROUND(SUMIFS(Age_Sex_BY[[#All],[Total Dollars Excluded from Spending After Applying Truncation at the Member Level]], Age_Sex_BY[[#All],[Advanced Network ID]], $B183, Age_Sex_BY[[#All],[Insurance Category Code]],2),2)</f>
        <v>0</v>
      </c>
      <c r="E183" s="209">
        <f>ROUND(SUMIFS(Age_Sex_BY[[#All],[Count of Members whose Spending was Truncated]], Age_Sex_BY[[#All],[Advanced Network ID]], $B183, Age_Sex_BY[[#All],[Insurance Category Code]],2),2)</f>
        <v>0</v>
      </c>
      <c r="F183" s="210">
        <f>ROUND(SUMIFS(Age_Sex_BY[[#All],[Total Spending before Truncation is Applied]], Age_Sex_BY[[#All],[Advanced Network ID]], $B183, Age_Sex_BY[[#All],[Insurance Category Code]],2),2)</f>
        <v>0</v>
      </c>
      <c r="G183" s="212">
        <f>ROUND(SUMIFS(Age_Sex_BY[[#All],[Total Spending After Applying Truncation at the Member Level]], Age_Sex_BY[[#All],[Advanced Network ID]], $B183, Age_Sex_BY[[#All],[Insurance Category Code]],2),2)</f>
        <v>0</v>
      </c>
      <c r="H183" s="525" t="str">
        <f>IF(ROUND(C183,0)=ROUND(SUMIFS(AN_TME_BY[[#All],[Member Months]], AN_TME_BY[[#All],[Insurance Category Code]],2, AN_TME_BY[[#All],[Advanced Network/Insurance Carrier Org ID]],B183),0), "TRUE", ROUND(C183-SUMIFS(AN_TME_BY[[#All],[Member Months]], AN_TME_BY[[#All],[Insurance Category Code]],2, AN_TME_BY[[#All],[Advanced Network/Insurance Carrier Org ID]],B183),2))</f>
        <v>TRUE</v>
      </c>
      <c r="I183" s="533" t="str">
        <f>IF(ROUND(D183,0)=ROUND(SUMIFS(AN_TME_BY[[#All],[Total Claims Excluded because of Truncation]], AN_TME_BY[[#All],[Insurance Category Code]],2, AN_TME_BY[[#All],[Advanced Network/Insurance Carrier Org ID]],B183),0), "TRUE", ROUND(D183-SUMIFS(AN_TME_BY[[#All],[Total Claims Excluded because of Truncation]], AN_TME_BY[[#All],[Insurance Category Code]],2, AN_TME_BY[[#All],[Advanced Network/Insurance Carrier Org ID]],B183),2))</f>
        <v>TRUE</v>
      </c>
      <c r="J183" s="537" t="str">
        <f>IF(ROUND(E183,0)=ROUND(SUMIFS(AN_TME_BY[[#All],[Count of Members with Claims Truncated]], AN_TME_BY[[#All],[Insurance Category Code]],2, AN_TME_BY[[#All],[Advanced Network/Insurance Carrier Org ID]],B183),0), "TRUE", ROUND(E183-SUMIFS(AN_TME_BY[[#All],[Count of Members with Claims Truncated]], AN_TME_BY[[#All],[Insurance Category Code]],2, AN_TME_BY[[#All],[Advanced Network/Insurance Carrier Org ID]],B183),2))</f>
        <v>TRUE</v>
      </c>
      <c r="K183" s="533" t="str">
        <f>IF(ROUND(F183,0)=ROUND(SUMIFS(AN_TME_BY[[#All],[TOTAL Non-Truncated Unadjusted Claims Expenses]], AN_TME_BY[[#All],[Insurance Category Code]],2, AN_TME_BY[[#All],[Advanced Network/Insurance Carrier Org ID]],B183),0), "TRUE", ROUND(F183-SUMIFS(AN_TME_BY[[#All],[TOTAL Non-Truncated Unadjusted Claims Expenses]], AN_TME_BY[[#All],[Insurance Category Code]],2, AN_TME_BY[[#All],[Advanced Network/Insurance Carrier Org ID]],B183),2))</f>
        <v>TRUE</v>
      </c>
      <c r="L183" s="534" t="str">
        <f>IF(ROUND(G183,0)=ROUND(SUMIFS(AN_TME_BY[[#All],[TOTAL Truncated Unadjusted Claims Expenses (A21 -A19)]], AN_TME_BY[[#All],[Insurance Category Code]],2, AN_TME_BY[[#All],[Advanced Network/Insurance Carrier Org ID]],B183),0), "TRUE", ROUND(G183-SUMIFS(AN_TME_BY[[#All],[TOTAL Truncated Unadjusted Claims Expenses (A21 -A19)]], AN_TME_BY[[#All],[Insurance Category Code]],2, AN_TME_BY[[#All],[Advanced Network/Insurance Carrier Org ID]],B183),2))</f>
        <v>TRUE</v>
      </c>
      <c r="M183" s="525" t="str">
        <f t="shared" si="14"/>
        <v>TRUE</v>
      </c>
      <c r="N183" s="533" t="b">
        <f>ROUND(SUMIFS(AN_TME_BY[[#All],[TOTAL Non-Truncated Unadjusted Claims Expenses]], AN_TME_BY[[#All],[Insurance Category Code]],2, AN_TME_BY[[#All],[Advanced Network/Insurance Carrier Org ID]],B183),2)&gt;=ROUND(SUMIFS(AN_TME_BY[[#All],[TOTAL Truncated Unadjusted Claims Expenses (A21 -A19)]], AN_TME_BY[[#All],[Insurance Category Code]],2, AN_TME_BY[[#All],[Advanced Network/Insurance Carrier Org ID]],B183), 2)</f>
        <v>1</v>
      </c>
      <c r="O183" s="534" t="b">
        <f>ROUND(SUMIFS(AN_TME_BY[[#All],[TOTAL Truncated Unadjusted Claims Expenses (A21 -A19)]], AN_TME_BY[[#All],[Insurance Category Code]],2, AN_TME_BY[[#All],[Advanced Network/Insurance Carrier Org ID]],B183)+SUMIFS(AN_TME_BY[[#All],[Total Claims Excluded because of Truncation]], AN_TME_BY[[#All],[Insurance Category Code]],2, AN_TME_BY[[#All],[Advanced Network/Insurance Carrier Org ID]],B183),2)=ROUND(SUMIFS(AN_TME_BY[[#All],[TOTAL Non-Truncated Unadjusted Claims Expenses]], AN_TME_BY[[#All],[Insurance Category Code]],2, AN_TME_BY[[#All],[Advanced Network/Insurance Carrier Org ID]],B183), 2)</f>
        <v>1</v>
      </c>
      <c r="Q183" s="216">
        <v>127</v>
      </c>
      <c r="R183" s="404">
        <f>ROUND(SUMIFS(Age_Sex_PY[[#All],[Total Member Months by Age/Sex Band]], Age_Sex_PY[[#All],[Advanced Network ID]], $Q183, Age_Sex_PY[[#All],[Insurance Category Code]],2),2)</f>
        <v>0</v>
      </c>
      <c r="S183" s="238">
        <f>ROUND(SUMIFS(Age_Sex_PY[[#All],[Total Dollars Excluded from Spending After Applying Truncation at the Member Level]], Age_Sex_PY[[#All],[Advanced Network ID]], $B183, Age_Sex_PY[[#All],[Insurance Category Code]],2),2)</f>
        <v>0</v>
      </c>
      <c r="T183" s="209">
        <f>ROUND(SUMIFS(Age_Sex_PY[[#All],[Count of Members whose Spending was Truncated]], Age_Sex_PY[[#All],[Advanced Network ID]], $B183, Age_Sex_PY[[#All],[Insurance Category Code]],2),2)</f>
        <v>0</v>
      </c>
      <c r="U183" s="210">
        <f>ROUND(SUMIFS(Age_Sex_PY[[#All],[Total Spending before Truncation is Applied]], Age_Sex_PY[[#All],[Advanced Network ID]], $B183, Age_Sex_PY[[#All],[Insurance Category Code]],2),2)</f>
        <v>0</v>
      </c>
      <c r="V183" s="212">
        <f>ROUND(SUMIFS(Age_Sex_PY[[#All],[Total Spending After Applying Truncation at the Member Level]], Age_Sex_PY[[#All],[Advanced Network ID]], $B183, Age_Sex_PY[[#All],[Insurance Category Code]],2), 2)</f>
        <v>0</v>
      </c>
      <c r="W183" s="525" t="str">
        <f>IF(ROUND(R183,0)=ROUND(SUMIFS(AN_TME_PY[[#All],[Member Months]], AN_TME_PY[[#All],[Insurance Category Code]],2, AN_TME_PY[[#All],[Advanced Network/Insurance Carrier Org ID]],Q183),0), "TRUE", ROUND(R183-SUMIFS(AN_TME_PY[[#All],[Member Months]], AN_TME_PY[[#All],[Insurance Category Code]],2, AN_TME_PY[[#All],[Advanced Network/Insurance Carrier Org ID]],Q183),2))</f>
        <v>TRUE</v>
      </c>
      <c r="X183" s="527" t="str">
        <f>IF(ROUND(S183,0)=ROUND(SUMIFS(AN_TME_PY[[#All],[Total Claims Excluded because of Truncation]], AN_TME_PY[[#All],[Insurance Category Code]],2, AN_TME_PY[[#All],[Advanced Network/Insurance Carrier Org ID]],Q183),0), "TRUE", ROUND(S183-SUMIFS(AN_TME_PY[[#All],[Total Claims Excluded because of Truncation]], AN_TME_PY[[#All],[Insurance Category Code]],2, AN_TME_PY[[#All],[Advanced Network/Insurance Carrier Org ID]],Q183),2))</f>
        <v>TRUE</v>
      </c>
      <c r="Y183" s="537" t="str">
        <f>IF(ROUND(T183,0)=ROUND(SUMIFS(AN_TME_PY[[#All],[Count of Members with Claims Truncated]], AN_TME_PY[[#All],[Insurance Category Code]],2, AN_TME_PY[[#All],[Advanced Network/Insurance Carrier Org ID]],Q183),0), "TRUE", ROUND(T183-SUMIFS(AN_TME_PY[[#All],[Count of Members with Claims Truncated]], AN_TME_PY[[#All],[Insurance Category Code]],2, AN_TME_PY[[#All],[Advanced Network/Insurance Carrier Org ID]],Q183),2))</f>
        <v>TRUE</v>
      </c>
      <c r="Z183" s="528" t="str">
        <f>IF(ROUND(U183,0)=ROUND(SUMIFS(AN_TME_PY[[#All],[TOTAL Non-Truncated Unadjusted Claims Expenses]], AN_TME_PY[[#All],[Insurance Category Code]],2, AN_TME_PY[[#All],[Advanced Network/Insurance Carrier Org ID]],Q183),0), "TRUE", ROUND(U183-SUMIFS(AN_TME_PY[[#All],[TOTAL Non-Truncated Unadjusted Claims Expenses]], AN_TME_PY[[#All],[Insurance Category Code]],2, AN_TME_PY[[#All],[Advanced Network/Insurance Carrier Org ID]],Q183),2))</f>
        <v>TRUE</v>
      </c>
      <c r="AA183" s="529" t="str">
        <f>IF(ROUND(V183,0)=ROUND(SUMIFS(AN_TME_PY[[#All],[TOTAL Truncated Unadjusted Claims Expenses (A21 -A19)]], AN_TME_PY[[#All],[Insurance Category Code]],2, AN_TME_PY[[#All],[Advanced Network/Insurance Carrier Org ID]],Q183),0), "TRUE", ROUND(V183-SUMIFS(AN_TME_PY[[#All],[TOTAL Truncated Unadjusted Claims Expenses (A21 -A19)]], AN_TME_PY[[#All],[Insurance Category Code]],2, AN_TME_PY[[#All],[Advanced Network/Insurance Carrier Org ID]],Q183),2))</f>
        <v>TRUE</v>
      </c>
      <c r="AB183" s="525" t="str">
        <f t="shared" si="16"/>
        <v>TRUE</v>
      </c>
      <c r="AC183" s="528" t="b">
        <f>ROUND(SUMIFS(AN_TME_PY[[#All],[TOTAL Non-Truncated Unadjusted Claims Expenses]], AN_TME_PY[[#All],[Insurance Category Code]],2, AN_TME_PY[[#All],[Advanced Network/Insurance Carrier Org ID]],Q183),2)&gt;=ROUND(SUMIFS(AN_TME_PY[[#All],[TOTAL Truncated Unadjusted Claims Expenses (A21 -A19)]], AN_TME_PY[[#All],[Insurance Category Code]],2, AN_TME_PY[[#All],[Advanced Network/Insurance Carrier Org ID]],Q183),2)</f>
        <v>1</v>
      </c>
      <c r="AD183" s="529" t="b">
        <f>ROUND(SUMIFS(AN_TME_PY[[#All],[TOTAL Truncated Unadjusted Claims Expenses (A21 -A19)]], AN_TME_PY[[#All],[Insurance Category Code]],2, AN_TME_PY[[#All],[Advanced Network/Insurance Carrier Org ID]],Q183)+SUMIFS(AN_TME_PY[[#All],[Total Claims Excluded because of Truncation]], AN_TME_PY[[#All],[Insurance Category Code]],2, AN_TME_PY[[#All],[Advanced Network/Insurance Carrier Org ID]],Q183), 2)=ROUND(SUMIFS(AN_TME_PY[[#All],[TOTAL Non-Truncated Unadjusted Claims Expenses]], AN_TME_PY[[#All],[Insurance Category Code]],2, AN_TME_PY[[#All],[Advanced Network/Insurance Carrier Org ID]],Q183),2)</f>
        <v>1</v>
      </c>
      <c r="AF183" s="283" t="str">
        <f t="shared" si="15"/>
        <v>NA</v>
      </c>
    </row>
    <row r="184" spans="2:32" outlineLevel="1" x14ac:dyDescent="0.25">
      <c r="B184" s="216">
        <v>128</v>
      </c>
      <c r="C184" s="404">
        <f>ROUND(SUMIFS(Age_Sex_BY[[#All],[Total Member Months by Age/Sex Band]], Age_Sex_BY[[#All],[Advanced Network ID]], $B184, Age_Sex_BY[[#All],[Insurance Category Code]],2),2)</f>
        <v>0</v>
      </c>
      <c r="D184" s="238">
        <f>ROUND(SUMIFS(Age_Sex_BY[[#All],[Total Dollars Excluded from Spending After Applying Truncation at the Member Level]], Age_Sex_BY[[#All],[Advanced Network ID]], $B184, Age_Sex_BY[[#All],[Insurance Category Code]],2),2)</f>
        <v>0</v>
      </c>
      <c r="E184" s="209">
        <f>ROUND(SUMIFS(Age_Sex_BY[[#All],[Count of Members whose Spending was Truncated]], Age_Sex_BY[[#All],[Advanced Network ID]], $B184, Age_Sex_BY[[#All],[Insurance Category Code]],2),2)</f>
        <v>0</v>
      </c>
      <c r="F184" s="210">
        <f>ROUND(SUMIFS(Age_Sex_BY[[#All],[Total Spending before Truncation is Applied]], Age_Sex_BY[[#All],[Advanced Network ID]], $B184, Age_Sex_BY[[#All],[Insurance Category Code]],2),2)</f>
        <v>0</v>
      </c>
      <c r="G184" s="212">
        <f>ROUND(SUMIFS(Age_Sex_BY[[#All],[Total Spending After Applying Truncation at the Member Level]], Age_Sex_BY[[#All],[Advanced Network ID]], $B184, Age_Sex_BY[[#All],[Insurance Category Code]],2),2)</f>
        <v>0</v>
      </c>
      <c r="H184" s="525" t="str">
        <f>IF(ROUND(C184,0)=ROUND(SUMIFS(AN_TME_BY[[#All],[Member Months]], AN_TME_BY[[#All],[Insurance Category Code]],2, AN_TME_BY[[#All],[Advanced Network/Insurance Carrier Org ID]],B184),0), "TRUE", ROUND(C184-SUMIFS(AN_TME_BY[[#All],[Member Months]], AN_TME_BY[[#All],[Insurance Category Code]],2, AN_TME_BY[[#All],[Advanced Network/Insurance Carrier Org ID]],B184),2))</f>
        <v>TRUE</v>
      </c>
      <c r="I184" s="533" t="str">
        <f>IF(ROUND(D184,0)=ROUND(SUMIFS(AN_TME_BY[[#All],[Total Claims Excluded because of Truncation]], AN_TME_BY[[#All],[Insurance Category Code]],2, AN_TME_BY[[#All],[Advanced Network/Insurance Carrier Org ID]],B184),0), "TRUE", ROUND(D184-SUMIFS(AN_TME_BY[[#All],[Total Claims Excluded because of Truncation]], AN_TME_BY[[#All],[Insurance Category Code]],2, AN_TME_BY[[#All],[Advanced Network/Insurance Carrier Org ID]],B184),2))</f>
        <v>TRUE</v>
      </c>
      <c r="J184" s="537" t="str">
        <f>IF(ROUND(E184,0)=ROUND(SUMIFS(AN_TME_BY[[#All],[Count of Members with Claims Truncated]], AN_TME_BY[[#All],[Insurance Category Code]],2, AN_TME_BY[[#All],[Advanced Network/Insurance Carrier Org ID]],B184),0), "TRUE", ROUND(E184-SUMIFS(AN_TME_BY[[#All],[Count of Members with Claims Truncated]], AN_TME_BY[[#All],[Insurance Category Code]],2, AN_TME_BY[[#All],[Advanced Network/Insurance Carrier Org ID]],B184),2))</f>
        <v>TRUE</v>
      </c>
      <c r="K184" s="533" t="str">
        <f>IF(ROUND(F184,0)=ROUND(SUMIFS(AN_TME_BY[[#All],[TOTAL Non-Truncated Unadjusted Claims Expenses]], AN_TME_BY[[#All],[Insurance Category Code]],2, AN_TME_BY[[#All],[Advanced Network/Insurance Carrier Org ID]],B184),0), "TRUE", ROUND(F184-SUMIFS(AN_TME_BY[[#All],[TOTAL Non-Truncated Unadjusted Claims Expenses]], AN_TME_BY[[#All],[Insurance Category Code]],2, AN_TME_BY[[#All],[Advanced Network/Insurance Carrier Org ID]],B184),2))</f>
        <v>TRUE</v>
      </c>
      <c r="L184" s="534" t="str">
        <f>IF(ROUND(G184,0)=ROUND(SUMIFS(AN_TME_BY[[#All],[TOTAL Truncated Unadjusted Claims Expenses (A21 -A19)]], AN_TME_BY[[#All],[Insurance Category Code]],2, AN_TME_BY[[#All],[Advanced Network/Insurance Carrier Org ID]],B184),0), "TRUE", ROUND(G184-SUMIFS(AN_TME_BY[[#All],[TOTAL Truncated Unadjusted Claims Expenses (A21 -A19)]], AN_TME_BY[[#All],[Insurance Category Code]],2, AN_TME_BY[[#All],[Advanced Network/Insurance Carrier Org ID]],B184),2))</f>
        <v>TRUE</v>
      </c>
      <c r="M184" s="525" t="str">
        <f t="shared" si="14"/>
        <v>TRUE</v>
      </c>
      <c r="N184" s="533" t="b">
        <f>ROUND(SUMIFS(AN_TME_BY[[#All],[TOTAL Non-Truncated Unadjusted Claims Expenses]], AN_TME_BY[[#All],[Insurance Category Code]],2, AN_TME_BY[[#All],[Advanced Network/Insurance Carrier Org ID]],B184),2)&gt;=ROUND(SUMIFS(AN_TME_BY[[#All],[TOTAL Truncated Unadjusted Claims Expenses (A21 -A19)]], AN_TME_BY[[#All],[Insurance Category Code]],2, AN_TME_BY[[#All],[Advanced Network/Insurance Carrier Org ID]],B184), 2)</f>
        <v>1</v>
      </c>
      <c r="O184" s="534" t="b">
        <f>ROUND(SUMIFS(AN_TME_BY[[#All],[TOTAL Truncated Unadjusted Claims Expenses (A21 -A19)]], AN_TME_BY[[#All],[Insurance Category Code]],2, AN_TME_BY[[#All],[Advanced Network/Insurance Carrier Org ID]],B184)+SUMIFS(AN_TME_BY[[#All],[Total Claims Excluded because of Truncation]], AN_TME_BY[[#All],[Insurance Category Code]],2, AN_TME_BY[[#All],[Advanced Network/Insurance Carrier Org ID]],B184),2)=ROUND(SUMIFS(AN_TME_BY[[#All],[TOTAL Non-Truncated Unadjusted Claims Expenses]], AN_TME_BY[[#All],[Insurance Category Code]],2, AN_TME_BY[[#All],[Advanced Network/Insurance Carrier Org ID]],B184), 2)</f>
        <v>1</v>
      </c>
      <c r="Q184" s="216">
        <v>128</v>
      </c>
      <c r="R184" s="404">
        <f>ROUND(SUMIFS(Age_Sex_PY[[#All],[Total Member Months by Age/Sex Band]], Age_Sex_PY[[#All],[Advanced Network ID]], $Q184, Age_Sex_PY[[#All],[Insurance Category Code]],2),2)</f>
        <v>0</v>
      </c>
      <c r="S184" s="238">
        <f>ROUND(SUMIFS(Age_Sex_PY[[#All],[Total Dollars Excluded from Spending After Applying Truncation at the Member Level]], Age_Sex_PY[[#All],[Advanced Network ID]], $B184, Age_Sex_PY[[#All],[Insurance Category Code]],2),2)</f>
        <v>0</v>
      </c>
      <c r="T184" s="209">
        <f>ROUND(SUMIFS(Age_Sex_PY[[#All],[Count of Members whose Spending was Truncated]], Age_Sex_PY[[#All],[Advanced Network ID]], $B184, Age_Sex_PY[[#All],[Insurance Category Code]],2),2)</f>
        <v>0</v>
      </c>
      <c r="U184" s="210">
        <f>ROUND(SUMIFS(Age_Sex_PY[[#All],[Total Spending before Truncation is Applied]], Age_Sex_PY[[#All],[Advanced Network ID]], $B184, Age_Sex_PY[[#All],[Insurance Category Code]],2),2)</f>
        <v>0</v>
      </c>
      <c r="V184" s="212">
        <f>ROUND(SUMIFS(Age_Sex_PY[[#All],[Total Spending After Applying Truncation at the Member Level]], Age_Sex_PY[[#All],[Advanced Network ID]], $B184, Age_Sex_PY[[#All],[Insurance Category Code]],2), 2)</f>
        <v>0</v>
      </c>
      <c r="W184" s="525" t="str">
        <f>IF(ROUND(R184,0)=ROUND(SUMIFS(AN_TME_PY[[#All],[Member Months]], AN_TME_PY[[#All],[Insurance Category Code]],2, AN_TME_PY[[#All],[Advanced Network/Insurance Carrier Org ID]],Q184),0), "TRUE", ROUND(R184-SUMIFS(AN_TME_PY[[#All],[Member Months]], AN_TME_PY[[#All],[Insurance Category Code]],2, AN_TME_PY[[#All],[Advanced Network/Insurance Carrier Org ID]],Q184),2))</f>
        <v>TRUE</v>
      </c>
      <c r="X184" s="527" t="str">
        <f>IF(ROUND(S184,0)=ROUND(SUMIFS(AN_TME_PY[[#All],[Total Claims Excluded because of Truncation]], AN_TME_PY[[#All],[Insurance Category Code]],2, AN_TME_PY[[#All],[Advanced Network/Insurance Carrier Org ID]],Q184),0), "TRUE", ROUND(S184-SUMIFS(AN_TME_PY[[#All],[Total Claims Excluded because of Truncation]], AN_TME_PY[[#All],[Insurance Category Code]],2, AN_TME_PY[[#All],[Advanced Network/Insurance Carrier Org ID]],Q184),2))</f>
        <v>TRUE</v>
      </c>
      <c r="Y184" s="537" t="str">
        <f>IF(ROUND(T184,0)=ROUND(SUMIFS(AN_TME_PY[[#All],[Count of Members with Claims Truncated]], AN_TME_PY[[#All],[Insurance Category Code]],2, AN_TME_PY[[#All],[Advanced Network/Insurance Carrier Org ID]],Q184),0), "TRUE", ROUND(T184-SUMIFS(AN_TME_PY[[#All],[Count of Members with Claims Truncated]], AN_TME_PY[[#All],[Insurance Category Code]],2, AN_TME_PY[[#All],[Advanced Network/Insurance Carrier Org ID]],Q184),2))</f>
        <v>TRUE</v>
      </c>
      <c r="Z184" s="528" t="str">
        <f>IF(ROUND(U184,0)=ROUND(SUMIFS(AN_TME_PY[[#All],[TOTAL Non-Truncated Unadjusted Claims Expenses]], AN_TME_PY[[#All],[Insurance Category Code]],2, AN_TME_PY[[#All],[Advanced Network/Insurance Carrier Org ID]],Q184),0), "TRUE", ROUND(U184-SUMIFS(AN_TME_PY[[#All],[TOTAL Non-Truncated Unadjusted Claims Expenses]], AN_TME_PY[[#All],[Insurance Category Code]],2, AN_TME_PY[[#All],[Advanced Network/Insurance Carrier Org ID]],Q184),2))</f>
        <v>TRUE</v>
      </c>
      <c r="AA184" s="529" t="str">
        <f>IF(ROUND(V184,0)=ROUND(SUMIFS(AN_TME_PY[[#All],[TOTAL Truncated Unadjusted Claims Expenses (A21 -A19)]], AN_TME_PY[[#All],[Insurance Category Code]],2, AN_TME_PY[[#All],[Advanced Network/Insurance Carrier Org ID]],Q184),0), "TRUE", ROUND(V184-SUMIFS(AN_TME_PY[[#All],[TOTAL Truncated Unadjusted Claims Expenses (A21 -A19)]], AN_TME_PY[[#All],[Insurance Category Code]],2, AN_TME_PY[[#All],[Advanced Network/Insurance Carrier Org ID]],Q184),2))</f>
        <v>TRUE</v>
      </c>
      <c r="AB184" s="525" t="str">
        <f t="shared" si="16"/>
        <v>TRUE</v>
      </c>
      <c r="AC184" s="528" t="b">
        <f>ROUND(SUMIFS(AN_TME_PY[[#All],[TOTAL Non-Truncated Unadjusted Claims Expenses]], AN_TME_PY[[#All],[Insurance Category Code]],2, AN_TME_PY[[#All],[Advanced Network/Insurance Carrier Org ID]],Q184),2)&gt;=ROUND(SUMIFS(AN_TME_PY[[#All],[TOTAL Truncated Unadjusted Claims Expenses (A21 -A19)]], AN_TME_PY[[#All],[Insurance Category Code]],2, AN_TME_PY[[#All],[Advanced Network/Insurance Carrier Org ID]],Q184),2)</f>
        <v>1</v>
      </c>
      <c r="AD184" s="529" t="b">
        <f>ROUND(SUMIFS(AN_TME_PY[[#All],[TOTAL Truncated Unadjusted Claims Expenses (A21 -A19)]], AN_TME_PY[[#All],[Insurance Category Code]],2, AN_TME_PY[[#All],[Advanced Network/Insurance Carrier Org ID]],Q184)+SUMIFS(AN_TME_PY[[#All],[Total Claims Excluded because of Truncation]], AN_TME_PY[[#All],[Insurance Category Code]],2, AN_TME_PY[[#All],[Advanced Network/Insurance Carrier Org ID]],Q184), 2)=ROUND(SUMIFS(AN_TME_PY[[#All],[TOTAL Non-Truncated Unadjusted Claims Expenses]], AN_TME_PY[[#All],[Insurance Category Code]],2, AN_TME_PY[[#All],[Advanced Network/Insurance Carrier Org ID]],Q184),2)</f>
        <v>1</v>
      </c>
      <c r="AF184" s="283" t="str">
        <f t="shared" si="15"/>
        <v>NA</v>
      </c>
    </row>
    <row r="185" spans="2:32" outlineLevel="1" x14ac:dyDescent="0.25">
      <c r="B185" s="216">
        <v>129</v>
      </c>
      <c r="C185" s="404">
        <f>ROUND(SUMIFS(Age_Sex_BY[[#All],[Total Member Months by Age/Sex Band]], Age_Sex_BY[[#All],[Advanced Network ID]], $B185, Age_Sex_BY[[#All],[Insurance Category Code]],2),2)</f>
        <v>0</v>
      </c>
      <c r="D185" s="238">
        <f>ROUND(SUMIFS(Age_Sex_BY[[#All],[Total Dollars Excluded from Spending After Applying Truncation at the Member Level]], Age_Sex_BY[[#All],[Advanced Network ID]], $B185, Age_Sex_BY[[#All],[Insurance Category Code]],2),2)</f>
        <v>0</v>
      </c>
      <c r="E185" s="209">
        <f>ROUND(SUMIFS(Age_Sex_BY[[#All],[Count of Members whose Spending was Truncated]], Age_Sex_BY[[#All],[Advanced Network ID]], $B185, Age_Sex_BY[[#All],[Insurance Category Code]],2),2)</f>
        <v>0</v>
      </c>
      <c r="F185" s="210">
        <f>ROUND(SUMIFS(Age_Sex_BY[[#All],[Total Spending before Truncation is Applied]], Age_Sex_BY[[#All],[Advanced Network ID]], $B185, Age_Sex_BY[[#All],[Insurance Category Code]],2),2)</f>
        <v>0</v>
      </c>
      <c r="G185" s="212">
        <f>ROUND(SUMIFS(Age_Sex_BY[[#All],[Total Spending After Applying Truncation at the Member Level]], Age_Sex_BY[[#All],[Advanced Network ID]], $B185, Age_Sex_BY[[#All],[Insurance Category Code]],2),2)</f>
        <v>0</v>
      </c>
      <c r="H185" s="525" t="str">
        <f>IF(ROUND(C185,0)=ROUND(SUMIFS(AN_TME_BY[[#All],[Member Months]], AN_TME_BY[[#All],[Insurance Category Code]],2, AN_TME_BY[[#All],[Advanced Network/Insurance Carrier Org ID]],B185),0), "TRUE", ROUND(C185-SUMIFS(AN_TME_BY[[#All],[Member Months]], AN_TME_BY[[#All],[Insurance Category Code]],2, AN_TME_BY[[#All],[Advanced Network/Insurance Carrier Org ID]],B185),2))</f>
        <v>TRUE</v>
      </c>
      <c r="I185" s="533" t="str">
        <f>IF(ROUND(D185,0)=ROUND(SUMIFS(AN_TME_BY[[#All],[Total Claims Excluded because of Truncation]], AN_TME_BY[[#All],[Insurance Category Code]],2, AN_TME_BY[[#All],[Advanced Network/Insurance Carrier Org ID]],B185),0), "TRUE", ROUND(D185-SUMIFS(AN_TME_BY[[#All],[Total Claims Excluded because of Truncation]], AN_TME_BY[[#All],[Insurance Category Code]],2, AN_TME_BY[[#All],[Advanced Network/Insurance Carrier Org ID]],B185),2))</f>
        <v>TRUE</v>
      </c>
      <c r="J185" s="537" t="str">
        <f>IF(ROUND(E185,0)=ROUND(SUMIFS(AN_TME_BY[[#All],[Count of Members with Claims Truncated]], AN_TME_BY[[#All],[Insurance Category Code]],2, AN_TME_BY[[#All],[Advanced Network/Insurance Carrier Org ID]],B185),0), "TRUE", ROUND(E185-SUMIFS(AN_TME_BY[[#All],[Count of Members with Claims Truncated]], AN_TME_BY[[#All],[Insurance Category Code]],2, AN_TME_BY[[#All],[Advanced Network/Insurance Carrier Org ID]],B185),2))</f>
        <v>TRUE</v>
      </c>
      <c r="K185" s="533" t="str">
        <f>IF(ROUND(F185,0)=ROUND(SUMIFS(AN_TME_BY[[#All],[TOTAL Non-Truncated Unadjusted Claims Expenses]], AN_TME_BY[[#All],[Insurance Category Code]],2, AN_TME_BY[[#All],[Advanced Network/Insurance Carrier Org ID]],B185),0), "TRUE", ROUND(F185-SUMIFS(AN_TME_BY[[#All],[TOTAL Non-Truncated Unadjusted Claims Expenses]], AN_TME_BY[[#All],[Insurance Category Code]],2, AN_TME_BY[[#All],[Advanced Network/Insurance Carrier Org ID]],B185),2))</f>
        <v>TRUE</v>
      </c>
      <c r="L185" s="534" t="str">
        <f>IF(ROUND(G185,0)=ROUND(SUMIFS(AN_TME_BY[[#All],[TOTAL Truncated Unadjusted Claims Expenses (A21 -A19)]], AN_TME_BY[[#All],[Insurance Category Code]],2, AN_TME_BY[[#All],[Advanced Network/Insurance Carrier Org ID]],B185),0), "TRUE", ROUND(G185-SUMIFS(AN_TME_BY[[#All],[TOTAL Truncated Unadjusted Claims Expenses (A21 -A19)]], AN_TME_BY[[#All],[Insurance Category Code]],2, AN_TME_BY[[#All],[Advanced Network/Insurance Carrier Org ID]],B185),2))</f>
        <v>TRUE</v>
      </c>
      <c r="M185" s="525" t="str">
        <f t="shared" si="14"/>
        <v>TRUE</v>
      </c>
      <c r="N185" s="533" t="b">
        <f>ROUND(SUMIFS(AN_TME_BY[[#All],[TOTAL Non-Truncated Unadjusted Claims Expenses]], AN_TME_BY[[#All],[Insurance Category Code]],2, AN_TME_BY[[#All],[Advanced Network/Insurance Carrier Org ID]],B185),2)&gt;=ROUND(SUMIFS(AN_TME_BY[[#All],[TOTAL Truncated Unadjusted Claims Expenses (A21 -A19)]], AN_TME_BY[[#All],[Insurance Category Code]],2, AN_TME_BY[[#All],[Advanced Network/Insurance Carrier Org ID]],B185), 2)</f>
        <v>1</v>
      </c>
      <c r="O185" s="534" t="b">
        <f>ROUND(SUMIFS(AN_TME_BY[[#All],[TOTAL Truncated Unadjusted Claims Expenses (A21 -A19)]], AN_TME_BY[[#All],[Insurance Category Code]],2, AN_TME_BY[[#All],[Advanced Network/Insurance Carrier Org ID]],B185)+SUMIFS(AN_TME_BY[[#All],[Total Claims Excluded because of Truncation]], AN_TME_BY[[#All],[Insurance Category Code]],2, AN_TME_BY[[#All],[Advanced Network/Insurance Carrier Org ID]],B185),2)=ROUND(SUMIFS(AN_TME_BY[[#All],[TOTAL Non-Truncated Unadjusted Claims Expenses]], AN_TME_BY[[#All],[Insurance Category Code]],2, AN_TME_BY[[#All],[Advanced Network/Insurance Carrier Org ID]],B185), 2)</f>
        <v>1</v>
      </c>
      <c r="Q185" s="216">
        <v>129</v>
      </c>
      <c r="R185" s="404">
        <f>ROUND(SUMIFS(Age_Sex_PY[[#All],[Total Member Months by Age/Sex Band]], Age_Sex_PY[[#All],[Advanced Network ID]], $Q185, Age_Sex_PY[[#All],[Insurance Category Code]],2),2)</f>
        <v>0</v>
      </c>
      <c r="S185" s="238">
        <f>ROUND(SUMIFS(Age_Sex_PY[[#All],[Total Dollars Excluded from Spending After Applying Truncation at the Member Level]], Age_Sex_PY[[#All],[Advanced Network ID]], $B185, Age_Sex_PY[[#All],[Insurance Category Code]],2),2)</f>
        <v>0</v>
      </c>
      <c r="T185" s="209">
        <f>ROUND(SUMIFS(Age_Sex_PY[[#All],[Count of Members whose Spending was Truncated]], Age_Sex_PY[[#All],[Advanced Network ID]], $B185, Age_Sex_PY[[#All],[Insurance Category Code]],2),2)</f>
        <v>0</v>
      </c>
      <c r="U185" s="210">
        <f>ROUND(SUMIFS(Age_Sex_PY[[#All],[Total Spending before Truncation is Applied]], Age_Sex_PY[[#All],[Advanced Network ID]], $B185, Age_Sex_PY[[#All],[Insurance Category Code]],2),2)</f>
        <v>0</v>
      </c>
      <c r="V185" s="212">
        <f>ROUND(SUMIFS(Age_Sex_PY[[#All],[Total Spending After Applying Truncation at the Member Level]], Age_Sex_PY[[#All],[Advanced Network ID]], $B185, Age_Sex_PY[[#All],[Insurance Category Code]],2), 2)</f>
        <v>0</v>
      </c>
      <c r="W185" s="525" t="str">
        <f>IF(ROUND(R185,0)=ROUND(SUMIFS(AN_TME_PY[[#All],[Member Months]], AN_TME_PY[[#All],[Insurance Category Code]],2, AN_TME_PY[[#All],[Advanced Network/Insurance Carrier Org ID]],Q185),0), "TRUE", ROUND(R185-SUMIFS(AN_TME_PY[[#All],[Member Months]], AN_TME_PY[[#All],[Insurance Category Code]],2, AN_TME_PY[[#All],[Advanced Network/Insurance Carrier Org ID]],Q185),2))</f>
        <v>TRUE</v>
      </c>
      <c r="X185" s="527" t="str">
        <f>IF(ROUND(S185,0)=ROUND(SUMIFS(AN_TME_PY[[#All],[Total Claims Excluded because of Truncation]], AN_TME_PY[[#All],[Insurance Category Code]],2, AN_TME_PY[[#All],[Advanced Network/Insurance Carrier Org ID]],Q185),0), "TRUE", ROUND(S185-SUMIFS(AN_TME_PY[[#All],[Total Claims Excluded because of Truncation]], AN_TME_PY[[#All],[Insurance Category Code]],2, AN_TME_PY[[#All],[Advanced Network/Insurance Carrier Org ID]],Q185),2))</f>
        <v>TRUE</v>
      </c>
      <c r="Y185" s="537" t="str">
        <f>IF(ROUND(T185,0)=ROUND(SUMIFS(AN_TME_PY[[#All],[Count of Members with Claims Truncated]], AN_TME_PY[[#All],[Insurance Category Code]],2, AN_TME_PY[[#All],[Advanced Network/Insurance Carrier Org ID]],Q185),0), "TRUE", ROUND(T185-SUMIFS(AN_TME_PY[[#All],[Count of Members with Claims Truncated]], AN_TME_PY[[#All],[Insurance Category Code]],2, AN_TME_PY[[#All],[Advanced Network/Insurance Carrier Org ID]],Q185),2))</f>
        <v>TRUE</v>
      </c>
      <c r="Z185" s="528" t="str">
        <f>IF(ROUND(U185,0)=ROUND(SUMIFS(AN_TME_PY[[#All],[TOTAL Non-Truncated Unadjusted Claims Expenses]], AN_TME_PY[[#All],[Insurance Category Code]],2, AN_TME_PY[[#All],[Advanced Network/Insurance Carrier Org ID]],Q185),0), "TRUE", ROUND(U185-SUMIFS(AN_TME_PY[[#All],[TOTAL Non-Truncated Unadjusted Claims Expenses]], AN_TME_PY[[#All],[Insurance Category Code]],2, AN_TME_PY[[#All],[Advanced Network/Insurance Carrier Org ID]],Q185),2))</f>
        <v>TRUE</v>
      </c>
      <c r="AA185" s="529" t="str">
        <f>IF(ROUND(V185,0)=ROUND(SUMIFS(AN_TME_PY[[#All],[TOTAL Truncated Unadjusted Claims Expenses (A21 -A19)]], AN_TME_PY[[#All],[Insurance Category Code]],2, AN_TME_PY[[#All],[Advanced Network/Insurance Carrier Org ID]],Q185),0), "TRUE", ROUND(V185-SUMIFS(AN_TME_PY[[#All],[TOTAL Truncated Unadjusted Claims Expenses (A21 -A19)]], AN_TME_PY[[#All],[Insurance Category Code]],2, AN_TME_PY[[#All],[Advanced Network/Insurance Carrier Org ID]],Q185),2))</f>
        <v>TRUE</v>
      </c>
      <c r="AB185" s="525" t="str">
        <f t="shared" si="16"/>
        <v>TRUE</v>
      </c>
      <c r="AC185" s="528" t="b">
        <f>ROUND(SUMIFS(AN_TME_PY[[#All],[TOTAL Non-Truncated Unadjusted Claims Expenses]], AN_TME_PY[[#All],[Insurance Category Code]],2, AN_TME_PY[[#All],[Advanced Network/Insurance Carrier Org ID]],Q185),2)&gt;=ROUND(SUMIFS(AN_TME_PY[[#All],[TOTAL Truncated Unadjusted Claims Expenses (A21 -A19)]], AN_TME_PY[[#All],[Insurance Category Code]],2, AN_TME_PY[[#All],[Advanced Network/Insurance Carrier Org ID]],Q185),2)</f>
        <v>1</v>
      </c>
      <c r="AD185" s="529" t="b">
        <f>ROUND(SUMIFS(AN_TME_PY[[#All],[TOTAL Truncated Unadjusted Claims Expenses (A21 -A19)]], AN_TME_PY[[#All],[Insurance Category Code]],2, AN_TME_PY[[#All],[Advanced Network/Insurance Carrier Org ID]],Q185)+SUMIFS(AN_TME_PY[[#All],[Total Claims Excluded because of Truncation]], AN_TME_PY[[#All],[Insurance Category Code]],2, AN_TME_PY[[#All],[Advanced Network/Insurance Carrier Org ID]],Q185), 2)=ROUND(SUMIFS(AN_TME_PY[[#All],[TOTAL Non-Truncated Unadjusted Claims Expenses]], AN_TME_PY[[#All],[Insurance Category Code]],2, AN_TME_PY[[#All],[Advanced Network/Insurance Carrier Org ID]],Q185),2)</f>
        <v>1</v>
      </c>
      <c r="AF185" s="283" t="str">
        <f t="shared" si="15"/>
        <v>NA</v>
      </c>
    </row>
    <row r="186" spans="2:32" outlineLevel="1" x14ac:dyDescent="0.25">
      <c r="B186" s="216">
        <v>130</v>
      </c>
      <c r="C186" s="404">
        <f>ROUND(SUMIFS(Age_Sex_BY[[#All],[Total Member Months by Age/Sex Band]], Age_Sex_BY[[#All],[Advanced Network ID]], $B186, Age_Sex_BY[[#All],[Insurance Category Code]],2),2)</f>
        <v>0</v>
      </c>
      <c r="D186" s="238">
        <f>ROUND(SUMIFS(Age_Sex_BY[[#All],[Total Dollars Excluded from Spending After Applying Truncation at the Member Level]], Age_Sex_BY[[#All],[Advanced Network ID]], $B186, Age_Sex_BY[[#All],[Insurance Category Code]],2),2)</f>
        <v>0</v>
      </c>
      <c r="E186" s="209">
        <f>ROUND(SUMIFS(Age_Sex_BY[[#All],[Count of Members whose Spending was Truncated]], Age_Sex_BY[[#All],[Advanced Network ID]], $B186, Age_Sex_BY[[#All],[Insurance Category Code]],2),2)</f>
        <v>0</v>
      </c>
      <c r="F186" s="210">
        <f>ROUND(SUMIFS(Age_Sex_BY[[#All],[Total Spending before Truncation is Applied]], Age_Sex_BY[[#All],[Advanced Network ID]], $B186, Age_Sex_BY[[#All],[Insurance Category Code]],2),2)</f>
        <v>0</v>
      </c>
      <c r="G186" s="212">
        <f>ROUND(SUMIFS(Age_Sex_BY[[#All],[Total Spending After Applying Truncation at the Member Level]], Age_Sex_BY[[#All],[Advanced Network ID]], $B186, Age_Sex_BY[[#All],[Insurance Category Code]],2),2)</f>
        <v>0</v>
      </c>
      <c r="H186" s="525" t="str">
        <f>IF(ROUND(C186,0)=ROUND(SUMIFS(AN_TME_BY[[#All],[Member Months]], AN_TME_BY[[#All],[Insurance Category Code]],2, AN_TME_BY[[#All],[Advanced Network/Insurance Carrier Org ID]],B186),0), "TRUE", ROUND(C186-SUMIFS(AN_TME_BY[[#All],[Member Months]], AN_TME_BY[[#All],[Insurance Category Code]],2, AN_TME_BY[[#All],[Advanced Network/Insurance Carrier Org ID]],B186),2))</f>
        <v>TRUE</v>
      </c>
      <c r="I186" s="533" t="str">
        <f>IF(ROUND(D186,0)=ROUND(SUMIFS(AN_TME_BY[[#All],[Total Claims Excluded because of Truncation]], AN_TME_BY[[#All],[Insurance Category Code]],2, AN_TME_BY[[#All],[Advanced Network/Insurance Carrier Org ID]],B186),0), "TRUE", ROUND(D186-SUMIFS(AN_TME_BY[[#All],[Total Claims Excluded because of Truncation]], AN_TME_BY[[#All],[Insurance Category Code]],2, AN_TME_BY[[#All],[Advanced Network/Insurance Carrier Org ID]],B186),2))</f>
        <v>TRUE</v>
      </c>
      <c r="J186" s="537" t="str">
        <f>IF(ROUND(E186,0)=ROUND(SUMIFS(AN_TME_BY[[#All],[Count of Members with Claims Truncated]], AN_TME_BY[[#All],[Insurance Category Code]],2, AN_TME_BY[[#All],[Advanced Network/Insurance Carrier Org ID]],B186),0), "TRUE", ROUND(E186-SUMIFS(AN_TME_BY[[#All],[Count of Members with Claims Truncated]], AN_TME_BY[[#All],[Insurance Category Code]],2, AN_TME_BY[[#All],[Advanced Network/Insurance Carrier Org ID]],B186),2))</f>
        <v>TRUE</v>
      </c>
      <c r="K186" s="533" t="str">
        <f>IF(ROUND(F186,0)=ROUND(SUMIFS(AN_TME_BY[[#All],[TOTAL Non-Truncated Unadjusted Claims Expenses]], AN_TME_BY[[#All],[Insurance Category Code]],2, AN_TME_BY[[#All],[Advanced Network/Insurance Carrier Org ID]],B186),0), "TRUE", ROUND(F186-SUMIFS(AN_TME_BY[[#All],[TOTAL Non-Truncated Unadjusted Claims Expenses]], AN_TME_BY[[#All],[Insurance Category Code]],2, AN_TME_BY[[#All],[Advanced Network/Insurance Carrier Org ID]],B186),2))</f>
        <v>TRUE</v>
      </c>
      <c r="L186" s="534" t="str">
        <f>IF(ROUND(G186,0)=ROUND(SUMIFS(AN_TME_BY[[#All],[TOTAL Truncated Unadjusted Claims Expenses (A21 -A19)]], AN_TME_BY[[#All],[Insurance Category Code]],2, AN_TME_BY[[#All],[Advanced Network/Insurance Carrier Org ID]],B186),0), "TRUE", ROUND(G186-SUMIFS(AN_TME_BY[[#All],[TOTAL Truncated Unadjusted Claims Expenses (A21 -A19)]], AN_TME_BY[[#All],[Insurance Category Code]],2, AN_TME_BY[[#All],[Advanced Network/Insurance Carrier Org ID]],B186),2))</f>
        <v>TRUE</v>
      </c>
      <c r="M186" s="525" t="str">
        <f t="shared" si="14"/>
        <v>TRUE</v>
      </c>
      <c r="N186" s="533" t="b">
        <f>ROUND(SUMIFS(AN_TME_BY[[#All],[TOTAL Non-Truncated Unadjusted Claims Expenses]], AN_TME_BY[[#All],[Insurance Category Code]],2, AN_TME_BY[[#All],[Advanced Network/Insurance Carrier Org ID]],B186),2)&gt;=ROUND(SUMIFS(AN_TME_BY[[#All],[TOTAL Truncated Unadjusted Claims Expenses (A21 -A19)]], AN_TME_BY[[#All],[Insurance Category Code]],2, AN_TME_BY[[#All],[Advanced Network/Insurance Carrier Org ID]],B186), 2)</f>
        <v>1</v>
      </c>
      <c r="O186" s="534" t="b">
        <f>ROUND(SUMIFS(AN_TME_BY[[#All],[TOTAL Truncated Unadjusted Claims Expenses (A21 -A19)]], AN_TME_BY[[#All],[Insurance Category Code]],2, AN_TME_BY[[#All],[Advanced Network/Insurance Carrier Org ID]],B186)+SUMIFS(AN_TME_BY[[#All],[Total Claims Excluded because of Truncation]], AN_TME_BY[[#All],[Insurance Category Code]],2, AN_TME_BY[[#All],[Advanced Network/Insurance Carrier Org ID]],B186),2)=ROUND(SUMIFS(AN_TME_BY[[#All],[TOTAL Non-Truncated Unadjusted Claims Expenses]], AN_TME_BY[[#All],[Insurance Category Code]],2, AN_TME_BY[[#All],[Advanced Network/Insurance Carrier Org ID]],B186), 2)</f>
        <v>1</v>
      </c>
      <c r="Q186" s="216">
        <v>130</v>
      </c>
      <c r="R186" s="404">
        <f>ROUND(SUMIFS(Age_Sex_PY[[#All],[Total Member Months by Age/Sex Band]], Age_Sex_PY[[#All],[Advanced Network ID]], $Q186, Age_Sex_PY[[#All],[Insurance Category Code]],2),2)</f>
        <v>0</v>
      </c>
      <c r="S186" s="238">
        <f>ROUND(SUMIFS(Age_Sex_PY[[#All],[Total Dollars Excluded from Spending After Applying Truncation at the Member Level]], Age_Sex_PY[[#All],[Advanced Network ID]], $B186, Age_Sex_PY[[#All],[Insurance Category Code]],2),2)</f>
        <v>0</v>
      </c>
      <c r="T186" s="209">
        <f>ROUND(SUMIFS(Age_Sex_PY[[#All],[Count of Members whose Spending was Truncated]], Age_Sex_PY[[#All],[Advanced Network ID]], $B186, Age_Sex_PY[[#All],[Insurance Category Code]],2),2)</f>
        <v>0</v>
      </c>
      <c r="U186" s="210">
        <f>ROUND(SUMIFS(Age_Sex_PY[[#All],[Total Spending before Truncation is Applied]], Age_Sex_PY[[#All],[Advanced Network ID]], $B186, Age_Sex_PY[[#All],[Insurance Category Code]],2),2)</f>
        <v>0</v>
      </c>
      <c r="V186" s="212">
        <f>ROUND(SUMIFS(Age_Sex_PY[[#All],[Total Spending After Applying Truncation at the Member Level]], Age_Sex_PY[[#All],[Advanced Network ID]], $B186, Age_Sex_PY[[#All],[Insurance Category Code]],2), 2)</f>
        <v>0</v>
      </c>
      <c r="W186" s="525" t="str">
        <f>IF(ROUND(R186,0)=ROUND(SUMIFS(AN_TME_PY[[#All],[Member Months]], AN_TME_PY[[#All],[Insurance Category Code]],2, AN_TME_PY[[#All],[Advanced Network/Insurance Carrier Org ID]],Q186),0), "TRUE", ROUND(R186-SUMIFS(AN_TME_PY[[#All],[Member Months]], AN_TME_PY[[#All],[Insurance Category Code]],2, AN_TME_PY[[#All],[Advanced Network/Insurance Carrier Org ID]],Q186),2))</f>
        <v>TRUE</v>
      </c>
      <c r="X186" s="527" t="str">
        <f>IF(ROUND(S186,0)=ROUND(SUMIFS(AN_TME_PY[[#All],[Total Claims Excluded because of Truncation]], AN_TME_PY[[#All],[Insurance Category Code]],2, AN_TME_PY[[#All],[Advanced Network/Insurance Carrier Org ID]],Q186),0), "TRUE", ROUND(S186-SUMIFS(AN_TME_PY[[#All],[Total Claims Excluded because of Truncation]], AN_TME_PY[[#All],[Insurance Category Code]],2, AN_TME_PY[[#All],[Advanced Network/Insurance Carrier Org ID]],Q186),2))</f>
        <v>TRUE</v>
      </c>
      <c r="Y186" s="537" t="str">
        <f>IF(ROUND(T186,0)=ROUND(SUMIFS(AN_TME_PY[[#All],[Count of Members with Claims Truncated]], AN_TME_PY[[#All],[Insurance Category Code]],2, AN_TME_PY[[#All],[Advanced Network/Insurance Carrier Org ID]],Q186),0), "TRUE", ROUND(T186-SUMIFS(AN_TME_PY[[#All],[Count of Members with Claims Truncated]], AN_TME_PY[[#All],[Insurance Category Code]],2, AN_TME_PY[[#All],[Advanced Network/Insurance Carrier Org ID]],Q186),2))</f>
        <v>TRUE</v>
      </c>
      <c r="Z186" s="528" t="str">
        <f>IF(ROUND(U186,0)=ROUND(SUMIFS(AN_TME_PY[[#All],[TOTAL Non-Truncated Unadjusted Claims Expenses]], AN_TME_PY[[#All],[Insurance Category Code]],2, AN_TME_PY[[#All],[Advanced Network/Insurance Carrier Org ID]],Q186),0), "TRUE", ROUND(U186-SUMIFS(AN_TME_PY[[#All],[TOTAL Non-Truncated Unadjusted Claims Expenses]], AN_TME_PY[[#All],[Insurance Category Code]],2, AN_TME_PY[[#All],[Advanced Network/Insurance Carrier Org ID]],Q186),2))</f>
        <v>TRUE</v>
      </c>
      <c r="AA186" s="529" t="str">
        <f>IF(ROUND(V186,0)=ROUND(SUMIFS(AN_TME_PY[[#All],[TOTAL Truncated Unadjusted Claims Expenses (A21 -A19)]], AN_TME_PY[[#All],[Insurance Category Code]],2, AN_TME_PY[[#All],[Advanced Network/Insurance Carrier Org ID]],Q186),0), "TRUE", ROUND(V186-SUMIFS(AN_TME_PY[[#All],[TOTAL Truncated Unadjusted Claims Expenses (A21 -A19)]], AN_TME_PY[[#All],[Insurance Category Code]],2, AN_TME_PY[[#All],[Advanced Network/Insurance Carrier Org ID]],Q186),2))</f>
        <v>TRUE</v>
      </c>
      <c r="AB186" s="525" t="str">
        <f t="shared" si="16"/>
        <v>TRUE</v>
      </c>
      <c r="AC186" s="528" t="b">
        <f>ROUND(SUMIFS(AN_TME_PY[[#All],[TOTAL Non-Truncated Unadjusted Claims Expenses]], AN_TME_PY[[#All],[Insurance Category Code]],2, AN_TME_PY[[#All],[Advanced Network/Insurance Carrier Org ID]],Q186),2)&gt;=ROUND(SUMIFS(AN_TME_PY[[#All],[TOTAL Truncated Unadjusted Claims Expenses (A21 -A19)]], AN_TME_PY[[#All],[Insurance Category Code]],2, AN_TME_PY[[#All],[Advanced Network/Insurance Carrier Org ID]],Q186),2)</f>
        <v>1</v>
      </c>
      <c r="AD186" s="529" t="b">
        <f>ROUND(SUMIFS(AN_TME_PY[[#All],[TOTAL Truncated Unadjusted Claims Expenses (A21 -A19)]], AN_TME_PY[[#All],[Insurance Category Code]],2, AN_TME_PY[[#All],[Advanced Network/Insurance Carrier Org ID]],Q186)+SUMIFS(AN_TME_PY[[#All],[Total Claims Excluded because of Truncation]], AN_TME_PY[[#All],[Insurance Category Code]],2, AN_TME_PY[[#All],[Advanced Network/Insurance Carrier Org ID]],Q186), 2)=ROUND(SUMIFS(AN_TME_PY[[#All],[TOTAL Non-Truncated Unadjusted Claims Expenses]], AN_TME_PY[[#All],[Insurance Category Code]],2, AN_TME_PY[[#All],[Advanced Network/Insurance Carrier Org ID]],Q186),2)</f>
        <v>1</v>
      </c>
      <c r="AF186" s="283" t="str">
        <f t="shared" si="15"/>
        <v>NA</v>
      </c>
    </row>
    <row r="187" spans="2:32" outlineLevel="1" x14ac:dyDescent="0.25">
      <c r="B187" s="216">
        <v>131</v>
      </c>
      <c r="C187" s="404">
        <f>ROUND(SUMIFS(Age_Sex_BY[[#All],[Total Member Months by Age/Sex Band]], Age_Sex_BY[[#All],[Advanced Network ID]], $B187, Age_Sex_BY[[#All],[Insurance Category Code]],2),2)</f>
        <v>0</v>
      </c>
      <c r="D187" s="238">
        <f>ROUND(SUMIFS(Age_Sex_BY[[#All],[Total Dollars Excluded from Spending After Applying Truncation at the Member Level]], Age_Sex_BY[[#All],[Advanced Network ID]], $B187, Age_Sex_BY[[#All],[Insurance Category Code]],2),2)</f>
        <v>0</v>
      </c>
      <c r="E187" s="209">
        <f>ROUND(SUMIFS(Age_Sex_BY[[#All],[Count of Members whose Spending was Truncated]], Age_Sex_BY[[#All],[Advanced Network ID]], $B187, Age_Sex_BY[[#All],[Insurance Category Code]],2),2)</f>
        <v>0</v>
      </c>
      <c r="F187" s="210">
        <f>ROUND(SUMIFS(Age_Sex_BY[[#All],[Total Spending before Truncation is Applied]], Age_Sex_BY[[#All],[Advanced Network ID]], $B187, Age_Sex_BY[[#All],[Insurance Category Code]],2),2)</f>
        <v>0</v>
      </c>
      <c r="G187" s="212">
        <f>ROUND(SUMIFS(Age_Sex_BY[[#All],[Total Spending After Applying Truncation at the Member Level]], Age_Sex_BY[[#All],[Advanced Network ID]], $B187, Age_Sex_BY[[#All],[Insurance Category Code]],2),2)</f>
        <v>0</v>
      </c>
      <c r="H187" s="525" t="str">
        <f>IF(ROUND(C187,0)=ROUND(SUMIFS(AN_TME_BY[[#All],[Member Months]], AN_TME_BY[[#All],[Insurance Category Code]],2, AN_TME_BY[[#All],[Advanced Network/Insurance Carrier Org ID]],B187),0), "TRUE", ROUND(C187-SUMIFS(AN_TME_BY[[#All],[Member Months]], AN_TME_BY[[#All],[Insurance Category Code]],2, AN_TME_BY[[#All],[Advanced Network/Insurance Carrier Org ID]],B187),2))</f>
        <v>TRUE</v>
      </c>
      <c r="I187" s="533" t="str">
        <f>IF(ROUND(D187,0)=ROUND(SUMIFS(AN_TME_BY[[#All],[Total Claims Excluded because of Truncation]], AN_TME_BY[[#All],[Insurance Category Code]],2, AN_TME_BY[[#All],[Advanced Network/Insurance Carrier Org ID]],B187),0), "TRUE", ROUND(D187-SUMIFS(AN_TME_BY[[#All],[Total Claims Excluded because of Truncation]], AN_TME_BY[[#All],[Insurance Category Code]],2, AN_TME_BY[[#All],[Advanced Network/Insurance Carrier Org ID]],B187),2))</f>
        <v>TRUE</v>
      </c>
      <c r="J187" s="537" t="str">
        <f>IF(ROUND(E187,0)=ROUND(SUMIFS(AN_TME_BY[[#All],[Count of Members with Claims Truncated]], AN_TME_BY[[#All],[Insurance Category Code]],2, AN_TME_BY[[#All],[Advanced Network/Insurance Carrier Org ID]],B187),0), "TRUE", ROUND(E187-SUMIFS(AN_TME_BY[[#All],[Count of Members with Claims Truncated]], AN_TME_BY[[#All],[Insurance Category Code]],2, AN_TME_BY[[#All],[Advanced Network/Insurance Carrier Org ID]],B187),2))</f>
        <v>TRUE</v>
      </c>
      <c r="K187" s="533" t="str">
        <f>IF(ROUND(F187,0)=ROUND(SUMIFS(AN_TME_BY[[#All],[TOTAL Non-Truncated Unadjusted Claims Expenses]], AN_TME_BY[[#All],[Insurance Category Code]],2, AN_TME_BY[[#All],[Advanced Network/Insurance Carrier Org ID]],B187),0), "TRUE", ROUND(F187-SUMIFS(AN_TME_BY[[#All],[TOTAL Non-Truncated Unadjusted Claims Expenses]], AN_TME_BY[[#All],[Insurance Category Code]],2, AN_TME_BY[[#All],[Advanced Network/Insurance Carrier Org ID]],B187),2))</f>
        <v>TRUE</v>
      </c>
      <c r="L187" s="534" t="str">
        <f>IF(ROUND(G187,0)=ROUND(SUMIFS(AN_TME_BY[[#All],[TOTAL Truncated Unadjusted Claims Expenses (A21 -A19)]], AN_TME_BY[[#All],[Insurance Category Code]],2, AN_TME_BY[[#All],[Advanced Network/Insurance Carrier Org ID]],B187),0), "TRUE", ROUND(G187-SUMIFS(AN_TME_BY[[#All],[TOTAL Truncated Unadjusted Claims Expenses (A21 -A19)]], AN_TME_BY[[#All],[Insurance Category Code]],2, AN_TME_BY[[#All],[Advanced Network/Insurance Carrier Org ID]],B187),2))</f>
        <v>TRUE</v>
      </c>
      <c r="M187" s="525" t="str">
        <f t="shared" si="14"/>
        <v>TRUE</v>
      </c>
      <c r="N187" s="533" t="b">
        <f>ROUND(SUMIFS(AN_TME_BY[[#All],[TOTAL Non-Truncated Unadjusted Claims Expenses]], AN_TME_BY[[#All],[Insurance Category Code]],2, AN_TME_BY[[#All],[Advanced Network/Insurance Carrier Org ID]],B187),2)&gt;=ROUND(SUMIFS(AN_TME_BY[[#All],[TOTAL Truncated Unadjusted Claims Expenses (A21 -A19)]], AN_TME_BY[[#All],[Insurance Category Code]],2, AN_TME_BY[[#All],[Advanced Network/Insurance Carrier Org ID]],B187), 2)</f>
        <v>1</v>
      </c>
      <c r="O187" s="534" t="b">
        <f>ROUND(SUMIFS(AN_TME_BY[[#All],[TOTAL Truncated Unadjusted Claims Expenses (A21 -A19)]], AN_TME_BY[[#All],[Insurance Category Code]],2, AN_TME_BY[[#All],[Advanced Network/Insurance Carrier Org ID]],B187)+SUMIFS(AN_TME_BY[[#All],[Total Claims Excluded because of Truncation]], AN_TME_BY[[#All],[Insurance Category Code]],2, AN_TME_BY[[#All],[Advanced Network/Insurance Carrier Org ID]],B187),2)=ROUND(SUMIFS(AN_TME_BY[[#All],[TOTAL Non-Truncated Unadjusted Claims Expenses]], AN_TME_BY[[#All],[Insurance Category Code]],2, AN_TME_BY[[#All],[Advanced Network/Insurance Carrier Org ID]],B187), 2)</f>
        <v>1</v>
      </c>
      <c r="Q187" s="216">
        <v>131</v>
      </c>
      <c r="R187" s="404">
        <f>ROUND(SUMIFS(Age_Sex_PY[[#All],[Total Member Months by Age/Sex Band]], Age_Sex_PY[[#All],[Advanced Network ID]], $Q187, Age_Sex_PY[[#All],[Insurance Category Code]],2),2)</f>
        <v>0</v>
      </c>
      <c r="S187" s="238">
        <f>ROUND(SUMIFS(Age_Sex_PY[[#All],[Total Dollars Excluded from Spending After Applying Truncation at the Member Level]], Age_Sex_PY[[#All],[Advanced Network ID]], $B187, Age_Sex_PY[[#All],[Insurance Category Code]],2),2)</f>
        <v>0</v>
      </c>
      <c r="T187" s="209">
        <f>ROUND(SUMIFS(Age_Sex_PY[[#All],[Count of Members whose Spending was Truncated]], Age_Sex_PY[[#All],[Advanced Network ID]], $B187, Age_Sex_PY[[#All],[Insurance Category Code]],2),2)</f>
        <v>0</v>
      </c>
      <c r="U187" s="210">
        <f>ROUND(SUMIFS(Age_Sex_PY[[#All],[Total Spending before Truncation is Applied]], Age_Sex_PY[[#All],[Advanced Network ID]], $B187, Age_Sex_PY[[#All],[Insurance Category Code]],2),2)</f>
        <v>0</v>
      </c>
      <c r="V187" s="212">
        <f>ROUND(SUMIFS(Age_Sex_PY[[#All],[Total Spending After Applying Truncation at the Member Level]], Age_Sex_PY[[#All],[Advanced Network ID]], $B187, Age_Sex_PY[[#All],[Insurance Category Code]],2), 2)</f>
        <v>0</v>
      </c>
      <c r="W187" s="525" t="str">
        <f>IF(ROUND(R187,0)=ROUND(SUMIFS(AN_TME_PY[[#All],[Member Months]], AN_TME_PY[[#All],[Insurance Category Code]],2, AN_TME_PY[[#All],[Advanced Network/Insurance Carrier Org ID]],Q187),0), "TRUE", ROUND(R187-SUMIFS(AN_TME_PY[[#All],[Member Months]], AN_TME_PY[[#All],[Insurance Category Code]],2, AN_TME_PY[[#All],[Advanced Network/Insurance Carrier Org ID]],Q187),2))</f>
        <v>TRUE</v>
      </c>
      <c r="X187" s="527" t="str">
        <f>IF(ROUND(S187,0)=ROUND(SUMIFS(AN_TME_PY[[#All],[Total Claims Excluded because of Truncation]], AN_TME_PY[[#All],[Insurance Category Code]],2, AN_TME_PY[[#All],[Advanced Network/Insurance Carrier Org ID]],Q187),0), "TRUE", ROUND(S187-SUMIFS(AN_TME_PY[[#All],[Total Claims Excluded because of Truncation]], AN_TME_PY[[#All],[Insurance Category Code]],2, AN_TME_PY[[#All],[Advanced Network/Insurance Carrier Org ID]],Q187),2))</f>
        <v>TRUE</v>
      </c>
      <c r="Y187" s="537" t="str">
        <f>IF(ROUND(T187,0)=ROUND(SUMIFS(AN_TME_PY[[#All],[Count of Members with Claims Truncated]], AN_TME_PY[[#All],[Insurance Category Code]],2, AN_TME_PY[[#All],[Advanced Network/Insurance Carrier Org ID]],Q187),0), "TRUE", ROUND(T187-SUMIFS(AN_TME_PY[[#All],[Count of Members with Claims Truncated]], AN_TME_PY[[#All],[Insurance Category Code]],2, AN_TME_PY[[#All],[Advanced Network/Insurance Carrier Org ID]],Q187),2))</f>
        <v>TRUE</v>
      </c>
      <c r="Z187" s="528" t="str">
        <f>IF(ROUND(U187,0)=ROUND(SUMIFS(AN_TME_PY[[#All],[TOTAL Non-Truncated Unadjusted Claims Expenses]], AN_TME_PY[[#All],[Insurance Category Code]],2, AN_TME_PY[[#All],[Advanced Network/Insurance Carrier Org ID]],Q187),0), "TRUE", ROUND(U187-SUMIFS(AN_TME_PY[[#All],[TOTAL Non-Truncated Unadjusted Claims Expenses]], AN_TME_PY[[#All],[Insurance Category Code]],2, AN_TME_PY[[#All],[Advanced Network/Insurance Carrier Org ID]],Q187),2))</f>
        <v>TRUE</v>
      </c>
      <c r="AA187" s="529" t="str">
        <f>IF(ROUND(V187,0)=ROUND(SUMIFS(AN_TME_PY[[#All],[TOTAL Truncated Unadjusted Claims Expenses (A21 -A19)]], AN_TME_PY[[#All],[Insurance Category Code]],2, AN_TME_PY[[#All],[Advanced Network/Insurance Carrier Org ID]],Q187),0), "TRUE", ROUND(V187-SUMIFS(AN_TME_PY[[#All],[TOTAL Truncated Unadjusted Claims Expenses (A21 -A19)]], AN_TME_PY[[#All],[Insurance Category Code]],2, AN_TME_PY[[#All],[Advanced Network/Insurance Carrier Org ID]],Q187),2))</f>
        <v>TRUE</v>
      </c>
      <c r="AB187" s="525" t="str">
        <f t="shared" si="16"/>
        <v>TRUE</v>
      </c>
      <c r="AC187" s="528" t="b">
        <f>ROUND(SUMIFS(AN_TME_PY[[#All],[TOTAL Non-Truncated Unadjusted Claims Expenses]], AN_TME_PY[[#All],[Insurance Category Code]],2, AN_TME_PY[[#All],[Advanced Network/Insurance Carrier Org ID]],Q187),2)&gt;=ROUND(SUMIFS(AN_TME_PY[[#All],[TOTAL Truncated Unadjusted Claims Expenses (A21 -A19)]], AN_TME_PY[[#All],[Insurance Category Code]],2, AN_TME_PY[[#All],[Advanced Network/Insurance Carrier Org ID]],Q187),2)</f>
        <v>1</v>
      </c>
      <c r="AD187" s="529" t="b">
        <f>ROUND(SUMIFS(AN_TME_PY[[#All],[TOTAL Truncated Unadjusted Claims Expenses (A21 -A19)]], AN_TME_PY[[#All],[Insurance Category Code]],2, AN_TME_PY[[#All],[Advanced Network/Insurance Carrier Org ID]],Q187)+SUMIFS(AN_TME_PY[[#All],[Total Claims Excluded because of Truncation]], AN_TME_PY[[#All],[Insurance Category Code]],2, AN_TME_PY[[#All],[Advanced Network/Insurance Carrier Org ID]],Q187), 2)=ROUND(SUMIFS(AN_TME_PY[[#All],[TOTAL Non-Truncated Unadjusted Claims Expenses]], AN_TME_PY[[#All],[Insurance Category Code]],2, AN_TME_PY[[#All],[Advanced Network/Insurance Carrier Org ID]],Q187),2)</f>
        <v>1</v>
      </c>
      <c r="AF187" s="283" t="str">
        <f t="shared" si="15"/>
        <v>NA</v>
      </c>
    </row>
    <row r="188" spans="2:32" outlineLevel="1" x14ac:dyDescent="0.25">
      <c r="B188" s="216">
        <v>132</v>
      </c>
      <c r="C188" s="404">
        <f>ROUND(SUMIFS(Age_Sex_BY[[#All],[Total Member Months by Age/Sex Band]], Age_Sex_BY[[#All],[Advanced Network ID]], $B188, Age_Sex_BY[[#All],[Insurance Category Code]],2),2)</f>
        <v>0</v>
      </c>
      <c r="D188" s="238">
        <f>ROUND(SUMIFS(Age_Sex_BY[[#All],[Total Dollars Excluded from Spending After Applying Truncation at the Member Level]], Age_Sex_BY[[#All],[Advanced Network ID]], $B188, Age_Sex_BY[[#All],[Insurance Category Code]],2),2)</f>
        <v>0</v>
      </c>
      <c r="E188" s="209">
        <f>ROUND(SUMIFS(Age_Sex_BY[[#All],[Count of Members whose Spending was Truncated]], Age_Sex_BY[[#All],[Advanced Network ID]], $B188, Age_Sex_BY[[#All],[Insurance Category Code]],2),2)</f>
        <v>0</v>
      </c>
      <c r="F188" s="210">
        <f>ROUND(SUMIFS(Age_Sex_BY[[#All],[Total Spending before Truncation is Applied]], Age_Sex_BY[[#All],[Advanced Network ID]], $B188, Age_Sex_BY[[#All],[Insurance Category Code]],2),2)</f>
        <v>0</v>
      </c>
      <c r="G188" s="212">
        <f>ROUND(SUMIFS(Age_Sex_BY[[#All],[Total Spending After Applying Truncation at the Member Level]], Age_Sex_BY[[#All],[Advanced Network ID]], $B188, Age_Sex_BY[[#All],[Insurance Category Code]],2),2)</f>
        <v>0</v>
      </c>
      <c r="H188" s="525" t="str">
        <f>IF(ROUND(C188,0)=ROUND(SUMIFS(AN_TME_BY[[#All],[Member Months]], AN_TME_BY[[#All],[Insurance Category Code]],2, AN_TME_BY[[#All],[Advanced Network/Insurance Carrier Org ID]],B188),0), "TRUE", ROUND(C188-SUMIFS(AN_TME_BY[[#All],[Member Months]], AN_TME_BY[[#All],[Insurance Category Code]],2, AN_TME_BY[[#All],[Advanced Network/Insurance Carrier Org ID]],B188),2))</f>
        <v>TRUE</v>
      </c>
      <c r="I188" s="533" t="str">
        <f>IF(ROUND(D188,0)=ROUND(SUMIFS(AN_TME_BY[[#All],[Total Claims Excluded because of Truncation]], AN_TME_BY[[#All],[Insurance Category Code]],2, AN_TME_BY[[#All],[Advanced Network/Insurance Carrier Org ID]],B188),0), "TRUE", ROUND(D188-SUMIFS(AN_TME_BY[[#All],[Total Claims Excluded because of Truncation]], AN_TME_BY[[#All],[Insurance Category Code]],2, AN_TME_BY[[#All],[Advanced Network/Insurance Carrier Org ID]],B188),2))</f>
        <v>TRUE</v>
      </c>
      <c r="J188" s="537" t="str">
        <f>IF(ROUND(E188,0)=ROUND(SUMIFS(AN_TME_BY[[#All],[Count of Members with Claims Truncated]], AN_TME_BY[[#All],[Insurance Category Code]],2, AN_TME_BY[[#All],[Advanced Network/Insurance Carrier Org ID]],B188),0), "TRUE", ROUND(E188-SUMIFS(AN_TME_BY[[#All],[Count of Members with Claims Truncated]], AN_TME_BY[[#All],[Insurance Category Code]],2, AN_TME_BY[[#All],[Advanced Network/Insurance Carrier Org ID]],B188),2))</f>
        <v>TRUE</v>
      </c>
      <c r="K188" s="533" t="str">
        <f>IF(ROUND(F188,0)=ROUND(SUMIFS(AN_TME_BY[[#All],[TOTAL Non-Truncated Unadjusted Claims Expenses]], AN_TME_BY[[#All],[Insurance Category Code]],2, AN_TME_BY[[#All],[Advanced Network/Insurance Carrier Org ID]],B188),0), "TRUE", ROUND(F188-SUMIFS(AN_TME_BY[[#All],[TOTAL Non-Truncated Unadjusted Claims Expenses]], AN_TME_BY[[#All],[Insurance Category Code]],2, AN_TME_BY[[#All],[Advanced Network/Insurance Carrier Org ID]],B188),2))</f>
        <v>TRUE</v>
      </c>
      <c r="L188" s="534" t="str">
        <f>IF(ROUND(G188,0)=ROUND(SUMIFS(AN_TME_BY[[#All],[TOTAL Truncated Unadjusted Claims Expenses (A21 -A19)]], AN_TME_BY[[#All],[Insurance Category Code]],2, AN_TME_BY[[#All],[Advanced Network/Insurance Carrier Org ID]],B188),0), "TRUE", ROUND(G188-SUMIFS(AN_TME_BY[[#All],[TOTAL Truncated Unadjusted Claims Expenses (A21 -A19)]], AN_TME_BY[[#All],[Insurance Category Code]],2, AN_TME_BY[[#All],[Advanced Network/Insurance Carrier Org ID]],B188),2))</f>
        <v>TRUE</v>
      </c>
      <c r="M188" s="525" t="str">
        <f t="shared" ref="M188:M190" si="17">IF(E188=0, "TRUE",IF((C188/12)&gt;E188,"TRUE",(C188/12)-E188))</f>
        <v>TRUE</v>
      </c>
      <c r="N188" s="533" t="b">
        <f>ROUND(SUMIFS(AN_TME_BY[[#All],[TOTAL Non-Truncated Unadjusted Claims Expenses]], AN_TME_BY[[#All],[Insurance Category Code]],2, AN_TME_BY[[#All],[Advanced Network/Insurance Carrier Org ID]],B188),2)&gt;=ROUND(SUMIFS(AN_TME_BY[[#All],[TOTAL Truncated Unadjusted Claims Expenses (A21 -A19)]], AN_TME_BY[[#All],[Insurance Category Code]],2, AN_TME_BY[[#All],[Advanced Network/Insurance Carrier Org ID]],B188), 2)</f>
        <v>1</v>
      </c>
      <c r="O188" s="534" t="b">
        <f>ROUND(SUMIFS(AN_TME_BY[[#All],[TOTAL Truncated Unadjusted Claims Expenses (A21 -A19)]], AN_TME_BY[[#All],[Insurance Category Code]],2, AN_TME_BY[[#All],[Advanced Network/Insurance Carrier Org ID]],B188)+SUMIFS(AN_TME_BY[[#All],[Total Claims Excluded because of Truncation]], AN_TME_BY[[#All],[Insurance Category Code]],2, AN_TME_BY[[#All],[Advanced Network/Insurance Carrier Org ID]],B188),2)=ROUND(SUMIFS(AN_TME_BY[[#All],[TOTAL Non-Truncated Unadjusted Claims Expenses]], AN_TME_BY[[#All],[Insurance Category Code]],2, AN_TME_BY[[#All],[Advanced Network/Insurance Carrier Org ID]],B188), 2)</f>
        <v>1</v>
      </c>
      <c r="Q188" s="216">
        <v>132</v>
      </c>
      <c r="R188" s="404">
        <f>ROUND(SUMIFS(Age_Sex_PY[[#All],[Total Member Months by Age/Sex Band]], Age_Sex_PY[[#All],[Advanced Network ID]], $Q188, Age_Sex_PY[[#All],[Insurance Category Code]],2),2)</f>
        <v>0</v>
      </c>
      <c r="S188" s="238">
        <f>ROUND(SUMIFS(Age_Sex_PY[[#All],[Total Dollars Excluded from Spending After Applying Truncation at the Member Level]], Age_Sex_PY[[#All],[Advanced Network ID]], $B188, Age_Sex_PY[[#All],[Insurance Category Code]],2),2)</f>
        <v>0</v>
      </c>
      <c r="T188" s="209">
        <f>ROUND(SUMIFS(Age_Sex_PY[[#All],[Count of Members whose Spending was Truncated]], Age_Sex_PY[[#All],[Advanced Network ID]], $B188, Age_Sex_PY[[#All],[Insurance Category Code]],2),2)</f>
        <v>0</v>
      </c>
      <c r="U188" s="210">
        <f>ROUND(SUMIFS(Age_Sex_PY[[#All],[Total Spending before Truncation is Applied]], Age_Sex_PY[[#All],[Advanced Network ID]], $B188, Age_Sex_PY[[#All],[Insurance Category Code]],2),2)</f>
        <v>0</v>
      </c>
      <c r="V188" s="212">
        <f>ROUND(SUMIFS(Age_Sex_PY[[#All],[Total Spending After Applying Truncation at the Member Level]], Age_Sex_PY[[#All],[Advanced Network ID]], $B188, Age_Sex_PY[[#All],[Insurance Category Code]],2), 2)</f>
        <v>0</v>
      </c>
      <c r="W188" s="525" t="str">
        <f>IF(ROUND(R188,0)=ROUND(SUMIFS(AN_TME_PY[[#All],[Member Months]], AN_TME_PY[[#All],[Insurance Category Code]],2, AN_TME_PY[[#All],[Advanced Network/Insurance Carrier Org ID]],Q188),0), "TRUE", ROUND(R188-SUMIFS(AN_TME_PY[[#All],[Member Months]], AN_TME_PY[[#All],[Insurance Category Code]],2, AN_TME_PY[[#All],[Advanced Network/Insurance Carrier Org ID]],Q188),2))</f>
        <v>TRUE</v>
      </c>
      <c r="X188" s="527" t="str">
        <f>IF(ROUND(S188,0)=ROUND(SUMIFS(AN_TME_PY[[#All],[Total Claims Excluded because of Truncation]], AN_TME_PY[[#All],[Insurance Category Code]],2, AN_TME_PY[[#All],[Advanced Network/Insurance Carrier Org ID]],Q188),0), "TRUE", ROUND(S188-SUMIFS(AN_TME_PY[[#All],[Total Claims Excluded because of Truncation]], AN_TME_PY[[#All],[Insurance Category Code]],2, AN_TME_PY[[#All],[Advanced Network/Insurance Carrier Org ID]],Q188),2))</f>
        <v>TRUE</v>
      </c>
      <c r="Y188" s="537" t="str">
        <f>IF(ROUND(T188,0)=ROUND(SUMIFS(AN_TME_PY[[#All],[Count of Members with Claims Truncated]], AN_TME_PY[[#All],[Insurance Category Code]],2, AN_TME_PY[[#All],[Advanced Network/Insurance Carrier Org ID]],Q188),0), "TRUE", ROUND(T188-SUMIFS(AN_TME_PY[[#All],[Count of Members with Claims Truncated]], AN_TME_PY[[#All],[Insurance Category Code]],2, AN_TME_PY[[#All],[Advanced Network/Insurance Carrier Org ID]],Q188),2))</f>
        <v>TRUE</v>
      </c>
      <c r="Z188" s="528" t="str">
        <f>IF(ROUND(U188,0)=ROUND(SUMIFS(AN_TME_PY[[#All],[TOTAL Non-Truncated Unadjusted Claims Expenses]], AN_TME_PY[[#All],[Insurance Category Code]],2, AN_TME_PY[[#All],[Advanced Network/Insurance Carrier Org ID]],Q188),0), "TRUE", ROUND(U188-SUMIFS(AN_TME_PY[[#All],[TOTAL Non-Truncated Unadjusted Claims Expenses]], AN_TME_PY[[#All],[Insurance Category Code]],2, AN_TME_PY[[#All],[Advanced Network/Insurance Carrier Org ID]],Q188),2))</f>
        <v>TRUE</v>
      </c>
      <c r="AA188" s="529" t="str">
        <f>IF(ROUND(V188,0)=ROUND(SUMIFS(AN_TME_PY[[#All],[TOTAL Truncated Unadjusted Claims Expenses (A21 -A19)]], AN_TME_PY[[#All],[Insurance Category Code]],2, AN_TME_PY[[#All],[Advanced Network/Insurance Carrier Org ID]],Q188),0), "TRUE", ROUND(V188-SUMIFS(AN_TME_PY[[#All],[TOTAL Truncated Unadjusted Claims Expenses (A21 -A19)]], AN_TME_PY[[#All],[Insurance Category Code]],2, AN_TME_PY[[#All],[Advanced Network/Insurance Carrier Org ID]],Q188),2))</f>
        <v>TRUE</v>
      </c>
      <c r="AB188" s="525" t="str">
        <f t="shared" ref="AB188:AB190" si="18">IF(T188=0, "TRUE",IF((R188/12)&gt;T188,"TRUE",ROUND((R188/12)-T188,2)))</f>
        <v>TRUE</v>
      </c>
      <c r="AC188" s="528" t="b">
        <f>ROUND(SUMIFS(AN_TME_PY[[#All],[TOTAL Non-Truncated Unadjusted Claims Expenses]], AN_TME_PY[[#All],[Insurance Category Code]],2, AN_TME_PY[[#All],[Advanced Network/Insurance Carrier Org ID]],Q188),2)&gt;=ROUND(SUMIFS(AN_TME_PY[[#All],[TOTAL Truncated Unadjusted Claims Expenses (A21 -A19)]], AN_TME_PY[[#All],[Insurance Category Code]],2, AN_TME_PY[[#All],[Advanced Network/Insurance Carrier Org ID]],Q188),2)</f>
        <v>1</v>
      </c>
      <c r="AD188" s="529" t="b">
        <f>ROUND(SUMIFS(AN_TME_PY[[#All],[TOTAL Truncated Unadjusted Claims Expenses (A21 -A19)]], AN_TME_PY[[#All],[Insurance Category Code]],2, AN_TME_PY[[#All],[Advanced Network/Insurance Carrier Org ID]],Q188)+SUMIFS(AN_TME_PY[[#All],[Total Claims Excluded because of Truncation]], AN_TME_PY[[#All],[Insurance Category Code]],2, AN_TME_PY[[#All],[Advanced Network/Insurance Carrier Org ID]],Q188), 2)=ROUND(SUMIFS(AN_TME_PY[[#All],[TOTAL Non-Truncated Unadjusted Claims Expenses]], AN_TME_PY[[#All],[Insurance Category Code]],2, AN_TME_PY[[#All],[Advanced Network/Insurance Carrier Org ID]],Q188),2)</f>
        <v>1</v>
      </c>
      <c r="AF188" s="283" t="str">
        <f t="shared" ref="AF188:AF190" si="19">IFERROR(R188/C188-1, "NA")</f>
        <v>NA</v>
      </c>
    </row>
    <row r="189" spans="2:32" outlineLevel="1" x14ac:dyDescent="0.25">
      <c r="B189" s="216">
        <v>133</v>
      </c>
      <c r="C189" s="404">
        <f>ROUND(SUMIFS(Age_Sex_BY[[#All],[Total Member Months by Age/Sex Band]], Age_Sex_BY[[#All],[Advanced Network ID]], $B189, Age_Sex_BY[[#All],[Insurance Category Code]],2),2)</f>
        <v>0</v>
      </c>
      <c r="D189" s="238">
        <f>ROUND(SUMIFS(Age_Sex_BY[[#All],[Total Dollars Excluded from Spending After Applying Truncation at the Member Level]], Age_Sex_BY[[#All],[Advanced Network ID]], $B189, Age_Sex_BY[[#All],[Insurance Category Code]],2),2)</f>
        <v>0</v>
      </c>
      <c r="E189" s="209">
        <f>ROUND(SUMIFS(Age_Sex_BY[[#All],[Count of Members whose Spending was Truncated]], Age_Sex_BY[[#All],[Advanced Network ID]], $B189, Age_Sex_BY[[#All],[Insurance Category Code]],2),2)</f>
        <v>0</v>
      </c>
      <c r="F189" s="210">
        <f>ROUND(SUMIFS(Age_Sex_BY[[#All],[Total Spending before Truncation is Applied]], Age_Sex_BY[[#All],[Advanced Network ID]], $B189, Age_Sex_BY[[#All],[Insurance Category Code]],2),2)</f>
        <v>0</v>
      </c>
      <c r="G189" s="212">
        <f>ROUND(SUMIFS(Age_Sex_BY[[#All],[Total Spending After Applying Truncation at the Member Level]], Age_Sex_BY[[#All],[Advanced Network ID]], $B189, Age_Sex_BY[[#All],[Insurance Category Code]],2),2)</f>
        <v>0</v>
      </c>
      <c r="H189" s="525" t="str">
        <f>IF(ROUND(C189,0)=ROUND(SUMIFS(AN_TME_BY[[#All],[Member Months]], AN_TME_BY[[#All],[Insurance Category Code]],2, AN_TME_BY[[#All],[Advanced Network/Insurance Carrier Org ID]],B189),0), "TRUE", ROUND(C189-SUMIFS(AN_TME_BY[[#All],[Member Months]], AN_TME_BY[[#All],[Insurance Category Code]],2, AN_TME_BY[[#All],[Advanced Network/Insurance Carrier Org ID]],B189),2))</f>
        <v>TRUE</v>
      </c>
      <c r="I189" s="533" t="str">
        <f>IF(ROUND(D189,0)=ROUND(SUMIFS(AN_TME_BY[[#All],[Total Claims Excluded because of Truncation]], AN_TME_BY[[#All],[Insurance Category Code]],2, AN_TME_BY[[#All],[Advanced Network/Insurance Carrier Org ID]],B189),0), "TRUE", ROUND(D189-SUMIFS(AN_TME_BY[[#All],[Total Claims Excluded because of Truncation]], AN_TME_BY[[#All],[Insurance Category Code]],2, AN_TME_BY[[#All],[Advanced Network/Insurance Carrier Org ID]],B189),2))</f>
        <v>TRUE</v>
      </c>
      <c r="J189" s="537" t="str">
        <f>IF(ROUND(E189,0)=ROUND(SUMIFS(AN_TME_BY[[#All],[Count of Members with Claims Truncated]], AN_TME_BY[[#All],[Insurance Category Code]],2, AN_TME_BY[[#All],[Advanced Network/Insurance Carrier Org ID]],B189),0), "TRUE", ROUND(E189-SUMIFS(AN_TME_BY[[#All],[Count of Members with Claims Truncated]], AN_TME_BY[[#All],[Insurance Category Code]],2, AN_TME_BY[[#All],[Advanced Network/Insurance Carrier Org ID]],B189),2))</f>
        <v>TRUE</v>
      </c>
      <c r="K189" s="533" t="str">
        <f>IF(ROUND(F189,0)=ROUND(SUMIFS(AN_TME_BY[[#All],[TOTAL Non-Truncated Unadjusted Claims Expenses]], AN_TME_BY[[#All],[Insurance Category Code]],2, AN_TME_BY[[#All],[Advanced Network/Insurance Carrier Org ID]],B189),0), "TRUE", ROUND(F189-SUMIFS(AN_TME_BY[[#All],[TOTAL Non-Truncated Unadjusted Claims Expenses]], AN_TME_BY[[#All],[Insurance Category Code]],2, AN_TME_BY[[#All],[Advanced Network/Insurance Carrier Org ID]],B189),2))</f>
        <v>TRUE</v>
      </c>
      <c r="L189" s="534" t="str">
        <f>IF(ROUND(G189,0)=ROUND(SUMIFS(AN_TME_BY[[#All],[TOTAL Truncated Unadjusted Claims Expenses (A21 -A19)]], AN_TME_BY[[#All],[Insurance Category Code]],2, AN_TME_BY[[#All],[Advanced Network/Insurance Carrier Org ID]],B189),0), "TRUE", ROUND(G189-SUMIFS(AN_TME_BY[[#All],[TOTAL Truncated Unadjusted Claims Expenses (A21 -A19)]], AN_TME_BY[[#All],[Insurance Category Code]],2, AN_TME_BY[[#All],[Advanced Network/Insurance Carrier Org ID]],B189),2))</f>
        <v>TRUE</v>
      </c>
      <c r="M189" s="525" t="str">
        <f t="shared" si="17"/>
        <v>TRUE</v>
      </c>
      <c r="N189" s="533" t="b">
        <f>ROUND(SUMIFS(AN_TME_BY[[#All],[TOTAL Non-Truncated Unadjusted Claims Expenses]], AN_TME_BY[[#All],[Insurance Category Code]],2, AN_TME_BY[[#All],[Advanced Network/Insurance Carrier Org ID]],B189),2)&gt;=ROUND(SUMIFS(AN_TME_BY[[#All],[TOTAL Truncated Unadjusted Claims Expenses (A21 -A19)]], AN_TME_BY[[#All],[Insurance Category Code]],2, AN_TME_BY[[#All],[Advanced Network/Insurance Carrier Org ID]],B189), 2)</f>
        <v>1</v>
      </c>
      <c r="O189" s="534" t="b">
        <f>ROUND(SUMIFS(AN_TME_BY[[#All],[TOTAL Truncated Unadjusted Claims Expenses (A21 -A19)]], AN_TME_BY[[#All],[Insurance Category Code]],2, AN_TME_BY[[#All],[Advanced Network/Insurance Carrier Org ID]],B189)+SUMIFS(AN_TME_BY[[#All],[Total Claims Excluded because of Truncation]], AN_TME_BY[[#All],[Insurance Category Code]],2, AN_TME_BY[[#All],[Advanced Network/Insurance Carrier Org ID]],B189),2)=ROUND(SUMIFS(AN_TME_BY[[#All],[TOTAL Non-Truncated Unadjusted Claims Expenses]], AN_TME_BY[[#All],[Insurance Category Code]],2, AN_TME_BY[[#All],[Advanced Network/Insurance Carrier Org ID]],B189), 2)</f>
        <v>1</v>
      </c>
      <c r="Q189" s="216">
        <v>133</v>
      </c>
      <c r="R189" s="404">
        <f>ROUND(SUMIFS(Age_Sex_PY[[#All],[Total Member Months by Age/Sex Band]], Age_Sex_PY[[#All],[Advanced Network ID]], $Q189, Age_Sex_PY[[#All],[Insurance Category Code]],2),2)</f>
        <v>0</v>
      </c>
      <c r="S189" s="238">
        <f>ROUND(SUMIFS(Age_Sex_PY[[#All],[Total Dollars Excluded from Spending After Applying Truncation at the Member Level]], Age_Sex_PY[[#All],[Advanced Network ID]], $B189, Age_Sex_PY[[#All],[Insurance Category Code]],2),2)</f>
        <v>0</v>
      </c>
      <c r="T189" s="209">
        <f>ROUND(SUMIFS(Age_Sex_PY[[#All],[Count of Members whose Spending was Truncated]], Age_Sex_PY[[#All],[Advanced Network ID]], $B189, Age_Sex_PY[[#All],[Insurance Category Code]],2),2)</f>
        <v>0</v>
      </c>
      <c r="U189" s="210">
        <f>ROUND(SUMIFS(Age_Sex_PY[[#All],[Total Spending before Truncation is Applied]], Age_Sex_PY[[#All],[Advanced Network ID]], $B189, Age_Sex_PY[[#All],[Insurance Category Code]],2),2)</f>
        <v>0</v>
      </c>
      <c r="V189" s="212">
        <f>ROUND(SUMIFS(Age_Sex_PY[[#All],[Total Spending After Applying Truncation at the Member Level]], Age_Sex_PY[[#All],[Advanced Network ID]], $B189, Age_Sex_PY[[#All],[Insurance Category Code]],2), 2)</f>
        <v>0</v>
      </c>
      <c r="W189" s="525" t="str">
        <f>IF(ROUND(R189,0)=ROUND(SUMIFS(AN_TME_PY[[#All],[Member Months]], AN_TME_PY[[#All],[Insurance Category Code]],2, AN_TME_PY[[#All],[Advanced Network/Insurance Carrier Org ID]],Q189),0), "TRUE", ROUND(R189-SUMIFS(AN_TME_PY[[#All],[Member Months]], AN_TME_PY[[#All],[Insurance Category Code]],2, AN_TME_PY[[#All],[Advanced Network/Insurance Carrier Org ID]],Q189),2))</f>
        <v>TRUE</v>
      </c>
      <c r="X189" s="527" t="str">
        <f>IF(ROUND(S189,0)=ROUND(SUMIFS(AN_TME_PY[[#All],[Total Claims Excluded because of Truncation]], AN_TME_PY[[#All],[Insurance Category Code]],2, AN_TME_PY[[#All],[Advanced Network/Insurance Carrier Org ID]],Q189),0), "TRUE", ROUND(S189-SUMIFS(AN_TME_PY[[#All],[Total Claims Excluded because of Truncation]], AN_TME_PY[[#All],[Insurance Category Code]],2, AN_TME_PY[[#All],[Advanced Network/Insurance Carrier Org ID]],Q189),2))</f>
        <v>TRUE</v>
      </c>
      <c r="Y189" s="537" t="str">
        <f>IF(ROUND(T189,0)=ROUND(SUMIFS(AN_TME_PY[[#All],[Count of Members with Claims Truncated]], AN_TME_PY[[#All],[Insurance Category Code]],2, AN_TME_PY[[#All],[Advanced Network/Insurance Carrier Org ID]],Q189),0), "TRUE", ROUND(T189-SUMIFS(AN_TME_PY[[#All],[Count of Members with Claims Truncated]], AN_TME_PY[[#All],[Insurance Category Code]],2, AN_TME_PY[[#All],[Advanced Network/Insurance Carrier Org ID]],Q189),2))</f>
        <v>TRUE</v>
      </c>
      <c r="Z189" s="528" t="str">
        <f>IF(ROUND(U189,0)=ROUND(SUMIFS(AN_TME_PY[[#All],[TOTAL Non-Truncated Unadjusted Claims Expenses]], AN_TME_PY[[#All],[Insurance Category Code]],2, AN_TME_PY[[#All],[Advanced Network/Insurance Carrier Org ID]],Q189),0), "TRUE", ROUND(U189-SUMIFS(AN_TME_PY[[#All],[TOTAL Non-Truncated Unadjusted Claims Expenses]], AN_TME_PY[[#All],[Insurance Category Code]],2, AN_TME_PY[[#All],[Advanced Network/Insurance Carrier Org ID]],Q189),2))</f>
        <v>TRUE</v>
      </c>
      <c r="AA189" s="529" t="str">
        <f>IF(ROUND(V189,0)=ROUND(SUMIFS(AN_TME_PY[[#All],[TOTAL Truncated Unadjusted Claims Expenses (A21 -A19)]], AN_TME_PY[[#All],[Insurance Category Code]],2, AN_TME_PY[[#All],[Advanced Network/Insurance Carrier Org ID]],Q189),0), "TRUE", ROUND(V189-SUMIFS(AN_TME_PY[[#All],[TOTAL Truncated Unadjusted Claims Expenses (A21 -A19)]], AN_TME_PY[[#All],[Insurance Category Code]],2, AN_TME_PY[[#All],[Advanced Network/Insurance Carrier Org ID]],Q189),2))</f>
        <v>TRUE</v>
      </c>
      <c r="AB189" s="525" t="str">
        <f t="shared" si="18"/>
        <v>TRUE</v>
      </c>
      <c r="AC189" s="528" t="b">
        <f>ROUND(SUMIFS(AN_TME_PY[[#All],[TOTAL Non-Truncated Unadjusted Claims Expenses]], AN_TME_PY[[#All],[Insurance Category Code]],2, AN_TME_PY[[#All],[Advanced Network/Insurance Carrier Org ID]],Q189),2)&gt;=ROUND(SUMIFS(AN_TME_PY[[#All],[TOTAL Truncated Unadjusted Claims Expenses (A21 -A19)]], AN_TME_PY[[#All],[Insurance Category Code]],2, AN_TME_PY[[#All],[Advanced Network/Insurance Carrier Org ID]],Q189),2)</f>
        <v>1</v>
      </c>
      <c r="AD189" s="529" t="b">
        <f>ROUND(SUMIFS(AN_TME_PY[[#All],[TOTAL Truncated Unadjusted Claims Expenses (A21 -A19)]], AN_TME_PY[[#All],[Insurance Category Code]],2, AN_TME_PY[[#All],[Advanced Network/Insurance Carrier Org ID]],Q189)+SUMIFS(AN_TME_PY[[#All],[Total Claims Excluded because of Truncation]], AN_TME_PY[[#All],[Insurance Category Code]],2, AN_TME_PY[[#All],[Advanced Network/Insurance Carrier Org ID]],Q189), 2)=ROUND(SUMIFS(AN_TME_PY[[#All],[TOTAL Non-Truncated Unadjusted Claims Expenses]], AN_TME_PY[[#All],[Insurance Category Code]],2, AN_TME_PY[[#All],[Advanced Network/Insurance Carrier Org ID]],Q189),2)</f>
        <v>1</v>
      </c>
      <c r="AF189" s="283" t="str">
        <f t="shared" si="19"/>
        <v>NA</v>
      </c>
    </row>
    <row r="190" spans="2:32" outlineLevel="1" x14ac:dyDescent="0.25">
      <c r="B190" s="216">
        <v>134</v>
      </c>
      <c r="C190" s="404">
        <f>ROUND(SUMIFS(Age_Sex_BY[[#All],[Total Member Months by Age/Sex Band]], Age_Sex_BY[[#All],[Advanced Network ID]], $B190, Age_Sex_BY[[#All],[Insurance Category Code]],2),2)</f>
        <v>0</v>
      </c>
      <c r="D190" s="238">
        <f>ROUND(SUMIFS(Age_Sex_BY[[#All],[Total Dollars Excluded from Spending After Applying Truncation at the Member Level]], Age_Sex_BY[[#All],[Advanced Network ID]], $B190, Age_Sex_BY[[#All],[Insurance Category Code]],2),2)</f>
        <v>0</v>
      </c>
      <c r="E190" s="209">
        <f>ROUND(SUMIFS(Age_Sex_BY[[#All],[Count of Members whose Spending was Truncated]], Age_Sex_BY[[#All],[Advanced Network ID]], $B190, Age_Sex_BY[[#All],[Insurance Category Code]],2),2)</f>
        <v>0</v>
      </c>
      <c r="F190" s="210">
        <f>ROUND(SUMIFS(Age_Sex_BY[[#All],[Total Spending before Truncation is Applied]], Age_Sex_BY[[#All],[Advanced Network ID]], $B190, Age_Sex_BY[[#All],[Insurance Category Code]],2),2)</f>
        <v>0</v>
      </c>
      <c r="G190" s="212">
        <f>ROUND(SUMIFS(Age_Sex_BY[[#All],[Total Spending After Applying Truncation at the Member Level]], Age_Sex_BY[[#All],[Advanced Network ID]], $B190, Age_Sex_BY[[#All],[Insurance Category Code]],2),2)</f>
        <v>0</v>
      </c>
      <c r="H190" s="525" t="str">
        <f>IF(ROUND(C190,0)=ROUND(SUMIFS(AN_TME_BY[[#All],[Member Months]], AN_TME_BY[[#All],[Insurance Category Code]],2, AN_TME_BY[[#All],[Advanced Network/Insurance Carrier Org ID]],B190),0), "TRUE", ROUND(C190-SUMIFS(AN_TME_BY[[#All],[Member Months]], AN_TME_BY[[#All],[Insurance Category Code]],2, AN_TME_BY[[#All],[Advanced Network/Insurance Carrier Org ID]],B190),2))</f>
        <v>TRUE</v>
      </c>
      <c r="I190" s="533" t="str">
        <f>IF(ROUND(D190,0)=ROUND(SUMIFS(AN_TME_BY[[#All],[Total Claims Excluded because of Truncation]], AN_TME_BY[[#All],[Insurance Category Code]],2, AN_TME_BY[[#All],[Advanced Network/Insurance Carrier Org ID]],B190),0), "TRUE", ROUND(D190-SUMIFS(AN_TME_BY[[#All],[Total Claims Excluded because of Truncation]], AN_TME_BY[[#All],[Insurance Category Code]],2, AN_TME_BY[[#All],[Advanced Network/Insurance Carrier Org ID]],B190),2))</f>
        <v>TRUE</v>
      </c>
      <c r="J190" s="537" t="str">
        <f>IF(ROUND(E190,0)=ROUND(SUMIFS(AN_TME_BY[[#All],[Count of Members with Claims Truncated]], AN_TME_BY[[#All],[Insurance Category Code]],2, AN_TME_BY[[#All],[Advanced Network/Insurance Carrier Org ID]],B190),0), "TRUE", ROUND(E190-SUMIFS(AN_TME_BY[[#All],[Count of Members with Claims Truncated]], AN_TME_BY[[#All],[Insurance Category Code]],2, AN_TME_BY[[#All],[Advanced Network/Insurance Carrier Org ID]],B190),2))</f>
        <v>TRUE</v>
      </c>
      <c r="K190" s="533" t="str">
        <f>IF(ROUND(F190,0)=ROUND(SUMIFS(AN_TME_BY[[#All],[TOTAL Non-Truncated Unadjusted Claims Expenses]], AN_TME_BY[[#All],[Insurance Category Code]],2, AN_TME_BY[[#All],[Advanced Network/Insurance Carrier Org ID]],B190),0), "TRUE", ROUND(F190-SUMIFS(AN_TME_BY[[#All],[TOTAL Non-Truncated Unadjusted Claims Expenses]], AN_TME_BY[[#All],[Insurance Category Code]],2, AN_TME_BY[[#All],[Advanced Network/Insurance Carrier Org ID]],B190),2))</f>
        <v>TRUE</v>
      </c>
      <c r="L190" s="534" t="str">
        <f>IF(ROUND(G190,0)=ROUND(SUMIFS(AN_TME_BY[[#All],[TOTAL Truncated Unadjusted Claims Expenses (A21 -A19)]], AN_TME_BY[[#All],[Insurance Category Code]],2, AN_TME_BY[[#All],[Advanced Network/Insurance Carrier Org ID]],B190),0), "TRUE", ROUND(G190-SUMIFS(AN_TME_BY[[#All],[TOTAL Truncated Unadjusted Claims Expenses (A21 -A19)]], AN_TME_BY[[#All],[Insurance Category Code]],2, AN_TME_BY[[#All],[Advanced Network/Insurance Carrier Org ID]],B190),2))</f>
        <v>TRUE</v>
      </c>
      <c r="M190" s="525" t="str">
        <f t="shared" si="17"/>
        <v>TRUE</v>
      </c>
      <c r="N190" s="533" t="b">
        <f>ROUND(SUMIFS(AN_TME_BY[[#All],[TOTAL Non-Truncated Unadjusted Claims Expenses]], AN_TME_BY[[#All],[Insurance Category Code]],2, AN_TME_BY[[#All],[Advanced Network/Insurance Carrier Org ID]],B190),2)&gt;=ROUND(SUMIFS(AN_TME_BY[[#All],[TOTAL Truncated Unadjusted Claims Expenses (A21 -A19)]], AN_TME_BY[[#All],[Insurance Category Code]],2, AN_TME_BY[[#All],[Advanced Network/Insurance Carrier Org ID]],B190), 2)</f>
        <v>1</v>
      </c>
      <c r="O190" s="534" t="b">
        <f>ROUND(SUMIFS(AN_TME_BY[[#All],[TOTAL Truncated Unadjusted Claims Expenses (A21 -A19)]], AN_TME_BY[[#All],[Insurance Category Code]],2, AN_TME_BY[[#All],[Advanced Network/Insurance Carrier Org ID]],B190)+SUMIFS(AN_TME_BY[[#All],[Total Claims Excluded because of Truncation]], AN_TME_BY[[#All],[Insurance Category Code]],2, AN_TME_BY[[#All],[Advanced Network/Insurance Carrier Org ID]],B190),2)=ROUND(SUMIFS(AN_TME_BY[[#All],[TOTAL Non-Truncated Unadjusted Claims Expenses]], AN_TME_BY[[#All],[Insurance Category Code]],2, AN_TME_BY[[#All],[Advanced Network/Insurance Carrier Org ID]],B190), 2)</f>
        <v>1</v>
      </c>
      <c r="Q190" s="216">
        <v>134</v>
      </c>
      <c r="R190" s="404">
        <f>ROUND(SUMIFS(Age_Sex_PY[[#All],[Total Member Months by Age/Sex Band]], Age_Sex_PY[[#All],[Advanced Network ID]], $Q190, Age_Sex_PY[[#All],[Insurance Category Code]],2),2)</f>
        <v>0</v>
      </c>
      <c r="S190" s="238">
        <f>ROUND(SUMIFS(Age_Sex_PY[[#All],[Total Dollars Excluded from Spending After Applying Truncation at the Member Level]], Age_Sex_PY[[#All],[Advanced Network ID]], $B190, Age_Sex_PY[[#All],[Insurance Category Code]],2),2)</f>
        <v>0</v>
      </c>
      <c r="T190" s="209">
        <f>ROUND(SUMIFS(Age_Sex_PY[[#All],[Count of Members whose Spending was Truncated]], Age_Sex_PY[[#All],[Advanced Network ID]], $B190, Age_Sex_PY[[#All],[Insurance Category Code]],2),2)</f>
        <v>0</v>
      </c>
      <c r="U190" s="210">
        <f>ROUND(SUMIFS(Age_Sex_PY[[#All],[Total Spending before Truncation is Applied]], Age_Sex_PY[[#All],[Advanced Network ID]], $B190, Age_Sex_PY[[#All],[Insurance Category Code]],2),2)</f>
        <v>0</v>
      </c>
      <c r="V190" s="212">
        <f>ROUND(SUMIFS(Age_Sex_PY[[#All],[Total Spending After Applying Truncation at the Member Level]], Age_Sex_PY[[#All],[Advanced Network ID]], $B190, Age_Sex_PY[[#All],[Insurance Category Code]],2), 2)</f>
        <v>0</v>
      </c>
      <c r="W190" s="525" t="str">
        <f>IF(ROUND(R190,0)=ROUND(SUMIFS(AN_TME_PY[[#All],[Member Months]], AN_TME_PY[[#All],[Insurance Category Code]],2, AN_TME_PY[[#All],[Advanced Network/Insurance Carrier Org ID]],Q190),0), "TRUE", ROUND(R190-SUMIFS(AN_TME_PY[[#All],[Member Months]], AN_TME_PY[[#All],[Insurance Category Code]],2, AN_TME_PY[[#All],[Advanced Network/Insurance Carrier Org ID]],Q190),2))</f>
        <v>TRUE</v>
      </c>
      <c r="X190" s="527" t="str">
        <f>IF(ROUND(S190,0)=ROUND(SUMIFS(AN_TME_PY[[#All],[Total Claims Excluded because of Truncation]], AN_TME_PY[[#All],[Insurance Category Code]],2, AN_TME_PY[[#All],[Advanced Network/Insurance Carrier Org ID]],Q190),0), "TRUE", ROUND(S190-SUMIFS(AN_TME_PY[[#All],[Total Claims Excluded because of Truncation]], AN_TME_PY[[#All],[Insurance Category Code]],2, AN_TME_PY[[#All],[Advanced Network/Insurance Carrier Org ID]],Q190),2))</f>
        <v>TRUE</v>
      </c>
      <c r="Y190" s="537" t="str">
        <f>IF(ROUND(T190,0)=ROUND(SUMIFS(AN_TME_PY[[#All],[Count of Members with Claims Truncated]], AN_TME_PY[[#All],[Insurance Category Code]],2, AN_TME_PY[[#All],[Advanced Network/Insurance Carrier Org ID]],Q190),0), "TRUE", ROUND(T190-SUMIFS(AN_TME_PY[[#All],[Count of Members with Claims Truncated]], AN_TME_PY[[#All],[Insurance Category Code]],2, AN_TME_PY[[#All],[Advanced Network/Insurance Carrier Org ID]],Q190),2))</f>
        <v>TRUE</v>
      </c>
      <c r="Z190" s="528" t="str">
        <f>IF(ROUND(U190,0)=ROUND(SUMIFS(AN_TME_PY[[#All],[TOTAL Non-Truncated Unadjusted Claims Expenses]], AN_TME_PY[[#All],[Insurance Category Code]],2, AN_TME_PY[[#All],[Advanced Network/Insurance Carrier Org ID]],Q190),0), "TRUE", ROUND(U190-SUMIFS(AN_TME_PY[[#All],[TOTAL Non-Truncated Unadjusted Claims Expenses]], AN_TME_PY[[#All],[Insurance Category Code]],2, AN_TME_PY[[#All],[Advanced Network/Insurance Carrier Org ID]],Q190),2))</f>
        <v>TRUE</v>
      </c>
      <c r="AA190" s="529" t="str">
        <f>IF(ROUND(V190,0)=ROUND(SUMIFS(AN_TME_PY[[#All],[TOTAL Truncated Unadjusted Claims Expenses (A21 -A19)]], AN_TME_PY[[#All],[Insurance Category Code]],2, AN_TME_PY[[#All],[Advanced Network/Insurance Carrier Org ID]],Q190),0), "TRUE", ROUND(V190-SUMIFS(AN_TME_PY[[#All],[TOTAL Truncated Unadjusted Claims Expenses (A21 -A19)]], AN_TME_PY[[#All],[Insurance Category Code]],2, AN_TME_PY[[#All],[Advanced Network/Insurance Carrier Org ID]],Q190),2))</f>
        <v>TRUE</v>
      </c>
      <c r="AB190" s="525" t="str">
        <f t="shared" si="18"/>
        <v>TRUE</v>
      </c>
      <c r="AC190" s="528" t="b">
        <f>ROUND(SUMIFS(AN_TME_PY[[#All],[TOTAL Non-Truncated Unadjusted Claims Expenses]], AN_TME_PY[[#All],[Insurance Category Code]],2, AN_TME_PY[[#All],[Advanced Network/Insurance Carrier Org ID]],Q190),2)&gt;=ROUND(SUMIFS(AN_TME_PY[[#All],[TOTAL Truncated Unadjusted Claims Expenses (A21 -A19)]], AN_TME_PY[[#All],[Insurance Category Code]],2, AN_TME_PY[[#All],[Advanced Network/Insurance Carrier Org ID]],Q190),2)</f>
        <v>1</v>
      </c>
      <c r="AD190" s="529" t="b">
        <f>ROUND(SUMIFS(AN_TME_PY[[#All],[TOTAL Truncated Unadjusted Claims Expenses (A21 -A19)]], AN_TME_PY[[#All],[Insurance Category Code]],2, AN_TME_PY[[#All],[Advanced Network/Insurance Carrier Org ID]],Q190)+SUMIFS(AN_TME_PY[[#All],[Total Claims Excluded because of Truncation]], AN_TME_PY[[#All],[Insurance Category Code]],2, AN_TME_PY[[#All],[Advanced Network/Insurance Carrier Org ID]],Q190), 2)=ROUND(SUMIFS(AN_TME_PY[[#All],[TOTAL Non-Truncated Unadjusted Claims Expenses]], AN_TME_PY[[#All],[Insurance Category Code]],2, AN_TME_PY[[#All],[Advanced Network/Insurance Carrier Org ID]],Q190),2)</f>
        <v>1</v>
      </c>
      <c r="AF190" s="283" t="str">
        <f t="shared" si="19"/>
        <v>NA</v>
      </c>
    </row>
    <row r="191" spans="2:32" ht="15.75" outlineLevel="1" thickBot="1" x14ac:dyDescent="0.3">
      <c r="B191" s="217">
        <v>999</v>
      </c>
      <c r="C191" s="405">
        <f>ROUND(SUMIFS(Age_Sex_BY[[#All],[Total Member Months by Age/Sex Band]], Age_Sex_BY[[#All],[Advanced Network ID]], $B191, Age_Sex_BY[[#All],[Insurance Category Code]],2),2)</f>
        <v>0</v>
      </c>
      <c r="D191" s="240">
        <f>ROUND(SUMIFS(Age_Sex_BY[[#All],[Total Dollars Excluded from Spending After Applying Truncation at the Member Level]], Age_Sex_BY[[#All],[Advanced Network ID]], $B191, Age_Sex_BY[[#All],[Insurance Category Code]],2),2)</f>
        <v>0</v>
      </c>
      <c r="E191" s="213">
        <f>ROUND(SUMIFS(Age_Sex_BY[[#All],[Count of Members whose Spending was Truncated]], Age_Sex_BY[[#All],[Advanced Network ID]], $B191, Age_Sex_BY[[#All],[Insurance Category Code]],2),2)</f>
        <v>0</v>
      </c>
      <c r="F191" s="214">
        <f>ROUND(SUMIFS(Age_Sex_BY[[#All],[Total Spending before Truncation is Applied]], Age_Sex_BY[[#All],[Advanced Network ID]], $B191, Age_Sex_BY[[#All],[Insurance Category Code]],2),2)</f>
        <v>0</v>
      </c>
      <c r="G191" s="215">
        <f>ROUND(SUMIFS(Age_Sex_BY[[#All],[Total Spending After Applying Truncation at the Member Level]], Age_Sex_BY[[#All],[Advanced Network ID]], $B191, Age_Sex_BY[[#All],[Insurance Category Code]],2),2)</f>
        <v>0</v>
      </c>
      <c r="H191" s="526" t="str">
        <f>IF(ROUND(C191,0)=ROUND(SUMIFS(AN_TME_BY[[#All],[Member Months]], AN_TME_BY[[#All],[Insurance Category Code]],2, AN_TME_BY[[#All],[Advanced Network/Insurance Carrier Org ID]],B191),0), "TRUE", ROUND(C191-SUMIFS(AN_TME_BY[[#All],[Member Months]], AN_TME_BY[[#All],[Insurance Category Code]],2, AN_TME_BY[[#All],[Advanced Network/Insurance Carrier Org ID]],B191),2))</f>
        <v>TRUE</v>
      </c>
      <c r="I191" s="535" t="str">
        <f>IF(ROUND(D191,0)=ROUND(SUMIFS(AN_TME_BY[[#All],[Total Claims Excluded because of Truncation]], AN_TME_BY[[#All],[Insurance Category Code]],2, AN_TME_BY[[#All],[Advanced Network/Insurance Carrier Org ID]],B191),0), "TRUE", ROUND(D191-SUMIFS(AN_TME_BY[[#All],[Total Claims Excluded because of Truncation]], AN_TME_BY[[#All],[Insurance Category Code]],2, AN_TME_BY[[#All],[Advanced Network/Insurance Carrier Org ID]],B191),2))</f>
        <v>TRUE</v>
      </c>
      <c r="J191" s="538" t="str">
        <f>IF(ROUND(E191,0)=ROUND(SUMIFS(AN_TME_BY[[#All],[Count of Members with Claims Truncated]], AN_TME_BY[[#All],[Insurance Category Code]],2, AN_TME_BY[[#All],[Advanced Network/Insurance Carrier Org ID]],B191),0), "TRUE", ROUND(E191-SUMIFS(AN_TME_BY[[#All],[Count of Members with Claims Truncated]], AN_TME_BY[[#All],[Insurance Category Code]],2, AN_TME_BY[[#All],[Advanced Network/Insurance Carrier Org ID]],B191),2))</f>
        <v>TRUE</v>
      </c>
      <c r="K191" s="535" t="str">
        <f>IF(ROUND(F191,0)=ROUND(SUMIFS(AN_TME_BY[[#All],[TOTAL Non-Truncated Unadjusted Claims Expenses]], AN_TME_BY[[#All],[Insurance Category Code]],2, AN_TME_BY[[#All],[Advanced Network/Insurance Carrier Org ID]],B191),0), "TRUE", ROUND(F191-SUMIFS(AN_TME_BY[[#All],[TOTAL Non-Truncated Unadjusted Claims Expenses]], AN_TME_BY[[#All],[Insurance Category Code]],2, AN_TME_BY[[#All],[Advanced Network/Insurance Carrier Org ID]],B191),2))</f>
        <v>TRUE</v>
      </c>
      <c r="L191" s="536" t="str">
        <f>IF(ROUND(G191,0)=ROUND(SUMIFS(AN_TME_BY[[#All],[TOTAL Truncated Unadjusted Claims Expenses (A21 -A19)]], AN_TME_BY[[#All],[Insurance Category Code]],2, AN_TME_BY[[#All],[Advanced Network/Insurance Carrier Org ID]],B191),0), "TRUE", ROUND(G191-SUMIFS(AN_TME_BY[[#All],[TOTAL Truncated Unadjusted Claims Expenses (A21 -A19)]], AN_TME_BY[[#All],[Insurance Category Code]],2, AN_TME_BY[[#All],[Advanced Network/Insurance Carrier Org ID]],B191),2))</f>
        <v>TRUE</v>
      </c>
      <c r="M191" s="526" t="str">
        <f t="shared" ref="M191" si="20">IF(E191=0, "TRUE",IF((C191/12)&gt;E191,"TRUE",(C191/12)-E191))</f>
        <v>TRUE</v>
      </c>
      <c r="N191" s="535" t="b">
        <f>ROUND(SUMIFS(AN_TME_BY[[#All],[TOTAL Non-Truncated Unadjusted Claims Expenses]], AN_TME_BY[[#All],[Insurance Category Code]],2, AN_TME_BY[[#All],[Advanced Network/Insurance Carrier Org ID]],B191),2)&gt;=ROUND(SUMIFS(AN_TME_BY[[#All],[TOTAL Truncated Unadjusted Claims Expenses (A21 -A19)]], AN_TME_BY[[#All],[Insurance Category Code]],2, AN_TME_BY[[#All],[Advanced Network/Insurance Carrier Org ID]],B191), 2)</f>
        <v>1</v>
      </c>
      <c r="O191" s="536" t="b">
        <f>ROUND(SUMIFS(AN_TME_BY[[#All],[TOTAL Truncated Unadjusted Claims Expenses (A21 -A19)]], AN_TME_BY[[#All],[Insurance Category Code]],2, AN_TME_BY[[#All],[Advanced Network/Insurance Carrier Org ID]],B191)+SUMIFS(AN_TME_BY[[#All],[Total Claims Excluded because of Truncation]], AN_TME_BY[[#All],[Insurance Category Code]],2, AN_TME_BY[[#All],[Advanced Network/Insurance Carrier Org ID]],B191),2)=ROUND(SUMIFS(AN_TME_BY[[#All],[TOTAL Non-Truncated Unadjusted Claims Expenses]], AN_TME_BY[[#All],[Insurance Category Code]],2, AN_TME_BY[[#All],[Advanced Network/Insurance Carrier Org ID]],B191), 2)</f>
        <v>1</v>
      </c>
      <c r="Q191" s="217">
        <v>999</v>
      </c>
      <c r="R191" s="405">
        <f>ROUND(SUMIFS(Age_Sex_PY[[#All],[Total Member Months by Age/Sex Band]], Age_Sex_PY[[#All],[Advanced Network ID]], $Q191, Age_Sex_PY[[#All],[Insurance Category Code]],2),2)</f>
        <v>0</v>
      </c>
      <c r="S191" s="240">
        <f>ROUND(SUMIFS(Age_Sex_PY[[#All],[Total Dollars Excluded from Spending After Applying Truncation at the Member Level]], Age_Sex_PY[[#All],[Advanced Network ID]], $B191, Age_Sex_PY[[#All],[Insurance Category Code]],2),2)</f>
        <v>0</v>
      </c>
      <c r="T191" s="213">
        <f>ROUND(SUMIFS(Age_Sex_PY[[#All],[Count of Members whose Spending was Truncated]], Age_Sex_PY[[#All],[Advanced Network ID]], $B191, Age_Sex_PY[[#All],[Insurance Category Code]],2),2)</f>
        <v>0</v>
      </c>
      <c r="U191" s="214">
        <f>ROUND(SUMIFS(Age_Sex_PY[[#All],[Total Spending before Truncation is Applied]], Age_Sex_PY[[#All],[Advanced Network ID]], $B191, Age_Sex_PY[[#All],[Insurance Category Code]],2),2)</f>
        <v>0</v>
      </c>
      <c r="V191" s="215">
        <f>ROUND(SUMIFS(Age_Sex_PY[[#All],[Total Spending After Applying Truncation at the Member Level]], Age_Sex_PY[[#All],[Advanced Network ID]], $B191, Age_Sex_PY[[#All],[Insurance Category Code]],2), 2)</f>
        <v>0</v>
      </c>
      <c r="W191" s="526" t="str">
        <f>IF(ROUND(R191,0)=ROUND(SUMIFS(AN_TME_PY[[#All],[Member Months]], AN_TME_PY[[#All],[Insurance Category Code]],2, AN_TME_PY[[#All],[Advanced Network/Insurance Carrier Org ID]],Q191),0), "TRUE", ROUND(R191-SUMIFS(AN_TME_PY[[#All],[Member Months]], AN_TME_PY[[#All],[Insurance Category Code]],2, AN_TME_PY[[#All],[Advanced Network/Insurance Carrier Org ID]],Q191),2))</f>
        <v>TRUE</v>
      </c>
      <c r="X191" s="530" t="str">
        <f>IF(ROUND(S191,0)=ROUND(SUMIFS(AN_TME_PY[[#All],[Total Claims Excluded because of Truncation]], AN_TME_PY[[#All],[Insurance Category Code]],2, AN_TME_PY[[#All],[Advanced Network/Insurance Carrier Org ID]],Q191),0), "TRUE", ROUND(S191-SUMIFS(AN_TME_PY[[#All],[Total Claims Excluded because of Truncation]], AN_TME_PY[[#All],[Insurance Category Code]],2, AN_TME_PY[[#All],[Advanced Network/Insurance Carrier Org ID]],Q191),2))</f>
        <v>TRUE</v>
      </c>
      <c r="Y191" s="538" t="str">
        <f>IF(ROUND(T191,0)=ROUND(SUMIFS(AN_TME_PY[[#All],[Count of Members with Claims Truncated]], AN_TME_PY[[#All],[Insurance Category Code]],2, AN_TME_PY[[#All],[Advanced Network/Insurance Carrier Org ID]],Q191),0), "TRUE", ROUND(T191-SUMIFS(AN_TME_PY[[#All],[Count of Members with Claims Truncated]], AN_TME_PY[[#All],[Insurance Category Code]],2, AN_TME_PY[[#All],[Advanced Network/Insurance Carrier Org ID]],Q191),2))</f>
        <v>TRUE</v>
      </c>
      <c r="Z191" s="531" t="str">
        <f>IF(ROUND(U191,0)=ROUND(SUMIFS(AN_TME_PY[[#All],[TOTAL Non-Truncated Unadjusted Claims Expenses]], AN_TME_PY[[#All],[Insurance Category Code]],2, AN_TME_PY[[#All],[Advanced Network/Insurance Carrier Org ID]],Q191),0), "TRUE", ROUND(U191-SUMIFS(AN_TME_PY[[#All],[TOTAL Non-Truncated Unadjusted Claims Expenses]], AN_TME_PY[[#All],[Insurance Category Code]],2, AN_TME_PY[[#All],[Advanced Network/Insurance Carrier Org ID]],Q191),2))</f>
        <v>TRUE</v>
      </c>
      <c r="AA191" s="532" t="str">
        <f>IF(ROUND(V191,0)=ROUND(SUMIFS(AN_TME_PY[[#All],[TOTAL Truncated Unadjusted Claims Expenses (A21 -A19)]], AN_TME_PY[[#All],[Insurance Category Code]],2, AN_TME_PY[[#All],[Advanced Network/Insurance Carrier Org ID]],Q191),0), "TRUE", ROUND(V191-SUMIFS(AN_TME_PY[[#All],[TOTAL Truncated Unadjusted Claims Expenses (A21 -A19)]], AN_TME_PY[[#All],[Insurance Category Code]],2, AN_TME_PY[[#All],[Advanced Network/Insurance Carrier Org ID]],Q191),2))</f>
        <v>TRUE</v>
      </c>
      <c r="AB191" s="526" t="str">
        <f t="shared" si="16"/>
        <v>TRUE</v>
      </c>
      <c r="AC191" s="531" t="b">
        <f>ROUND(SUMIFS(AN_TME_PY[[#All],[TOTAL Non-Truncated Unadjusted Claims Expenses]], AN_TME_PY[[#All],[Insurance Category Code]],2, AN_TME_PY[[#All],[Advanced Network/Insurance Carrier Org ID]],Q191),2)&gt;=ROUND(SUMIFS(AN_TME_PY[[#All],[TOTAL Truncated Unadjusted Claims Expenses (A21 -A19)]], AN_TME_PY[[#All],[Insurance Category Code]],2, AN_TME_PY[[#All],[Advanced Network/Insurance Carrier Org ID]],Q191),2)</f>
        <v>1</v>
      </c>
      <c r="AD191" s="532" t="b">
        <f>ROUND(SUMIFS(AN_TME_PY[[#All],[TOTAL Truncated Unadjusted Claims Expenses (A21 -A19)]], AN_TME_PY[[#All],[Insurance Category Code]],2, AN_TME_PY[[#All],[Advanced Network/Insurance Carrier Org ID]],Q191)+SUMIFS(AN_TME_PY[[#All],[Total Claims Excluded because of Truncation]], AN_TME_PY[[#All],[Insurance Category Code]],2, AN_TME_PY[[#All],[Advanced Network/Insurance Carrier Org ID]],Q191), 2)=ROUND(SUMIFS(AN_TME_PY[[#All],[TOTAL Non-Truncated Unadjusted Claims Expenses]], AN_TME_PY[[#All],[Insurance Category Code]],2, AN_TME_PY[[#All],[Advanced Network/Insurance Carrier Org ID]],Q191),2)</f>
        <v>1</v>
      </c>
      <c r="AF191" s="284" t="str">
        <f t="shared" si="15"/>
        <v>NA</v>
      </c>
    </row>
    <row r="192" spans="2:32" outlineLevel="1" x14ac:dyDescent="0.25">
      <c r="B192" s="211"/>
      <c r="C192" s="211"/>
      <c r="D192" s="14"/>
      <c r="E192" s="113"/>
      <c r="Q192" s="211"/>
      <c r="R192" s="211"/>
    </row>
    <row r="193" spans="2:32" outlineLevel="1" x14ac:dyDescent="0.25">
      <c r="B193" s="318" t="s">
        <v>384</v>
      </c>
      <c r="C193" s="14"/>
      <c r="D193" s="113"/>
      <c r="L193" s="211"/>
      <c r="M193" s="211"/>
      <c r="N193" s="211"/>
      <c r="O193" s="211"/>
      <c r="Q193" s="318" t="s">
        <v>384</v>
      </c>
    </row>
    <row r="194" spans="2:32" ht="19.5" outlineLevel="1" thickBot="1" x14ac:dyDescent="0.35">
      <c r="B194" s="249"/>
      <c r="C194" s="211"/>
      <c r="D194" s="14"/>
      <c r="E194" s="113"/>
      <c r="Q194" s="249"/>
      <c r="R194" s="211"/>
      <c r="S194" s="14"/>
      <c r="T194" s="113"/>
    </row>
    <row r="195" spans="2:32" ht="24" outlineLevel="1" thickBot="1" x14ac:dyDescent="0.4">
      <c r="B195" s="269" t="s">
        <v>417</v>
      </c>
      <c r="C195" s="640" t="s">
        <v>402</v>
      </c>
      <c r="D195" s="641"/>
      <c r="E195" s="641"/>
      <c r="F195" s="641"/>
      <c r="G195" s="642"/>
      <c r="H195" s="643" t="s">
        <v>403</v>
      </c>
      <c r="I195" s="644"/>
      <c r="J195" s="644"/>
      <c r="K195" s="644"/>
      <c r="L195" s="645"/>
      <c r="M195" s="637" t="s">
        <v>404</v>
      </c>
      <c r="N195" s="638"/>
      <c r="O195" s="639"/>
      <c r="Q195" s="269"/>
      <c r="R195" s="640" t="s">
        <v>405</v>
      </c>
      <c r="S195" s="641"/>
      <c r="T195" s="641"/>
      <c r="U195" s="641"/>
      <c r="V195" s="642"/>
      <c r="W195" s="643" t="s">
        <v>406</v>
      </c>
      <c r="X195" s="644"/>
      <c r="Y195" s="644"/>
      <c r="Z195" s="644"/>
      <c r="AA195" s="645"/>
      <c r="AB195" s="637" t="s">
        <v>404</v>
      </c>
      <c r="AC195" s="638"/>
      <c r="AD195" s="639"/>
    </row>
    <row r="196" spans="2:32" ht="96" customHeight="1" outlineLevel="1" thickBot="1" x14ac:dyDescent="0.3">
      <c r="B196" s="259" t="s">
        <v>247</v>
      </c>
      <c r="C196" s="260" t="s">
        <v>156</v>
      </c>
      <c r="D196" s="261" t="s">
        <v>248</v>
      </c>
      <c r="E196" s="261" t="s">
        <v>407</v>
      </c>
      <c r="F196" s="261" t="s">
        <v>157</v>
      </c>
      <c r="G196" s="262" t="s">
        <v>159</v>
      </c>
      <c r="H196" s="263" t="s">
        <v>212</v>
      </c>
      <c r="I196" s="264" t="s">
        <v>408</v>
      </c>
      <c r="J196" s="264" t="s">
        <v>409</v>
      </c>
      <c r="K196" s="264" t="s">
        <v>410</v>
      </c>
      <c r="L196" s="265" t="s">
        <v>411</v>
      </c>
      <c r="M196" s="266" t="s">
        <v>412</v>
      </c>
      <c r="N196" s="267" t="s">
        <v>413</v>
      </c>
      <c r="O196" s="268" t="s">
        <v>414</v>
      </c>
      <c r="Q196" s="259" t="s">
        <v>247</v>
      </c>
      <c r="R196" s="260" t="s">
        <v>156</v>
      </c>
      <c r="S196" s="261" t="s">
        <v>248</v>
      </c>
      <c r="T196" s="261" t="s">
        <v>407</v>
      </c>
      <c r="U196" s="261" t="s">
        <v>157</v>
      </c>
      <c r="V196" s="262" t="s">
        <v>159</v>
      </c>
      <c r="W196" s="263" t="s">
        <v>212</v>
      </c>
      <c r="X196" s="264" t="s">
        <v>408</v>
      </c>
      <c r="Y196" s="264" t="s">
        <v>409</v>
      </c>
      <c r="Z196" s="264" t="s">
        <v>410</v>
      </c>
      <c r="AA196" s="265" t="s">
        <v>411</v>
      </c>
      <c r="AB196" s="266" t="s">
        <v>412</v>
      </c>
      <c r="AC196" s="267" t="s">
        <v>413</v>
      </c>
      <c r="AD196" s="268" t="s">
        <v>414</v>
      </c>
      <c r="AF196" s="274" t="s">
        <v>415</v>
      </c>
    </row>
    <row r="197" spans="2:32" outlineLevel="1" x14ac:dyDescent="0.25">
      <c r="B197" s="216">
        <v>100</v>
      </c>
      <c r="C197" s="404">
        <f>ROUND(SUMIFS(Age_Sex_BY[[#All],[Total Member Months by Age/Sex Band]], Age_Sex_BY[[#All],[Advanced Network ID]], $B197, Age_Sex_BY[[#All],[Insurance Category Code]],3),2)</f>
        <v>0</v>
      </c>
      <c r="D197" s="238">
        <f>ROUND(SUMIFS(Age_Sex_BY[[#All],[Total Dollars Excluded from Spending After Applying Truncation at the Member Level]], Age_Sex_BY[[#All],[Advanced Network ID]], $B197, Age_Sex_BY[[#All],[Insurance Category Code]],3),2)</f>
        <v>0</v>
      </c>
      <c r="E197" s="209">
        <f>ROUND(SUMIFS(Age_Sex_BY[[#All],[Count of Members whose Spending was Truncated]], Age_Sex_BY[[#All],[Advanced Network ID]], $B197, Age_Sex_BY[[#All],[Insurance Category Code]],3),2)</f>
        <v>0</v>
      </c>
      <c r="F197" s="210">
        <f>ROUND(SUMIFS(Age_Sex_BY[[#All],[Total Spending before Truncation is Applied]], Age_Sex_BY[[#All],[Advanced Network ID]], $B197, Age_Sex_BY[[#All],[Insurance Category Code]],3),2)</f>
        <v>0</v>
      </c>
      <c r="G197" s="212">
        <f>ROUND(SUMIFS(Age_Sex_BY[[#All],[Total Spending After Applying Truncation at the Member Level]], Age_Sex_BY[[#All],[Advanced Network ID]], $B197, Age_Sex_BY[[#All],[Insurance Category Code]],3), 2)</f>
        <v>0</v>
      </c>
      <c r="H197" s="525" t="str">
        <f>IF(ROUND(C197,0)=ROUND(SUMIFS(AN_TME_BY[[#All],[Member Months]], AN_TME_BY[[#All],[Insurance Category Code]],3, AN_TME_BY[[#All],[Advanced Network/Insurance Carrier Org ID]],B197),0), "TRUE", ROUND(C197-SUMIFS(AN_TME_BY[[#All],[Member Months]], AN_TME_BY[[#All],[Insurance Category Code]],3, AN_TME_BY[[#All],[Advanced Network/Insurance Carrier Org ID]],B197),2))</f>
        <v>TRUE</v>
      </c>
      <c r="I197" s="533" t="str">
        <f>IF(ROUND(D197,0)=ROUND(SUMIFS(AN_TME_BY[[#All],[Total Claims Excluded because of Truncation]], AN_TME_BY[[#All],[Insurance Category Code]],3, AN_TME_BY[[#All],[Advanced Network/Insurance Carrier Org ID]],B197),0), "TRUE", ROUND(D197-SUMIFS(AN_TME_BY[[#All],[Total Claims Excluded because of Truncation]], AN_TME_BY[[#All],[Insurance Category Code]],3, AN_TME_BY[[#All],[Advanced Network/Insurance Carrier Org ID]],B197),2))</f>
        <v>TRUE</v>
      </c>
      <c r="J197" s="537" t="str">
        <f>IF(ROUND(E197,0)=ROUND(SUMIFS(AN_TME_BY[[#All],[Count of Members with Claims Truncated]], AN_TME_BY[[#All],[Insurance Category Code]],3, AN_TME_BY[[#All],[Advanced Network/Insurance Carrier Org ID]],B197),0), "TRUE", ROUND(E197-SUMIFS(AN_TME_BY[[#All],[Count of Members with Claims Truncated]], AN_TME_BY[[#All],[Insurance Category Code]],3, AN_TME_BY[[#All],[Advanced Network/Insurance Carrier Org ID]],B197),2))</f>
        <v>TRUE</v>
      </c>
      <c r="K197" s="533" t="str">
        <f>IF(ROUND(F197,0)=ROUND(SUMIFS(AN_TME_BY[[#All],[TOTAL Non-Truncated Unadjusted Claims Expenses]], AN_TME_BY[[#All],[Insurance Category Code]],3, AN_TME_BY[[#All],[Advanced Network/Insurance Carrier Org ID]],B197),0), "TRUE", ROUND(F197-SUMIFS(AN_TME_BY[[#All],[TOTAL Non-Truncated Unadjusted Claims Expenses]], AN_TME_BY[[#All],[Insurance Category Code]],3, AN_TME_BY[[#All],[Advanced Network/Insurance Carrier Org ID]],B197),2))</f>
        <v>TRUE</v>
      </c>
      <c r="L197" s="534" t="str">
        <f>IF(ROUND(G197,0)=ROUND(SUMIFS(AN_TME_BY[[#All],[TOTAL Truncated Unadjusted Claims Expenses (A21 -A19)]], AN_TME_BY[[#All],[Insurance Category Code]],3, AN_TME_BY[[#All],[Advanced Network/Insurance Carrier Org ID]],B197),0), "TRUE", ROUND(G197-SUMIFS(AN_TME_BY[[#All],[TOTAL Truncated Unadjusted Claims Expenses (A21 -A19)]], AN_TME_BY[[#All],[Insurance Category Code]],3, AN_TME_BY[[#All],[Advanced Network/Insurance Carrier Org ID]],B197),2))</f>
        <v>TRUE</v>
      </c>
      <c r="M197" s="525" t="str">
        <f t="shared" ref="M197:M232" si="21">IF(E197=0, "TRUE",IF((C197/12)&gt;E197,"TRUE",(C197/12)-E197))</f>
        <v>TRUE</v>
      </c>
      <c r="N197" s="533" t="b">
        <f>ROUND(SUMIFS(AN_TME_BY[[#All],[TOTAL Non-Truncated Unadjusted Claims Expenses]], AN_TME_BY[[#All],[Insurance Category Code]],3, AN_TME_BY[[#All],[Advanced Network/Insurance Carrier Org ID]],B197),2)&gt;=ROUND(SUMIFS(AN_TME_BY[[#All],[TOTAL Truncated Unadjusted Claims Expenses (A21 -A19)]], AN_TME_BY[[#All],[Insurance Category Code]],3, AN_TME_BY[[#All],[Advanced Network/Insurance Carrier Org ID]],B197),2)</f>
        <v>1</v>
      </c>
      <c r="O197" s="534" t="b">
        <f>ROUND(SUMIFS(AN_TME_BY[[#All],[TOTAL Truncated Unadjusted Claims Expenses (A21 -A19)]], AN_TME_BY[[#All],[Insurance Category Code]],3, AN_TME_BY[[#All],[Advanced Network/Insurance Carrier Org ID]],B197)+SUMIFS(AN_TME_BY[[#All],[Total Claims Excluded because of Truncation]], AN_TME_BY[[#All],[Insurance Category Code]],3, AN_TME_BY[[#All],[Advanced Network/Insurance Carrier Org ID]],B197),2)=ROUND(SUMIFS(AN_TME_BY[[#All],[TOTAL Non-Truncated Unadjusted Claims Expenses]], AN_TME_BY[[#All],[Insurance Category Code]],3, AN_TME_BY[[#All],[Advanced Network/Insurance Carrier Org ID]],B197), 2)</f>
        <v>1</v>
      </c>
      <c r="Q197" s="216">
        <v>100</v>
      </c>
      <c r="R197" s="404">
        <f>ROUND(SUMIFS(Age_Sex_PY[[#All],[Total Member Months by Age/Sex Band]], Age_Sex_PY[[#All],[Advanced Network ID]], $Q197, Age_Sex_PY[[#All],[Insurance Category Code]],3), 2)</f>
        <v>0</v>
      </c>
      <c r="S197" s="238">
        <f>ROUND(SUMIFS(Age_Sex_PY[[#All],[Total Dollars Excluded from Spending After Applying Truncation at the Member Level]], Age_Sex_PY[[#All],[Advanced Network ID]], $B197, Age_Sex_PY[[#All],[Insurance Category Code]],3), 2)</f>
        <v>0</v>
      </c>
      <c r="T197" s="209">
        <f>ROUND(SUMIFS(Age_Sex_PY[[#All],[Count of Members whose Spending was Truncated]], Age_Sex_PY[[#All],[Advanced Network ID]], $B197, Age_Sex_PY[[#All],[Insurance Category Code]],3),2)</f>
        <v>0</v>
      </c>
      <c r="U197" s="210">
        <f>ROUND(SUMIFS(Age_Sex_PY[[#All],[Total Spending before Truncation is Applied]], Age_Sex_PY[[#All],[Advanced Network ID]], $B197, Age_Sex_PY[[#All],[Insurance Category Code]],3),2)</f>
        <v>0</v>
      </c>
      <c r="V197" s="212">
        <f>ROUND(SUMIFS(Age_Sex_PY[[#All],[Total Spending After Applying Truncation at the Member Level]], Age_Sex_PY[[#All],[Advanced Network ID]], $B197, Age_Sex_PY[[#All],[Insurance Category Code]],3),2)</f>
        <v>0</v>
      </c>
      <c r="W197" s="525" t="str">
        <f>IF(ROUND(R197,0)=ROUND(SUMIFS(AN_TME_PY[[#All],[Member Months]], AN_TME_PY[[#All],[Insurance Category Code]],3, AN_TME_PY[[#All],[Advanced Network/Insurance Carrier Org ID]],Q197),0), "TRUE", ROUND(R197-SUMIFS(AN_TME_PY[[#All],[Member Months]], AN_TME_PY[[#All],[Insurance Category Code]],3, AN_TME_PY[[#All],[Advanced Network/Insurance Carrier Org ID]],Q197),2))</f>
        <v>TRUE</v>
      </c>
      <c r="X197" s="527" t="str">
        <f>IF(ROUND(S197,0)=ROUND(SUMIFS(AN_TME_PY[[#All],[Total Claims Excluded because of Truncation]], AN_TME_PY[[#All],[Insurance Category Code]],3, AN_TME_PY[[#All],[Advanced Network/Insurance Carrier Org ID]],Q197),0), "TRUE", ROUND(S197-SUMIFS(AN_TME_PY[[#All],[Total Claims Excluded because of Truncation]], AN_TME_PY[[#All],[Insurance Category Code]],3, AN_TME_PY[[#All],[Advanced Network/Insurance Carrier Org ID]],Q197),2))</f>
        <v>TRUE</v>
      </c>
      <c r="Y197" s="537" t="str">
        <f>IF(ROUND(T197,0)=ROUND(SUMIFS(AN_TME_PY[[#All],[Count of Members with Claims Truncated]], AN_TME_PY[[#All],[Insurance Category Code]],3, AN_TME_PY[[#All],[Advanced Network/Insurance Carrier Org ID]],Q197),0), "TRUE", ROUND(T197-SUMIFS(AN_TME_PY[[#All],[Count of Members with Claims Truncated]], AN_TME_PY[[#All],[Insurance Category Code]],3, AN_TME_PY[[#All],[Advanced Network/Insurance Carrier Org ID]],Q197),2))</f>
        <v>TRUE</v>
      </c>
      <c r="Z197" s="528" t="str">
        <f>IF(ROUND(U197,0)=ROUND(SUMIFS(AN_TME_PY[[#All],[TOTAL Non-Truncated Unadjusted Claims Expenses]], AN_TME_PY[[#All],[Insurance Category Code]],3, AN_TME_PY[[#All],[Advanced Network/Insurance Carrier Org ID]],Q197),0), "TRUE", ROUND(U197-SUMIFS(AN_TME_PY[[#All],[TOTAL Non-Truncated Unadjusted Claims Expenses]], AN_TME_PY[[#All],[Insurance Category Code]],3, AN_TME_PY[[#All],[Advanced Network/Insurance Carrier Org ID]],Q197),2))</f>
        <v>TRUE</v>
      </c>
      <c r="AA197" s="529" t="str">
        <f>IF(ROUND(V197,0)=ROUND(SUMIFS(AN_TME_PY[[#All],[TOTAL Truncated Unadjusted Claims Expenses (A21 -A19)]], AN_TME_PY[[#All],[Insurance Category Code]],3, AN_TME_PY[[#All],[Advanced Network/Insurance Carrier Org ID]],Q197),0), "TRUE", ROUND(V197-SUMIFS(AN_TME_PY[[#All],[TOTAL Truncated Unadjusted Claims Expenses (A21 -A19)]], AN_TME_PY[[#All],[Insurance Category Code]],3, AN_TME_PY[[#All],[Advanced Network/Insurance Carrier Org ID]],Q197),2))</f>
        <v>TRUE</v>
      </c>
      <c r="AB197" s="525" t="str">
        <f t="shared" ref="AB197" si="22">IF(T197=0, "TRUE",IF((R197/12)&gt;T197,"TRUE",(R197/12)-T197))</f>
        <v>TRUE</v>
      </c>
      <c r="AC197" s="528" t="b">
        <f>ROUND(SUMIFS(AN_TME_PY[[#All],[TOTAL Non-Truncated Unadjusted Claims Expenses]], AN_TME_PY[[#All],[Insurance Category Code]],3, AN_TME_PY[[#All],[Advanced Network/Insurance Carrier Org ID]],Q197),2)&gt;=ROUND(SUMIFS(AN_TME_PY[[#All],[TOTAL Truncated Unadjusted Claims Expenses (A21 -A19)]], AN_TME_PY[[#All],[Insurance Category Code]],3, AN_TME_PY[[#All],[Advanced Network/Insurance Carrier Org ID]],Q197), 2)</f>
        <v>1</v>
      </c>
      <c r="AD197" s="529" t="b">
        <f>ROUND(SUMIFS(AN_TME_PY[[#All],[TOTAL Truncated Unadjusted Claims Expenses (A21 -A19)]], AN_TME_PY[[#All],[Insurance Category Code]],3, AN_TME_PY[[#All],[Advanced Network/Insurance Carrier Org ID]],Q197)+SUMIFS(AN_TME_PY[[#All],[Total Claims Excluded because of Truncation]], AN_TME_PY[[#All],[Insurance Category Code]],3, AN_TME_PY[[#All],[Advanced Network/Insurance Carrier Org ID]],Q197),2)=ROUND(SUMIFS(AN_TME_PY[[#All],[TOTAL Non-Truncated Unadjusted Claims Expenses]], AN_TME_PY[[#All],[Insurance Category Code]],3, AN_TME_PY[[#All],[Advanced Network/Insurance Carrier Org ID]],Q197),2)</f>
        <v>1</v>
      </c>
      <c r="AF197" s="282" t="str">
        <f t="shared" ref="AF197:AF232" si="23">IFERROR(R197/C197-1, "NA")</f>
        <v>NA</v>
      </c>
    </row>
    <row r="198" spans="2:32" outlineLevel="1" x14ac:dyDescent="0.25">
      <c r="B198" s="216">
        <v>101</v>
      </c>
      <c r="C198" s="404">
        <f>ROUND(SUMIFS(Age_Sex_BY[[#All],[Total Member Months by Age/Sex Band]], Age_Sex_BY[[#All],[Advanced Network ID]], $B198, Age_Sex_BY[[#All],[Insurance Category Code]],3),2)</f>
        <v>0</v>
      </c>
      <c r="D198" s="238">
        <f>ROUND(SUMIFS(Age_Sex_BY[[#All],[Total Dollars Excluded from Spending After Applying Truncation at the Member Level]], Age_Sex_BY[[#All],[Advanced Network ID]], $B198, Age_Sex_BY[[#All],[Insurance Category Code]],3),2)</f>
        <v>0</v>
      </c>
      <c r="E198" s="209">
        <f>ROUND(SUMIFS(Age_Sex_BY[[#All],[Count of Members whose Spending was Truncated]], Age_Sex_BY[[#All],[Advanced Network ID]], $B198, Age_Sex_BY[[#All],[Insurance Category Code]],3),2)</f>
        <v>0</v>
      </c>
      <c r="F198" s="210">
        <f>ROUND(SUMIFS(Age_Sex_BY[[#All],[Total Spending before Truncation is Applied]], Age_Sex_BY[[#All],[Advanced Network ID]], $B198, Age_Sex_BY[[#All],[Insurance Category Code]],3),2)</f>
        <v>0</v>
      </c>
      <c r="G198" s="212">
        <f>ROUND(SUMIFS(Age_Sex_BY[[#All],[Total Spending After Applying Truncation at the Member Level]], Age_Sex_BY[[#All],[Advanced Network ID]], $B198, Age_Sex_BY[[#All],[Insurance Category Code]],3), 2)</f>
        <v>0</v>
      </c>
      <c r="H198" s="525" t="str">
        <f>IF(ROUND(C198,0)=ROUND(SUMIFS(AN_TME_BY[[#All],[Member Months]], AN_TME_BY[[#All],[Insurance Category Code]],3, AN_TME_BY[[#All],[Advanced Network/Insurance Carrier Org ID]],B198),0), "TRUE", ROUND(C198-SUMIFS(AN_TME_BY[[#All],[Member Months]], AN_TME_BY[[#All],[Insurance Category Code]],3, AN_TME_BY[[#All],[Advanced Network/Insurance Carrier Org ID]],B198),2))</f>
        <v>TRUE</v>
      </c>
      <c r="I198" s="533" t="str">
        <f>IF(ROUND(D198,0)=ROUND(SUMIFS(AN_TME_BY[[#All],[Total Claims Excluded because of Truncation]], AN_TME_BY[[#All],[Insurance Category Code]],3, AN_TME_BY[[#All],[Advanced Network/Insurance Carrier Org ID]],B198),0), "TRUE", ROUND(D198-SUMIFS(AN_TME_BY[[#All],[Total Claims Excluded because of Truncation]], AN_TME_BY[[#All],[Insurance Category Code]],3, AN_TME_BY[[#All],[Advanced Network/Insurance Carrier Org ID]],B198),2))</f>
        <v>TRUE</v>
      </c>
      <c r="J198" s="537" t="str">
        <f>IF(ROUND(E198,0)=ROUND(SUMIFS(AN_TME_BY[[#All],[Count of Members with Claims Truncated]], AN_TME_BY[[#All],[Insurance Category Code]],3, AN_TME_BY[[#All],[Advanced Network/Insurance Carrier Org ID]],B198),0), "TRUE", ROUND(E198-SUMIFS(AN_TME_BY[[#All],[Count of Members with Claims Truncated]], AN_TME_BY[[#All],[Insurance Category Code]],3, AN_TME_BY[[#All],[Advanced Network/Insurance Carrier Org ID]],B198),2))</f>
        <v>TRUE</v>
      </c>
      <c r="K198" s="533" t="str">
        <f>IF(ROUND(F198,0)=ROUND(SUMIFS(AN_TME_BY[[#All],[TOTAL Non-Truncated Unadjusted Claims Expenses]], AN_TME_BY[[#All],[Insurance Category Code]],3, AN_TME_BY[[#All],[Advanced Network/Insurance Carrier Org ID]],B198),0), "TRUE", ROUND(F198-SUMIFS(AN_TME_BY[[#All],[TOTAL Non-Truncated Unadjusted Claims Expenses]], AN_TME_BY[[#All],[Insurance Category Code]],3, AN_TME_BY[[#All],[Advanced Network/Insurance Carrier Org ID]],B198),2))</f>
        <v>TRUE</v>
      </c>
      <c r="L198" s="534" t="str">
        <f>IF(ROUND(G198,0)=ROUND(SUMIFS(AN_TME_BY[[#All],[TOTAL Truncated Unadjusted Claims Expenses (A21 -A19)]], AN_TME_BY[[#All],[Insurance Category Code]],3, AN_TME_BY[[#All],[Advanced Network/Insurance Carrier Org ID]],B198),0), "TRUE", ROUND(G198-SUMIFS(AN_TME_BY[[#All],[TOTAL Truncated Unadjusted Claims Expenses (A21 -A19)]], AN_TME_BY[[#All],[Insurance Category Code]],3, AN_TME_BY[[#All],[Advanced Network/Insurance Carrier Org ID]],B198),2))</f>
        <v>TRUE</v>
      </c>
      <c r="M198" s="525" t="str">
        <f t="shared" si="21"/>
        <v>TRUE</v>
      </c>
      <c r="N198" s="533" t="b">
        <f>ROUND(SUMIFS(AN_TME_BY[[#All],[TOTAL Non-Truncated Unadjusted Claims Expenses]], AN_TME_BY[[#All],[Insurance Category Code]],3, AN_TME_BY[[#All],[Advanced Network/Insurance Carrier Org ID]],B198),2)&gt;=ROUND(SUMIFS(AN_TME_BY[[#All],[TOTAL Truncated Unadjusted Claims Expenses (A21 -A19)]], AN_TME_BY[[#All],[Insurance Category Code]],3, AN_TME_BY[[#All],[Advanced Network/Insurance Carrier Org ID]],B198),2)</f>
        <v>1</v>
      </c>
      <c r="O198" s="534" t="b">
        <f>ROUND(SUMIFS(AN_TME_BY[[#All],[TOTAL Truncated Unadjusted Claims Expenses (A21 -A19)]], AN_TME_BY[[#All],[Insurance Category Code]],3, AN_TME_BY[[#All],[Advanced Network/Insurance Carrier Org ID]],B198)+SUMIFS(AN_TME_BY[[#All],[Total Claims Excluded because of Truncation]], AN_TME_BY[[#All],[Insurance Category Code]],3, AN_TME_BY[[#All],[Advanced Network/Insurance Carrier Org ID]],B198),2)=ROUND(SUMIFS(AN_TME_BY[[#All],[TOTAL Non-Truncated Unadjusted Claims Expenses]], AN_TME_BY[[#All],[Insurance Category Code]],3, AN_TME_BY[[#All],[Advanced Network/Insurance Carrier Org ID]],B198), 2)</f>
        <v>1</v>
      </c>
      <c r="Q198" s="216">
        <v>101</v>
      </c>
      <c r="R198" s="404">
        <f>ROUND(SUMIFS(Age_Sex_PY[[#All],[Total Member Months by Age/Sex Band]], Age_Sex_PY[[#All],[Advanced Network ID]], $Q198, Age_Sex_PY[[#All],[Insurance Category Code]],3), 2)</f>
        <v>0</v>
      </c>
      <c r="S198" s="238">
        <f>ROUND(SUMIFS(Age_Sex_PY[[#All],[Total Dollars Excluded from Spending After Applying Truncation at the Member Level]], Age_Sex_PY[[#All],[Advanced Network ID]], $B198, Age_Sex_PY[[#All],[Insurance Category Code]],3), 2)</f>
        <v>0</v>
      </c>
      <c r="T198" s="209">
        <f>ROUND(SUMIFS(Age_Sex_PY[[#All],[Count of Members whose Spending was Truncated]], Age_Sex_PY[[#All],[Advanced Network ID]], $B198, Age_Sex_PY[[#All],[Insurance Category Code]],3),2)</f>
        <v>0</v>
      </c>
      <c r="U198" s="210">
        <f>ROUND(SUMIFS(Age_Sex_PY[[#All],[Total Spending before Truncation is Applied]], Age_Sex_PY[[#All],[Advanced Network ID]], $B198, Age_Sex_PY[[#All],[Insurance Category Code]],3),2)</f>
        <v>0</v>
      </c>
      <c r="V198" s="212">
        <f>ROUND(SUMIFS(Age_Sex_PY[[#All],[Total Spending After Applying Truncation at the Member Level]], Age_Sex_PY[[#All],[Advanced Network ID]], $B198, Age_Sex_PY[[#All],[Insurance Category Code]],3),2)</f>
        <v>0</v>
      </c>
      <c r="W198" s="525" t="str">
        <f>IF(ROUND(R198,0)=ROUND(SUMIFS(AN_TME_PY[[#All],[Member Months]], AN_TME_PY[[#All],[Insurance Category Code]],3, AN_TME_PY[[#All],[Advanced Network/Insurance Carrier Org ID]],Q198),0), "TRUE", ROUND(R198-SUMIFS(AN_TME_PY[[#All],[Member Months]], AN_TME_PY[[#All],[Insurance Category Code]],3, AN_TME_PY[[#All],[Advanced Network/Insurance Carrier Org ID]],Q198),2))</f>
        <v>TRUE</v>
      </c>
      <c r="X198" s="527" t="str">
        <f>IF(ROUND(S198,0)=ROUND(SUMIFS(AN_TME_PY[[#All],[Total Claims Excluded because of Truncation]], AN_TME_PY[[#All],[Insurance Category Code]],3, AN_TME_PY[[#All],[Advanced Network/Insurance Carrier Org ID]],Q198),0), "TRUE", ROUND(S198-SUMIFS(AN_TME_PY[[#All],[Total Claims Excluded because of Truncation]], AN_TME_PY[[#All],[Insurance Category Code]],3, AN_TME_PY[[#All],[Advanced Network/Insurance Carrier Org ID]],Q198),2))</f>
        <v>TRUE</v>
      </c>
      <c r="Y198" s="537" t="str">
        <f>IF(ROUND(T198,0)=ROUND(SUMIFS(AN_TME_PY[[#All],[Count of Members with Claims Truncated]], AN_TME_PY[[#All],[Insurance Category Code]],3, AN_TME_PY[[#All],[Advanced Network/Insurance Carrier Org ID]],Q198),0), "TRUE", ROUND(T198-SUMIFS(AN_TME_PY[[#All],[Count of Members with Claims Truncated]], AN_TME_PY[[#All],[Insurance Category Code]],3, AN_TME_PY[[#All],[Advanced Network/Insurance Carrier Org ID]],Q198),2))</f>
        <v>TRUE</v>
      </c>
      <c r="Z198" s="528" t="str">
        <f>IF(ROUND(U198,0)=ROUND(SUMIFS(AN_TME_PY[[#All],[TOTAL Non-Truncated Unadjusted Claims Expenses]], AN_TME_PY[[#All],[Insurance Category Code]],3, AN_TME_PY[[#All],[Advanced Network/Insurance Carrier Org ID]],Q198),0), "TRUE", ROUND(U198-SUMIFS(AN_TME_PY[[#All],[TOTAL Non-Truncated Unadjusted Claims Expenses]], AN_TME_PY[[#All],[Insurance Category Code]],3, AN_TME_PY[[#All],[Advanced Network/Insurance Carrier Org ID]],Q198),2))</f>
        <v>TRUE</v>
      </c>
      <c r="AA198" s="529" t="str">
        <f>IF(ROUND(V198,0)=ROUND(SUMIFS(AN_TME_PY[[#All],[TOTAL Truncated Unadjusted Claims Expenses (A21 -A19)]], AN_TME_PY[[#All],[Insurance Category Code]],3, AN_TME_PY[[#All],[Advanced Network/Insurance Carrier Org ID]],Q198),0), "TRUE", ROUND(V198-SUMIFS(AN_TME_PY[[#All],[TOTAL Truncated Unadjusted Claims Expenses (A21 -A19)]], AN_TME_PY[[#All],[Insurance Category Code]],3, AN_TME_PY[[#All],[Advanced Network/Insurance Carrier Org ID]],Q198),2))</f>
        <v>TRUE</v>
      </c>
      <c r="AB198" s="525" t="str">
        <f t="shared" ref="AB198:AB232" si="24">IF(T198=0, "TRUE",IF((R198/12)&gt;T198,"TRUE",(R198/12)-T198))</f>
        <v>TRUE</v>
      </c>
      <c r="AC198" s="528" t="b">
        <f>ROUND(SUMIFS(AN_TME_PY[[#All],[TOTAL Non-Truncated Unadjusted Claims Expenses]], AN_TME_PY[[#All],[Insurance Category Code]],3, AN_TME_PY[[#All],[Advanced Network/Insurance Carrier Org ID]],Q198),2)&gt;=ROUND(SUMIFS(AN_TME_PY[[#All],[TOTAL Truncated Unadjusted Claims Expenses (A21 -A19)]], AN_TME_PY[[#All],[Insurance Category Code]],3, AN_TME_PY[[#All],[Advanced Network/Insurance Carrier Org ID]],Q198), 2)</f>
        <v>1</v>
      </c>
      <c r="AD198" s="529" t="b">
        <f>ROUND(SUMIFS(AN_TME_PY[[#All],[TOTAL Truncated Unadjusted Claims Expenses (A21 -A19)]], AN_TME_PY[[#All],[Insurance Category Code]],3, AN_TME_PY[[#All],[Advanced Network/Insurance Carrier Org ID]],Q198)+SUMIFS(AN_TME_PY[[#All],[Total Claims Excluded because of Truncation]], AN_TME_PY[[#All],[Insurance Category Code]],3, AN_TME_PY[[#All],[Advanced Network/Insurance Carrier Org ID]],Q198),2)=ROUND(SUMIFS(AN_TME_PY[[#All],[TOTAL Non-Truncated Unadjusted Claims Expenses]], AN_TME_PY[[#All],[Insurance Category Code]],3, AN_TME_PY[[#All],[Advanced Network/Insurance Carrier Org ID]],Q198),2)</f>
        <v>1</v>
      </c>
      <c r="AF198" s="283" t="str">
        <f t="shared" si="23"/>
        <v>NA</v>
      </c>
    </row>
    <row r="199" spans="2:32" outlineLevel="1" x14ac:dyDescent="0.25">
      <c r="B199" s="216">
        <v>102</v>
      </c>
      <c r="C199" s="404">
        <f>ROUND(SUMIFS(Age_Sex_BY[[#All],[Total Member Months by Age/Sex Band]], Age_Sex_BY[[#All],[Advanced Network ID]], $B199, Age_Sex_BY[[#All],[Insurance Category Code]],3),2)</f>
        <v>0</v>
      </c>
      <c r="D199" s="238">
        <f>ROUND(SUMIFS(Age_Sex_BY[[#All],[Total Dollars Excluded from Spending After Applying Truncation at the Member Level]], Age_Sex_BY[[#All],[Advanced Network ID]], $B199, Age_Sex_BY[[#All],[Insurance Category Code]],3),2)</f>
        <v>0</v>
      </c>
      <c r="E199" s="209">
        <f>ROUND(SUMIFS(Age_Sex_BY[[#All],[Count of Members whose Spending was Truncated]], Age_Sex_BY[[#All],[Advanced Network ID]], $B199, Age_Sex_BY[[#All],[Insurance Category Code]],3),2)</f>
        <v>0</v>
      </c>
      <c r="F199" s="210">
        <f>ROUND(SUMIFS(Age_Sex_BY[[#All],[Total Spending before Truncation is Applied]], Age_Sex_BY[[#All],[Advanced Network ID]], $B199, Age_Sex_BY[[#All],[Insurance Category Code]],3),2)</f>
        <v>0</v>
      </c>
      <c r="G199" s="212">
        <f>ROUND(SUMIFS(Age_Sex_BY[[#All],[Total Spending After Applying Truncation at the Member Level]], Age_Sex_BY[[#All],[Advanced Network ID]], $B199, Age_Sex_BY[[#All],[Insurance Category Code]],3), 2)</f>
        <v>0</v>
      </c>
      <c r="H199" s="525" t="str">
        <f>IF(ROUND(C199,0)=ROUND(SUMIFS(AN_TME_BY[[#All],[Member Months]], AN_TME_BY[[#All],[Insurance Category Code]],3, AN_TME_BY[[#All],[Advanced Network/Insurance Carrier Org ID]],B199),0), "TRUE", ROUND(C199-SUMIFS(AN_TME_BY[[#All],[Member Months]], AN_TME_BY[[#All],[Insurance Category Code]],3, AN_TME_BY[[#All],[Advanced Network/Insurance Carrier Org ID]],B199),2))</f>
        <v>TRUE</v>
      </c>
      <c r="I199" s="533" t="str">
        <f>IF(ROUND(D199,0)=ROUND(SUMIFS(AN_TME_BY[[#All],[Total Claims Excluded because of Truncation]], AN_TME_BY[[#All],[Insurance Category Code]],3, AN_TME_BY[[#All],[Advanced Network/Insurance Carrier Org ID]],B199),0), "TRUE", ROUND(D199-SUMIFS(AN_TME_BY[[#All],[Total Claims Excluded because of Truncation]], AN_TME_BY[[#All],[Insurance Category Code]],3, AN_TME_BY[[#All],[Advanced Network/Insurance Carrier Org ID]],B199),2))</f>
        <v>TRUE</v>
      </c>
      <c r="J199" s="537" t="str">
        <f>IF(ROUND(E199,0)=ROUND(SUMIFS(AN_TME_BY[[#All],[Count of Members with Claims Truncated]], AN_TME_BY[[#All],[Insurance Category Code]],3, AN_TME_BY[[#All],[Advanced Network/Insurance Carrier Org ID]],B199),0), "TRUE", ROUND(E199-SUMIFS(AN_TME_BY[[#All],[Count of Members with Claims Truncated]], AN_TME_BY[[#All],[Insurance Category Code]],3, AN_TME_BY[[#All],[Advanced Network/Insurance Carrier Org ID]],B199),2))</f>
        <v>TRUE</v>
      </c>
      <c r="K199" s="533" t="str">
        <f>IF(ROUND(F199,0)=ROUND(SUMIFS(AN_TME_BY[[#All],[TOTAL Non-Truncated Unadjusted Claims Expenses]], AN_TME_BY[[#All],[Insurance Category Code]],3, AN_TME_BY[[#All],[Advanced Network/Insurance Carrier Org ID]],B199),0), "TRUE", ROUND(F199-SUMIFS(AN_TME_BY[[#All],[TOTAL Non-Truncated Unadjusted Claims Expenses]], AN_TME_BY[[#All],[Insurance Category Code]],3, AN_TME_BY[[#All],[Advanced Network/Insurance Carrier Org ID]],B199),2))</f>
        <v>TRUE</v>
      </c>
      <c r="L199" s="534" t="str">
        <f>IF(ROUND(G199,0)=ROUND(SUMIFS(AN_TME_BY[[#All],[TOTAL Truncated Unadjusted Claims Expenses (A21 -A19)]], AN_TME_BY[[#All],[Insurance Category Code]],3, AN_TME_BY[[#All],[Advanced Network/Insurance Carrier Org ID]],B199),0), "TRUE", ROUND(G199-SUMIFS(AN_TME_BY[[#All],[TOTAL Truncated Unadjusted Claims Expenses (A21 -A19)]], AN_TME_BY[[#All],[Insurance Category Code]],3, AN_TME_BY[[#All],[Advanced Network/Insurance Carrier Org ID]],B199),2))</f>
        <v>TRUE</v>
      </c>
      <c r="M199" s="525" t="str">
        <f t="shared" si="21"/>
        <v>TRUE</v>
      </c>
      <c r="N199" s="533" t="b">
        <f>ROUND(SUMIFS(AN_TME_BY[[#All],[TOTAL Non-Truncated Unadjusted Claims Expenses]], AN_TME_BY[[#All],[Insurance Category Code]],3, AN_TME_BY[[#All],[Advanced Network/Insurance Carrier Org ID]],B199),2)&gt;=ROUND(SUMIFS(AN_TME_BY[[#All],[TOTAL Truncated Unadjusted Claims Expenses (A21 -A19)]], AN_TME_BY[[#All],[Insurance Category Code]],3, AN_TME_BY[[#All],[Advanced Network/Insurance Carrier Org ID]],B199),2)</f>
        <v>1</v>
      </c>
      <c r="O199" s="534" t="b">
        <f>ROUND(SUMIFS(AN_TME_BY[[#All],[TOTAL Truncated Unadjusted Claims Expenses (A21 -A19)]], AN_TME_BY[[#All],[Insurance Category Code]],3, AN_TME_BY[[#All],[Advanced Network/Insurance Carrier Org ID]],B199)+SUMIFS(AN_TME_BY[[#All],[Total Claims Excluded because of Truncation]], AN_TME_BY[[#All],[Insurance Category Code]],3, AN_TME_BY[[#All],[Advanced Network/Insurance Carrier Org ID]],B199),2)=ROUND(SUMIFS(AN_TME_BY[[#All],[TOTAL Non-Truncated Unadjusted Claims Expenses]], AN_TME_BY[[#All],[Insurance Category Code]],3, AN_TME_BY[[#All],[Advanced Network/Insurance Carrier Org ID]],B199), 2)</f>
        <v>1</v>
      </c>
      <c r="Q199" s="216">
        <v>102</v>
      </c>
      <c r="R199" s="404">
        <f>ROUND(SUMIFS(Age_Sex_PY[[#All],[Total Member Months by Age/Sex Band]], Age_Sex_PY[[#All],[Advanced Network ID]], $Q199, Age_Sex_PY[[#All],[Insurance Category Code]],3), 2)</f>
        <v>0</v>
      </c>
      <c r="S199" s="238">
        <f>ROUND(SUMIFS(Age_Sex_PY[[#All],[Total Dollars Excluded from Spending After Applying Truncation at the Member Level]], Age_Sex_PY[[#All],[Advanced Network ID]], $B199, Age_Sex_PY[[#All],[Insurance Category Code]],3), 2)</f>
        <v>0</v>
      </c>
      <c r="T199" s="209">
        <f>ROUND(SUMIFS(Age_Sex_PY[[#All],[Count of Members whose Spending was Truncated]], Age_Sex_PY[[#All],[Advanced Network ID]], $B199, Age_Sex_PY[[#All],[Insurance Category Code]],3),2)</f>
        <v>0</v>
      </c>
      <c r="U199" s="210">
        <f>ROUND(SUMIFS(Age_Sex_PY[[#All],[Total Spending before Truncation is Applied]], Age_Sex_PY[[#All],[Advanced Network ID]], $B199, Age_Sex_PY[[#All],[Insurance Category Code]],3),2)</f>
        <v>0</v>
      </c>
      <c r="V199" s="212">
        <f>ROUND(SUMIFS(Age_Sex_PY[[#All],[Total Spending After Applying Truncation at the Member Level]], Age_Sex_PY[[#All],[Advanced Network ID]], $B199, Age_Sex_PY[[#All],[Insurance Category Code]],3),2)</f>
        <v>0</v>
      </c>
      <c r="W199" s="525" t="str">
        <f>IF(ROUND(R199,0)=ROUND(SUMIFS(AN_TME_PY[[#All],[Member Months]], AN_TME_PY[[#All],[Insurance Category Code]],3, AN_TME_PY[[#All],[Advanced Network/Insurance Carrier Org ID]],Q199),0), "TRUE", ROUND(R199-SUMIFS(AN_TME_PY[[#All],[Member Months]], AN_TME_PY[[#All],[Insurance Category Code]],3, AN_TME_PY[[#All],[Advanced Network/Insurance Carrier Org ID]],Q199),2))</f>
        <v>TRUE</v>
      </c>
      <c r="X199" s="527" t="str">
        <f>IF(ROUND(S199,0)=ROUND(SUMIFS(AN_TME_PY[[#All],[Total Claims Excluded because of Truncation]], AN_TME_PY[[#All],[Insurance Category Code]],3, AN_TME_PY[[#All],[Advanced Network/Insurance Carrier Org ID]],Q199),0), "TRUE", ROUND(S199-SUMIFS(AN_TME_PY[[#All],[Total Claims Excluded because of Truncation]], AN_TME_PY[[#All],[Insurance Category Code]],3, AN_TME_PY[[#All],[Advanced Network/Insurance Carrier Org ID]],Q199),2))</f>
        <v>TRUE</v>
      </c>
      <c r="Y199" s="537" t="str">
        <f>IF(ROUND(T199,0)=ROUND(SUMIFS(AN_TME_PY[[#All],[Count of Members with Claims Truncated]], AN_TME_PY[[#All],[Insurance Category Code]],3, AN_TME_PY[[#All],[Advanced Network/Insurance Carrier Org ID]],Q199),0), "TRUE", ROUND(T199-SUMIFS(AN_TME_PY[[#All],[Count of Members with Claims Truncated]], AN_TME_PY[[#All],[Insurance Category Code]],3, AN_TME_PY[[#All],[Advanced Network/Insurance Carrier Org ID]],Q199),2))</f>
        <v>TRUE</v>
      </c>
      <c r="Z199" s="528" t="str">
        <f>IF(ROUND(U199,0)=ROUND(SUMIFS(AN_TME_PY[[#All],[TOTAL Non-Truncated Unadjusted Claims Expenses]], AN_TME_PY[[#All],[Insurance Category Code]],3, AN_TME_PY[[#All],[Advanced Network/Insurance Carrier Org ID]],Q199),0), "TRUE", ROUND(U199-SUMIFS(AN_TME_PY[[#All],[TOTAL Non-Truncated Unadjusted Claims Expenses]], AN_TME_PY[[#All],[Insurance Category Code]],3, AN_TME_PY[[#All],[Advanced Network/Insurance Carrier Org ID]],Q199),2))</f>
        <v>TRUE</v>
      </c>
      <c r="AA199" s="529" t="str">
        <f>IF(ROUND(V199,0)=ROUND(SUMIFS(AN_TME_PY[[#All],[TOTAL Truncated Unadjusted Claims Expenses (A21 -A19)]], AN_TME_PY[[#All],[Insurance Category Code]],3, AN_TME_PY[[#All],[Advanced Network/Insurance Carrier Org ID]],Q199),0), "TRUE", ROUND(V199-SUMIFS(AN_TME_PY[[#All],[TOTAL Truncated Unadjusted Claims Expenses (A21 -A19)]], AN_TME_PY[[#All],[Insurance Category Code]],3, AN_TME_PY[[#All],[Advanced Network/Insurance Carrier Org ID]],Q199),2))</f>
        <v>TRUE</v>
      </c>
      <c r="AB199" s="525" t="str">
        <f t="shared" si="24"/>
        <v>TRUE</v>
      </c>
      <c r="AC199" s="528" t="b">
        <f>ROUND(SUMIFS(AN_TME_PY[[#All],[TOTAL Non-Truncated Unadjusted Claims Expenses]], AN_TME_PY[[#All],[Insurance Category Code]],3, AN_TME_PY[[#All],[Advanced Network/Insurance Carrier Org ID]],Q199),2)&gt;=ROUND(SUMIFS(AN_TME_PY[[#All],[TOTAL Truncated Unadjusted Claims Expenses (A21 -A19)]], AN_TME_PY[[#All],[Insurance Category Code]],3, AN_TME_PY[[#All],[Advanced Network/Insurance Carrier Org ID]],Q199), 2)</f>
        <v>1</v>
      </c>
      <c r="AD199" s="529" t="b">
        <f>ROUND(SUMIFS(AN_TME_PY[[#All],[TOTAL Truncated Unadjusted Claims Expenses (A21 -A19)]], AN_TME_PY[[#All],[Insurance Category Code]],3, AN_TME_PY[[#All],[Advanced Network/Insurance Carrier Org ID]],Q199)+SUMIFS(AN_TME_PY[[#All],[Total Claims Excluded because of Truncation]], AN_TME_PY[[#All],[Insurance Category Code]],3, AN_TME_PY[[#All],[Advanced Network/Insurance Carrier Org ID]],Q199),2)=ROUND(SUMIFS(AN_TME_PY[[#All],[TOTAL Non-Truncated Unadjusted Claims Expenses]], AN_TME_PY[[#All],[Insurance Category Code]],3, AN_TME_PY[[#All],[Advanced Network/Insurance Carrier Org ID]],Q199),2)</f>
        <v>1</v>
      </c>
      <c r="AF199" s="283" t="str">
        <f t="shared" si="23"/>
        <v>NA</v>
      </c>
    </row>
    <row r="200" spans="2:32" outlineLevel="1" x14ac:dyDescent="0.25">
      <c r="B200" s="216">
        <v>103</v>
      </c>
      <c r="C200" s="404">
        <f>ROUND(SUMIFS(Age_Sex_BY[[#All],[Total Member Months by Age/Sex Band]], Age_Sex_BY[[#All],[Advanced Network ID]], $B200, Age_Sex_BY[[#All],[Insurance Category Code]],3),2)</f>
        <v>0</v>
      </c>
      <c r="D200" s="238">
        <f>ROUND(SUMIFS(Age_Sex_BY[[#All],[Total Dollars Excluded from Spending After Applying Truncation at the Member Level]], Age_Sex_BY[[#All],[Advanced Network ID]], $B200, Age_Sex_BY[[#All],[Insurance Category Code]],3),2)</f>
        <v>0</v>
      </c>
      <c r="E200" s="209">
        <f>ROUND(SUMIFS(Age_Sex_BY[[#All],[Count of Members whose Spending was Truncated]], Age_Sex_BY[[#All],[Advanced Network ID]], $B200, Age_Sex_BY[[#All],[Insurance Category Code]],3),2)</f>
        <v>0</v>
      </c>
      <c r="F200" s="210">
        <f>ROUND(SUMIFS(Age_Sex_BY[[#All],[Total Spending before Truncation is Applied]], Age_Sex_BY[[#All],[Advanced Network ID]], $B200, Age_Sex_BY[[#All],[Insurance Category Code]],3),2)</f>
        <v>0</v>
      </c>
      <c r="G200" s="212">
        <f>ROUND(SUMIFS(Age_Sex_BY[[#All],[Total Spending After Applying Truncation at the Member Level]], Age_Sex_BY[[#All],[Advanced Network ID]], $B200, Age_Sex_BY[[#All],[Insurance Category Code]],3), 2)</f>
        <v>0</v>
      </c>
      <c r="H200" s="525" t="str">
        <f>IF(ROUND(C200,0)=ROUND(SUMIFS(AN_TME_BY[[#All],[Member Months]], AN_TME_BY[[#All],[Insurance Category Code]],3, AN_TME_BY[[#All],[Advanced Network/Insurance Carrier Org ID]],B200),0), "TRUE", ROUND(C200-SUMIFS(AN_TME_BY[[#All],[Member Months]], AN_TME_BY[[#All],[Insurance Category Code]],3, AN_TME_BY[[#All],[Advanced Network/Insurance Carrier Org ID]],B200),2))</f>
        <v>TRUE</v>
      </c>
      <c r="I200" s="533" t="str">
        <f>IF(ROUND(D200,0)=ROUND(SUMIFS(AN_TME_BY[[#All],[Total Claims Excluded because of Truncation]], AN_TME_BY[[#All],[Insurance Category Code]],3, AN_TME_BY[[#All],[Advanced Network/Insurance Carrier Org ID]],B200),0), "TRUE", ROUND(D200-SUMIFS(AN_TME_BY[[#All],[Total Claims Excluded because of Truncation]], AN_TME_BY[[#All],[Insurance Category Code]],3, AN_TME_BY[[#All],[Advanced Network/Insurance Carrier Org ID]],B200),2))</f>
        <v>TRUE</v>
      </c>
      <c r="J200" s="537" t="str">
        <f>IF(ROUND(E200,0)=ROUND(SUMIFS(AN_TME_BY[[#All],[Count of Members with Claims Truncated]], AN_TME_BY[[#All],[Insurance Category Code]],3, AN_TME_BY[[#All],[Advanced Network/Insurance Carrier Org ID]],B200),0), "TRUE", ROUND(E200-SUMIFS(AN_TME_BY[[#All],[Count of Members with Claims Truncated]], AN_TME_BY[[#All],[Insurance Category Code]],3, AN_TME_BY[[#All],[Advanced Network/Insurance Carrier Org ID]],B200),2))</f>
        <v>TRUE</v>
      </c>
      <c r="K200" s="533" t="str">
        <f>IF(ROUND(F200,0)=ROUND(SUMIFS(AN_TME_BY[[#All],[TOTAL Non-Truncated Unadjusted Claims Expenses]], AN_TME_BY[[#All],[Insurance Category Code]],3, AN_TME_BY[[#All],[Advanced Network/Insurance Carrier Org ID]],B200),0), "TRUE", ROUND(F200-SUMIFS(AN_TME_BY[[#All],[TOTAL Non-Truncated Unadjusted Claims Expenses]], AN_TME_BY[[#All],[Insurance Category Code]],3, AN_TME_BY[[#All],[Advanced Network/Insurance Carrier Org ID]],B200),2))</f>
        <v>TRUE</v>
      </c>
      <c r="L200" s="534" t="str">
        <f>IF(ROUND(G200,0)=ROUND(SUMIFS(AN_TME_BY[[#All],[TOTAL Truncated Unadjusted Claims Expenses (A21 -A19)]], AN_TME_BY[[#All],[Insurance Category Code]],3, AN_TME_BY[[#All],[Advanced Network/Insurance Carrier Org ID]],B200),0), "TRUE", ROUND(G200-SUMIFS(AN_TME_BY[[#All],[TOTAL Truncated Unadjusted Claims Expenses (A21 -A19)]], AN_TME_BY[[#All],[Insurance Category Code]],3, AN_TME_BY[[#All],[Advanced Network/Insurance Carrier Org ID]],B200),2))</f>
        <v>TRUE</v>
      </c>
      <c r="M200" s="525" t="str">
        <f t="shared" si="21"/>
        <v>TRUE</v>
      </c>
      <c r="N200" s="533" t="b">
        <f>ROUND(SUMIFS(AN_TME_BY[[#All],[TOTAL Non-Truncated Unadjusted Claims Expenses]], AN_TME_BY[[#All],[Insurance Category Code]],3, AN_TME_BY[[#All],[Advanced Network/Insurance Carrier Org ID]],B200),2)&gt;=ROUND(SUMIFS(AN_TME_BY[[#All],[TOTAL Truncated Unadjusted Claims Expenses (A21 -A19)]], AN_TME_BY[[#All],[Insurance Category Code]],3, AN_TME_BY[[#All],[Advanced Network/Insurance Carrier Org ID]],B200),2)</f>
        <v>1</v>
      </c>
      <c r="O200" s="534" t="b">
        <f>ROUND(SUMIFS(AN_TME_BY[[#All],[TOTAL Truncated Unadjusted Claims Expenses (A21 -A19)]], AN_TME_BY[[#All],[Insurance Category Code]],3, AN_TME_BY[[#All],[Advanced Network/Insurance Carrier Org ID]],B200)+SUMIFS(AN_TME_BY[[#All],[Total Claims Excluded because of Truncation]], AN_TME_BY[[#All],[Insurance Category Code]],3, AN_TME_BY[[#All],[Advanced Network/Insurance Carrier Org ID]],B200),2)=ROUND(SUMIFS(AN_TME_BY[[#All],[TOTAL Non-Truncated Unadjusted Claims Expenses]], AN_TME_BY[[#All],[Insurance Category Code]],3, AN_TME_BY[[#All],[Advanced Network/Insurance Carrier Org ID]],B200), 2)</f>
        <v>1</v>
      </c>
      <c r="Q200" s="216">
        <v>103</v>
      </c>
      <c r="R200" s="404">
        <f>ROUND(SUMIFS(Age_Sex_PY[[#All],[Total Member Months by Age/Sex Band]], Age_Sex_PY[[#All],[Advanced Network ID]], $Q200, Age_Sex_PY[[#All],[Insurance Category Code]],3), 2)</f>
        <v>0</v>
      </c>
      <c r="S200" s="238">
        <f>ROUND(SUMIFS(Age_Sex_PY[[#All],[Total Dollars Excluded from Spending After Applying Truncation at the Member Level]], Age_Sex_PY[[#All],[Advanced Network ID]], $B200, Age_Sex_PY[[#All],[Insurance Category Code]],3), 2)</f>
        <v>0</v>
      </c>
      <c r="T200" s="209">
        <f>ROUND(SUMIFS(Age_Sex_PY[[#All],[Count of Members whose Spending was Truncated]], Age_Sex_PY[[#All],[Advanced Network ID]], $B200, Age_Sex_PY[[#All],[Insurance Category Code]],3),2)</f>
        <v>0</v>
      </c>
      <c r="U200" s="210">
        <f>ROUND(SUMIFS(Age_Sex_PY[[#All],[Total Spending before Truncation is Applied]], Age_Sex_PY[[#All],[Advanced Network ID]], $B200, Age_Sex_PY[[#All],[Insurance Category Code]],3),2)</f>
        <v>0</v>
      </c>
      <c r="V200" s="212">
        <f>ROUND(SUMIFS(Age_Sex_PY[[#All],[Total Spending After Applying Truncation at the Member Level]], Age_Sex_PY[[#All],[Advanced Network ID]], $B200, Age_Sex_PY[[#All],[Insurance Category Code]],3),2)</f>
        <v>0</v>
      </c>
      <c r="W200" s="525" t="str">
        <f>IF(ROUND(R200,0)=ROUND(SUMIFS(AN_TME_PY[[#All],[Member Months]], AN_TME_PY[[#All],[Insurance Category Code]],3, AN_TME_PY[[#All],[Advanced Network/Insurance Carrier Org ID]],Q200),0), "TRUE", ROUND(R200-SUMIFS(AN_TME_PY[[#All],[Member Months]], AN_TME_PY[[#All],[Insurance Category Code]],3, AN_TME_PY[[#All],[Advanced Network/Insurance Carrier Org ID]],Q200),2))</f>
        <v>TRUE</v>
      </c>
      <c r="X200" s="527" t="str">
        <f>IF(ROUND(S200,0)=ROUND(SUMIFS(AN_TME_PY[[#All],[Total Claims Excluded because of Truncation]], AN_TME_PY[[#All],[Insurance Category Code]],3, AN_TME_PY[[#All],[Advanced Network/Insurance Carrier Org ID]],Q200),0), "TRUE", ROUND(S200-SUMIFS(AN_TME_PY[[#All],[Total Claims Excluded because of Truncation]], AN_TME_PY[[#All],[Insurance Category Code]],3, AN_TME_PY[[#All],[Advanced Network/Insurance Carrier Org ID]],Q200),2))</f>
        <v>TRUE</v>
      </c>
      <c r="Y200" s="537" t="str">
        <f>IF(ROUND(T200,0)=ROUND(SUMIFS(AN_TME_PY[[#All],[Count of Members with Claims Truncated]], AN_TME_PY[[#All],[Insurance Category Code]],3, AN_TME_PY[[#All],[Advanced Network/Insurance Carrier Org ID]],Q200),0), "TRUE", ROUND(T200-SUMIFS(AN_TME_PY[[#All],[Count of Members with Claims Truncated]], AN_TME_PY[[#All],[Insurance Category Code]],3, AN_TME_PY[[#All],[Advanced Network/Insurance Carrier Org ID]],Q200),2))</f>
        <v>TRUE</v>
      </c>
      <c r="Z200" s="528" t="str">
        <f>IF(ROUND(U200,0)=ROUND(SUMIFS(AN_TME_PY[[#All],[TOTAL Non-Truncated Unadjusted Claims Expenses]], AN_TME_PY[[#All],[Insurance Category Code]],3, AN_TME_PY[[#All],[Advanced Network/Insurance Carrier Org ID]],Q200),0), "TRUE", ROUND(U200-SUMIFS(AN_TME_PY[[#All],[TOTAL Non-Truncated Unadjusted Claims Expenses]], AN_TME_PY[[#All],[Insurance Category Code]],3, AN_TME_PY[[#All],[Advanced Network/Insurance Carrier Org ID]],Q200),2))</f>
        <v>TRUE</v>
      </c>
      <c r="AA200" s="529" t="str">
        <f>IF(ROUND(V200,0)=ROUND(SUMIFS(AN_TME_PY[[#All],[TOTAL Truncated Unadjusted Claims Expenses (A21 -A19)]], AN_TME_PY[[#All],[Insurance Category Code]],3, AN_TME_PY[[#All],[Advanced Network/Insurance Carrier Org ID]],Q200),0), "TRUE", ROUND(V200-SUMIFS(AN_TME_PY[[#All],[TOTAL Truncated Unadjusted Claims Expenses (A21 -A19)]], AN_TME_PY[[#All],[Insurance Category Code]],3, AN_TME_PY[[#All],[Advanced Network/Insurance Carrier Org ID]],Q200),2))</f>
        <v>TRUE</v>
      </c>
      <c r="AB200" s="525" t="str">
        <f t="shared" si="24"/>
        <v>TRUE</v>
      </c>
      <c r="AC200" s="528" t="b">
        <f>ROUND(SUMIFS(AN_TME_PY[[#All],[TOTAL Non-Truncated Unadjusted Claims Expenses]], AN_TME_PY[[#All],[Insurance Category Code]],3, AN_TME_PY[[#All],[Advanced Network/Insurance Carrier Org ID]],Q200),2)&gt;=ROUND(SUMIFS(AN_TME_PY[[#All],[TOTAL Truncated Unadjusted Claims Expenses (A21 -A19)]], AN_TME_PY[[#All],[Insurance Category Code]],3, AN_TME_PY[[#All],[Advanced Network/Insurance Carrier Org ID]],Q200), 2)</f>
        <v>1</v>
      </c>
      <c r="AD200" s="529" t="b">
        <f>ROUND(SUMIFS(AN_TME_PY[[#All],[TOTAL Truncated Unadjusted Claims Expenses (A21 -A19)]], AN_TME_PY[[#All],[Insurance Category Code]],3, AN_TME_PY[[#All],[Advanced Network/Insurance Carrier Org ID]],Q200)+SUMIFS(AN_TME_PY[[#All],[Total Claims Excluded because of Truncation]], AN_TME_PY[[#All],[Insurance Category Code]],3, AN_TME_PY[[#All],[Advanced Network/Insurance Carrier Org ID]],Q200),2)=ROUND(SUMIFS(AN_TME_PY[[#All],[TOTAL Non-Truncated Unadjusted Claims Expenses]], AN_TME_PY[[#All],[Insurance Category Code]],3, AN_TME_PY[[#All],[Advanced Network/Insurance Carrier Org ID]],Q200),2)</f>
        <v>1</v>
      </c>
      <c r="AF200" s="283" t="str">
        <f t="shared" si="23"/>
        <v>NA</v>
      </c>
    </row>
    <row r="201" spans="2:32" outlineLevel="1" x14ac:dyDescent="0.25">
      <c r="B201" s="216">
        <v>104</v>
      </c>
      <c r="C201" s="404">
        <f>ROUND(SUMIFS(Age_Sex_BY[[#All],[Total Member Months by Age/Sex Band]], Age_Sex_BY[[#All],[Advanced Network ID]], $B201, Age_Sex_BY[[#All],[Insurance Category Code]],3),2)</f>
        <v>0</v>
      </c>
      <c r="D201" s="238">
        <f>ROUND(SUMIFS(Age_Sex_BY[[#All],[Total Dollars Excluded from Spending After Applying Truncation at the Member Level]], Age_Sex_BY[[#All],[Advanced Network ID]], $B201, Age_Sex_BY[[#All],[Insurance Category Code]],3),2)</f>
        <v>0</v>
      </c>
      <c r="E201" s="209">
        <f>ROUND(SUMIFS(Age_Sex_BY[[#All],[Count of Members whose Spending was Truncated]], Age_Sex_BY[[#All],[Advanced Network ID]], $B201, Age_Sex_BY[[#All],[Insurance Category Code]],3),2)</f>
        <v>0</v>
      </c>
      <c r="F201" s="210">
        <f>ROUND(SUMIFS(Age_Sex_BY[[#All],[Total Spending before Truncation is Applied]], Age_Sex_BY[[#All],[Advanced Network ID]], $B201, Age_Sex_BY[[#All],[Insurance Category Code]],3),2)</f>
        <v>0</v>
      </c>
      <c r="G201" s="212">
        <f>ROUND(SUMIFS(Age_Sex_BY[[#All],[Total Spending After Applying Truncation at the Member Level]], Age_Sex_BY[[#All],[Advanced Network ID]], $B201, Age_Sex_BY[[#All],[Insurance Category Code]],3), 2)</f>
        <v>0</v>
      </c>
      <c r="H201" s="525" t="str">
        <f>IF(ROUND(C201,0)=ROUND(SUMIFS(AN_TME_BY[[#All],[Member Months]], AN_TME_BY[[#All],[Insurance Category Code]],3, AN_TME_BY[[#All],[Advanced Network/Insurance Carrier Org ID]],B201),0), "TRUE", ROUND(C201-SUMIFS(AN_TME_BY[[#All],[Member Months]], AN_TME_BY[[#All],[Insurance Category Code]],3, AN_TME_BY[[#All],[Advanced Network/Insurance Carrier Org ID]],B201),2))</f>
        <v>TRUE</v>
      </c>
      <c r="I201" s="533" t="str">
        <f>IF(ROUND(D201,0)=ROUND(SUMIFS(AN_TME_BY[[#All],[Total Claims Excluded because of Truncation]], AN_TME_BY[[#All],[Insurance Category Code]],3, AN_TME_BY[[#All],[Advanced Network/Insurance Carrier Org ID]],B201),0), "TRUE", ROUND(D201-SUMIFS(AN_TME_BY[[#All],[Total Claims Excluded because of Truncation]], AN_TME_BY[[#All],[Insurance Category Code]],3, AN_TME_BY[[#All],[Advanced Network/Insurance Carrier Org ID]],B201),2))</f>
        <v>TRUE</v>
      </c>
      <c r="J201" s="537" t="str">
        <f>IF(ROUND(E201,0)=ROUND(SUMIFS(AN_TME_BY[[#All],[Count of Members with Claims Truncated]], AN_TME_BY[[#All],[Insurance Category Code]],3, AN_TME_BY[[#All],[Advanced Network/Insurance Carrier Org ID]],B201),0), "TRUE", ROUND(E201-SUMIFS(AN_TME_BY[[#All],[Count of Members with Claims Truncated]], AN_TME_BY[[#All],[Insurance Category Code]],3, AN_TME_BY[[#All],[Advanced Network/Insurance Carrier Org ID]],B201),2))</f>
        <v>TRUE</v>
      </c>
      <c r="K201" s="533" t="str">
        <f>IF(ROUND(F201,0)=ROUND(SUMIFS(AN_TME_BY[[#All],[TOTAL Non-Truncated Unadjusted Claims Expenses]], AN_TME_BY[[#All],[Insurance Category Code]],3, AN_TME_BY[[#All],[Advanced Network/Insurance Carrier Org ID]],B201),0), "TRUE", ROUND(F201-SUMIFS(AN_TME_BY[[#All],[TOTAL Non-Truncated Unadjusted Claims Expenses]], AN_TME_BY[[#All],[Insurance Category Code]],3, AN_TME_BY[[#All],[Advanced Network/Insurance Carrier Org ID]],B201),2))</f>
        <v>TRUE</v>
      </c>
      <c r="L201" s="534" t="str">
        <f>IF(ROUND(G201,0)=ROUND(SUMIFS(AN_TME_BY[[#All],[TOTAL Truncated Unadjusted Claims Expenses (A21 -A19)]], AN_TME_BY[[#All],[Insurance Category Code]],3, AN_TME_BY[[#All],[Advanced Network/Insurance Carrier Org ID]],B201),0), "TRUE", ROUND(G201-SUMIFS(AN_TME_BY[[#All],[TOTAL Truncated Unadjusted Claims Expenses (A21 -A19)]], AN_TME_BY[[#All],[Insurance Category Code]],3, AN_TME_BY[[#All],[Advanced Network/Insurance Carrier Org ID]],B201),2))</f>
        <v>TRUE</v>
      </c>
      <c r="M201" s="525" t="str">
        <f t="shared" si="21"/>
        <v>TRUE</v>
      </c>
      <c r="N201" s="533" t="b">
        <f>ROUND(SUMIFS(AN_TME_BY[[#All],[TOTAL Non-Truncated Unadjusted Claims Expenses]], AN_TME_BY[[#All],[Insurance Category Code]],3, AN_TME_BY[[#All],[Advanced Network/Insurance Carrier Org ID]],B201),2)&gt;=ROUND(SUMIFS(AN_TME_BY[[#All],[TOTAL Truncated Unadjusted Claims Expenses (A21 -A19)]], AN_TME_BY[[#All],[Insurance Category Code]],3, AN_TME_BY[[#All],[Advanced Network/Insurance Carrier Org ID]],B201),2)</f>
        <v>1</v>
      </c>
      <c r="O201" s="534" t="b">
        <f>ROUND(SUMIFS(AN_TME_BY[[#All],[TOTAL Truncated Unadjusted Claims Expenses (A21 -A19)]], AN_TME_BY[[#All],[Insurance Category Code]],3, AN_TME_BY[[#All],[Advanced Network/Insurance Carrier Org ID]],B201)+SUMIFS(AN_TME_BY[[#All],[Total Claims Excluded because of Truncation]], AN_TME_BY[[#All],[Insurance Category Code]],3, AN_TME_BY[[#All],[Advanced Network/Insurance Carrier Org ID]],B201),2)=ROUND(SUMIFS(AN_TME_BY[[#All],[TOTAL Non-Truncated Unadjusted Claims Expenses]], AN_TME_BY[[#All],[Insurance Category Code]],3, AN_TME_BY[[#All],[Advanced Network/Insurance Carrier Org ID]],B201), 2)</f>
        <v>1</v>
      </c>
      <c r="Q201" s="216">
        <v>104</v>
      </c>
      <c r="R201" s="404">
        <f>ROUND(SUMIFS(Age_Sex_PY[[#All],[Total Member Months by Age/Sex Band]], Age_Sex_PY[[#All],[Advanced Network ID]], $Q201, Age_Sex_PY[[#All],[Insurance Category Code]],3), 2)</f>
        <v>0</v>
      </c>
      <c r="S201" s="238">
        <f>ROUND(SUMIFS(Age_Sex_PY[[#All],[Total Dollars Excluded from Spending After Applying Truncation at the Member Level]], Age_Sex_PY[[#All],[Advanced Network ID]], $B201, Age_Sex_PY[[#All],[Insurance Category Code]],3), 2)</f>
        <v>0</v>
      </c>
      <c r="T201" s="209">
        <f>ROUND(SUMIFS(Age_Sex_PY[[#All],[Count of Members whose Spending was Truncated]], Age_Sex_PY[[#All],[Advanced Network ID]], $B201, Age_Sex_PY[[#All],[Insurance Category Code]],3),2)</f>
        <v>0</v>
      </c>
      <c r="U201" s="210">
        <f>ROUND(SUMIFS(Age_Sex_PY[[#All],[Total Spending before Truncation is Applied]], Age_Sex_PY[[#All],[Advanced Network ID]], $B201, Age_Sex_PY[[#All],[Insurance Category Code]],3),2)</f>
        <v>0</v>
      </c>
      <c r="V201" s="212">
        <f>ROUND(SUMIFS(Age_Sex_PY[[#All],[Total Spending After Applying Truncation at the Member Level]], Age_Sex_PY[[#All],[Advanced Network ID]], $B201, Age_Sex_PY[[#All],[Insurance Category Code]],3),2)</f>
        <v>0</v>
      </c>
      <c r="W201" s="525" t="str">
        <f>IF(ROUND(R201,0)=ROUND(SUMIFS(AN_TME_PY[[#All],[Member Months]], AN_TME_PY[[#All],[Insurance Category Code]],3, AN_TME_PY[[#All],[Advanced Network/Insurance Carrier Org ID]],Q201),0), "TRUE", ROUND(R201-SUMIFS(AN_TME_PY[[#All],[Member Months]], AN_TME_PY[[#All],[Insurance Category Code]],3, AN_TME_PY[[#All],[Advanced Network/Insurance Carrier Org ID]],Q201),2))</f>
        <v>TRUE</v>
      </c>
      <c r="X201" s="527" t="str">
        <f>IF(ROUND(S201,0)=ROUND(SUMIFS(AN_TME_PY[[#All],[Total Claims Excluded because of Truncation]], AN_TME_PY[[#All],[Insurance Category Code]],3, AN_TME_PY[[#All],[Advanced Network/Insurance Carrier Org ID]],Q201),0), "TRUE", ROUND(S201-SUMIFS(AN_TME_PY[[#All],[Total Claims Excluded because of Truncation]], AN_TME_PY[[#All],[Insurance Category Code]],3, AN_TME_PY[[#All],[Advanced Network/Insurance Carrier Org ID]],Q201),2))</f>
        <v>TRUE</v>
      </c>
      <c r="Y201" s="537" t="str">
        <f>IF(ROUND(T201,0)=ROUND(SUMIFS(AN_TME_PY[[#All],[Count of Members with Claims Truncated]], AN_TME_PY[[#All],[Insurance Category Code]],3, AN_TME_PY[[#All],[Advanced Network/Insurance Carrier Org ID]],Q201),0), "TRUE", ROUND(T201-SUMIFS(AN_TME_PY[[#All],[Count of Members with Claims Truncated]], AN_TME_PY[[#All],[Insurance Category Code]],3, AN_TME_PY[[#All],[Advanced Network/Insurance Carrier Org ID]],Q201),2))</f>
        <v>TRUE</v>
      </c>
      <c r="Z201" s="528" t="str">
        <f>IF(ROUND(U201,0)=ROUND(SUMIFS(AN_TME_PY[[#All],[TOTAL Non-Truncated Unadjusted Claims Expenses]], AN_TME_PY[[#All],[Insurance Category Code]],3, AN_TME_PY[[#All],[Advanced Network/Insurance Carrier Org ID]],Q201),0), "TRUE", ROUND(U201-SUMIFS(AN_TME_PY[[#All],[TOTAL Non-Truncated Unadjusted Claims Expenses]], AN_TME_PY[[#All],[Insurance Category Code]],3, AN_TME_PY[[#All],[Advanced Network/Insurance Carrier Org ID]],Q201),2))</f>
        <v>TRUE</v>
      </c>
      <c r="AA201" s="529" t="str">
        <f>IF(ROUND(V201,0)=ROUND(SUMIFS(AN_TME_PY[[#All],[TOTAL Truncated Unadjusted Claims Expenses (A21 -A19)]], AN_TME_PY[[#All],[Insurance Category Code]],3, AN_TME_PY[[#All],[Advanced Network/Insurance Carrier Org ID]],Q201),0), "TRUE", ROUND(V201-SUMIFS(AN_TME_PY[[#All],[TOTAL Truncated Unadjusted Claims Expenses (A21 -A19)]], AN_TME_PY[[#All],[Insurance Category Code]],3, AN_TME_PY[[#All],[Advanced Network/Insurance Carrier Org ID]],Q201),2))</f>
        <v>TRUE</v>
      </c>
      <c r="AB201" s="525" t="str">
        <f t="shared" si="24"/>
        <v>TRUE</v>
      </c>
      <c r="AC201" s="528" t="b">
        <f>ROUND(SUMIFS(AN_TME_PY[[#All],[TOTAL Non-Truncated Unadjusted Claims Expenses]], AN_TME_PY[[#All],[Insurance Category Code]],3, AN_TME_PY[[#All],[Advanced Network/Insurance Carrier Org ID]],Q201),2)&gt;=ROUND(SUMIFS(AN_TME_PY[[#All],[TOTAL Truncated Unadjusted Claims Expenses (A21 -A19)]], AN_TME_PY[[#All],[Insurance Category Code]],3, AN_TME_PY[[#All],[Advanced Network/Insurance Carrier Org ID]],Q201), 2)</f>
        <v>1</v>
      </c>
      <c r="AD201" s="529" t="b">
        <f>ROUND(SUMIFS(AN_TME_PY[[#All],[TOTAL Truncated Unadjusted Claims Expenses (A21 -A19)]], AN_TME_PY[[#All],[Insurance Category Code]],3, AN_TME_PY[[#All],[Advanced Network/Insurance Carrier Org ID]],Q201)+SUMIFS(AN_TME_PY[[#All],[Total Claims Excluded because of Truncation]], AN_TME_PY[[#All],[Insurance Category Code]],3, AN_TME_PY[[#All],[Advanced Network/Insurance Carrier Org ID]],Q201),2)=ROUND(SUMIFS(AN_TME_PY[[#All],[TOTAL Non-Truncated Unadjusted Claims Expenses]], AN_TME_PY[[#All],[Insurance Category Code]],3, AN_TME_PY[[#All],[Advanced Network/Insurance Carrier Org ID]],Q201),2)</f>
        <v>1</v>
      </c>
      <c r="AF201" s="283" t="str">
        <f t="shared" si="23"/>
        <v>NA</v>
      </c>
    </row>
    <row r="202" spans="2:32" outlineLevel="1" x14ac:dyDescent="0.25">
      <c r="B202" s="216">
        <v>105</v>
      </c>
      <c r="C202" s="404">
        <f>ROUND(SUMIFS(Age_Sex_BY[[#All],[Total Member Months by Age/Sex Band]], Age_Sex_BY[[#All],[Advanced Network ID]], $B202, Age_Sex_BY[[#All],[Insurance Category Code]],3),2)</f>
        <v>0</v>
      </c>
      <c r="D202" s="238">
        <f>ROUND(SUMIFS(Age_Sex_BY[[#All],[Total Dollars Excluded from Spending After Applying Truncation at the Member Level]], Age_Sex_BY[[#All],[Advanced Network ID]], $B202, Age_Sex_BY[[#All],[Insurance Category Code]],3),2)</f>
        <v>0</v>
      </c>
      <c r="E202" s="209">
        <f>ROUND(SUMIFS(Age_Sex_BY[[#All],[Count of Members whose Spending was Truncated]], Age_Sex_BY[[#All],[Advanced Network ID]], $B202, Age_Sex_BY[[#All],[Insurance Category Code]],3),2)</f>
        <v>0</v>
      </c>
      <c r="F202" s="210">
        <f>ROUND(SUMIFS(Age_Sex_BY[[#All],[Total Spending before Truncation is Applied]], Age_Sex_BY[[#All],[Advanced Network ID]], $B202, Age_Sex_BY[[#All],[Insurance Category Code]],3),2)</f>
        <v>0</v>
      </c>
      <c r="G202" s="212">
        <f>ROUND(SUMIFS(Age_Sex_BY[[#All],[Total Spending After Applying Truncation at the Member Level]], Age_Sex_BY[[#All],[Advanced Network ID]], $B202, Age_Sex_BY[[#All],[Insurance Category Code]],3), 2)</f>
        <v>0</v>
      </c>
      <c r="H202" s="525" t="str">
        <f>IF(ROUND(C202,0)=ROUND(SUMIFS(AN_TME_BY[[#All],[Member Months]], AN_TME_BY[[#All],[Insurance Category Code]],3, AN_TME_BY[[#All],[Advanced Network/Insurance Carrier Org ID]],B202),0), "TRUE", ROUND(C202-SUMIFS(AN_TME_BY[[#All],[Member Months]], AN_TME_BY[[#All],[Insurance Category Code]],3, AN_TME_BY[[#All],[Advanced Network/Insurance Carrier Org ID]],B202),2))</f>
        <v>TRUE</v>
      </c>
      <c r="I202" s="533" t="str">
        <f>IF(ROUND(D202,0)=ROUND(SUMIFS(AN_TME_BY[[#All],[Total Claims Excluded because of Truncation]], AN_TME_BY[[#All],[Insurance Category Code]],3, AN_TME_BY[[#All],[Advanced Network/Insurance Carrier Org ID]],B202),0), "TRUE", ROUND(D202-SUMIFS(AN_TME_BY[[#All],[Total Claims Excluded because of Truncation]], AN_TME_BY[[#All],[Insurance Category Code]],3, AN_TME_BY[[#All],[Advanced Network/Insurance Carrier Org ID]],B202),2))</f>
        <v>TRUE</v>
      </c>
      <c r="J202" s="537" t="str">
        <f>IF(ROUND(E202,0)=ROUND(SUMIFS(AN_TME_BY[[#All],[Count of Members with Claims Truncated]], AN_TME_BY[[#All],[Insurance Category Code]],3, AN_TME_BY[[#All],[Advanced Network/Insurance Carrier Org ID]],B202),0), "TRUE", ROUND(E202-SUMIFS(AN_TME_BY[[#All],[Count of Members with Claims Truncated]], AN_TME_BY[[#All],[Insurance Category Code]],3, AN_TME_BY[[#All],[Advanced Network/Insurance Carrier Org ID]],B202),2))</f>
        <v>TRUE</v>
      </c>
      <c r="K202" s="533" t="str">
        <f>IF(ROUND(F202,0)=ROUND(SUMIFS(AN_TME_BY[[#All],[TOTAL Non-Truncated Unadjusted Claims Expenses]], AN_TME_BY[[#All],[Insurance Category Code]],3, AN_TME_BY[[#All],[Advanced Network/Insurance Carrier Org ID]],B202),0), "TRUE", ROUND(F202-SUMIFS(AN_TME_BY[[#All],[TOTAL Non-Truncated Unadjusted Claims Expenses]], AN_TME_BY[[#All],[Insurance Category Code]],3, AN_TME_BY[[#All],[Advanced Network/Insurance Carrier Org ID]],B202),2))</f>
        <v>TRUE</v>
      </c>
      <c r="L202" s="534" t="str">
        <f>IF(ROUND(G202,0)=ROUND(SUMIFS(AN_TME_BY[[#All],[TOTAL Truncated Unadjusted Claims Expenses (A21 -A19)]], AN_TME_BY[[#All],[Insurance Category Code]],3, AN_TME_BY[[#All],[Advanced Network/Insurance Carrier Org ID]],B202),0), "TRUE", ROUND(G202-SUMIFS(AN_TME_BY[[#All],[TOTAL Truncated Unadjusted Claims Expenses (A21 -A19)]], AN_TME_BY[[#All],[Insurance Category Code]],3, AN_TME_BY[[#All],[Advanced Network/Insurance Carrier Org ID]],B202),2))</f>
        <v>TRUE</v>
      </c>
      <c r="M202" s="525" t="str">
        <f t="shared" si="21"/>
        <v>TRUE</v>
      </c>
      <c r="N202" s="533" t="b">
        <f>ROUND(SUMIFS(AN_TME_BY[[#All],[TOTAL Non-Truncated Unadjusted Claims Expenses]], AN_TME_BY[[#All],[Insurance Category Code]],3, AN_TME_BY[[#All],[Advanced Network/Insurance Carrier Org ID]],B202),2)&gt;=ROUND(SUMIFS(AN_TME_BY[[#All],[TOTAL Truncated Unadjusted Claims Expenses (A21 -A19)]], AN_TME_BY[[#All],[Insurance Category Code]],3, AN_TME_BY[[#All],[Advanced Network/Insurance Carrier Org ID]],B202),2)</f>
        <v>1</v>
      </c>
      <c r="O202" s="534" t="b">
        <f>ROUND(SUMIFS(AN_TME_BY[[#All],[TOTAL Truncated Unadjusted Claims Expenses (A21 -A19)]], AN_TME_BY[[#All],[Insurance Category Code]],3, AN_TME_BY[[#All],[Advanced Network/Insurance Carrier Org ID]],B202)+SUMIFS(AN_TME_BY[[#All],[Total Claims Excluded because of Truncation]], AN_TME_BY[[#All],[Insurance Category Code]],3, AN_TME_BY[[#All],[Advanced Network/Insurance Carrier Org ID]],B202),2)=ROUND(SUMIFS(AN_TME_BY[[#All],[TOTAL Non-Truncated Unadjusted Claims Expenses]], AN_TME_BY[[#All],[Insurance Category Code]],3, AN_TME_BY[[#All],[Advanced Network/Insurance Carrier Org ID]],B202), 2)</f>
        <v>1</v>
      </c>
      <c r="Q202" s="216">
        <v>105</v>
      </c>
      <c r="R202" s="404">
        <f>ROUND(SUMIFS(Age_Sex_PY[[#All],[Total Member Months by Age/Sex Band]], Age_Sex_PY[[#All],[Advanced Network ID]], $Q202, Age_Sex_PY[[#All],[Insurance Category Code]],3), 2)</f>
        <v>0</v>
      </c>
      <c r="S202" s="238">
        <f>ROUND(SUMIFS(Age_Sex_PY[[#All],[Total Dollars Excluded from Spending After Applying Truncation at the Member Level]], Age_Sex_PY[[#All],[Advanced Network ID]], $B202, Age_Sex_PY[[#All],[Insurance Category Code]],3), 2)</f>
        <v>0</v>
      </c>
      <c r="T202" s="209">
        <f>ROUND(SUMIFS(Age_Sex_PY[[#All],[Count of Members whose Spending was Truncated]], Age_Sex_PY[[#All],[Advanced Network ID]], $B202, Age_Sex_PY[[#All],[Insurance Category Code]],3),2)</f>
        <v>0</v>
      </c>
      <c r="U202" s="210">
        <f>ROUND(SUMIFS(Age_Sex_PY[[#All],[Total Spending before Truncation is Applied]], Age_Sex_PY[[#All],[Advanced Network ID]], $B202, Age_Sex_PY[[#All],[Insurance Category Code]],3),2)</f>
        <v>0</v>
      </c>
      <c r="V202" s="212">
        <f>ROUND(SUMIFS(Age_Sex_PY[[#All],[Total Spending After Applying Truncation at the Member Level]], Age_Sex_PY[[#All],[Advanced Network ID]], $B202, Age_Sex_PY[[#All],[Insurance Category Code]],3),2)</f>
        <v>0</v>
      </c>
      <c r="W202" s="525" t="str">
        <f>IF(ROUND(R202,0)=ROUND(SUMIFS(AN_TME_PY[[#All],[Member Months]], AN_TME_PY[[#All],[Insurance Category Code]],3, AN_TME_PY[[#All],[Advanced Network/Insurance Carrier Org ID]],Q202),0), "TRUE", ROUND(R202-SUMIFS(AN_TME_PY[[#All],[Member Months]], AN_TME_PY[[#All],[Insurance Category Code]],3, AN_TME_PY[[#All],[Advanced Network/Insurance Carrier Org ID]],Q202),2))</f>
        <v>TRUE</v>
      </c>
      <c r="X202" s="527" t="str">
        <f>IF(ROUND(S202,0)=ROUND(SUMIFS(AN_TME_PY[[#All],[Total Claims Excluded because of Truncation]], AN_TME_PY[[#All],[Insurance Category Code]],3, AN_TME_PY[[#All],[Advanced Network/Insurance Carrier Org ID]],Q202),0), "TRUE", ROUND(S202-SUMIFS(AN_TME_PY[[#All],[Total Claims Excluded because of Truncation]], AN_TME_PY[[#All],[Insurance Category Code]],3, AN_TME_PY[[#All],[Advanced Network/Insurance Carrier Org ID]],Q202),2))</f>
        <v>TRUE</v>
      </c>
      <c r="Y202" s="537" t="str">
        <f>IF(ROUND(T202,0)=ROUND(SUMIFS(AN_TME_PY[[#All],[Count of Members with Claims Truncated]], AN_TME_PY[[#All],[Insurance Category Code]],3, AN_TME_PY[[#All],[Advanced Network/Insurance Carrier Org ID]],Q202),0), "TRUE", ROUND(T202-SUMIFS(AN_TME_PY[[#All],[Count of Members with Claims Truncated]], AN_TME_PY[[#All],[Insurance Category Code]],3, AN_TME_PY[[#All],[Advanced Network/Insurance Carrier Org ID]],Q202),2))</f>
        <v>TRUE</v>
      </c>
      <c r="Z202" s="528" t="str">
        <f>IF(ROUND(U202,0)=ROUND(SUMIFS(AN_TME_PY[[#All],[TOTAL Non-Truncated Unadjusted Claims Expenses]], AN_TME_PY[[#All],[Insurance Category Code]],3, AN_TME_PY[[#All],[Advanced Network/Insurance Carrier Org ID]],Q202),0), "TRUE", ROUND(U202-SUMIFS(AN_TME_PY[[#All],[TOTAL Non-Truncated Unadjusted Claims Expenses]], AN_TME_PY[[#All],[Insurance Category Code]],3, AN_TME_PY[[#All],[Advanced Network/Insurance Carrier Org ID]],Q202),2))</f>
        <v>TRUE</v>
      </c>
      <c r="AA202" s="529" t="str">
        <f>IF(ROUND(V202,0)=ROUND(SUMIFS(AN_TME_PY[[#All],[TOTAL Truncated Unadjusted Claims Expenses (A21 -A19)]], AN_TME_PY[[#All],[Insurance Category Code]],3, AN_TME_PY[[#All],[Advanced Network/Insurance Carrier Org ID]],Q202),0), "TRUE", ROUND(V202-SUMIFS(AN_TME_PY[[#All],[TOTAL Truncated Unadjusted Claims Expenses (A21 -A19)]], AN_TME_PY[[#All],[Insurance Category Code]],3, AN_TME_PY[[#All],[Advanced Network/Insurance Carrier Org ID]],Q202),2))</f>
        <v>TRUE</v>
      </c>
      <c r="AB202" s="525" t="str">
        <f t="shared" si="24"/>
        <v>TRUE</v>
      </c>
      <c r="AC202" s="528" t="b">
        <f>ROUND(SUMIFS(AN_TME_PY[[#All],[TOTAL Non-Truncated Unadjusted Claims Expenses]], AN_TME_PY[[#All],[Insurance Category Code]],3, AN_TME_PY[[#All],[Advanced Network/Insurance Carrier Org ID]],Q202),2)&gt;=ROUND(SUMIFS(AN_TME_PY[[#All],[TOTAL Truncated Unadjusted Claims Expenses (A21 -A19)]], AN_TME_PY[[#All],[Insurance Category Code]],3, AN_TME_PY[[#All],[Advanced Network/Insurance Carrier Org ID]],Q202), 2)</f>
        <v>1</v>
      </c>
      <c r="AD202" s="529" t="b">
        <f>ROUND(SUMIFS(AN_TME_PY[[#All],[TOTAL Truncated Unadjusted Claims Expenses (A21 -A19)]], AN_TME_PY[[#All],[Insurance Category Code]],3, AN_TME_PY[[#All],[Advanced Network/Insurance Carrier Org ID]],Q202)+SUMIFS(AN_TME_PY[[#All],[Total Claims Excluded because of Truncation]], AN_TME_PY[[#All],[Insurance Category Code]],3, AN_TME_PY[[#All],[Advanced Network/Insurance Carrier Org ID]],Q202),2)=ROUND(SUMIFS(AN_TME_PY[[#All],[TOTAL Non-Truncated Unadjusted Claims Expenses]], AN_TME_PY[[#All],[Insurance Category Code]],3, AN_TME_PY[[#All],[Advanced Network/Insurance Carrier Org ID]],Q202),2)</f>
        <v>1</v>
      </c>
      <c r="AF202" s="283" t="str">
        <f t="shared" si="23"/>
        <v>NA</v>
      </c>
    </row>
    <row r="203" spans="2:32" outlineLevel="1" x14ac:dyDescent="0.25">
      <c r="B203" s="216">
        <v>106</v>
      </c>
      <c r="C203" s="404">
        <f>ROUND(SUMIFS(Age_Sex_BY[[#All],[Total Member Months by Age/Sex Band]], Age_Sex_BY[[#All],[Advanced Network ID]], $B203, Age_Sex_BY[[#All],[Insurance Category Code]],3),2)</f>
        <v>0</v>
      </c>
      <c r="D203" s="238">
        <f>ROUND(SUMIFS(Age_Sex_BY[[#All],[Total Dollars Excluded from Spending After Applying Truncation at the Member Level]], Age_Sex_BY[[#All],[Advanced Network ID]], $B203, Age_Sex_BY[[#All],[Insurance Category Code]],3),2)</f>
        <v>0</v>
      </c>
      <c r="E203" s="209">
        <f>ROUND(SUMIFS(Age_Sex_BY[[#All],[Count of Members whose Spending was Truncated]], Age_Sex_BY[[#All],[Advanced Network ID]], $B203, Age_Sex_BY[[#All],[Insurance Category Code]],3),2)</f>
        <v>0</v>
      </c>
      <c r="F203" s="210">
        <f>ROUND(SUMIFS(Age_Sex_BY[[#All],[Total Spending before Truncation is Applied]], Age_Sex_BY[[#All],[Advanced Network ID]], $B203, Age_Sex_BY[[#All],[Insurance Category Code]],3),2)</f>
        <v>0</v>
      </c>
      <c r="G203" s="212">
        <f>ROUND(SUMIFS(Age_Sex_BY[[#All],[Total Spending After Applying Truncation at the Member Level]], Age_Sex_BY[[#All],[Advanced Network ID]], $B203, Age_Sex_BY[[#All],[Insurance Category Code]],3), 2)</f>
        <v>0</v>
      </c>
      <c r="H203" s="525" t="str">
        <f>IF(ROUND(C203,0)=ROUND(SUMIFS(AN_TME_BY[[#All],[Member Months]], AN_TME_BY[[#All],[Insurance Category Code]],3, AN_TME_BY[[#All],[Advanced Network/Insurance Carrier Org ID]],B203),0), "TRUE", ROUND(C203-SUMIFS(AN_TME_BY[[#All],[Member Months]], AN_TME_BY[[#All],[Insurance Category Code]],3, AN_TME_BY[[#All],[Advanced Network/Insurance Carrier Org ID]],B203),2))</f>
        <v>TRUE</v>
      </c>
      <c r="I203" s="533" t="str">
        <f>IF(ROUND(D203,0)=ROUND(SUMIFS(AN_TME_BY[[#All],[Total Claims Excluded because of Truncation]], AN_TME_BY[[#All],[Insurance Category Code]],3, AN_TME_BY[[#All],[Advanced Network/Insurance Carrier Org ID]],B203),0), "TRUE", ROUND(D203-SUMIFS(AN_TME_BY[[#All],[Total Claims Excluded because of Truncation]], AN_TME_BY[[#All],[Insurance Category Code]],3, AN_TME_BY[[#All],[Advanced Network/Insurance Carrier Org ID]],B203),2))</f>
        <v>TRUE</v>
      </c>
      <c r="J203" s="537" t="str">
        <f>IF(ROUND(E203,0)=ROUND(SUMIFS(AN_TME_BY[[#All],[Count of Members with Claims Truncated]], AN_TME_BY[[#All],[Insurance Category Code]],3, AN_TME_BY[[#All],[Advanced Network/Insurance Carrier Org ID]],B203),0), "TRUE", ROUND(E203-SUMIFS(AN_TME_BY[[#All],[Count of Members with Claims Truncated]], AN_TME_BY[[#All],[Insurance Category Code]],3, AN_TME_BY[[#All],[Advanced Network/Insurance Carrier Org ID]],B203),2))</f>
        <v>TRUE</v>
      </c>
      <c r="K203" s="533" t="str">
        <f>IF(ROUND(F203,0)=ROUND(SUMIFS(AN_TME_BY[[#All],[TOTAL Non-Truncated Unadjusted Claims Expenses]], AN_TME_BY[[#All],[Insurance Category Code]],3, AN_TME_BY[[#All],[Advanced Network/Insurance Carrier Org ID]],B203),0), "TRUE", ROUND(F203-SUMIFS(AN_TME_BY[[#All],[TOTAL Non-Truncated Unadjusted Claims Expenses]], AN_TME_BY[[#All],[Insurance Category Code]],3, AN_TME_BY[[#All],[Advanced Network/Insurance Carrier Org ID]],B203),2))</f>
        <v>TRUE</v>
      </c>
      <c r="L203" s="534" t="str">
        <f>IF(ROUND(G203,0)=ROUND(SUMIFS(AN_TME_BY[[#All],[TOTAL Truncated Unadjusted Claims Expenses (A21 -A19)]], AN_TME_BY[[#All],[Insurance Category Code]],3, AN_TME_BY[[#All],[Advanced Network/Insurance Carrier Org ID]],B203),0), "TRUE", ROUND(G203-SUMIFS(AN_TME_BY[[#All],[TOTAL Truncated Unadjusted Claims Expenses (A21 -A19)]], AN_TME_BY[[#All],[Insurance Category Code]],3, AN_TME_BY[[#All],[Advanced Network/Insurance Carrier Org ID]],B203),2))</f>
        <v>TRUE</v>
      </c>
      <c r="M203" s="525" t="str">
        <f t="shared" si="21"/>
        <v>TRUE</v>
      </c>
      <c r="N203" s="533" t="b">
        <f>ROUND(SUMIFS(AN_TME_BY[[#All],[TOTAL Non-Truncated Unadjusted Claims Expenses]], AN_TME_BY[[#All],[Insurance Category Code]],3, AN_TME_BY[[#All],[Advanced Network/Insurance Carrier Org ID]],B203),2)&gt;=ROUND(SUMIFS(AN_TME_BY[[#All],[TOTAL Truncated Unadjusted Claims Expenses (A21 -A19)]], AN_TME_BY[[#All],[Insurance Category Code]],3, AN_TME_BY[[#All],[Advanced Network/Insurance Carrier Org ID]],B203),2)</f>
        <v>1</v>
      </c>
      <c r="O203" s="534" t="b">
        <f>ROUND(SUMIFS(AN_TME_BY[[#All],[TOTAL Truncated Unadjusted Claims Expenses (A21 -A19)]], AN_TME_BY[[#All],[Insurance Category Code]],3, AN_TME_BY[[#All],[Advanced Network/Insurance Carrier Org ID]],B203)+SUMIFS(AN_TME_BY[[#All],[Total Claims Excluded because of Truncation]], AN_TME_BY[[#All],[Insurance Category Code]],3, AN_TME_BY[[#All],[Advanced Network/Insurance Carrier Org ID]],B203),2)=ROUND(SUMIFS(AN_TME_BY[[#All],[TOTAL Non-Truncated Unadjusted Claims Expenses]], AN_TME_BY[[#All],[Insurance Category Code]],3, AN_TME_BY[[#All],[Advanced Network/Insurance Carrier Org ID]],B203), 2)</f>
        <v>1</v>
      </c>
      <c r="Q203" s="216">
        <v>106</v>
      </c>
      <c r="R203" s="404">
        <f>ROUND(SUMIFS(Age_Sex_PY[[#All],[Total Member Months by Age/Sex Band]], Age_Sex_PY[[#All],[Advanced Network ID]], $Q203, Age_Sex_PY[[#All],[Insurance Category Code]],3), 2)</f>
        <v>0</v>
      </c>
      <c r="S203" s="238">
        <f>ROUND(SUMIFS(Age_Sex_PY[[#All],[Total Dollars Excluded from Spending After Applying Truncation at the Member Level]], Age_Sex_PY[[#All],[Advanced Network ID]], $B203, Age_Sex_PY[[#All],[Insurance Category Code]],3), 2)</f>
        <v>0</v>
      </c>
      <c r="T203" s="209">
        <f>ROUND(SUMIFS(Age_Sex_PY[[#All],[Count of Members whose Spending was Truncated]], Age_Sex_PY[[#All],[Advanced Network ID]], $B203, Age_Sex_PY[[#All],[Insurance Category Code]],3),2)</f>
        <v>0</v>
      </c>
      <c r="U203" s="210">
        <f>ROUND(SUMIFS(Age_Sex_PY[[#All],[Total Spending before Truncation is Applied]], Age_Sex_PY[[#All],[Advanced Network ID]], $B203, Age_Sex_PY[[#All],[Insurance Category Code]],3),2)</f>
        <v>0</v>
      </c>
      <c r="V203" s="212">
        <f>ROUND(SUMIFS(Age_Sex_PY[[#All],[Total Spending After Applying Truncation at the Member Level]], Age_Sex_PY[[#All],[Advanced Network ID]], $B203, Age_Sex_PY[[#All],[Insurance Category Code]],3),2)</f>
        <v>0</v>
      </c>
      <c r="W203" s="525" t="str">
        <f>IF(ROUND(R203,0)=ROUND(SUMIFS(AN_TME_PY[[#All],[Member Months]], AN_TME_PY[[#All],[Insurance Category Code]],3, AN_TME_PY[[#All],[Advanced Network/Insurance Carrier Org ID]],Q203),0), "TRUE", ROUND(R203-SUMIFS(AN_TME_PY[[#All],[Member Months]], AN_TME_PY[[#All],[Insurance Category Code]],3, AN_TME_PY[[#All],[Advanced Network/Insurance Carrier Org ID]],Q203),2))</f>
        <v>TRUE</v>
      </c>
      <c r="X203" s="527" t="str">
        <f>IF(ROUND(S203,0)=ROUND(SUMIFS(AN_TME_PY[[#All],[Total Claims Excluded because of Truncation]], AN_TME_PY[[#All],[Insurance Category Code]],3, AN_TME_PY[[#All],[Advanced Network/Insurance Carrier Org ID]],Q203),0), "TRUE", ROUND(S203-SUMIFS(AN_TME_PY[[#All],[Total Claims Excluded because of Truncation]], AN_TME_PY[[#All],[Insurance Category Code]],3, AN_TME_PY[[#All],[Advanced Network/Insurance Carrier Org ID]],Q203),2))</f>
        <v>TRUE</v>
      </c>
      <c r="Y203" s="537" t="str">
        <f>IF(ROUND(T203,0)=ROUND(SUMIFS(AN_TME_PY[[#All],[Count of Members with Claims Truncated]], AN_TME_PY[[#All],[Insurance Category Code]],3, AN_TME_PY[[#All],[Advanced Network/Insurance Carrier Org ID]],Q203),0), "TRUE", ROUND(T203-SUMIFS(AN_TME_PY[[#All],[Count of Members with Claims Truncated]], AN_TME_PY[[#All],[Insurance Category Code]],3, AN_TME_PY[[#All],[Advanced Network/Insurance Carrier Org ID]],Q203),2))</f>
        <v>TRUE</v>
      </c>
      <c r="Z203" s="528" t="str">
        <f>IF(ROUND(U203,0)=ROUND(SUMIFS(AN_TME_PY[[#All],[TOTAL Non-Truncated Unadjusted Claims Expenses]], AN_TME_PY[[#All],[Insurance Category Code]],3, AN_TME_PY[[#All],[Advanced Network/Insurance Carrier Org ID]],Q203),0), "TRUE", ROUND(U203-SUMIFS(AN_TME_PY[[#All],[TOTAL Non-Truncated Unadjusted Claims Expenses]], AN_TME_PY[[#All],[Insurance Category Code]],3, AN_TME_PY[[#All],[Advanced Network/Insurance Carrier Org ID]],Q203),2))</f>
        <v>TRUE</v>
      </c>
      <c r="AA203" s="529" t="str">
        <f>IF(ROUND(V203,0)=ROUND(SUMIFS(AN_TME_PY[[#All],[TOTAL Truncated Unadjusted Claims Expenses (A21 -A19)]], AN_TME_PY[[#All],[Insurance Category Code]],3, AN_TME_PY[[#All],[Advanced Network/Insurance Carrier Org ID]],Q203),0), "TRUE", ROUND(V203-SUMIFS(AN_TME_PY[[#All],[TOTAL Truncated Unadjusted Claims Expenses (A21 -A19)]], AN_TME_PY[[#All],[Insurance Category Code]],3, AN_TME_PY[[#All],[Advanced Network/Insurance Carrier Org ID]],Q203),2))</f>
        <v>TRUE</v>
      </c>
      <c r="AB203" s="525" t="str">
        <f t="shared" si="24"/>
        <v>TRUE</v>
      </c>
      <c r="AC203" s="528" t="b">
        <f>ROUND(SUMIFS(AN_TME_PY[[#All],[TOTAL Non-Truncated Unadjusted Claims Expenses]], AN_TME_PY[[#All],[Insurance Category Code]],3, AN_TME_PY[[#All],[Advanced Network/Insurance Carrier Org ID]],Q203),2)&gt;=ROUND(SUMIFS(AN_TME_PY[[#All],[TOTAL Truncated Unadjusted Claims Expenses (A21 -A19)]], AN_TME_PY[[#All],[Insurance Category Code]],3, AN_TME_PY[[#All],[Advanced Network/Insurance Carrier Org ID]],Q203), 2)</f>
        <v>1</v>
      </c>
      <c r="AD203" s="529" t="b">
        <f>ROUND(SUMIFS(AN_TME_PY[[#All],[TOTAL Truncated Unadjusted Claims Expenses (A21 -A19)]], AN_TME_PY[[#All],[Insurance Category Code]],3, AN_TME_PY[[#All],[Advanced Network/Insurance Carrier Org ID]],Q203)+SUMIFS(AN_TME_PY[[#All],[Total Claims Excluded because of Truncation]], AN_TME_PY[[#All],[Insurance Category Code]],3, AN_TME_PY[[#All],[Advanced Network/Insurance Carrier Org ID]],Q203),2)=ROUND(SUMIFS(AN_TME_PY[[#All],[TOTAL Non-Truncated Unadjusted Claims Expenses]], AN_TME_PY[[#All],[Insurance Category Code]],3, AN_TME_PY[[#All],[Advanced Network/Insurance Carrier Org ID]],Q203),2)</f>
        <v>1</v>
      </c>
      <c r="AF203" s="283" t="str">
        <f t="shared" si="23"/>
        <v>NA</v>
      </c>
    </row>
    <row r="204" spans="2:32" outlineLevel="1" x14ac:dyDescent="0.25">
      <c r="B204" s="216">
        <v>107</v>
      </c>
      <c r="C204" s="404">
        <f>ROUND(SUMIFS(Age_Sex_BY[[#All],[Total Member Months by Age/Sex Band]], Age_Sex_BY[[#All],[Advanced Network ID]], $B204, Age_Sex_BY[[#All],[Insurance Category Code]],3),2)</f>
        <v>0</v>
      </c>
      <c r="D204" s="238">
        <f>ROUND(SUMIFS(Age_Sex_BY[[#All],[Total Dollars Excluded from Spending After Applying Truncation at the Member Level]], Age_Sex_BY[[#All],[Advanced Network ID]], $B204, Age_Sex_BY[[#All],[Insurance Category Code]],3),2)</f>
        <v>0</v>
      </c>
      <c r="E204" s="209">
        <f>ROUND(SUMIFS(Age_Sex_BY[[#All],[Count of Members whose Spending was Truncated]], Age_Sex_BY[[#All],[Advanced Network ID]], $B204, Age_Sex_BY[[#All],[Insurance Category Code]],3),2)</f>
        <v>0</v>
      </c>
      <c r="F204" s="210">
        <f>ROUND(SUMIFS(Age_Sex_BY[[#All],[Total Spending before Truncation is Applied]], Age_Sex_BY[[#All],[Advanced Network ID]], $B204, Age_Sex_BY[[#All],[Insurance Category Code]],3),2)</f>
        <v>0</v>
      </c>
      <c r="G204" s="212">
        <f>ROUND(SUMIFS(Age_Sex_BY[[#All],[Total Spending After Applying Truncation at the Member Level]], Age_Sex_BY[[#All],[Advanced Network ID]], $B204, Age_Sex_BY[[#All],[Insurance Category Code]],3), 2)</f>
        <v>0</v>
      </c>
      <c r="H204" s="525" t="str">
        <f>IF(ROUND(C204,0)=ROUND(SUMIFS(AN_TME_BY[[#All],[Member Months]], AN_TME_BY[[#All],[Insurance Category Code]],3, AN_TME_BY[[#All],[Advanced Network/Insurance Carrier Org ID]],B204),0), "TRUE", ROUND(C204-SUMIFS(AN_TME_BY[[#All],[Member Months]], AN_TME_BY[[#All],[Insurance Category Code]],3, AN_TME_BY[[#All],[Advanced Network/Insurance Carrier Org ID]],B204),2))</f>
        <v>TRUE</v>
      </c>
      <c r="I204" s="533" t="str">
        <f>IF(ROUND(D204,0)=ROUND(SUMIFS(AN_TME_BY[[#All],[Total Claims Excluded because of Truncation]], AN_TME_BY[[#All],[Insurance Category Code]],3, AN_TME_BY[[#All],[Advanced Network/Insurance Carrier Org ID]],B204),0), "TRUE", ROUND(D204-SUMIFS(AN_TME_BY[[#All],[Total Claims Excluded because of Truncation]], AN_TME_BY[[#All],[Insurance Category Code]],3, AN_TME_BY[[#All],[Advanced Network/Insurance Carrier Org ID]],B204),2))</f>
        <v>TRUE</v>
      </c>
      <c r="J204" s="537" t="str">
        <f>IF(ROUND(E204,0)=ROUND(SUMIFS(AN_TME_BY[[#All],[Count of Members with Claims Truncated]], AN_TME_BY[[#All],[Insurance Category Code]],3, AN_TME_BY[[#All],[Advanced Network/Insurance Carrier Org ID]],B204),0), "TRUE", ROUND(E204-SUMIFS(AN_TME_BY[[#All],[Count of Members with Claims Truncated]], AN_TME_BY[[#All],[Insurance Category Code]],3, AN_TME_BY[[#All],[Advanced Network/Insurance Carrier Org ID]],B204),2))</f>
        <v>TRUE</v>
      </c>
      <c r="K204" s="533" t="str">
        <f>IF(ROUND(F204,0)=ROUND(SUMIFS(AN_TME_BY[[#All],[TOTAL Non-Truncated Unadjusted Claims Expenses]], AN_TME_BY[[#All],[Insurance Category Code]],3, AN_TME_BY[[#All],[Advanced Network/Insurance Carrier Org ID]],B204),0), "TRUE", ROUND(F204-SUMIFS(AN_TME_BY[[#All],[TOTAL Non-Truncated Unadjusted Claims Expenses]], AN_TME_BY[[#All],[Insurance Category Code]],3, AN_TME_BY[[#All],[Advanced Network/Insurance Carrier Org ID]],B204),2))</f>
        <v>TRUE</v>
      </c>
      <c r="L204" s="534" t="str">
        <f>IF(ROUND(G204,0)=ROUND(SUMIFS(AN_TME_BY[[#All],[TOTAL Truncated Unadjusted Claims Expenses (A21 -A19)]], AN_TME_BY[[#All],[Insurance Category Code]],3, AN_TME_BY[[#All],[Advanced Network/Insurance Carrier Org ID]],B204),0), "TRUE", ROUND(G204-SUMIFS(AN_TME_BY[[#All],[TOTAL Truncated Unadjusted Claims Expenses (A21 -A19)]], AN_TME_BY[[#All],[Insurance Category Code]],3, AN_TME_BY[[#All],[Advanced Network/Insurance Carrier Org ID]],B204),2))</f>
        <v>TRUE</v>
      </c>
      <c r="M204" s="525" t="str">
        <f t="shared" si="21"/>
        <v>TRUE</v>
      </c>
      <c r="N204" s="533" t="b">
        <f>ROUND(SUMIFS(AN_TME_BY[[#All],[TOTAL Non-Truncated Unadjusted Claims Expenses]], AN_TME_BY[[#All],[Insurance Category Code]],3, AN_TME_BY[[#All],[Advanced Network/Insurance Carrier Org ID]],B204),2)&gt;=ROUND(SUMIFS(AN_TME_BY[[#All],[TOTAL Truncated Unadjusted Claims Expenses (A21 -A19)]], AN_TME_BY[[#All],[Insurance Category Code]],3, AN_TME_BY[[#All],[Advanced Network/Insurance Carrier Org ID]],B204),2)</f>
        <v>1</v>
      </c>
      <c r="O204" s="534" t="b">
        <f>ROUND(SUMIFS(AN_TME_BY[[#All],[TOTAL Truncated Unadjusted Claims Expenses (A21 -A19)]], AN_TME_BY[[#All],[Insurance Category Code]],3, AN_TME_BY[[#All],[Advanced Network/Insurance Carrier Org ID]],B204)+SUMIFS(AN_TME_BY[[#All],[Total Claims Excluded because of Truncation]], AN_TME_BY[[#All],[Insurance Category Code]],3, AN_TME_BY[[#All],[Advanced Network/Insurance Carrier Org ID]],B204),2)=ROUND(SUMIFS(AN_TME_BY[[#All],[TOTAL Non-Truncated Unadjusted Claims Expenses]], AN_TME_BY[[#All],[Insurance Category Code]],3, AN_TME_BY[[#All],[Advanced Network/Insurance Carrier Org ID]],B204), 2)</f>
        <v>1</v>
      </c>
      <c r="Q204" s="216">
        <v>107</v>
      </c>
      <c r="R204" s="404">
        <f>ROUND(SUMIFS(Age_Sex_PY[[#All],[Total Member Months by Age/Sex Band]], Age_Sex_PY[[#All],[Advanced Network ID]], $Q204, Age_Sex_PY[[#All],[Insurance Category Code]],3), 2)</f>
        <v>0</v>
      </c>
      <c r="S204" s="238">
        <f>ROUND(SUMIFS(Age_Sex_PY[[#All],[Total Dollars Excluded from Spending After Applying Truncation at the Member Level]], Age_Sex_PY[[#All],[Advanced Network ID]], $B204, Age_Sex_PY[[#All],[Insurance Category Code]],3), 2)</f>
        <v>0</v>
      </c>
      <c r="T204" s="209">
        <f>ROUND(SUMIFS(Age_Sex_PY[[#All],[Count of Members whose Spending was Truncated]], Age_Sex_PY[[#All],[Advanced Network ID]], $B204, Age_Sex_PY[[#All],[Insurance Category Code]],3),2)</f>
        <v>0</v>
      </c>
      <c r="U204" s="210">
        <f>ROUND(SUMIFS(Age_Sex_PY[[#All],[Total Spending before Truncation is Applied]], Age_Sex_PY[[#All],[Advanced Network ID]], $B204, Age_Sex_PY[[#All],[Insurance Category Code]],3),2)</f>
        <v>0</v>
      </c>
      <c r="V204" s="212">
        <f>ROUND(SUMIFS(Age_Sex_PY[[#All],[Total Spending After Applying Truncation at the Member Level]], Age_Sex_PY[[#All],[Advanced Network ID]], $B204, Age_Sex_PY[[#All],[Insurance Category Code]],3),2)</f>
        <v>0</v>
      </c>
      <c r="W204" s="525" t="str">
        <f>IF(ROUND(R204,0)=ROUND(SUMIFS(AN_TME_PY[[#All],[Member Months]], AN_TME_PY[[#All],[Insurance Category Code]],3, AN_TME_PY[[#All],[Advanced Network/Insurance Carrier Org ID]],Q204),0), "TRUE", ROUND(R204-SUMIFS(AN_TME_PY[[#All],[Member Months]], AN_TME_PY[[#All],[Insurance Category Code]],3, AN_TME_PY[[#All],[Advanced Network/Insurance Carrier Org ID]],Q204),2))</f>
        <v>TRUE</v>
      </c>
      <c r="X204" s="527" t="str">
        <f>IF(ROUND(S204,0)=ROUND(SUMIFS(AN_TME_PY[[#All],[Total Claims Excluded because of Truncation]], AN_TME_PY[[#All],[Insurance Category Code]],3, AN_TME_PY[[#All],[Advanced Network/Insurance Carrier Org ID]],Q204),0), "TRUE", ROUND(S204-SUMIFS(AN_TME_PY[[#All],[Total Claims Excluded because of Truncation]], AN_TME_PY[[#All],[Insurance Category Code]],3, AN_TME_PY[[#All],[Advanced Network/Insurance Carrier Org ID]],Q204),2))</f>
        <v>TRUE</v>
      </c>
      <c r="Y204" s="537" t="str">
        <f>IF(ROUND(T204,0)=ROUND(SUMIFS(AN_TME_PY[[#All],[Count of Members with Claims Truncated]], AN_TME_PY[[#All],[Insurance Category Code]],3, AN_TME_PY[[#All],[Advanced Network/Insurance Carrier Org ID]],Q204),0), "TRUE", ROUND(T204-SUMIFS(AN_TME_PY[[#All],[Count of Members with Claims Truncated]], AN_TME_PY[[#All],[Insurance Category Code]],3, AN_TME_PY[[#All],[Advanced Network/Insurance Carrier Org ID]],Q204),2))</f>
        <v>TRUE</v>
      </c>
      <c r="Z204" s="528" t="str">
        <f>IF(ROUND(U204,0)=ROUND(SUMIFS(AN_TME_PY[[#All],[TOTAL Non-Truncated Unadjusted Claims Expenses]], AN_TME_PY[[#All],[Insurance Category Code]],3, AN_TME_PY[[#All],[Advanced Network/Insurance Carrier Org ID]],Q204),0), "TRUE", ROUND(U204-SUMIFS(AN_TME_PY[[#All],[TOTAL Non-Truncated Unadjusted Claims Expenses]], AN_TME_PY[[#All],[Insurance Category Code]],3, AN_TME_PY[[#All],[Advanced Network/Insurance Carrier Org ID]],Q204),2))</f>
        <v>TRUE</v>
      </c>
      <c r="AA204" s="529" t="str">
        <f>IF(ROUND(V204,0)=ROUND(SUMIFS(AN_TME_PY[[#All],[TOTAL Truncated Unadjusted Claims Expenses (A21 -A19)]], AN_TME_PY[[#All],[Insurance Category Code]],3, AN_TME_PY[[#All],[Advanced Network/Insurance Carrier Org ID]],Q204),0), "TRUE", ROUND(V204-SUMIFS(AN_TME_PY[[#All],[TOTAL Truncated Unadjusted Claims Expenses (A21 -A19)]], AN_TME_PY[[#All],[Insurance Category Code]],3, AN_TME_PY[[#All],[Advanced Network/Insurance Carrier Org ID]],Q204),2))</f>
        <v>TRUE</v>
      </c>
      <c r="AB204" s="525" t="str">
        <f t="shared" si="24"/>
        <v>TRUE</v>
      </c>
      <c r="AC204" s="528" t="b">
        <f>ROUND(SUMIFS(AN_TME_PY[[#All],[TOTAL Non-Truncated Unadjusted Claims Expenses]], AN_TME_PY[[#All],[Insurance Category Code]],3, AN_TME_PY[[#All],[Advanced Network/Insurance Carrier Org ID]],Q204),2)&gt;=ROUND(SUMIFS(AN_TME_PY[[#All],[TOTAL Truncated Unadjusted Claims Expenses (A21 -A19)]], AN_TME_PY[[#All],[Insurance Category Code]],3, AN_TME_PY[[#All],[Advanced Network/Insurance Carrier Org ID]],Q204), 2)</f>
        <v>1</v>
      </c>
      <c r="AD204" s="529" t="b">
        <f>ROUND(SUMIFS(AN_TME_PY[[#All],[TOTAL Truncated Unadjusted Claims Expenses (A21 -A19)]], AN_TME_PY[[#All],[Insurance Category Code]],3, AN_TME_PY[[#All],[Advanced Network/Insurance Carrier Org ID]],Q204)+SUMIFS(AN_TME_PY[[#All],[Total Claims Excluded because of Truncation]], AN_TME_PY[[#All],[Insurance Category Code]],3, AN_TME_PY[[#All],[Advanced Network/Insurance Carrier Org ID]],Q204),2)=ROUND(SUMIFS(AN_TME_PY[[#All],[TOTAL Non-Truncated Unadjusted Claims Expenses]], AN_TME_PY[[#All],[Insurance Category Code]],3, AN_TME_PY[[#All],[Advanced Network/Insurance Carrier Org ID]],Q204),2)</f>
        <v>1</v>
      </c>
      <c r="AF204" s="283" t="str">
        <f t="shared" si="23"/>
        <v>NA</v>
      </c>
    </row>
    <row r="205" spans="2:32" outlineLevel="1" x14ac:dyDescent="0.25">
      <c r="B205" s="216">
        <v>108</v>
      </c>
      <c r="C205" s="404">
        <f>ROUND(SUMIFS(Age_Sex_BY[[#All],[Total Member Months by Age/Sex Band]], Age_Sex_BY[[#All],[Advanced Network ID]], $B205, Age_Sex_BY[[#All],[Insurance Category Code]],3),2)</f>
        <v>0</v>
      </c>
      <c r="D205" s="238">
        <f>ROUND(SUMIFS(Age_Sex_BY[[#All],[Total Dollars Excluded from Spending After Applying Truncation at the Member Level]], Age_Sex_BY[[#All],[Advanced Network ID]], $B205, Age_Sex_BY[[#All],[Insurance Category Code]],3),2)</f>
        <v>0</v>
      </c>
      <c r="E205" s="209">
        <f>ROUND(SUMIFS(Age_Sex_BY[[#All],[Count of Members whose Spending was Truncated]], Age_Sex_BY[[#All],[Advanced Network ID]], $B205, Age_Sex_BY[[#All],[Insurance Category Code]],3),2)</f>
        <v>0</v>
      </c>
      <c r="F205" s="210">
        <f>ROUND(SUMIFS(Age_Sex_BY[[#All],[Total Spending before Truncation is Applied]], Age_Sex_BY[[#All],[Advanced Network ID]], $B205, Age_Sex_BY[[#All],[Insurance Category Code]],3),2)</f>
        <v>0</v>
      </c>
      <c r="G205" s="212">
        <f>ROUND(SUMIFS(Age_Sex_BY[[#All],[Total Spending After Applying Truncation at the Member Level]], Age_Sex_BY[[#All],[Advanced Network ID]], $B205, Age_Sex_BY[[#All],[Insurance Category Code]],3), 2)</f>
        <v>0</v>
      </c>
      <c r="H205" s="525" t="str">
        <f>IF(ROUND(C205,0)=ROUND(SUMIFS(AN_TME_BY[[#All],[Member Months]], AN_TME_BY[[#All],[Insurance Category Code]],3, AN_TME_BY[[#All],[Advanced Network/Insurance Carrier Org ID]],B205),0), "TRUE", ROUND(C205-SUMIFS(AN_TME_BY[[#All],[Member Months]], AN_TME_BY[[#All],[Insurance Category Code]],3, AN_TME_BY[[#All],[Advanced Network/Insurance Carrier Org ID]],B205),2))</f>
        <v>TRUE</v>
      </c>
      <c r="I205" s="533" t="str">
        <f>IF(ROUND(D205,0)=ROUND(SUMIFS(AN_TME_BY[[#All],[Total Claims Excluded because of Truncation]], AN_TME_BY[[#All],[Insurance Category Code]],3, AN_TME_BY[[#All],[Advanced Network/Insurance Carrier Org ID]],B205),0), "TRUE", ROUND(D205-SUMIFS(AN_TME_BY[[#All],[Total Claims Excluded because of Truncation]], AN_TME_BY[[#All],[Insurance Category Code]],3, AN_TME_BY[[#All],[Advanced Network/Insurance Carrier Org ID]],B205),2))</f>
        <v>TRUE</v>
      </c>
      <c r="J205" s="537" t="str">
        <f>IF(ROUND(E205,0)=ROUND(SUMIFS(AN_TME_BY[[#All],[Count of Members with Claims Truncated]], AN_TME_BY[[#All],[Insurance Category Code]],3, AN_TME_BY[[#All],[Advanced Network/Insurance Carrier Org ID]],B205),0), "TRUE", ROUND(E205-SUMIFS(AN_TME_BY[[#All],[Count of Members with Claims Truncated]], AN_TME_BY[[#All],[Insurance Category Code]],3, AN_TME_BY[[#All],[Advanced Network/Insurance Carrier Org ID]],B205),2))</f>
        <v>TRUE</v>
      </c>
      <c r="K205" s="533" t="str">
        <f>IF(ROUND(F205,0)=ROUND(SUMIFS(AN_TME_BY[[#All],[TOTAL Non-Truncated Unadjusted Claims Expenses]], AN_TME_BY[[#All],[Insurance Category Code]],3, AN_TME_BY[[#All],[Advanced Network/Insurance Carrier Org ID]],B205),0), "TRUE", ROUND(F205-SUMIFS(AN_TME_BY[[#All],[TOTAL Non-Truncated Unadjusted Claims Expenses]], AN_TME_BY[[#All],[Insurance Category Code]],3, AN_TME_BY[[#All],[Advanced Network/Insurance Carrier Org ID]],B205),2))</f>
        <v>TRUE</v>
      </c>
      <c r="L205" s="534" t="str">
        <f>IF(ROUND(G205,0)=ROUND(SUMIFS(AN_TME_BY[[#All],[TOTAL Truncated Unadjusted Claims Expenses (A21 -A19)]], AN_TME_BY[[#All],[Insurance Category Code]],3, AN_TME_BY[[#All],[Advanced Network/Insurance Carrier Org ID]],B205),0), "TRUE", ROUND(G205-SUMIFS(AN_TME_BY[[#All],[TOTAL Truncated Unadjusted Claims Expenses (A21 -A19)]], AN_TME_BY[[#All],[Insurance Category Code]],3, AN_TME_BY[[#All],[Advanced Network/Insurance Carrier Org ID]],B205),2))</f>
        <v>TRUE</v>
      </c>
      <c r="M205" s="525" t="str">
        <f t="shared" si="21"/>
        <v>TRUE</v>
      </c>
      <c r="N205" s="533" t="b">
        <f>ROUND(SUMIFS(AN_TME_BY[[#All],[TOTAL Non-Truncated Unadjusted Claims Expenses]], AN_TME_BY[[#All],[Insurance Category Code]],3, AN_TME_BY[[#All],[Advanced Network/Insurance Carrier Org ID]],B205),2)&gt;=ROUND(SUMIFS(AN_TME_BY[[#All],[TOTAL Truncated Unadjusted Claims Expenses (A21 -A19)]], AN_TME_BY[[#All],[Insurance Category Code]],3, AN_TME_BY[[#All],[Advanced Network/Insurance Carrier Org ID]],B205),2)</f>
        <v>1</v>
      </c>
      <c r="O205" s="534" t="b">
        <f>ROUND(SUMIFS(AN_TME_BY[[#All],[TOTAL Truncated Unadjusted Claims Expenses (A21 -A19)]], AN_TME_BY[[#All],[Insurance Category Code]],3, AN_TME_BY[[#All],[Advanced Network/Insurance Carrier Org ID]],B205)+SUMIFS(AN_TME_BY[[#All],[Total Claims Excluded because of Truncation]], AN_TME_BY[[#All],[Insurance Category Code]],3, AN_TME_BY[[#All],[Advanced Network/Insurance Carrier Org ID]],B205),2)=ROUND(SUMIFS(AN_TME_BY[[#All],[TOTAL Non-Truncated Unadjusted Claims Expenses]], AN_TME_BY[[#All],[Insurance Category Code]],3, AN_TME_BY[[#All],[Advanced Network/Insurance Carrier Org ID]],B205), 2)</f>
        <v>1</v>
      </c>
      <c r="Q205" s="216">
        <v>108</v>
      </c>
      <c r="R205" s="404">
        <f>ROUND(SUMIFS(Age_Sex_PY[[#All],[Total Member Months by Age/Sex Band]], Age_Sex_PY[[#All],[Advanced Network ID]], $Q205, Age_Sex_PY[[#All],[Insurance Category Code]],3), 2)</f>
        <v>0</v>
      </c>
      <c r="S205" s="238">
        <f>ROUND(SUMIFS(Age_Sex_PY[[#All],[Total Dollars Excluded from Spending After Applying Truncation at the Member Level]], Age_Sex_PY[[#All],[Advanced Network ID]], $B205, Age_Sex_PY[[#All],[Insurance Category Code]],3), 2)</f>
        <v>0</v>
      </c>
      <c r="T205" s="209">
        <f>ROUND(SUMIFS(Age_Sex_PY[[#All],[Count of Members whose Spending was Truncated]], Age_Sex_PY[[#All],[Advanced Network ID]], $B205, Age_Sex_PY[[#All],[Insurance Category Code]],3),2)</f>
        <v>0</v>
      </c>
      <c r="U205" s="210">
        <f>ROUND(SUMIFS(Age_Sex_PY[[#All],[Total Spending before Truncation is Applied]], Age_Sex_PY[[#All],[Advanced Network ID]], $B205, Age_Sex_PY[[#All],[Insurance Category Code]],3),2)</f>
        <v>0</v>
      </c>
      <c r="V205" s="212">
        <f>ROUND(SUMIFS(Age_Sex_PY[[#All],[Total Spending After Applying Truncation at the Member Level]], Age_Sex_PY[[#All],[Advanced Network ID]], $B205, Age_Sex_PY[[#All],[Insurance Category Code]],3),2)</f>
        <v>0</v>
      </c>
      <c r="W205" s="525" t="str">
        <f>IF(ROUND(R205,0)=ROUND(SUMIFS(AN_TME_PY[[#All],[Member Months]], AN_TME_PY[[#All],[Insurance Category Code]],3, AN_TME_PY[[#All],[Advanced Network/Insurance Carrier Org ID]],Q205),0), "TRUE", ROUND(R205-SUMIFS(AN_TME_PY[[#All],[Member Months]], AN_TME_PY[[#All],[Insurance Category Code]],3, AN_TME_PY[[#All],[Advanced Network/Insurance Carrier Org ID]],Q205),2))</f>
        <v>TRUE</v>
      </c>
      <c r="X205" s="527" t="str">
        <f>IF(ROUND(S205,0)=ROUND(SUMIFS(AN_TME_PY[[#All],[Total Claims Excluded because of Truncation]], AN_TME_PY[[#All],[Insurance Category Code]],3, AN_TME_PY[[#All],[Advanced Network/Insurance Carrier Org ID]],Q205),0), "TRUE", ROUND(S205-SUMIFS(AN_TME_PY[[#All],[Total Claims Excluded because of Truncation]], AN_TME_PY[[#All],[Insurance Category Code]],3, AN_TME_PY[[#All],[Advanced Network/Insurance Carrier Org ID]],Q205),2))</f>
        <v>TRUE</v>
      </c>
      <c r="Y205" s="537" t="str">
        <f>IF(ROUND(T205,0)=ROUND(SUMIFS(AN_TME_PY[[#All],[Count of Members with Claims Truncated]], AN_TME_PY[[#All],[Insurance Category Code]],3, AN_TME_PY[[#All],[Advanced Network/Insurance Carrier Org ID]],Q205),0), "TRUE", ROUND(T205-SUMIFS(AN_TME_PY[[#All],[Count of Members with Claims Truncated]], AN_TME_PY[[#All],[Insurance Category Code]],3, AN_TME_PY[[#All],[Advanced Network/Insurance Carrier Org ID]],Q205),2))</f>
        <v>TRUE</v>
      </c>
      <c r="Z205" s="528" t="str">
        <f>IF(ROUND(U205,0)=ROUND(SUMIFS(AN_TME_PY[[#All],[TOTAL Non-Truncated Unadjusted Claims Expenses]], AN_TME_PY[[#All],[Insurance Category Code]],3, AN_TME_PY[[#All],[Advanced Network/Insurance Carrier Org ID]],Q205),0), "TRUE", ROUND(U205-SUMIFS(AN_TME_PY[[#All],[TOTAL Non-Truncated Unadjusted Claims Expenses]], AN_TME_PY[[#All],[Insurance Category Code]],3, AN_TME_PY[[#All],[Advanced Network/Insurance Carrier Org ID]],Q205),2))</f>
        <v>TRUE</v>
      </c>
      <c r="AA205" s="529" t="str">
        <f>IF(ROUND(V205,0)=ROUND(SUMIFS(AN_TME_PY[[#All],[TOTAL Truncated Unadjusted Claims Expenses (A21 -A19)]], AN_TME_PY[[#All],[Insurance Category Code]],3, AN_TME_PY[[#All],[Advanced Network/Insurance Carrier Org ID]],Q205),0), "TRUE", ROUND(V205-SUMIFS(AN_TME_PY[[#All],[TOTAL Truncated Unadjusted Claims Expenses (A21 -A19)]], AN_TME_PY[[#All],[Insurance Category Code]],3, AN_TME_PY[[#All],[Advanced Network/Insurance Carrier Org ID]],Q205),2))</f>
        <v>TRUE</v>
      </c>
      <c r="AB205" s="525" t="str">
        <f t="shared" si="24"/>
        <v>TRUE</v>
      </c>
      <c r="AC205" s="528" t="b">
        <f>ROUND(SUMIFS(AN_TME_PY[[#All],[TOTAL Non-Truncated Unadjusted Claims Expenses]], AN_TME_PY[[#All],[Insurance Category Code]],3, AN_TME_PY[[#All],[Advanced Network/Insurance Carrier Org ID]],Q205),2)&gt;=ROUND(SUMIFS(AN_TME_PY[[#All],[TOTAL Truncated Unadjusted Claims Expenses (A21 -A19)]], AN_TME_PY[[#All],[Insurance Category Code]],3, AN_TME_PY[[#All],[Advanced Network/Insurance Carrier Org ID]],Q205), 2)</f>
        <v>1</v>
      </c>
      <c r="AD205" s="529" t="b">
        <f>ROUND(SUMIFS(AN_TME_PY[[#All],[TOTAL Truncated Unadjusted Claims Expenses (A21 -A19)]], AN_TME_PY[[#All],[Insurance Category Code]],3, AN_TME_PY[[#All],[Advanced Network/Insurance Carrier Org ID]],Q205)+SUMIFS(AN_TME_PY[[#All],[Total Claims Excluded because of Truncation]], AN_TME_PY[[#All],[Insurance Category Code]],3, AN_TME_PY[[#All],[Advanced Network/Insurance Carrier Org ID]],Q205),2)=ROUND(SUMIFS(AN_TME_PY[[#All],[TOTAL Non-Truncated Unadjusted Claims Expenses]], AN_TME_PY[[#All],[Insurance Category Code]],3, AN_TME_PY[[#All],[Advanced Network/Insurance Carrier Org ID]],Q205),2)</f>
        <v>1</v>
      </c>
      <c r="AF205" s="283" t="str">
        <f t="shared" si="23"/>
        <v>NA</v>
      </c>
    </row>
    <row r="206" spans="2:32" outlineLevel="1" x14ac:dyDescent="0.25">
      <c r="B206" s="216">
        <v>109</v>
      </c>
      <c r="C206" s="404">
        <f>ROUND(SUMIFS(Age_Sex_BY[[#All],[Total Member Months by Age/Sex Band]], Age_Sex_BY[[#All],[Advanced Network ID]], $B206, Age_Sex_BY[[#All],[Insurance Category Code]],3),2)</f>
        <v>0</v>
      </c>
      <c r="D206" s="238">
        <f>ROUND(SUMIFS(Age_Sex_BY[[#All],[Total Dollars Excluded from Spending After Applying Truncation at the Member Level]], Age_Sex_BY[[#All],[Advanced Network ID]], $B206, Age_Sex_BY[[#All],[Insurance Category Code]],3),2)</f>
        <v>0</v>
      </c>
      <c r="E206" s="209">
        <f>ROUND(SUMIFS(Age_Sex_BY[[#All],[Count of Members whose Spending was Truncated]], Age_Sex_BY[[#All],[Advanced Network ID]], $B206, Age_Sex_BY[[#All],[Insurance Category Code]],3),2)</f>
        <v>0</v>
      </c>
      <c r="F206" s="210">
        <f>ROUND(SUMIFS(Age_Sex_BY[[#All],[Total Spending before Truncation is Applied]], Age_Sex_BY[[#All],[Advanced Network ID]], $B206, Age_Sex_BY[[#All],[Insurance Category Code]],3),2)</f>
        <v>0</v>
      </c>
      <c r="G206" s="212">
        <f>ROUND(SUMIFS(Age_Sex_BY[[#All],[Total Spending After Applying Truncation at the Member Level]], Age_Sex_BY[[#All],[Advanced Network ID]], $B206, Age_Sex_BY[[#All],[Insurance Category Code]],3), 2)</f>
        <v>0</v>
      </c>
      <c r="H206" s="525" t="str">
        <f>IF(ROUND(C206,0)=ROUND(SUMIFS(AN_TME_BY[[#All],[Member Months]], AN_TME_BY[[#All],[Insurance Category Code]],3, AN_TME_BY[[#All],[Advanced Network/Insurance Carrier Org ID]],B206),0), "TRUE", ROUND(C206-SUMIFS(AN_TME_BY[[#All],[Member Months]], AN_TME_BY[[#All],[Insurance Category Code]],3, AN_TME_BY[[#All],[Advanced Network/Insurance Carrier Org ID]],B206),2))</f>
        <v>TRUE</v>
      </c>
      <c r="I206" s="533" t="str">
        <f>IF(ROUND(D206,0)=ROUND(SUMIFS(AN_TME_BY[[#All],[Total Claims Excluded because of Truncation]], AN_TME_BY[[#All],[Insurance Category Code]],3, AN_TME_BY[[#All],[Advanced Network/Insurance Carrier Org ID]],B206),0), "TRUE", ROUND(D206-SUMIFS(AN_TME_BY[[#All],[Total Claims Excluded because of Truncation]], AN_TME_BY[[#All],[Insurance Category Code]],3, AN_TME_BY[[#All],[Advanced Network/Insurance Carrier Org ID]],B206),2))</f>
        <v>TRUE</v>
      </c>
      <c r="J206" s="537" t="str">
        <f>IF(ROUND(E206,0)=ROUND(SUMIFS(AN_TME_BY[[#All],[Count of Members with Claims Truncated]], AN_TME_BY[[#All],[Insurance Category Code]],3, AN_TME_BY[[#All],[Advanced Network/Insurance Carrier Org ID]],B206),0), "TRUE", ROUND(E206-SUMIFS(AN_TME_BY[[#All],[Count of Members with Claims Truncated]], AN_TME_BY[[#All],[Insurance Category Code]],3, AN_TME_BY[[#All],[Advanced Network/Insurance Carrier Org ID]],B206),2))</f>
        <v>TRUE</v>
      </c>
      <c r="K206" s="533" t="str">
        <f>IF(ROUND(F206,0)=ROUND(SUMIFS(AN_TME_BY[[#All],[TOTAL Non-Truncated Unadjusted Claims Expenses]], AN_TME_BY[[#All],[Insurance Category Code]],3, AN_TME_BY[[#All],[Advanced Network/Insurance Carrier Org ID]],B206),0), "TRUE", ROUND(F206-SUMIFS(AN_TME_BY[[#All],[TOTAL Non-Truncated Unadjusted Claims Expenses]], AN_TME_BY[[#All],[Insurance Category Code]],3, AN_TME_BY[[#All],[Advanced Network/Insurance Carrier Org ID]],B206),2))</f>
        <v>TRUE</v>
      </c>
      <c r="L206" s="534" t="str">
        <f>IF(ROUND(G206,0)=ROUND(SUMIFS(AN_TME_BY[[#All],[TOTAL Truncated Unadjusted Claims Expenses (A21 -A19)]], AN_TME_BY[[#All],[Insurance Category Code]],3, AN_TME_BY[[#All],[Advanced Network/Insurance Carrier Org ID]],B206),0), "TRUE", ROUND(G206-SUMIFS(AN_TME_BY[[#All],[TOTAL Truncated Unadjusted Claims Expenses (A21 -A19)]], AN_TME_BY[[#All],[Insurance Category Code]],3, AN_TME_BY[[#All],[Advanced Network/Insurance Carrier Org ID]],B206),2))</f>
        <v>TRUE</v>
      </c>
      <c r="M206" s="525" t="str">
        <f t="shared" si="21"/>
        <v>TRUE</v>
      </c>
      <c r="N206" s="533" t="b">
        <f>ROUND(SUMIFS(AN_TME_BY[[#All],[TOTAL Non-Truncated Unadjusted Claims Expenses]], AN_TME_BY[[#All],[Insurance Category Code]],3, AN_TME_BY[[#All],[Advanced Network/Insurance Carrier Org ID]],B206),2)&gt;=ROUND(SUMIFS(AN_TME_BY[[#All],[TOTAL Truncated Unadjusted Claims Expenses (A21 -A19)]], AN_TME_BY[[#All],[Insurance Category Code]],3, AN_TME_BY[[#All],[Advanced Network/Insurance Carrier Org ID]],B206),2)</f>
        <v>1</v>
      </c>
      <c r="O206" s="534" t="b">
        <f>ROUND(SUMIFS(AN_TME_BY[[#All],[TOTAL Truncated Unadjusted Claims Expenses (A21 -A19)]], AN_TME_BY[[#All],[Insurance Category Code]],3, AN_TME_BY[[#All],[Advanced Network/Insurance Carrier Org ID]],B206)+SUMIFS(AN_TME_BY[[#All],[Total Claims Excluded because of Truncation]], AN_TME_BY[[#All],[Insurance Category Code]],3, AN_TME_BY[[#All],[Advanced Network/Insurance Carrier Org ID]],B206),2)=ROUND(SUMIFS(AN_TME_BY[[#All],[TOTAL Non-Truncated Unadjusted Claims Expenses]], AN_TME_BY[[#All],[Insurance Category Code]],3, AN_TME_BY[[#All],[Advanced Network/Insurance Carrier Org ID]],B206), 2)</f>
        <v>1</v>
      </c>
      <c r="Q206" s="216">
        <v>109</v>
      </c>
      <c r="R206" s="404">
        <f>ROUND(SUMIFS(Age_Sex_PY[[#All],[Total Member Months by Age/Sex Band]], Age_Sex_PY[[#All],[Advanced Network ID]], $Q206, Age_Sex_PY[[#All],[Insurance Category Code]],3), 2)</f>
        <v>0</v>
      </c>
      <c r="S206" s="238">
        <f>ROUND(SUMIFS(Age_Sex_PY[[#All],[Total Dollars Excluded from Spending After Applying Truncation at the Member Level]], Age_Sex_PY[[#All],[Advanced Network ID]], $B206, Age_Sex_PY[[#All],[Insurance Category Code]],3), 2)</f>
        <v>0</v>
      </c>
      <c r="T206" s="209">
        <f>ROUND(SUMIFS(Age_Sex_PY[[#All],[Count of Members whose Spending was Truncated]], Age_Sex_PY[[#All],[Advanced Network ID]], $B206, Age_Sex_PY[[#All],[Insurance Category Code]],3),2)</f>
        <v>0</v>
      </c>
      <c r="U206" s="210">
        <f>ROUND(SUMIFS(Age_Sex_PY[[#All],[Total Spending before Truncation is Applied]], Age_Sex_PY[[#All],[Advanced Network ID]], $B206, Age_Sex_PY[[#All],[Insurance Category Code]],3),2)</f>
        <v>0</v>
      </c>
      <c r="V206" s="212">
        <f>ROUND(SUMIFS(Age_Sex_PY[[#All],[Total Spending After Applying Truncation at the Member Level]], Age_Sex_PY[[#All],[Advanced Network ID]], $B206, Age_Sex_PY[[#All],[Insurance Category Code]],3),2)</f>
        <v>0</v>
      </c>
      <c r="W206" s="525" t="str">
        <f>IF(ROUND(R206,0)=ROUND(SUMIFS(AN_TME_PY[[#All],[Member Months]], AN_TME_PY[[#All],[Insurance Category Code]],3, AN_TME_PY[[#All],[Advanced Network/Insurance Carrier Org ID]],Q206),0), "TRUE", ROUND(R206-SUMIFS(AN_TME_PY[[#All],[Member Months]], AN_TME_PY[[#All],[Insurance Category Code]],3, AN_TME_PY[[#All],[Advanced Network/Insurance Carrier Org ID]],Q206),2))</f>
        <v>TRUE</v>
      </c>
      <c r="X206" s="527" t="str">
        <f>IF(ROUND(S206,0)=ROUND(SUMIFS(AN_TME_PY[[#All],[Total Claims Excluded because of Truncation]], AN_TME_PY[[#All],[Insurance Category Code]],3, AN_TME_PY[[#All],[Advanced Network/Insurance Carrier Org ID]],Q206),0), "TRUE", ROUND(S206-SUMIFS(AN_TME_PY[[#All],[Total Claims Excluded because of Truncation]], AN_TME_PY[[#All],[Insurance Category Code]],3, AN_TME_PY[[#All],[Advanced Network/Insurance Carrier Org ID]],Q206),2))</f>
        <v>TRUE</v>
      </c>
      <c r="Y206" s="537" t="str">
        <f>IF(ROUND(T206,0)=ROUND(SUMIFS(AN_TME_PY[[#All],[Count of Members with Claims Truncated]], AN_TME_PY[[#All],[Insurance Category Code]],3, AN_TME_PY[[#All],[Advanced Network/Insurance Carrier Org ID]],Q206),0), "TRUE", ROUND(T206-SUMIFS(AN_TME_PY[[#All],[Count of Members with Claims Truncated]], AN_TME_PY[[#All],[Insurance Category Code]],3, AN_TME_PY[[#All],[Advanced Network/Insurance Carrier Org ID]],Q206),2))</f>
        <v>TRUE</v>
      </c>
      <c r="Z206" s="528" t="str">
        <f>IF(ROUND(U206,0)=ROUND(SUMIFS(AN_TME_PY[[#All],[TOTAL Non-Truncated Unadjusted Claims Expenses]], AN_TME_PY[[#All],[Insurance Category Code]],3, AN_TME_PY[[#All],[Advanced Network/Insurance Carrier Org ID]],Q206),0), "TRUE", ROUND(U206-SUMIFS(AN_TME_PY[[#All],[TOTAL Non-Truncated Unadjusted Claims Expenses]], AN_TME_PY[[#All],[Insurance Category Code]],3, AN_TME_PY[[#All],[Advanced Network/Insurance Carrier Org ID]],Q206),2))</f>
        <v>TRUE</v>
      </c>
      <c r="AA206" s="529" t="str">
        <f>IF(ROUND(V206,0)=ROUND(SUMIFS(AN_TME_PY[[#All],[TOTAL Truncated Unadjusted Claims Expenses (A21 -A19)]], AN_TME_PY[[#All],[Insurance Category Code]],3, AN_TME_PY[[#All],[Advanced Network/Insurance Carrier Org ID]],Q206),0), "TRUE", ROUND(V206-SUMIFS(AN_TME_PY[[#All],[TOTAL Truncated Unadjusted Claims Expenses (A21 -A19)]], AN_TME_PY[[#All],[Insurance Category Code]],3, AN_TME_PY[[#All],[Advanced Network/Insurance Carrier Org ID]],Q206),2))</f>
        <v>TRUE</v>
      </c>
      <c r="AB206" s="525" t="str">
        <f t="shared" si="24"/>
        <v>TRUE</v>
      </c>
      <c r="AC206" s="528" t="b">
        <f>ROUND(SUMIFS(AN_TME_PY[[#All],[TOTAL Non-Truncated Unadjusted Claims Expenses]], AN_TME_PY[[#All],[Insurance Category Code]],3, AN_TME_PY[[#All],[Advanced Network/Insurance Carrier Org ID]],Q206),2)&gt;=ROUND(SUMIFS(AN_TME_PY[[#All],[TOTAL Truncated Unadjusted Claims Expenses (A21 -A19)]], AN_TME_PY[[#All],[Insurance Category Code]],3, AN_TME_PY[[#All],[Advanced Network/Insurance Carrier Org ID]],Q206), 2)</f>
        <v>1</v>
      </c>
      <c r="AD206" s="529" t="b">
        <f>ROUND(SUMIFS(AN_TME_PY[[#All],[TOTAL Truncated Unadjusted Claims Expenses (A21 -A19)]], AN_TME_PY[[#All],[Insurance Category Code]],3, AN_TME_PY[[#All],[Advanced Network/Insurance Carrier Org ID]],Q206)+SUMIFS(AN_TME_PY[[#All],[Total Claims Excluded because of Truncation]], AN_TME_PY[[#All],[Insurance Category Code]],3, AN_TME_PY[[#All],[Advanced Network/Insurance Carrier Org ID]],Q206),2)=ROUND(SUMIFS(AN_TME_PY[[#All],[TOTAL Non-Truncated Unadjusted Claims Expenses]], AN_TME_PY[[#All],[Insurance Category Code]],3, AN_TME_PY[[#All],[Advanced Network/Insurance Carrier Org ID]],Q206),2)</f>
        <v>1</v>
      </c>
      <c r="AF206" s="283" t="str">
        <f t="shared" si="23"/>
        <v>NA</v>
      </c>
    </row>
    <row r="207" spans="2:32" outlineLevel="1" x14ac:dyDescent="0.25">
      <c r="B207" s="216">
        <v>110</v>
      </c>
      <c r="C207" s="404">
        <f>ROUND(SUMIFS(Age_Sex_BY[[#All],[Total Member Months by Age/Sex Band]], Age_Sex_BY[[#All],[Advanced Network ID]], $B207, Age_Sex_BY[[#All],[Insurance Category Code]],3),2)</f>
        <v>0</v>
      </c>
      <c r="D207" s="238">
        <f>ROUND(SUMIFS(Age_Sex_BY[[#All],[Total Dollars Excluded from Spending After Applying Truncation at the Member Level]], Age_Sex_BY[[#All],[Advanced Network ID]], $B207, Age_Sex_BY[[#All],[Insurance Category Code]],3),2)</f>
        <v>0</v>
      </c>
      <c r="E207" s="209">
        <f>ROUND(SUMIFS(Age_Sex_BY[[#All],[Count of Members whose Spending was Truncated]], Age_Sex_BY[[#All],[Advanced Network ID]], $B207, Age_Sex_BY[[#All],[Insurance Category Code]],3),2)</f>
        <v>0</v>
      </c>
      <c r="F207" s="210">
        <f>ROUND(SUMIFS(Age_Sex_BY[[#All],[Total Spending before Truncation is Applied]], Age_Sex_BY[[#All],[Advanced Network ID]], $B207, Age_Sex_BY[[#All],[Insurance Category Code]],3),2)</f>
        <v>0</v>
      </c>
      <c r="G207" s="212">
        <f>ROUND(SUMIFS(Age_Sex_BY[[#All],[Total Spending After Applying Truncation at the Member Level]], Age_Sex_BY[[#All],[Advanced Network ID]], $B207, Age_Sex_BY[[#All],[Insurance Category Code]],3), 2)</f>
        <v>0</v>
      </c>
      <c r="H207" s="525" t="str">
        <f>IF(ROUND(C207,0)=ROUND(SUMIFS(AN_TME_BY[[#All],[Member Months]], AN_TME_BY[[#All],[Insurance Category Code]],3, AN_TME_BY[[#All],[Advanced Network/Insurance Carrier Org ID]],B207),0), "TRUE", ROUND(C207-SUMIFS(AN_TME_BY[[#All],[Member Months]], AN_TME_BY[[#All],[Insurance Category Code]],3, AN_TME_BY[[#All],[Advanced Network/Insurance Carrier Org ID]],B207),2))</f>
        <v>TRUE</v>
      </c>
      <c r="I207" s="533" t="str">
        <f>IF(ROUND(D207,0)=ROUND(SUMIFS(AN_TME_BY[[#All],[Total Claims Excluded because of Truncation]], AN_TME_BY[[#All],[Insurance Category Code]],3, AN_TME_BY[[#All],[Advanced Network/Insurance Carrier Org ID]],B207),0), "TRUE", ROUND(D207-SUMIFS(AN_TME_BY[[#All],[Total Claims Excluded because of Truncation]], AN_TME_BY[[#All],[Insurance Category Code]],3, AN_TME_BY[[#All],[Advanced Network/Insurance Carrier Org ID]],B207),2))</f>
        <v>TRUE</v>
      </c>
      <c r="J207" s="537" t="str">
        <f>IF(ROUND(E207,0)=ROUND(SUMIFS(AN_TME_BY[[#All],[Count of Members with Claims Truncated]], AN_TME_BY[[#All],[Insurance Category Code]],3, AN_TME_BY[[#All],[Advanced Network/Insurance Carrier Org ID]],B207),0), "TRUE", ROUND(E207-SUMIFS(AN_TME_BY[[#All],[Count of Members with Claims Truncated]], AN_TME_BY[[#All],[Insurance Category Code]],3, AN_TME_BY[[#All],[Advanced Network/Insurance Carrier Org ID]],B207),2))</f>
        <v>TRUE</v>
      </c>
      <c r="K207" s="533" t="str">
        <f>IF(ROUND(F207,0)=ROUND(SUMIFS(AN_TME_BY[[#All],[TOTAL Non-Truncated Unadjusted Claims Expenses]], AN_TME_BY[[#All],[Insurance Category Code]],3, AN_TME_BY[[#All],[Advanced Network/Insurance Carrier Org ID]],B207),0), "TRUE", ROUND(F207-SUMIFS(AN_TME_BY[[#All],[TOTAL Non-Truncated Unadjusted Claims Expenses]], AN_TME_BY[[#All],[Insurance Category Code]],3, AN_TME_BY[[#All],[Advanced Network/Insurance Carrier Org ID]],B207),2))</f>
        <v>TRUE</v>
      </c>
      <c r="L207" s="534" t="str">
        <f>IF(ROUND(G207,0)=ROUND(SUMIFS(AN_TME_BY[[#All],[TOTAL Truncated Unadjusted Claims Expenses (A21 -A19)]], AN_TME_BY[[#All],[Insurance Category Code]],3, AN_TME_BY[[#All],[Advanced Network/Insurance Carrier Org ID]],B207),0), "TRUE", ROUND(G207-SUMIFS(AN_TME_BY[[#All],[TOTAL Truncated Unadjusted Claims Expenses (A21 -A19)]], AN_TME_BY[[#All],[Insurance Category Code]],3, AN_TME_BY[[#All],[Advanced Network/Insurance Carrier Org ID]],B207),2))</f>
        <v>TRUE</v>
      </c>
      <c r="M207" s="525" t="str">
        <f t="shared" si="21"/>
        <v>TRUE</v>
      </c>
      <c r="N207" s="533" t="b">
        <f>ROUND(SUMIFS(AN_TME_BY[[#All],[TOTAL Non-Truncated Unadjusted Claims Expenses]], AN_TME_BY[[#All],[Insurance Category Code]],3, AN_TME_BY[[#All],[Advanced Network/Insurance Carrier Org ID]],B207),2)&gt;=ROUND(SUMIFS(AN_TME_BY[[#All],[TOTAL Truncated Unadjusted Claims Expenses (A21 -A19)]], AN_TME_BY[[#All],[Insurance Category Code]],3, AN_TME_BY[[#All],[Advanced Network/Insurance Carrier Org ID]],B207),2)</f>
        <v>1</v>
      </c>
      <c r="O207" s="534" t="b">
        <f>ROUND(SUMIFS(AN_TME_BY[[#All],[TOTAL Truncated Unadjusted Claims Expenses (A21 -A19)]], AN_TME_BY[[#All],[Insurance Category Code]],3, AN_TME_BY[[#All],[Advanced Network/Insurance Carrier Org ID]],B207)+SUMIFS(AN_TME_BY[[#All],[Total Claims Excluded because of Truncation]], AN_TME_BY[[#All],[Insurance Category Code]],3, AN_TME_BY[[#All],[Advanced Network/Insurance Carrier Org ID]],B207),2)=ROUND(SUMIFS(AN_TME_BY[[#All],[TOTAL Non-Truncated Unadjusted Claims Expenses]], AN_TME_BY[[#All],[Insurance Category Code]],3, AN_TME_BY[[#All],[Advanced Network/Insurance Carrier Org ID]],B207), 2)</f>
        <v>1</v>
      </c>
      <c r="Q207" s="216">
        <v>110</v>
      </c>
      <c r="R207" s="404">
        <f>ROUND(SUMIFS(Age_Sex_PY[[#All],[Total Member Months by Age/Sex Band]], Age_Sex_PY[[#All],[Advanced Network ID]], $Q207, Age_Sex_PY[[#All],[Insurance Category Code]],3), 2)</f>
        <v>0</v>
      </c>
      <c r="S207" s="238">
        <f>ROUND(SUMIFS(Age_Sex_PY[[#All],[Total Dollars Excluded from Spending After Applying Truncation at the Member Level]], Age_Sex_PY[[#All],[Advanced Network ID]], $B207, Age_Sex_PY[[#All],[Insurance Category Code]],3), 2)</f>
        <v>0</v>
      </c>
      <c r="T207" s="209">
        <f>ROUND(SUMIFS(Age_Sex_PY[[#All],[Count of Members whose Spending was Truncated]], Age_Sex_PY[[#All],[Advanced Network ID]], $B207, Age_Sex_PY[[#All],[Insurance Category Code]],3),2)</f>
        <v>0</v>
      </c>
      <c r="U207" s="210">
        <f>ROUND(SUMIFS(Age_Sex_PY[[#All],[Total Spending before Truncation is Applied]], Age_Sex_PY[[#All],[Advanced Network ID]], $B207, Age_Sex_PY[[#All],[Insurance Category Code]],3),2)</f>
        <v>0</v>
      </c>
      <c r="V207" s="212">
        <f>ROUND(SUMIFS(Age_Sex_PY[[#All],[Total Spending After Applying Truncation at the Member Level]], Age_Sex_PY[[#All],[Advanced Network ID]], $B207, Age_Sex_PY[[#All],[Insurance Category Code]],3),2)</f>
        <v>0</v>
      </c>
      <c r="W207" s="525" t="str">
        <f>IF(ROUND(R207,0)=ROUND(SUMIFS(AN_TME_PY[[#All],[Member Months]], AN_TME_PY[[#All],[Insurance Category Code]],3, AN_TME_PY[[#All],[Advanced Network/Insurance Carrier Org ID]],Q207),0), "TRUE", ROUND(R207-SUMIFS(AN_TME_PY[[#All],[Member Months]], AN_TME_PY[[#All],[Insurance Category Code]],3, AN_TME_PY[[#All],[Advanced Network/Insurance Carrier Org ID]],Q207),2))</f>
        <v>TRUE</v>
      </c>
      <c r="X207" s="527" t="str">
        <f>IF(ROUND(S207,0)=ROUND(SUMIFS(AN_TME_PY[[#All],[Total Claims Excluded because of Truncation]], AN_TME_PY[[#All],[Insurance Category Code]],3, AN_TME_PY[[#All],[Advanced Network/Insurance Carrier Org ID]],Q207),0), "TRUE", ROUND(S207-SUMIFS(AN_TME_PY[[#All],[Total Claims Excluded because of Truncation]], AN_TME_PY[[#All],[Insurance Category Code]],3, AN_TME_PY[[#All],[Advanced Network/Insurance Carrier Org ID]],Q207),2))</f>
        <v>TRUE</v>
      </c>
      <c r="Y207" s="537" t="str">
        <f>IF(ROUND(T207,0)=ROUND(SUMIFS(AN_TME_PY[[#All],[Count of Members with Claims Truncated]], AN_TME_PY[[#All],[Insurance Category Code]],3, AN_TME_PY[[#All],[Advanced Network/Insurance Carrier Org ID]],Q207),0), "TRUE", ROUND(T207-SUMIFS(AN_TME_PY[[#All],[Count of Members with Claims Truncated]], AN_TME_PY[[#All],[Insurance Category Code]],3, AN_TME_PY[[#All],[Advanced Network/Insurance Carrier Org ID]],Q207),2))</f>
        <v>TRUE</v>
      </c>
      <c r="Z207" s="528" t="str">
        <f>IF(ROUND(U207,0)=ROUND(SUMIFS(AN_TME_PY[[#All],[TOTAL Non-Truncated Unadjusted Claims Expenses]], AN_TME_PY[[#All],[Insurance Category Code]],3, AN_TME_PY[[#All],[Advanced Network/Insurance Carrier Org ID]],Q207),0), "TRUE", ROUND(U207-SUMIFS(AN_TME_PY[[#All],[TOTAL Non-Truncated Unadjusted Claims Expenses]], AN_TME_PY[[#All],[Insurance Category Code]],3, AN_TME_PY[[#All],[Advanced Network/Insurance Carrier Org ID]],Q207),2))</f>
        <v>TRUE</v>
      </c>
      <c r="AA207" s="529" t="str">
        <f>IF(ROUND(V207,0)=ROUND(SUMIFS(AN_TME_PY[[#All],[TOTAL Truncated Unadjusted Claims Expenses (A21 -A19)]], AN_TME_PY[[#All],[Insurance Category Code]],3, AN_TME_PY[[#All],[Advanced Network/Insurance Carrier Org ID]],Q207),0), "TRUE", ROUND(V207-SUMIFS(AN_TME_PY[[#All],[TOTAL Truncated Unadjusted Claims Expenses (A21 -A19)]], AN_TME_PY[[#All],[Insurance Category Code]],3, AN_TME_PY[[#All],[Advanced Network/Insurance Carrier Org ID]],Q207),2))</f>
        <v>TRUE</v>
      </c>
      <c r="AB207" s="525" t="str">
        <f t="shared" si="24"/>
        <v>TRUE</v>
      </c>
      <c r="AC207" s="528" t="b">
        <f>ROUND(SUMIFS(AN_TME_PY[[#All],[TOTAL Non-Truncated Unadjusted Claims Expenses]], AN_TME_PY[[#All],[Insurance Category Code]],3, AN_TME_PY[[#All],[Advanced Network/Insurance Carrier Org ID]],Q207),2)&gt;=ROUND(SUMIFS(AN_TME_PY[[#All],[TOTAL Truncated Unadjusted Claims Expenses (A21 -A19)]], AN_TME_PY[[#All],[Insurance Category Code]],3, AN_TME_PY[[#All],[Advanced Network/Insurance Carrier Org ID]],Q207), 2)</f>
        <v>1</v>
      </c>
      <c r="AD207" s="529" t="b">
        <f>ROUND(SUMIFS(AN_TME_PY[[#All],[TOTAL Truncated Unadjusted Claims Expenses (A21 -A19)]], AN_TME_PY[[#All],[Insurance Category Code]],3, AN_TME_PY[[#All],[Advanced Network/Insurance Carrier Org ID]],Q207)+SUMIFS(AN_TME_PY[[#All],[Total Claims Excluded because of Truncation]], AN_TME_PY[[#All],[Insurance Category Code]],3, AN_TME_PY[[#All],[Advanced Network/Insurance Carrier Org ID]],Q207),2)=ROUND(SUMIFS(AN_TME_PY[[#All],[TOTAL Non-Truncated Unadjusted Claims Expenses]], AN_TME_PY[[#All],[Insurance Category Code]],3, AN_TME_PY[[#All],[Advanced Network/Insurance Carrier Org ID]],Q207),2)</f>
        <v>1</v>
      </c>
      <c r="AF207" s="283" t="str">
        <f t="shared" si="23"/>
        <v>NA</v>
      </c>
    </row>
    <row r="208" spans="2:32" outlineLevel="1" x14ac:dyDescent="0.25">
      <c r="B208" s="216">
        <v>111</v>
      </c>
      <c r="C208" s="404">
        <f>ROUND(SUMIFS(Age_Sex_BY[[#All],[Total Member Months by Age/Sex Band]], Age_Sex_BY[[#All],[Advanced Network ID]], $B208, Age_Sex_BY[[#All],[Insurance Category Code]],3),2)</f>
        <v>0</v>
      </c>
      <c r="D208" s="238">
        <f>ROUND(SUMIFS(Age_Sex_BY[[#All],[Total Dollars Excluded from Spending After Applying Truncation at the Member Level]], Age_Sex_BY[[#All],[Advanced Network ID]], $B208, Age_Sex_BY[[#All],[Insurance Category Code]],3),2)</f>
        <v>0</v>
      </c>
      <c r="E208" s="209">
        <f>ROUND(SUMIFS(Age_Sex_BY[[#All],[Count of Members whose Spending was Truncated]], Age_Sex_BY[[#All],[Advanced Network ID]], $B208, Age_Sex_BY[[#All],[Insurance Category Code]],3),2)</f>
        <v>0</v>
      </c>
      <c r="F208" s="210">
        <f>ROUND(SUMIFS(Age_Sex_BY[[#All],[Total Spending before Truncation is Applied]], Age_Sex_BY[[#All],[Advanced Network ID]], $B208, Age_Sex_BY[[#All],[Insurance Category Code]],3),2)</f>
        <v>0</v>
      </c>
      <c r="G208" s="212">
        <f>ROUND(SUMIFS(Age_Sex_BY[[#All],[Total Spending After Applying Truncation at the Member Level]], Age_Sex_BY[[#All],[Advanced Network ID]], $B208, Age_Sex_BY[[#All],[Insurance Category Code]],3), 2)</f>
        <v>0</v>
      </c>
      <c r="H208" s="525" t="str">
        <f>IF(ROUND(C208,0)=ROUND(SUMIFS(AN_TME_BY[[#All],[Member Months]], AN_TME_BY[[#All],[Insurance Category Code]],3, AN_TME_BY[[#All],[Advanced Network/Insurance Carrier Org ID]],B208),0), "TRUE", ROUND(C208-SUMIFS(AN_TME_BY[[#All],[Member Months]], AN_TME_BY[[#All],[Insurance Category Code]],3, AN_TME_BY[[#All],[Advanced Network/Insurance Carrier Org ID]],B208),2))</f>
        <v>TRUE</v>
      </c>
      <c r="I208" s="533" t="str">
        <f>IF(ROUND(D208,0)=ROUND(SUMIFS(AN_TME_BY[[#All],[Total Claims Excluded because of Truncation]], AN_TME_BY[[#All],[Insurance Category Code]],3, AN_TME_BY[[#All],[Advanced Network/Insurance Carrier Org ID]],B208),0), "TRUE", ROUND(D208-SUMIFS(AN_TME_BY[[#All],[Total Claims Excluded because of Truncation]], AN_TME_BY[[#All],[Insurance Category Code]],3, AN_TME_BY[[#All],[Advanced Network/Insurance Carrier Org ID]],B208),2))</f>
        <v>TRUE</v>
      </c>
      <c r="J208" s="537" t="str">
        <f>IF(ROUND(E208,0)=ROUND(SUMIFS(AN_TME_BY[[#All],[Count of Members with Claims Truncated]], AN_TME_BY[[#All],[Insurance Category Code]],3, AN_TME_BY[[#All],[Advanced Network/Insurance Carrier Org ID]],B208),0), "TRUE", ROUND(E208-SUMIFS(AN_TME_BY[[#All],[Count of Members with Claims Truncated]], AN_TME_BY[[#All],[Insurance Category Code]],3, AN_TME_BY[[#All],[Advanced Network/Insurance Carrier Org ID]],B208),2))</f>
        <v>TRUE</v>
      </c>
      <c r="K208" s="533" t="str">
        <f>IF(ROUND(F208,0)=ROUND(SUMIFS(AN_TME_BY[[#All],[TOTAL Non-Truncated Unadjusted Claims Expenses]], AN_TME_BY[[#All],[Insurance Category Code]],3, AN_TME_BY[[#All],[Advanced Network/Insurance Carrier Org ID]],B208),0), "TRUE", ROUND(F208-SUMIFS(AN_TME_BY[[#All],[TOTAL Non-Truncated Unadjusted Claims Expenses]], AN_TME_BY[[#All],[Insurance Category Code]],3, AN_TME_BY[[#All],[Advanced Network/Insurance Carrier Org ID]],B208),2))</f>
        <v>TRUE</v>
      </c>
      <c r="L208" s="534" t="str">
        <f>IF(ROUND(G208,0)=ROUND(SUMIFS(AN_TME_BY[[#All],[TOTAL Truncated Unadjusted Claims Expenses (A21 -A19)]], AN_TME_BY[[#All],[Insurance Category Code]],3, AN_TME_BY[[#All],[Advanced Network/Insurance Carrier Org ID]],B208),0), "TRUE", ROUND(G208-SUMIFS(AN_TME_BY[[#All],[TOTAL Truncated Unadjusted Claims Expenses (A21 -A19)]], AN_TME_BY[[#All],[Insurance Category Code]],3, AN_TME_BY[[#All],[Advanced Network/Insurance Carrier Org ID]],B208),2))</f>
        <v>TRUE</v>
      </c>
      <c r="M208" s="525" t="str">
        <f t="shared" si="21"/>
        <v>TRUE</v>
      </c>
      <c r="N208" s="533" t="b">
        <f>ROUND(SUMIFS(AN_TME_BY[[#All],[TOTAL Non-Truncated Unadjusted Claims Expenses]], AN_TME_BY[[#All],[Insurance Category Code]],3, AN_TME_BY[[#All],[Advanced Network/Insurance Carrier Org ID]],B208),2)&gt;=ROUND(SUMIFS(AN_TME_BY[[#All],[TOTAL Truncated Unadjusted Claims Expenses (A21 -A19)]], AN_TME_BY[[#All],[Insurance Category Code]],3, AN_TME_BY[[#All],[Advanced Network/Insurance Carrier Org ID]],B208),2)</f>
        <v>1</v>
      </c>
      <c r="O208" s="534" t="b">
        <f>ROUND(SUMIFS(AN_TME_BY[[#All],[TOTAL Truncated Unadjusted Claims Expenses (A21 -A19)]], AN_TME_BY[[#All],[Insurance Category Code]],3, AN_TME_BY[[#All],[Advanced Network/Insurance Carrier Org ID]],B208)+SUMIFS(AN_TME_BY[[#All],[Total Claims Excluded because of Truncation]], AN_TME_BY[[#All],[Insurance Category Code]],3, AN_TME_BY[[#All],[Advanced Network/Insurance Carrier Org ID]],B208),2)=ROUND(SUMIFS(AN_TME_BY[[#All],[TOTAL Non-Truncated Unadjusted Claims Expenses]], AN_TME_BY[[#All],[Insurance Category Code]],3, AN_TME_BY[[#All],[Advanced Network/Insurance Carrier Org ID]],B208), 2)</f>
        <v>1</v>
      </c>
      <c r="Q208" s="216">
        <v>111</v>
      </c>
      <c r="R208" s="404">
        <f>ROUND(SUMIFS(Age_Sex_PY[[#All],[Total Member Months by Age/Sex Band]], Age_Sex_PY[[#All],[Advanced Network ID]], $Q208, Age_Sex_PY[[#All],[Insurance Category Code]],3), 2)</f>
        <v>0</v>
      </c>
      <c r="S208" s="238">
        <f>ROUND(SUMIFS(Age_Sex_PY[[#All],[Total Dollars Excluded from Spending After Applying Truncation at the Member Level]], Age_Sex_PY[[#All],[Advanced Network ID]], $B208, Age_Sex_PY[[#All],[Insurance Category Code]],3), 2)</f>
        <v>0</v>
      </c>
      <c r="T208" s="209">
        <f>ROUND(SUMIFS(Age_Sex_PY[[#All],[Count of Members whose Spending was Truncated]], Age_Sex_PY[[#All],[Advanced Network ID]], $B208, Age_Sex_PY[[#All],[Insurance Category Code]],3),2)</f>
        <v>0</v>
      </c>
      <c r="U208" s="210">
        <f>ROUND(SUMIFS(Age_Sex_PY[[#All],[Total Spending before Truncation is Applied]], Age_Sex_PY[[#All],[Advanced Network ID]], $B208, Age_Sex_PY[[#All],[Insurance Category Code]],3),2)</f>
        <v>0</v>
      </c>
      <c r="V208" s="212">
        <f>ROUND(SUMIFS(Age_Sex_PY[[#All],[Total Spending After Applying Truncation at the Member Level]], Age_Sex_PY[[#All],[Advanced Network ID]], $B208, Age_Sex_PY[[#All],[Insurance Category Code]],3),2)</f>
        <v>0</v>
      </c>
      <c r="W208" s="525" t="str">
        <f>IF(ROUND(R208,0)=ROUND(SUMIFS(AN_TME_PY[[#All],[Member Months]], AN_TME_PY[[#All],[Insurance Category Code]],3, AN_TME_PY[[#All],[Advanced Network/Insurance Carrier Org ID]],Q208),0), "TRUE", ROUND(R208-SUMIFS(AN_TME_PY[[#All],[Member Months]], AN_TME_PY[[#All],[Insurance Category Code]],3, AN_TME_PY[[#All],[Advanced Network/Insurance Carrier Org ID]],Q208),2))</f>
        <v>TRUE</v>
      </c>
      <c r="X208" s="527" t="str">
        <f>IF(ROUND(S208,0)=ROUND(SUMIFS(AN_TME_PY[[#All],[Total Claims Excluded because of Truncation]], AN_TME_PY[[#All],[Insurance Category Code]],3, AN_TME_PY[[#All],[Advanced Network/Insurance Carrier Org ID]],Q208),0), "TRUE", ROUND(S208-SUMIFS(AN_TME_PY[[#All],[Total Claims Excluded because of Truncation]], AN_TME_PY[[#All],[Insurance Category Code]],3, AN_TME_PY[[#All],[Advanced Network/Insurance Carrier Org ID]],Q208),2))</f>
        <v>TRUE</v>
      </c>
      <c r="Y208" s="537" t="str">
        <f>IF(ROUND(T208,0)=ROUND(SUMIFS(AN_TME_PY[[#All],[Count of Members with Claims Truncated]], AN_TME_PY[[#All],[Insurance Category Code]],3, AN_TME_PY[[#All],[Advanced Network/Insurance Carrier Org ID]],Q208),0), "TRUE", ROUND(T208-SUMIFS(AN_TME_PY[[#All],[Count of Members with Claims Truncated]], AN_TME_PY[[#All],[Insurance Category Code]],3, AN_TME_PY[[#All],[Advanced Network/Insurance Carrier Org ID]],Q208),2))</f>
        <v>TRUE</v>
      </c>
      <c r="Z208" s="528" t="str">
        <f>IF(ROUND(U208,0)=ROUND(SUMIFS(AN_TME_PY[[#All],[TOTAL Non-Truncated Unadjusted Claims Expenses]], AN_TME_PY[[#All],[Insurance Category Code]],3, AN_TME_PY[[#All],[Advanced Network/Insurance Carrier Org ID]],Q208),0), "TRUE", ROUND(U208-SUMIFS(AN_TME_PY[[#All],[TOTAL Non-Truncated Unadjusted Claims Expenses]], AN_TME_PY[[#All],[Insurance Category Code]],3, AN_TME_PY[[#All],[Advanced Network/Insurance Carrier Org ID]],Q208),2))</f>
        <v>TRUE</v>
      </c>
      <c r="AA208" s="529" t="str">
        <f>IF(ROUND(V208,0)=ROUND(SUMIFS(AN_TME_PY[[#All],[TOTAL Truncated Unadjusted Claims Expenses (A21 -A19)]], AN_TME_PY[[#All],[Insurance Category Code]],3, AN_TME_PY[[#All],[Advanced Network/Insurance Carrier Org ID]],Q208),0), "TRUE", ROUND(V208-SUMIFS(AN_TME_PY[[#All],[TOTAL Truncated Unadjusted Claims Expenses (A21 -A19)]], AN_TME_PY[[#All],[Insurance Category Code]],3, AN_TME_PY[[#All],[Advanced Network/Insurance Carrier Org ID]],Q208),2))</f>
        <v>TRUE</v>
      </c>
      <c r="AB208" s="525" t="str">
        <f t="shared" si="24"/>
        <v>TRUE</v>
      </c>
      <c r="AC208" s="528" t="b">
        <f>ROUND(SUMIFS(AN_TME_PY[[#All],[TOTAL Non-Truncated Unadjusted Claims Expenses]], AN_TME_PY[[#All],[Insurance Category Code]],3, AN_TME_PY[[#All],[Advanced Network/Insurance Carrier Org ID]],Q208),2)&gt;=ROUND(SUMIFS(AN_TME_PY[[#All],[TOTAL Truncated Unadjusted Claims Expenses (A21 -A19)]], AN_TME_PY[[#All],[Insurance Category Code]],3, AN_TME_PY[[#All],[Advanced Network/Insurance Carrier Org ID]],Q208), 2)</f>
        <v>1</v>
      </c>
      <c r="AD208" s="529" t="b">
        <f>ROUND(SUMIFS(AN_TME_PY[[#All],[TOTAL Truncated Unadjusted Claims Expenses (A21 -A19)]], AN_TME_PY[[#All],[Insurance Category Code]],3, AN_TME_PY[[#All],[Advanced Network/Insurance Carrier Org ID]],Q208)+SUMIFS(AN_TME_PY[[#All],[Total Claims Excluded because of Truncation]], AN_TME_PY[[#All],[Insurance Category Code]],3, AN_TME_PY[[#All],[Advanced Network/Insurance Carrier Org ID]],Q208),2)=ROUND(SUMIFS(AN_TME_PY[[#All],[TOTAL Non-Truncated Unadjusted Claims Expenses]], AN_TME_PY[[#All],[Insurance Category Code]],3, AN_TME_PY[[#All],[Advanced Network/Insurance Carrier Org ID]],Q208),2)</f>
        <v>1</v>
      </c>
      <c r="AF208" s="283" t="str">
        <f t="shared" si="23"/>
        <v>NA</v>
      </c>
    </row>
    <row r="209" spans="2:32" outlineLevel="1" x14ac:dyDescent="0.25">
      <c r="B209" s="216">
        <v>112</v>
      </c>
      <c r="C209" s="404">
        <f>ROUND(SUMIFS(Age_Sex_BY[[#All],[Total Member Months by Age/Sex Band]], Age_Sex_BY[[#All],[Advanced Network ID]], $B209, Age_Sex_BY[[#All],[Insurance Category Code]],3),2)</f>
        <v>0</v>
      </c>
      <c r="D209" s="238">
        <f>ROUND(SUMIFS(Age_Sex_BY[[#All],[Total Dollars Excluded from Spending After Applying Truncation at the Member Level]], Age_Sex_BY[[#All],[Advanced Network ID]], $B209, Age_Sex_BY[[#All],[Insurance Category Code]],3),2)</f>
        <v>0</v>
      </c>
      <c r="E209" s="209">
        <f>ROUND(SUMIFS(Age_Sex_BY[[#All],[Count of Members whose Spending was Truncated]], Age_Sex_BY[[#All],[Advanced Network ID]], $B209, Age_Sex_BY[[#All],[Insurance Category Code]],3),2)</f>
        <v>0</v>
      </c>
      <c r="F209" s="210">
        <f>ROUND(SUMIFS(Age_Sex_BY[[#All],[Total Spending before Truncation is Applied]], Age_Sex_BY[[#All],[Advanced Network ID]], $B209, Age_Sex_BY[[#All],[Insurance Category Code]],3),2)</f>
        <v>0</v>
      </c>
      <c r="G209" s="212">
        <f>ROUND(SUMIFS(Age_Sex_BY[[#All],[Total Spending After Applying Truncation at the Member Level]], Age_Sex_BY[[#All],[Advanced Network ID]], $B209, Age_Sex_BY[[#All],[Insurance Category Code]],3), 2)</f>
        <v>0</v>
      </c>
      <c r="H209" s="525" t="str">
        <f>IF(ROUND(C209,0)=ROUND(SUMIFS(AN_TME_BY[[#All],[Member Months]], AN_TME_BY[[#All],[Insurance Category Code]],3, AN_TME_BY[[#All],[Advanced Network/Insurance Carrier Org ID]],B209),0), "TRUE", ROUND(C209-SUMIFS(AN_TME_BY[[#All],[Member Months]], AN_TME_BY[[#All],[Insurance Category Code]],3, AN_TME_BY[[#All],[Advanced Network/Insurance Carrier Org ID]],B209),2))</f>
        <v>TRUE</v>
      </c>
      <c r="I209" s="533" t="str">
        <f>IF(ROUND(D209,0)=ROUND(SUMIFS(AN_TME_BY[[#All],[Total Claims Excluded because of Truncation]], AN_TME_BY[[#All],[Insurance Category Code]],3, AN_TME_BY[[#All],[Advanced Network/Insurance Carrier Org ID]],B209),0), "TRUE", ROUND(D209-SUMIFS(AN_TME_BY[[#All],[Total Claims Excluded because of Truncation]], AN_TME_BY[[#All],[Insurance Category Code]],3, AN_TME_BY[[#All],[Advanced Network/Insurance Carrier Org ID]],B209),2))</f>
        <v>TRUE</v>
      </c>
      <c r="J209" s="537" t="str">
        <f>IF(ROUND(E209,0)=ROUND(SUMIFS(AN_TME_BY[[#All],[Count of Members with Claims Truncated]], AN_TME_BY[[#All],[Insurance Category Code]],3, AN_TME_BY[[#All],[Advanced Network/Insurance Carrier Org ID]],B209),0), "TRUE", ROUND(E209-SUMIFS(AN_TME_BY[[#All],[Count of Members with Claims Truncated]], AN_TME_BY[[#All],[Insurance Category Code]],3, AN_TME_BY[[#All],[Advanced Network/Insurance Carrier Org ID]],B209),2))</f>
        <v>TRUE</v>
      </c>
      <c r="K209" s="533" t="str">
        <f>IF(ROUND(F209,0)=ROUND(SUMIFS(AN_TME_BY[[#All],[TOTAL Non-Truncated Unadjusted Claims Expenses]], AN_TME_BY[[#All],[Insurance Category Code]],3, AN_TME_BY[[#All],[Advanced Network/Insurance Carrier Org ID]],B209),0), "TRUE", ROUND(F209-SUMIFS(AN_TME_BY[[#All],[TOTAL Non-Truncated Unadjusted Claims Expenses]], AN_TME_BY[[#All],[Insurance Category Code]],3, AN_TME_BY[[#All],[Advanced Network/Insurance Carrier Org ID]],B209),2))</f>
        <v>TRUE</v>
      </c>
      <c r="L209" s="534" t="str">
        <f>IF(ROUND(G209,0)=ROUND(SUMIFS(AN_TME_BY[[#All],[TOTAL Truncated Unadjusted Claims Expenses (A21 -A19)]], AN_TME_BY[[#All],[Insurance Category Code]],3, AN_TME_BY[[#All],[Advanced Network/Insurance Carrier Org ID]],B209),0), "TRUE", ROUND(G209-SUMIFS(AN_TME_BY[[#All],[TOTAL Truncated Unadjusted Claims Expenses (A21 -A19)]], AN_TME_BY[[#All],[Insurance Category Code]],3, AN_TME_BY[[#All],[Advanced Network/Insurance Carrier Org ID]],B209),2))</f>
        <v>TRUE</v>
      </c>
      <c r="M209" s="525" t="str">
        <f t="shared" si="21"/>
        <v>TRUE</v>
      </c>
      <c r="N209" s="533" t="b">
        <f>ROUND(SUMIFS(AN_TME_BY[[#All],[TOTAL Non-Truncated Unadjusted Claims Expenses]], AN_TME_BY[[#All],[Insurance Category Code]],3, AN_TME_BY[[#All],[Advanced Network/Insurance Carrier Org ID]],B209),2)&gt;=ROUND(SUMIFS(AN_TME_BY[[#All],[TOTAL Truncated Unadjusted Claims Expenses (A21 -A19)]], AN_TME_BY[[#All],[Insurance Category Code]],3, AN_TME_BY[[#All],[Advanced Network/Insurance Carrier Org ID]],B209),2)</f>
        <v>1</v>
      </c>
      <c r="O209" s="534" t="b">
        <f>ROUND(SUMIFS(AN_TME_BY[[#All],[TOTAL Truncated Unadjusted Claims Expenses (A21 -A19)]], AN_TME_BY[[#All],[Insurance Category Code]],3, AN_TME_BY[[#All],[Advanced Network/Insurance Carrier Org ID]],B209)+SUMIFS(AN_TME_BY[[#All],[Total Claims Excluded because of Truncation]], AN_TME_BY[[#All],[Insurance Category Code]],3, AN_TME_BY[[#All],[Advanced Network/Insurance Carrier Org ID]],B209),2)=ROUND(SUMIFS(AN_TME_BY[[#All],[TOTAL Non-Truncated Unadjusted Claims Expenses]], AN_TME_BY[[#All],[Insurance Category Code]],3, AN_TME_BY[[#All],[Advanced Network/Insurance Carrier Org ID]],B209), 2)</f>
        <v>1</v>
      </c>
      <c r="Q209" s="216">
        <v>112</v>
      </c>
      <c r="R209" s="404">
        <f>ROUND(SUMIFS(Age_Sex_PY[[#All],[Total Member Months by Age/Sex Band]], Age_Sex_PY[[#All],[Advanced Network ID]], $Q209, Age_Sex_PY[[#All],[Insurance Category Code]],3), 2)</f>
        <v>0</v>
      </c>
      <c r="S209" s="238">
        <f>ROUND(SUMIFS(Age_Sex_PY[[#All],[Total Dollars Excluded from Spending After Applying Truncation at the Member Level]], Age_Sex_PY[[#All],[Advanced Network ID]], $B209, Age_Sex_PY[[#All],[Insurance Category Code]],3), 2)</f>
        <v>0</v>
      </c>
      <c r="T209" s="209">
        <f>ROUND(SUMIFS(Age_Sex_PY[[#All],[Count of Members whose Spending was Truncated]], Age_Sex_PY[[#All],[Advanced Network ID]], $B209, Age_Sex_PY[[#All],[Insurance Category Code]],3),2)</f>
        <v>0</v>
      </c>
      <c r="U209" s="210">
        <f>ROUND(SUMIFS(Age_Sex_PY[[#All],[Total Spending before Truncation is Applied]], Age_Sex_PY[[#All],[Advanced Network ID]], $B209, Age_Sex_PY[[#All],[Insurance Category Code]],3),2)</f>
        <v>0</v>
      </c>
      <c r="V209" s="212">
        <f>ROUND(SUMIFS(Age_Sex_PY[[#All],[Total Spending After Applying Truncation at the Member Level]], Age_Sex_PY[[#All],[Advanced Network ID]], $B209, Age_Sex_PY[[#All],[Insurance Category Code]],3),2)</f>
        <v>0</v>
      </c>
      <c r="W209" s="525" t="str">
        <f>IF(ROUND(R209,0)=ROUND(SUMIFS(AN_TME_PY[[#All],[Member Months]], AN_TME_PY[[#All],[Insurance Category Code]],3, AN_TME_PY[[#All],[Advanced Network/Insurance Carrier Org ID]],Q209),0), "TRUE", ROUND(R209-SUMIFS(AN_TME_PY[[#All],[Member Months]], AN_TME_PY[[#All],[Insurance Category Code]],3, AN_TME_PY[[#All],[Advanced Network/Insurance Carrier Org ID]],Q209),2))</f>
        <v>TRUE</v>
      </c>
      <c r="X209" s="527" t="str">
        <f>IF(ROUND(S209,0)=ROUND(SUMIFS(AN_TME_PY[[#All],[Total Claims Excluded because of Truncation]], AN_TME_PY[[#All],[Insurance Category Code]],3, AN_TME_PY[[#All],[Advanced Network/Insurance Carrier Org ID]],Q209),0), "TRUE", ROUND(S209-SUMIFS(AN_TME_PY[[#All],[Total Claims Excluded because of Truncation]], AN_TME_PY[[#All],[Insurance Category Code]],3, AN_TME_PY[[#All],[Advanced Network/Insurance Carrier Org ID]],Q209),2))</f>
        <v>TRUE</v>
      </c>
      <c r="Y209" s="537" t="str">
        <f>IF(ROUND(T209,0)=ROUND(SUMIFS(AN_TME_PY[[#All],[Count of Members with Claims Truncated]], AN_TME_PY[[#All],[Insurance Category Code]],3, AN_TME_PY[[#All],[Advanced Network/Insurance Carrier Org ID]],Q209),0), "TRUE", ROUND(T209-SUMIFS(AN_TME_PY[[#All],[Count of Members with Claims Truncated]], AN_TME_PY[[#All],[Insurance Category Code]],3, AN_TME_PY[[#All],[Advanced Network/Insurance Carrier Org ID]],Q209),2))</f>
        <v>TRUE</v>
      </c>
      <c r="Z209" s="528" t="str">
        <f>IF(ROUND(U209,0)=ROUND(SUMIFS(AN_TME_PY[[#All],[TOTAL Non-Truncated Unadjusted Claims Expenses]], AN_TME_PY[[#All],[Insurance Category Code]],3, AN_TME_PY[[#All],[Advanced Network/Insurance Carrier Org ID]],Q209),0), "TRUE", ROUND(U209-SUMIFS(AN_TME_PY[[#All],[TOTAL Non-Truncated Unadjusted Claims Expenses]], AN_TME_PY[[#All],[Insurance Category Code]],3, AN_TME_PY[[#All],[Advanced Network/Insurance Carrier Org ID]],Q209),2))</f>
        <v>TRUE</v>
      </c>
      <c r="AA209" s="529" t="str">
        <f>IF(ROUND(V209,0)=ROUND(SUMIFS(AN_TME_PY[[#All],[TOTAL Truncated Unadjusted Claims Expenses (A21 -A19)]], AN_TME_PY[[#All],[Insurance Category Code]],3, AN_TME_PY[[#All],[Advanced Network/Insurance Carrier Org ID]],Q209),0), "TRUE", ROUND(V209-SUMIFS(AN_TME_PY[[#All],[TOTAL Truncated Unadjusted Claims Expenses (A21 -A19)]], AN_TME_PY[[#All],[Insurance Category Code]],3, AN_TME_PY[[#All],[Advanced Network/Insurance Carrier Org ID]],Q209),2))</f>
        <v>TRUE</v>
      </c>
      <c r="AB209" s="525" t="str">
        <f t="shared" si="24"/>
        <v>TRUE</v>
      </c>
      <c r="AC209" s="528" t="b">
        <f>ROUND(SUMIFS(AN_TME_PY[[#All],[TOTAL Non-Truncated Unadjusted Claims Expenses]], AN_TME_PY[[#All],[Insurance Category Code]],3, AN_TME_PY[[#All],[Advanced Network/Insurance Carrier Org ID]],Q209),2)&gt;=ROUND(SUMIFS(AN_TME_PY[[#All],[TOTAL Truncated Unadjusted Claims Expenses (A21 -A19)]], AN_TME_PY[[#All],[Insurance Category Code]],3, AN_TME_PY[[#All],[Advanced Network/Insurance Carrier Org ID]],Q209), 2)</f>
        <v>1</v>
      </c>
      <c r="AD209" s="529" t="b">
        <f>ROUND(SUMIFS(AN_TME_PY[[#All],[TOTAL Truncated Unadjusted Claims Expenses (A21 -A19)]], AN_TME_PY[[#All],[Insurance Category Code]],3, AN_TME_PY[[#All],[Advanced Network/Insurance Carrier Org ID]],Q209)+SUMIFS(AN_TME_PY[[#All],[Total Claims Excluded because of Truncation]], AN_TME_PY[[#All],[Insurance Category Code]],3, AN_TME_PY[[#All],[Advanced Network/Insurance Carrier Org ID]],Q209),2)=ROUND(SUMIFS(AN_TME_PY[[#All],[TOTAL Non-Truncated Unadjusted Claims Expenses]], AN_TME_PY[[#All],[Insurance Category Code]],3, AN_TME_PY[[#All],[Advanced Network/Insurance Carrier Org ID]],Q209),2)</f>
        <v>1</v>
      </c>
      <c r="AF209" s="283" t="str">
        <f t="shared" si="23"/>
        <v>NA</v>
      </c>
    </row>
    <row r="210" spans="2:32" outlineLevel="1" x14ac:dyDescent="0.25">
      <c r="B210" s="216">
        <v>113</v>
      </c>
      <c r="C210" s="404">
        <f>ROUND(SUMIFS(Age_Sex_BY[[#All],[Total Member Months by Age/Sex Band]], Age_Sex_BY[[#All],[Advanced Network ID]], $B210, Age_Sex_BY[[#All],[Insurance Category Code]],3),2)</f>
        <v>0</v>
      </c>
      <c r="D210" s="238">
        <f>ROUND(SUMIFS(Age_Sex_BY[[#All],[Total Dollars Excluded from Spending After Applying Truncation at the Member Level]], Age_Sex_BY[[#All],[Advanced Network ID]], $B210, Age_Sex_BY[[#All],[Insurance Category Code]],3),2)</f>
        <v>0</v>
      </c>
      <c r="E210" s="209">
        <f>ROUND(SUMIFS(Age_Sex_BY[[#All],[Count of Members whose Spending was Truncated]], Age_Sex_BY[[#All],[Advanced Network ID]], $B210, Age_Sex_BY[[#All],[Insurance Category Code]],3),2)</f>
        <v>0</v>
      </c>
      <c r="F210" s="210">
        <f>ROUND(SUMIFS(Age_Sex_BY[[#All],[Total Spending before Truncation is Applied]], Age_Sex_BY[[#All],[Advanced Network ID]], $B210, Age_Sex_BY[[#All],[Insurance Category Code]],3),2)</f>
        <v>0</v>
      </c>
      <c r="G210" s="212">
        <f>ROUND(SUMIFS(Age_Sex_BY[[#All],[Total Spending After Applying Truncation at the Member Level]], Age_Sex_BY[[#All],[Advanced Network ID]], $B210, Age_Sex_BY[[#All],[Insurance Category Code]],3), 2)</f>
        <v>0</v>
      </c>
      <c r="H210" s="525" t="str">
        <f>IF(ROUND(C210,0)=ROUND(SUMIFS(AN_TME_BY[[#All],[Member Months]], AN_TME_BY[[#All],[Insurance Category Code]],3, AN_TME_BY[[#All],[Advanced Network/Insurance Carrier Org ID]],B210),0), "TRUE", ROUND(C210-SUMIFS(AN_TME_BY[[#All],[Member Months]], AN_TME_BY[[#All],[Insurance Category Code]],3, AN_TME_BY[[#All],[Advanced Network/Insurance Carrier Org ID]],B210),2))</f>
        <v>TRUE</v>
      </c>
      <c r="I210" s="533" t="str">
        <f>IF(ROUND(D210,0)=ROUND(SUMIFS(AN_TME_BY[[#All],[Total Claims Excluded because of Truncation]], AN_TME_BY[[#All],[Insurance Category Code]],3, AN_TME_BY[[#All],[Advanced Network/Insurance Carrier Org ID]],B210),0), "TRUE", ROUND(D210-SUMIFS(AN_TME_BY[[#All],[Total Claims Excluded because of Truncation]], AN_TME_BY[[#All],[Insurance Category Code]],3, AN_TME_BY[[#All],[Advanced Network/Insurance Carrier Org ID]],B210),2))</f>
        <v>TRUE</v>
      </c>
      <c r="J210" s="537" t="str">
        <f>IF(ROUND(E210,0)=ROUND(SUMIFS(AN_TME_BY[[#All],[Count of Members with Claims Truncated]], AN_TME_BY[[#All],[Insurance Category Code]],3, AN_TME_BY[[#All],[Advanced Network/Insurance Carrier Org ID]],B210),0), "TRUE", ROUND(E210-SUMIFS(AN_TME_BY[[#All],[Count of Members with Claims Truncated]], AN_TME_BY[[#All],[Insurance Category Code]],3, AN_TME_BY[[#All],[Advanced Network/Insurance Carrier Org ID]],B210),2))</f>
        <v>TRUE</v>
      </c>
      <c r="K210" s="533" t="str">
        <f>IF(ROUND(F210,0)=ROUND(SUMIFS(AN_TME_BY[[#All],[TOTAL Non-Truncated Unadjusted Claims Expenses]], AN_TME_BY[[#All],[Insurance Category Code]],3, AN_TME_BY[[#All],[Advanced Network/Insurance Carrier Org ID]],B210),0), "TRUE", ROUND(F210-SUMIFS(AN_TME_BY[[#All],[TOTAL Non-Truncated Unadjusted Claims Expenses]], AN_TME_BY[[#All],[Insurance Category Code]],3, AN_TME_BY[[#All],[Advanced Network/Insurance Carrier Org ID]],B210),2))</f>
        <v>TRUE</v>
      </c>
      <c r="L210" s="534" t="str">
        <f>IF(ROUND(G210,0)=ROUND(SUMIFS(AN_TME_BY[[#All],[TOTAL Truncated Unadjusted Claims Expenses (A21 -A19)]], AN_TME_BY[[#All],[Insurance Category Code]],3, AN_TME_BY[[#All],[Advanced Network/Insurance Carrier Org ID]],B210),0), "TRUE", ROUND(G210-SUMIFS(AN_TME_BY[[#All],[TOTAL Truncated Unadjusted Claims Expenses (A21 -A19)]], AN_TME_BY[[#All],[Insurance Category Code]],3, AN_TME_BY[[#All],[Advanced Network/Insurance Carrier Org ID]],B210),2))</f>
        <v>TRUE</v>
      </c>
      <c r="M210" s="525" t="str">
        <f t="shared" si="21"/>
        <v>TRUE</v>
      </c>
      <c r="N210" s="533" t="b">
        <f>ROUND(SUMIFS(AN_TME_BY[[#All],[TOTAL Non-Truncated Unadjusted Claims Expenses]], AN_TME_BY[[#All],[Insurance Category Code]],3, AN_TME_BY[[#All],[Advanced Network/Insurance Carrier Org ID]],B210),2)&gt;=ROUND(SUMIFS(AN_TME_BY[[#All],[TOTAL Truncated Unadjusted Claims Expenses (A21 -A19)]], AN_TME_BY[[#All],[Insurance Category Code]],3, AN_TME_BY[[#All],[Advanced Network/Insurance Carrier Org ID]],B210),2)</f>
        <v>1</v>
      </c>
      <c r="O210" s="534" t="b">
        <f>ROUND(SUMIFS(AN_TME_BY[[#All],[TOTAL Truncated Unadjusted Claims Expenses (A21 -A19)]], AN_TME_BY[[#All],[Insurance Category Code]],3, AN_TME_BY[[#All],[Advanced Network/Insurance Carrier Org ID]],B210)+SUMIFS(AN_TME_BY[[#All],[Total Claims Excluded because of Truncation]], AN_TME_BY[[#All],[Insurance Category Code]],3, AN_TME_BY[[#All],[Advanced Network/Insurance Carrier Org ID]],B210),2)=ROUND(SUMIFS(AN_TME_BY[[#All],[TOTAL Non-Truncated Unadjusted Claims Expenses]], AN_TME_BY[[#All],[Insurance Category Code]],3, AN_TME_BY[[#All],[Advanced Network/Insurance Carrier Org ID]],B210), 2)</f>
        <v>1</v>
      </c>
      <c r="Q210" s="216">
        <v>113</v>
      </c>
      <c r="R210" s="404">
        <f>ROUND(SUMIFS(Age_Sex_PY[[#All],[Total Member Months by Age/Sex Band]], Age_Sex_PY[[#All],[Advanced Network ID]], $Q210, Age_Sex_PY[[#All],[Insurance Category Code]],3), 2)</f>
        <v>0</v>
      </c>
      <c r="S210" s="238">
        <f>ROUND(SUMIFS(Age_Sex_PY[[#All],[Total Dollars Excluded from Spending After Applying Truncation at the Member Level]], Age_Sex_PY[[#All],[Advanced Network ID]], $B210, Age_Sex_PY[[#All],[Insurance Category Code]],3), 2)</f>
        <v>0</v>
      </c>
      <c r="T210" s="209">
        <f>ROUND(SUMIFS(Age_Sex_PY[[#All],[Count of Members whose Spending was Truncated]], Age_Sex_PY[[#All],[Advanced Network ID]], $B210, Age_Sex_PY[[#All],[Insurance Category Code]],3),2)</f>
        <v>0</v>
      </c>
      <c r="U210" s="210">
        <f>ROUND(SUMIFS(Age_Sex_PY[[#All],[Total Spending before Truncation is Applied]], Age_Sex_PY[[#All],[Advanced Network ID]], $B210, Age_Sex_PY[[#All],[Insurance Category Code]],3),2)</f>
        <v>0</v>
      </c>
      <c r="V210" s="212">
        <f>ROUND(SUMIFS(Age_Sex_PY[[#All],[Total Spending After Applying Truncation at the Member Level]], Age_Sex_PY[[#All],[Advanced Network ID]], $B210, Age_Sex_PY[[#All],[Insurance Category Code]],3),2)</f>
        <v>0</v>
      </c>
      <c r="W210" s="525" t="str">
        <f>IF(ROUND(R210,0)=ROUND(SUMIFS(AN_TME_PY[[#All],[Member Months]], AN_TME_PY[[#All],[Insurance Category Code]],3, AN_TME_PY[[#All],[Advanced Network/Insurance Carrier Org ID]],Q210),0), "TRUE", ROUND(R210-SUMIFS(AN_TME_PY[[#All],[Member Months]], AN_TME_PY[[#All],[Insurance Category Code]],3, AN_TME_PY[[#All],[Advanced Network/Insurance Carrier Org ID]],Q210),2))</f>
        <v>TRUE</v>
      </c>
      <c r="X210" s="527" t="str">
        <f>IF(ROUND(S210,0)=ROUND(SUMIFS(AN_TME_PY[[#All],[Total Claims Excluded because of Truncation]], AN_TME_PY[[#All],[Insurance Category Code]],3, AN_TME_PY[[#All],[Advanced Network/Insurance Carrier Org ID]],Q210),0), "TRUE", ROUND(S210-SUMIFS(AN_TME_PY[[#All],[Total Claims Excluded because of Truncation]], AN_TME_PY[[#All],[Insurance Category Code]],3, AN_TME_PY[[#All],[Advanced Network/Insurance Carrier Org ID]],Q210),2))</f>
        <v>TRUE</v>
      </c>
      <c r="Y210" s="537" t="str">
        <f>IF(ROUND(T210,0)=ROUND(SUMIFS(AN_TME_PY[[#All],[Count of Members with Claims Truncated]], AN_TME_PY[[#All],[Insurance Category Code]],3, AN_TME_PY[[#All],[Advanced Network/Insurance Carrier Org ID]],Q210),0), "TRUE", ROUND(T210-SUMIFS(AN_TME_PY[[#All],[Count of Members with Claims Truncated]], AN_TME_PY[[#All],[Insurance Category Code]],3, AN_TME_PY[[#All],[Advanced Network/Insurance Carrier Org ID]],Q210),2))</f>
        <v>TRUE</v>
      </c>
      <c r="Z210" s="528" t="str">
        <f>IF(ROUND(U210,0)=ROUND(SUMIFS(AN_TME_PY[[#All],[TOTAL Non-Truncated Unadjusted Claims Expenses]], AN_TME_PY[[#All],[Insurance Category Code]],3, AN_TME_PY[[#All],[Advanced Network/Insurance Carrier Org ID]],Q210),0), "TRUE", ROUND(U210-SUMIFS(AN_TME_PY[[#All],[TOTAL Non-Truncated Unadjusted Claims Expenses]], AN_TME_PY[[#All],[Insurance Category Code]],3, AN_TME_PY[[#All],[Advanced Network/Insurance Carrier Org ID]],Q210),2))</f>
        <v>TRUE</v>
      </c>
      <c r="AA210" s="529" t="str">
        <f>IF(ROUND(V210,0)=ROUND(SUMIFS(AN_TME_PY[[#All],[TOTAL Truncated Unadjusted Claims Expenses (A21 -A19)]], AN_TME_PY[[#All],[Insurance Category Code]],3, AN_TME_PY[[#All],[Advanced Network/Insurance Carrier Org ID]],Q210),0), "TRUE", ROUND(V210-SUMIFS(AN_TME_PY[[#All],[TOTAL Truncated Unadjusted Claims Expenses (A21 -A19)]], AN_TME_PY[[#All],[Insurance Category Code]],3, AN_TME_PY[[#All],[Advanced Network/Insurance Carrier Org ID]],Q210),2))</f>
        <v>TRUE</v>
      </c>
      <c r="AB210" s="525" t="str">
        <f t="shared" si="24"/>
        <v>TRUE</v>
      </c>
      <c r="AC210" s="528" t="b">
        <f>ROUND(SUMIFS(AN_TME_PY[[#All],[TOTAL Non-Truncated Unadjusted Claims Expenses]], AN_TME_PY[[#All],[Insurance Category Code]],3, AN_TME_PY[[#All],[Advanced Network/Insurance Carrier Org ID]],Q210),2)&gt;=ROUND(SUMIFS(AN_TME_PY[[#All],[TOTAL Truncated Unadjusted Claims Expenses (A21 -A19)]], AN_TME_PY[[#All],[Insurance Category Code]],3, AN_TME_PY[[#All],[Advanced Network/Insurance Carrier Org ID]],Q210), 2)</f>
        <v>1</v>
      </c>
      <c r="AD210" s="529" t="b">
        <f>ROUND(SUMIFS(AN_TME_PY[[#All],[TOTAL Truncated Unadjusted Claims Expenses (A21 -A19)]], AN_TME_PY[[#All],[Insurance Category Code]],3, AN_TME_PY[[#All],[Advanced Network/Insurance Carrier Org ID]],Q210)+SUMIFS(AN_TME_PY[[#All],[Total Claims Excluded because of Truncation]], AN_TME_PY[[#All],[Insurance Category Code]],3, AN_TME_PY[[#All],[Advanced Network/Insurance Carrier Org ID]],Q210),2)=ROUND(SUMIFS(AN_TME_PY[[#All],[TOTAL Non-Truncated Unadjusted Claims Expenses]], AN_TME_PY[[#All],[Insurance Category Code]],3, AN_TME_PY[[#All],[Advanced Network/Insurance Carrier Org ID]],Q210),2)</f>
        <v>1</v>
      </c>
      <c r="AF210" s="283" t="str">
        <f t="shared" si="23"/>
        <v>NA</v>
      </c>
    </row>
    <row r="211" spans="2:32" outlineLevel="1" x14ac:dyDescent="0.25">
      <c r="B211" s="216">
        <v>114</v>
      </c>
      <c r="C211" s="404">
        <f>ROUND(SUMIFS(Age_Sex_BY[[#All],[Total Member Months by Age/Sex Band]], Age_Sex_BY[[#All],[Advanced Network ID]], $B211, Age_Sex_BY[[#All],[Insurance Category Code]],3),2)</f>
        <v>0</v>
      </c>
      <c r="D211" s="238">
        <f>ROUND(SUMIFS(Age_Sex_BY[[#All],[Total Dollars Excluded from Spending After Applying Truncation at the Member Level]], Age_Sex_BY[[#All],[Advanced Network ID]], $B211, Age_Sex_BY[[#All],[Insurance Category Code]],3),2)</f>
        <v>0</v>
      </c>
      <c r="E211" s="209">
        <f>ROUND(SUMIFS(Age_Sex_BY[[#All],[Count of Members whose Spending was Truncated]], Age_Sex_BY[[#All],[Advanced Network ID]], $B211, Age_Sex_BY[[#All],[Insurance Category Code]],3),2)</f>
        <v>0</v>
      </c>
      <c r="F211" s="210">
        <f>ROUND(SUMIFS(Age_Sex_BY[[#All],[Total Spending before Truncation is Applied]], Age_Sex_BY[[#All],[Advanced Network ID]], $B211, Age_Sex_BY[[#All],[Insurance Category Code]],3),2)</f>
        <v>0</v>
      </c>
      <c r="G211" s="212">
        <f>ROUND(SUMIFS(Age_Sex_BY[[#All],[Total Spending After Applying Truncation at the Member Level]], Age_Sex_BY[[#All],[Advanced Network ID]], $B211, Age_Sex_BY[[#All],[Insurance Category Code]],3), 2)</f>
        <v>0</v>
      </c>
      <c r="H211" s="525" t="str">
        <f>IF(ROUND(C211,0)=ROUND(SUMIFS(AN_TME_BY[[#All],[Member Months]], AN_TME_BY[[#All],[Insurance Category Code]],3, AN_TME_BY[[#All],[Advanced Network/Insurance Carrier Org ID]],B211),0), "TRUE", ROUND(C211-SUMIFS(AN_TME_BY[[#All],[Member Months]], AN_TME_BY[[#All],[Insurance Category Code]],3, AN_TME_BY[[#All],[Advanced Network/Insurance Carrier Org ID]],B211),2))</f>
        <v>TRUE</v>
      </c>
      <c r="I211" s="533" t="str">
        <f>IF(ROUND(D211,0)=ROUND(SUMIFS(AN_TME_BY[[#All],[Total Claims Excluded because of Truncation]], AN_TME_BY[[#All],[Insurance Category Code]],3, AN_TME_BY[[#All],[Advanced Network/Insurance Carrier Org ID]],B211),0), "TRUE", ROUND(D211-SUMIFS(AN_TME_BY[[#All],[Total Claims Excluded because of Truncation]], AN_TME_BY[[#All],[Insurance Category Code]],3, AN_TME_BY[[#All],[Advanced Network/Insurance Carrier Org ID]],B211),2))</f>
        <v>TRUE</v>
      </c>
      <c r="J211" s="537" t="str">
        <f>IF(ROUND(E211,0)=ROUND(SUMIFS(AN_TME_BY[[#All],[Count of Members with Claims Truncated]], AN_TME_BY[[#All],[Insurance Category Code]],3, AN_TME_BY[[#All],[Advanced Network/Insurance Carrier Org ID]],B211),0), "TRUE", ROUND(E211-SUMIFS(AN_TME_BY[[#All],[Count of Members with Claims Truncated]], AN_TME_BY[[#All],[Insurance Category Code]],3, AN_TME_BY[[#All],[Advanced Network/Insurance Carrier Org ID]],B211),2))</f>
        <v>TRUE</v>
      </c>
      <c r="K211" s="533" t="str">
        <f>IF(ROUND(F211,0)=ROUND(SUMIFS(AN_TME_BY[[#All],[TOTAL Non-Truncated Unadjusted Claims Expenses]], AN_TME_BY[[#All],[Insurance Category Code]],3, AN_TME_BY[[#All],[Advanced Network/Insurance Carrier Org ID]],B211),0), "TRUE", ROUND(F211-SUMIFS(AN_TME_BY[[#All],[TOTAL Non-Truncated Unadjusted Claims Expenses]], AN_TME_BY[[#All],[Insurance Category Code]],3, AN_TME_BY[[#All],[Advanced Network/Insurance Carrier Org ID]],B211),2))</f>
        <v>TRUE</v>
      </c>
      <c r="L211" s="534" t="str">
        <f>IF(ROUND(G211,0)=ROUND(SUMIFS(AN_TME_BY[[#All],[TOTAL Truncated Unadjusted Claims Expenses (A21 -A19)]], AN_TME_BY[[#All],[Insurance Category Code]],3, AN_TME_BY[[#All],[Advanced Network/Insurance Carrier Org ID]],B211),0), "TRUE", ROUND(G211-SUMIFS(AN_TME_BY[[#All],[TOTAL Truncated Unadjusted Claims Expenses (A21 -A19)]], AN_TME_BY[[#All],[Insurance Category Code]],3, AN_TME_BY[[#All],[Advanced Network/Insurance Carrier Org ID]],B211),2))</f>
        <v>TRUE</v>
      </c>
      <c r="M211" s="525" t="str">
        <f t="shared" si="21"/>
        <v>TRUE</v>
      </c>
      <c r="N211" s="533" t="b">
        <f>ROUND(SUMIFS(AN_TME_BY[[#All],[TOTAL Non-Truncated Unadjusted Claims Expenses]], AN_TME_BY[[#All],[Insurance Category Code]],3, AN_TME_BY[[#All],[Advanced Network/Insurance Carrier Org ID]],B211),2)&gt;=ROUND(SUMIFS(AN_TME_BY[[#All],[TOTAL Truncated Unadjusted Claims Expenses (A21 -A19)]], AN_TME_BY[[#All],[Insurance Category Code]],3, AN_TME_BY[[#All],[Advanced Network/Insurance Carrier Org ID]],B211),2)</f>
        <v>1</v>
      </c>
      <c r="O211" s="534" t="b">
        <f>ROUND(SUMIFS(AN_TME_BY[[#All],[TOTAL Truncated Unadjusted Claims Expenses (A21 -A19)]], AN_TME_BY[[#All],[Insurance Category Code]],3, AN_TME_BY[[#All],[Advanced Network/Insurance Carrier Org ID]],B211)+SUMIFS(AN_TME_BY[[#All],[Total Claims Excluded because of Truncation]], AN_TME_BY[[#All],[Insurance Category Code]],3, AN_TME_BY[[#All],[Advanced Network/Insurance Carrier Org ID]],B211),2)=ROUND(SUMIFS(AN_TME_BY[[#All],[TOTAL Non-Truncated Unadjusted Claims Expenses]], AN_TME_BY[[#All],[Insurance Category Code]],3, AN_TME_BY[[#All],[Advanced Network/Insurance Carrier Org ID]],B211), 2)</f>
        <v>1</v>
      </c>
      <c r="Q211" s="216">
        <v>114</v>
      </c>
      <c r="R211" s="404">
        <f>ROUND(SUMIFS(Age_Sex_PY[[#All],[Total Member Months by Age/Sex Band]], Age_Sex_PY[[#All],[Advanced Network ID]], $Q211, Age_Sex_PY[[#All],[Insurance Category Code]],3), 2)</f>
        <v>0</v>
      </c>
      <c r="S211" s="238">
        <f>ROUND(SUMIFS(Age_Sex_PY[[#All],[Total Dollars Excluded from Spending After Applying Truncation at the Member Level]], Age_Sex_PY[[#All],[Advanced Network ID]], $B211, Age_Sex_PY[[#All],[Insurance Category Code]],3), 2)</f>
        <v>0</v>
      </c>
      <c r="T211" s="209">
        <f>ROUND(SUMIFS(Age_Sex_PY[[#All],[Count of Members whose Spending was Truncated]], Age_Sex_PY[[#All],[Advanced Network ID]], $B211, Age_Sex_PY[[#All],[Insurance Category Code]],3),2)</f>
        <v>0</v>
      </c>
      <c r="U211" s="210">
        <f>ROUND(SUMIFS(Age_Sex_PY[[#All],[Total Spending before Truncation is Applied]], Age_Sex_PY[[#All],[Advanced Network ID]], $B211, Age_Sex_PY[[#All],[Insurance Category Code]],3),2)</f>
        <v>0</v>
      </c>
      <c r="V211" s="212">
        <f>ROUND(SUMIFS(Age_Sex_PY[[#All],[Total Spending After Applying Truncation at the Member Level]], Age_Sex_PY[[#All],[Advanced Network ID]], $B211, Age_Sex_PY[[#All],[Insurance Category Code]],3),2)</f>
        <v>0</v>
      </c>
      <c r="W211" s="525" t="str">
        <f>IF(ROUND(R211,0)=ROUND(SUMIFS(AN_TME_PY[[#All],[Member Months]], AN_TME_PY[[#All],[Insurance Category Code]],3, AN_TME_PY[[#All],[Advanced Network/Insurance Carrier Org ID]],Q211),0), "TRUE", ROUND(R211-SUMIFS(AN_TME_PY[[#All],[Member Months]], AN_TME_PY[[#All],[Insurance Category Code]],3, AN_TME_PY[[#All],[Advanced Network/Insurance Carrier Org ID]],Q211),2))</f>
        <v>TRUE</v>
      </c>
      <c r="X211" s="527" t="str">
        <f>IF(ROUND(S211,0)=ROUND(SUMIFS(AN_TME_PY[[#All],[Total Claims Excluded because of Truncation]], AN_TME_PY[[#All],[Insurance Category Code]],3, AN_TME_PY[[#All],[Advanced Network/Insurance Carrier Org ID]],Q211),0), "TRUE", ROUND(S211-SUMIFS(AN_TME_PY[[#All],[Total Claims Excluded because of Truncation]], AN_TME_PY[[#All],[Insurance Category Code]],3, AN_TME_PY[[#All],[Advanced Network/Insurance Carrier Org ID]],Q211),2))</f>
        <v>TRUE</v>
      </c>
      <c r="Y211" s="537" t="str">
        <f>IF(ROUND(T211,0)=ROUND(SUMIFS(AN_TME_PY[[#All],[Count of Members with Claims Truncated]], AN_TME_PY[[#All],[Insurance Category Code]],3, AN_TME_PY[[#All],[Advanced Network/Insurance Carrier Org ID]],Q211),0), "TRUE", ROUND(T211-SUMIFS(AN_TME_PY[[#All],[Count of Members with Claims Truncated]], AN_TME_PY[[#All],[Insurance Category Code]],3, AN_TME_PY[[#All],[Advanced Network/Insurance Carrier Org ID]],Q211),2))</f>
        <v>TRUE</v>
      </c>
      <c r="Z211" s="528" t="str">
        <f>IF(ROUND(U211,0)=ROUND(SUMIFS(AN_TME_PY[[#All],[TOTAL Non-Truncated Unadjusted Claims Expenses]], AN_TME_PY[[#All],[Insurance Category Code]],3, AN_TME_PY[[#All],[Advanced Network/Insurance Carrier Org ID]],Q211),0), "TRUE", ROUND(U211-SUMIFS(AN_TME_PY[[#All],[TOTAL Non-Truncated Unadjusted Claims Expenses]], AN_TME_PY[[#All],[Insurance Category Code]],3, AN_TME_PY[[#All],[Advanced Network/Insurance Carrier Org ID]],Q211),2))</f>
        <v>TRUE</v>
      </c>
      <c r="AA211" s="529" t="str">
        <f>IF(ROUND(V211,0)=ROUND(SUMIFS(AN_TME_PY[[#All],[TOTAL Truncated Unadjusted Claims Expenses (A21 -A19)]], AN_TME_PY[[#All],[Insurance Category Code]],3, AN_TME_PY[[#All],[Advanced Network/Insurance Carrier Org ID]],Q211),0), "TRUE", ROUND(V211-SUMIFS(AN_TME_PY[[#All],[TOTAL Truncated Unadjusted Claims Expenses (A21 -A19)]], AN_TME_PY[[#All],[Insurance Category Code]],3, AN_TME_PY[[#All],[Advanced Network/Insurance Carrier Org ID]],Q211),2))</f>
        <v>TRUE</v>
      </c>
      <c r="AB211" s="525" t="str">
        <f t="shared" si="24"/>
        <v>TRUE</v>
      </c>
      <c r="AC211" s="528" t="b">
        <f>ROUND(SUMIFS(AN_TME_PY[[#All],[TOTAL Non-Truncated Unadjusted Claims Expenses]], AN_TME_PY[[#All],[Insurance Category Code]],3, AN_TME_PY[[#All],[Advanced Network/Insurance Carrier Org ID]],Q211),2)&gt;=ROUND(SUMIFS(AN_TME_PY[[#All],[TOTAL Truncated Unadjusted Claims Expenses (A21 -A19)]], AN_TME_PY[[#All],[Insurance Category Code]],3, AN_TME_PY[[#All],[Advanced Network/Insurance Carrier Org ID]],Q211), 2)</f>
        <v>1</v>
      </c>
      <c r="AD211" s="529" t="b">
        <f>ROUND(SUMIFS(AN_TME_PY[[#All],[TOTAL Truncated Unadjusted Claims Expenses (A21 -A19)]], AN_TME_PY[[#All],[Insurance Category Code]],3, AN_TME_PY[[#All],[Advanced Network/Insurance Carrier Org ID]],Q211)+SUMIFS(AN_TME_PY[[#All],[Total Claims Excluded because of Truncation]], AN_TME_PY[[#All],[Insurance Category Code]],3, AN_TME_PY[[#All],[Advanced Network/Insurance Carrier Org ID]],Q211),2)=ROUND(SUMIFS(AN_TME_PY[[#All],[TOTAL Non-Truncated Unadjusted Claims Expenses]], AN_TME_PY[[#All],[Insurance Category Code]],3, AN_TME_PY[[#All],[Advanced Network/Insurance Carrier Org ID]],Q211),2)</f>
        <v>1</v>
      </c>
      <c r="AF211" s="283" t="str">
        <f t="shared" si="23"/>
        <v>NA</v>
      </c>
    </row>
    <row r="212" spans="2:32" outlineLevel="1" x14ac:dyDescent="0.25">
      <c r="B212" s="216">
        <v>115</v>
      </c>
      <c r="C212" s="404">
        <f>ROUND(SUMIFS(Age_Sex_BY[[#All],[Total Member Months by Age/Sex Band]], Age_Sex_BY[[#All],[Advanced Network ID]], $B212, Age_Sex_BY[[#All],[Insurance Category Code]],3),2)</f>
        <v>0</v>
      </c>
      <c r="D212" s="238">
        <f>ROUND(SUMIFS(Age_Sex_BY[[#All],[Total Dollars Excluded from Spending After Applying Truncation at the Member Level]], Age_Sex_BY[[#All],[Advanced Network ID]], $B212, Age_Sex_BY[[#All],[Insurance Category Code]],3),2)</f>
        <v>0</v>
      </c>
      <c r="E212" s="209">
        <f>ROUND(SUMIFS(Age_Sex_BY[[#All],[Count of Members whose Spending was Truncated]], Age_Sex_BY[[#All],[Advanced Network ID]], $B212, Age_Sex_BY[[#All],[Insurance Category Code]],3),2)</f>
        <v>0</v>
      </c>
      <c r="F212" s="210">
        <f>ROUND(SUMIFS(Age_Sex_BY[[#All],[Total Spending before Truncation is Applied]], Age_Sex_BY[[#All],[Advanced Network ID]], $B212, Age_Sex_BY[[#All],[Insurance Category Code]],3),2)</f>
        <v>0</v>
      </c>
      <c r="G212" s="212">
        <f>ROUND(SUMIFS(Age_Sex_BY[[#All],[Total Spending After Applying Truncation at the Member Level]], Age_Sex_BY[[#All],[Advanced Network ID]], $B212, Age_Sex_BY[[#All],[Insurance Category Code]],3), 2)</f>
        <v>0</v>
      </c>
      <c r="H212" s="525" t="str">
        <f>IF(ROUND(C212,0)=ROUND(SUMIFS(AN_TME_BY[[#All],[Member Months]], AN_TME_BY[[#All],[Insurance Category Code]],3, AN_TME_BY[[#All],[Advanced Network/Insurance Carrier Org ID]],B212),0), "TRUE", ROUND(C212-SUMIFS(AN_TME_BY[[#All],[Member Months]], AN_TME_BY[[#All],[Insurance Category Code]],3, AN_TME_BY[[#All],[Advanced Network/Insurance Carrier Org ID]],B212),2))</f>
        <v>TRUE</v>
      </c>
      <c r="I212" s="533" t="str">
        <f>IF(ROUND(D212,0)=ROUND(SUMIFS(AN_TME_BY[[#All],[Total Claims Excluded because of Truncation]], AN_TME_BY[[#All],[Insurance Category Code]],3, AN_TME_BY[[#All],[Advanced Network/Insurance Carrier Org ID]],B212),0), "TRUE", ROUND(D212-SUMIFS(AN_TME_BY[[#All],[Total Claims Excluded because of Truncation]], AN_TME_BY[[#All],[Insurance Category Code]],3, AN_TME_BY[[#All],[Advanced Network/Insurance Carrier Org ID]],B212),2))</f>
        <v>TRUE</v>
      </c>
      <c r="J212" s="537" t="str">
        <f>IF(ROUND(E212,0)=ROUND(SUMIFS(AN_TME_BY[[#All],[Count of Members with Claims Truncated]], AN_TME_BY[[#All],[Insurance Category Code]],3, AN_TME_BY[[#All],[Advanced Network/Insurance Carrier Org ID]],B212),0), "TRUE", ROUND(E212-SUMIFS(AN_TME_BY[[#All],[Count of Members with Claims Truncated]], AN_TME_BY[[#All],[Insurance Category Code]],3, AN_TME_BY[[#All],[Advanced Network/Insurance Carrier Org ID]],B212),2))</f>
        <v>TRUE</v>
      </c>
      <c r="K212" s="533" t="str">
        <f>IF(ROUND(F212,0)=ROUND(SUMIFS(AN_TME_BY[[#All],[TOTAL Non-Truncated Unadjusted Claims Expenses]], AN_TME_BY[[#All],[Insurance Category Code]],3, AN_TME_BY[[#All],[Advanced Network/Insurance Carrier Org ID]],B212),0), "TRUE", ROUND(F212-SUMIFS(AN_TME_BY[[#All],[TOTAL Non-Truncated Unadjusted Claims Expenses]], AN_TME_BY[[#All],[Insurance Category Code]],3, AN_TME_BY[[#All],[Advanced Network/Insurance Carrier Org ID]],B212),2))</f>
        <v>TRUE</v>
      </c>
      <c r="L212" s="534" t="str">
        <f>IF(ROUND(G212,0)=ROUND(SUMIFS(AN_TME_BY[[#All],[TOTAL Truncated Unadjusted Claims Expenses (A21 -A19)]], AN_TME_BY[[#All],[Insurance Category Code]],3, AN_TME_BY[[#All],[Advanced Network/Insurance Carrier Org ID]],B212),0), "TRUE", ROUND(G212-SUMIFS(AN_TME_BY[[#All],[TOTAL Truncated Unadjusted Claims Expenses (A21 -A19)]], AN_TME_BY[[#All],[Insurance Category Code]],3, AN_TME_BY[[#All],[Advanced Network/Insurance Carrier Org ID]],B212),2))</f>
        <v>TRUE</v>
      </c>
      <c r="M212" s="525" t="str">
        <f t="shared" si="21"/>
        <v>TRUE</v>
      </c>
      <c r="N212" s="533" t="b">
        <f>ROUND(SUMIFS(AN_TME_BY[[#All],[TOTAL Non-Truncated Unadjusted Claims Expenses]], AN_TME_BY[[#All],[Insurance Category Code]],3, AN_TME_BY[[#All],[Advanced Network/Insurance Carrier Org ID]],B212),2)&gt;=ROUND(SUMIFS(AN_TME_BY[[#All],[TOTAL Truncated Unadjusted Claims Expenses (A21 -A19)]], AN_TME_BY[[#All],[Insurance Category Code]],3, AN_TME_BY[[#All],[Advanced Network/Insurance Carrier Org ID]],B212),2)</f>
        <v>1</v>
      </c>
      <c r="O212" s="534" t="b">
        <f>ROUND(SUMIFS(AN_TME_BY[[#All],[TOTAL Truncated Unadjusted Claims Expenses (A21 -A19)]], AN_TME_BY[[#All],[Insurance Category Code]],3, AN_TME_BY[[#All],[Advanced Network/Insurance Carrier Org ID]],B212)+SUMIFS(AN_TME_BY[[#All],[Total Claims Excluded because of Truncation]], AN_TME_BY[[#All],[Insurance Category Code]],3, AN_TME_BY[[#All],[Advanced Network/Insurance Carrier Org ID]],B212),2)=ROUND(SUMIFS(AN_TME_BY[[#All],[TOTAL Non-Truncated Unadjusted Claims Expenses]], AN_TME_BY[[#All],[Insurance Category Code]],3, AN_TME_BY[[#All],[Advanced Network/Insurance Carrier Org ID]],B212), 2)</f>
        <v>1</v>
      </c>
      <c r="Q212" s="216">
        <v>115</v>
      </c>
      <c r="R212" s="404">
        <f>ROUND(SUMIFS(Age_Sex_PY[[#All],[Total Member Months by Age/Sex Band]], Age_Sex_PY[[#All],[Advanced Network ID]], $Q212, Age_Sex_PY[[#All],[Insurance Category Code]],3), 2)</f>
        <v>0</v>
      </c>
      <c r="S212" s="238">
        <f>ROUND(SUMIFS(Age_Sex_PY[[#All],[Total Dollars Excluded from Spending After Applying Truncation at the Member Level]], Age_Sex_PY[[#All],[Advanced Network ID]], $B212, Age_Sex_PY[[#All],[Insurance Category Code]],3), 2)</f>
        <v>0</v>
      </c>
      <c r="T212" s="209">
        <f>ROUND(SUMIFS(Age_Sex_PY[[#All],[Count of Members whose Spending was Truncated]], Age_Sex_PY[[#All],[Advanced Network ID]], $B212, Age_Sex_PY[[#All],[Insurance Category Code]],3),2)</f>
        <v>0</v>
      </c>
      <c r="U212" s="210">
        <f>ROUND(SUMIFS(Age_Sex_PY[[#All],[Total Spending before Truncation is Applied]], Age_Sex_PY[[#All],[Advanced Network ID]], $B212, Age_Sex_PY[[#All],[Insurance Category Code]],3),2)</f>
        <v>0</v>
      </c>
      <c r="V212" s="212">
        <f>ROUND(SUMIFS(Age_Sex_PY[[#All],[Total Spending After Applying Truncation at the Member Level]], Age_Sex_PY[[#All],[Advanced Network ID]], $B212, Age_Sex_PY[[#All],[Insurance Category Code]],3),2)</f>
        <v>0</v>
      </c>
      <c r="W212" s="525" t="str">
        <f>IF(ROUND(R212,0)=ROUND(SUMIFS(AN_TME_PY[[#All],[Member Months]], AN_TME_PY[[#All],[Insurance Category Code]],3, AN_TME_PY[[#All],[Advanced Network/Insurance Carrier Org ID]],Q212),0), "TRUE", ROUND(R212-SUMIFS(AN_TME_PY[[#All],[Member Months]], AN_TME_PY[[#All],[Insurance Category Code]],3, AN_TME_PY[[#All],[Advanced Network/Insurance Carrier Org ID]],Q212),2))</f>
        <v>TRUE</v>
      </c>
      <c r="X212" s="527" t="str">
        <f>IF(ROUND(S212,0)=ROUND(SUMIFS(AN_TME_PY[[#All],[Total Claims Excluded because of Truncation]], AN_TME_PY[[#All],[Insurance Category Code]],3, AN_TME_PY[[#All],[Advanced Network/Insurance Carrier Org ID]],Q212),0), "TRUE", ROUND(S212-SUMIFS(AN_TME_PY[[#All],[Total Claims Excluded because of Truncation]], AN_TME_PY[[#All],[Insurance Category Code]],3, AN_TME_PY[[#All],[Advanced Network/Insurance Carrier Org ID]],Q212),2))</f>
        <v>TRUE</v>
      </c>
      <c r="Y212" s="537" t="str">
        <f>IF(ROUND(T212,0)=ROUND(SUMIFS(AN_TME_PY[[#All],[Count of Members with Claims Truncated]], AN_TME_PY[[#All],[Insurance Category Code]],3, AN_TME_PY[[#All],[Advanced Network/Insurance Carrier Org ID]],Q212),0), "TRUE", ROUND(T212-SUMIFS(AN_TME_PY[[#All],[Count of Members with Claims Truncated]], AN_TME_PY[[#All],[Insurance Category Code]],3, AN_TME_PY[[#All],[Advanced Network/Insurance Carrier Org ID]],Q212),2))</f>
        <v>TRUE</v>
      </c>
      <c r="Z212" s="528" t="str">
        <f>IF(ROUND(U212,0)=ROUND(SUMIFS(AN_TME_PY[[#All],[TOTAL Non-Truncated Unadjusted Claims Expenses]], AN_TME_PY[[#All],[Insurance Category Code]],3, AN_TME_PY[[#All],[Advanced Network/Insurance Carrier Org ID]],Q212),0), "TRUE", ROUND(U212-SUMIFS(AN_TME_PY[[#All],[TOTAL Non-Truncated Unadjusted Claims Expenses]], AN_TME_PY[[#All],[Insurance Category Code]],3, AN_TME_PY[[#All],[Advanced Network/Insurance Carrier Org ID]],Q212),2))</f>
        <v>TRUE</v>
      </c>
      <c r="AA212" s="529" t="str">
        <f>IF(ROUND(V212,0)=ROUND(SUMIFS(AN_TME_PY[[#All],[TOTAL Truncated Unadjusted Claims Expenses (A21 -A19)]], AN_TME_PY[[#All],[Insurance Category Code]],3, AN_TME_PY[[#All],[Advanced Network/Insurance Carrier Org ID]],Q212),0), "TRUE", ROUND(V212-SUMIFS(AN_TME_PY[[#All],[TOTAL Truncated Unadjusted Claims Expenses (A21 -A19)]], AN_TME_PY[[#All],[Insurance Category Code]],3, AN_TME_PY[[#All],[Advanced Network/Insurance Carrier Org ID]],Q212),2))</f>
        <v>TRUE</v>
      </c>
      <c r="AB212" s="525" t="str">
        <f t="shared" si="24"/>
        <v>TRUE</v>
      </c>
      <c r="AC212" s="528" t="b">
        <f>ROUND(SUMIFS(AN_TME_PY[[#All],[TOTAL Non-Truncated Unadjusted Claims Expenses]], AN_TME_PY[[#All],[Insurance Category Code]],3, AN_TME_PY[[#All],[Advanced Network/Insurance Carrier Org ID]],Q212),2)&gt;=ROUND(SUMIFS(AN_TME_PY[[#All],[TOTAL Truncated Unadjusted Claims Expenses (A21 -A19)]], AN_TME_PY[[#All],[Insurance Category Code]],3, AN_TME_PY[[#All],[Advanced Network/Insurance Carrier Org ID]],Q212), 2)</f>
        <v>1</v>
      </c>
      <c r="AD212" s="529" t="b">
        <f>ROUND(SUMIFS(AN_TME_PY[[#All],[TOTAL Truncated Unadjusted Claims Expenses (A21 -A19)]], AN_TME_PY[[#All],[Insurance Category Code]],3, AN_TME_PY[[#All],[Advanced Network/Insurance Carrier Org ID]],Q212)+SUMIFS(AN_TME_PY[[#All],[Total Claims Excluded because of Truncation]], AN_TME_PY[[#All],[Insurance Category Code]],3, AN_TME_PY[[#All],[Advanced Network/Insurance Carrier Org ID]],Q212),2)=ROUND(SUMIFS(AN_TME_PY[[#All],[TOTAL Non-Truncated Unadjusted Claims Expenses]], AN_TME_PY[[#All],[Insurance Category Code]],3, AN_TME_PY[[#All],[Advanced Network/Insurance Carrier Org ID]],Q212),2)</f>
        <v>1</v>
      </c>
      <c r="AF212" s="283" t="str">
        <f t="shared" si="23"/>
        <v>NA</v>
      </c>
    </row>
    <row r="213" spans="2:32" outlineLevel="1" x14ac:dyDescent="0.25">
      <c r="B213" s="216">
        <v>116</v>
      </c>
      <c r="C213" s="404">
        <f>ROUND(SUMIFS(Age_Sex_BY[[#All],[Total Member Months by Age/Sex Band]], Age_Sex_BY[[#All],[Advanced Network ID]], $B213, Age_Sex_BY[[#All],[Insurance Category Code]],3),2)</f>
        <v>0</v>
      </c>
      <c r="D213" s="238">
        <f>ROUND(SUMIFS(Age_Sex_BY[[#All],[Total Dollars Excluded from Spending After Applying Truncation at the Member Level]], Age_Sex_BY[[#All],[Advanced Network ID]], $B213, Age_Sex_BY[[#All],[Insurance Category Code]],3),2)</f>
        <v>0</v>
      </c>
      <c r="E213" s="209">
        <f>ROUND(SUMIFS(Age_Sex_BY[[#All],[Count of Members whose Spending was Truncated]], Age_Sex_BY[[#All],[Advanced Network ID]], $B213, Age_Sex_BY[[#All],[Insurance Category Code]],3),2)</f>
        <v>0</v>
      </c>
      <c r="F213" s="210">
        <f>ROUND(SUMIFS(Age_Sex_BY[[#All],[Total Spending before Truncation is Applied]], Age_Sex_BY[[#All],[Advanced Network ID]], $B213, Age_Sex_BY[[#All],[Insurance Category Code]],3),2)</f>
        <v>0</v>
      </c>
      <c r="G213" s="212">
        <f>ROUND(SUMIFS(Age_Sex_BY[[#All],[Total Spending After Applying Truncation at the Member Level]], Age_Sex_BY[[#All],[Advanced Network ID]], $B213, Age_Sex_BY[[#All],[Insurance Category Code]],3), 2)</f>
        <v>0</v>
      </c>
      <c r="H213" s="525" t="str">
        <f>IF(ROUND(C213,0)=ROUND(SUMIFS(AN_TME_BY[[#All],[Member Months]], AN_TME_BY[[#All],[Insurance Category Code]],3, AN_TME_BY[[#All],[Advanced Network/Insurance Carrier Org ID]],B213),0), "TRUE", ROUND(C213-SUMIFS(AN_TME_BY[[#All],[Member Months]], AN_TME_BY[[#All],[Insurance Category Code]],3, AN_TME_BY[[#All],[Advanced Network/Insurance Carrier Org ID]],B213),2))</f>
        <v>TRUE</v>
      </c>
      <c r="I213" s="533" t="str">
        <f>IF(ROUND(D213,0)=ROUND(SUMIFS(AN_TME_BY[[#All],[Total Claims Excluded because of Truncation]], AN_TME_BY[[#All],[Insurance Category Code]],3, AN_TME_BY[[#All],[Advanced Network/Insurance Carrier Org ID]],B213),0), "TRUE", ROUND(D213-SUMIFS(AN_TME_BY[[#All],[Total Claims Excluded because of Truncation]], AN_TME_BY[[#All],[Insurance Category Code]],3, AN_TME_BY[[#All],[Advanced Network/Insurance Carrier Org ID]],B213),2))</f>
        <v>TRUE</v>
      </c>
      <c r="J213" s="537" t="str">
        <f>IF(ROUND(E213,0)=ROUND(SUMIFS(AN_TME_BY[[#All],[Count of Members with Claims Truncated]], AN_TME_BY[[#All],[Insurance Category Code]],3, AN_TME_BY[[#All],[Advanced Network/Insurance Carrier Org ID]],B213),0), "TRUE", ROUND(E213-SUMIFS(AN_TME_BY[[#All],[Count of Members with Claims Truncated]], AN_TME_BY[[#All],[Insurance Category Code]],3, AN_TME_BY[[#All],[Advanced Network/Insurance Carrier Org ID]],B213),2))</f>
        <v>TRUE</v>
      </c>
      <c r="K213" s="533" t="str">
        <f>IF(ROUND(F213,0)=ROUND(SUMIFS(AN_TME_BY[[#All],[TOTAL Non-Truncated Unadjusted Claims Expenses]], AN_TME_BY[[#All],[Insurance Category Code]],3, AN_TME_BY[[#All],[Advanced Network/Insurance Carrier Org ID]],B213),0), "TRUE", ROUND(F213-SUMIFS(AN_TME_BY[[#All],[TOTAL Non-Truncated Unadjusted Claims Expenses]], AN_TME_BY[[#All],[Insurance Category Code]],3, AN_TME_BY[[#All],[Advanced Network/Insurance Carrier Org ID]],B213),2))</f>
        <v>TRUE</v>
      </c>
      <c r="L213" s="534" t="str">
        <f>IF(ROUND(G213,0)=ROUND(SUMIFS(AN_TME_BY[[#All],[TOTAL Truncated Unadjusted Claims Expenses (A21 -A19)]], AN_TME_BY[[#All],[Insurance Category Code]],3, AN_TME_BY[[#All],[Advanced Network/Insurance Carrier Org ID]],B213),0), "TRUE", ROUND(G213-SUMIFS(AN_TME_BY[[#All],[TOTAL Truncated Unadjusted Claims Expenses (A21 -A19)]], AN_TME_BY[[#All],[Insurance Category Code]],3, AN_TME_BY[[#All],[Advanced Network/Insurance Carrier Org ID]],B213),2))</f>
        <v>TRUE</v>
      </c>
      <c r="M213" s="525" t="str">
        <f t="shared" si="21"/>
        <v>TRUE</v>
      </c>
      <c r="N213" s="533" t="b">
        <f>ROUND(SUMIFS(AN_TME_BY[[#All],[TOTAL Non-Truncated Unadjusted Claims Expenses]], AN_TME_BY[[#All],[Insurance Category Code]],3, AN_TME_BY[[#All],[Advanced Network/Insurance Carrier Org ID]],B213),2)&gt;=ROUND(SUMIFS(AN_TME_BY[[#All],[TOTAL Truncated Unadjusted Claims Expenses (A21 -A19)]], AN_TME_BY[[#All],[Insurance Category Code]],3, AN_TME_BY[[#All],[Advanced Network/Insurance Carrier Org ID]],B213),2)</f>
        <v>1</v>
      </c>
      <c r="O213" s="534" t="b">
        <f>ROUND(SUMIFS(AN_TME_BY[[#All],[TOTAL Truncated Unadjusted Claims Expenses (A21 -A19)]], AN_TME_BY[[#All],[Insurance Category Code]],3, AN_TME_BY[[#All],[Advanced Network/Insurance Carrier Org ID]],B213)+SUMIFS(AN_TME_BY[[#All],[Total Claims Excluded because of Truncation]], AN_TME_BY[[#All],[Insurance Category Code]],3, AN_TME_BY[[#All],[Advanced Network/Insurance Carrier Org ID]],B213),2)=ROUND(SUMIFS(AN_TME_BY[[#All],[TOTAL Non-Truncated Unadjusted Claims Expenses]], AN_TME_BY[[#All],[Insurance Category Code]],3, AN_TME_BY[[#All],[Advanced Network/Insurance Carrier Org ID]],B213), 2)</f>
        <v>1</v>
      </c>
      <c r="Q213" s="216">
        <v>116</v>
      </c>
      <c r="R213" s="404">
        <f>ROUND(SUMIFS(Age_Sex_PY[[#All],[Total Member Months by Age/Sex Band]], Age_Sex_PY[[#All],[Advanced Network ID]], $Q213, Age_Sex_PY[[#All],[Insurance Category Code]],3), 2)</f>
        <v>0</v>
      </c>
      <c r="S213" s="238">
        <f>ROUND(SUMIFS(Age_Sex_PY[[#All],[Total Dollars Excluded from Spending After Applying Truncation at the Member Level]], Age_Sex_PY[[#All],[Advanced Network ID]], $B213, Age_Sex_PY[[#All],[Insurance Category Code]],3), 2)</f>
        <v>0</v>
      </c>
      <c r="T213" s="209">
        <f>ROUND(SUMIFS(Age_Sex_PY[[#All],[Count of Members whose Spending was Truncated]], Age_Sex_PY[[#All],[Advanced Network ID]], $B213, Age_Sex_PY[[#All],[Insurance Category Code]],3),2)</f>
        <v>0</v>
      </c>
      <c r="U213" s="210">
        <f>ROUND(SUMIFS(Age_Sex_PY[[#All],[Total Spending before Truncation is Applied]], Age_Sex_PY[[#All],[Advanced Network ID]], $B213, Age_Sex_PY[[#All],[Insurance Category Code]],3),2)</f>
        <v>0</v>
      </c>
      <c r="V213" s="212">
        <f>ROUND(SUMIFS(Age_Sex_PY[[#All],[Total Spending After Applying Truncation at the Member Level]], Age_Sex_PY[[#All],[Advanced Network ID]], $B213, Age_Sex_PY[[#All],[Insurance Category Code]],3),2)</f>
        <v>0</v>
      </c>
      <c r="W213" s="525" t="str">
        <f>IF(ROUND(R213,0)=ROUND(SUMIFS(AN_TME_PY[[#All],[Member Months]], AN_TME_PY[[#All],[Insurance Category Code]],3, AN_TME_PY[[#All],[Advanced Network/Insurance Carrier Org ID]],Q213),0), "TRUE", ROUND(R213-SUMIFS(AN_TME_PY[[#All],[Member Months]], AN_TME_PY[[#All],[Insurance Category Code]],3, AN_TME_PY[[#All],[Advanced Network/Insurance Carrier Org ID]],Q213),2))</f>
        <v>TRUE</v>
      </c>
      <c r="X213" s="527" t="str">
        <f>IF(ROUND(S213,0)=ROUND(SUMIFS(AN_TME_PY[[#All],[Total Claims Excluded because of Truncation]], AN_TME_PY[[#All],[Insurance Category Code]],3, AN_TME_PY[[#All],[Advanced Network/Insurance Carrier Org ID]],Q213),0), "TRUE", ROUND(S213-SUMIFS(AN_TME_PY[[#All],[Total Claims Excluded because of Truncation]], AN_TME_PY[[#All],[Insurance Category Code]],3, AN_TME_PY[[#All],[Advanced Network/Insurance Carrier Org ID]],Q213),2))</f>
        <v>TRUE</v>
      </c>
      <c r="Y213" s="537" t="str">
        <f>IF(ROUND(T213,0)=ROUND(SUMIFS(AN_TME_PY[[#All],[Count of Members with Claims Truncated]], AN_TME_PY[[#All],[Insurance Category Code]],3, AN_TME_PY[[#All],[Advanced Network/Insurance Carrier Org ID]],Q213),0), "TRUE", ROUND(T213-SUMIFS(AN_TME_PY[[#All],[Count of Members with Claims Truncated]], AN_TME_PY[[#All],[Insurance Category Code]],3, AN_TME_PY[[#All],[Advanced Network/Insurance Carrier Org ID]],Q213),2))</f>
        <v>TRUE</v>
      </c>
      <c r="Z213" s="528" t="str">
        <f>IF(ROUND(U213,0)=ROUND(SUMIFS(AN_TME_PY[[#All],[TOTAL Non-Truncated Unadjusted Claims Expenses]], AN_TME_PY[[#All],[Insurance Category Code]],3, AN_TME_PY[[#All],[Advanced Network/Insurance Carrier Org ID]],Q213),0), "TRUE", ROUND(U213-SUMIFS(AN_TME_PY[[#All],[TOTAL Non-Truncated Unadjusted Claims Expenses]], AN_TME_PY[[#All],[Insurance Category Code]],3, AN_TME_PY[[#All],[Advanced Network/Insurance Carrier Org ID]],Q213),2))</f>
        <v>TRUE</v>
      </c>
      <c r="AA213" s="529" t="str">
        <f>IF(ROUND(V213,0)=ROUND(SUMIFS(AN_TME_PY[[#All],[TOTAL Truncated Unadjusted Claims Expenses (A21 -A19)]], AN_TME_PY[[#All],[Insurance Category Code]],3, AN_TME_PY[[#All],[Advanced Network/Insurance Carrier Org ID]],Q213),0), "TRUE", ROUND(V213-SUMIFS(AN_TME_PY[[#All],[TOTAL Truncated Unadjusted Claims Expenses (A21 -A19)]], AN_TME_PY[[#All],[Insurance Category Code]],3, AN_TME_PY[[#All],[Advanced Network/Insurance Carrier Org ID]],Q213),2))</f>
        <v>TRUE</v>
      </c>
      <c r="AB213" s="525" t="str">
        <f t="shared" si="24"/>
        <v>TRUE</v>
      </c>
      <c r="AC213" s="528" t="b">
        <f>ROUND(SUMIFS(AN_TME_PY[[#All],[TOTAL Non-Truncated Unadjusted Claims Expenses]], AN_TME_PY[[#All],[Insurance Category Code]],3, AN_TME_PY[[#All],[Advanced Network/Insurance Carrier Org ID]],Q213),2)&gt;=ROUND(SUMIFS(AN_TME_PY[[#All],[TOTAL Truncated Unadjusted Claims Expenses (A21 -A19)]], AN_TME_PY[[#All],[Insurance Category Code]],3, AN_TME_PY[[#All],[Advanced Network/Insurance Carrier Org ID]],Q213), 2)</f>
        <v>1</v>
      </c>
      <c r="AD213" s="529" t="b">
        <f>ROUND(SUMIFS(AN_TME_PY[[#All],[TOTAL Truncated Unadjusted Claims Expenses (A21 -A19)]], AN_TME_PY[[#All],[Insurance Category Code]],3, AN_TME_PY[[#All],[Advanced Network/Insurance Carrier Org ID]],Q213)+SUMIFS(AN_TME_PY[[#All],[Total Claims Excluded because of Truncation]], AN_TME_PY[[#All],[Insurance Category Code]],3, AN_TME_PY[[#All],[Advanced Network/Insurance Carrier Org ID]],Q213),2)=ROUND(SUMIFS(AN_TME_PY[[#All],[TOTAL Non-Truncated Unadjusted Claims Expenses]], AN_TME_PY[[#All],[Insurance Category Code]],3, AN_TME_PY[[#All],[Advanced Network/Insurance Carrier Org ID]],Q213),2)</f>
        <v>1</v>
      </c>
      <c r="AF213" s="283" t="str">
        <f t="shared" si="23"/>
        <v>NA</v>
      </c>
    </row>
    <row r="214" spans="2:32" outlineLevel="1" x14ac:dyDescent="0.25">
      <c r="B214" s="216">
        <v>117</v>
      </c>
      <c r="C214" s="404">
        <f>ROUND(SUMIFS(Age_Sex_BY[[#All],[Total Member Months by Age/Sex Band]], Age_Sex_BY[[#All],[Advanced Network ID]], $B214, Age_Sex_BY[[#All],[Insurance Category Code]],3),2)</f>
        <v>0</v>
      </c>
      <c r="D214" s="238">
        <f>ROUND(SUMIFS(Age_Sex_BY[[#All],[Total Dollars Excluded from Spending After Applying Truncation at the Member Level]], Age_Sex_BY[[#All],[Advanced Network ID]], $B214, Age_Sex_BY[[#All],[Insurance Category Code]],3),2)</f>
        <v>0</v>
      </c>
      <c r="E214" s="209">
        <f>ROUND(SUMIFS(Age_Sex_BY[[#All],[Count of Members whose Spending was Truncated]], Age_Sex_BY[[#All],[Advanced Network ID]], $B214, Age_Sex_BY[[#All],[Insurance Category Code]],3),2)</f>
        <v>0</v>
      </c>
      <c r="F214" s="210">
        <f>ROUND(SUMIFS(Age_Sex_BY[[#All],[Total Spending before Truncation is Applied]], Age_Sex_BY[[#All],[Advanced Network ID]], $B214, Age_Sex_BY[[#All],[Insurance Category Code]],3),2)</f>
        <v>0</v>
      </c>
      <c r="G214" s="212">
        <f>ROUND(SUMIFS(Age_Sex_BY[[#All],[Total Spending After Applying Truncation at the Member Level]], Age_Sex_BY[[#All],[Advanced Network ID]], $B214, Age_Sex_BY[[#All],[Insurance Category Code]],3), 2)</f>
        <v>0</v>
      </c>
      <c r="H214" s="525" t="str">
        <f>IF(ROUND(C214,0)=ROUND(SUMIFS(AN_TME_BY[[#All],[Member Months]], AN_TME_BY[[#All],[Insurance Category Code]],3, AN_TME_BY[[#All],[Advanced Network/Insurance Carrier Org ID]],B214),0), "TRUE", ROUND(C214-SUMIFS(AN_TME_BY[[#All],[Member Months]], AN_TME_BY[[#All],[Insurance Category Code]],3, AN_TME_BY[[#All],[Advanced Network/Insurance Carrier Org ID]],B214),2))</f>
        <v>TRUE</v>
      </c>
      <c r="I214" s="533" t="str">
        <f>IF(ROUND(D214,0)=ROUND(SUMIFS(AN_TME_BY[[#All],[Total Claims Excluded because of Truncation]], AN_TME_BY[[#All],[Insurance Category Code]],3, AN_TME_BY[[#All],[Advanced Network/Insurance Carrier Org ID]],B214),0), "TRUE", ROUND(D214-SUMIFS(AN_TME_BY[[#All],[Total Claims Excluded because of Truncation]], AN_TME_BY[[#All],[Insurance Category Code]],3, AN_TME_BY[[#All],[Advanced Network/Insurance Carrier Org ID]],B214),2))</f>
        <v>TRUE</v>
      </c>
      <c r="J214" s="537" t="str">
        <f>IF(ROUND(E214,0)=ROUND(SUMIFS(AN_TME_BY[[#All],[Count of Members with Claims Truncated]], AN_TME_BY[[#All],[Insurance Category Code]],3, AN_TME_BY[[#All],[Advanced Network/Insurance Carrier Org ID]],B214),0), "TRUE", ROUND(E214-SUMIFS(AN_TME_BY[[#All],[Count of Members with Claims Truncated]], AN_TME_BY[[#All],[Insurance Category Code]],3, AN_TME_BY[[#All],[Advanced Network/Insurance Carrier Org ID]],B214),2))</f>
        <v>TRUE</v>
      </c>
      <c r="K214" s="533" t="str">
        <f>IF(ROUND(F214,0)=ROUND(SUMIFS(AN_TME_BY[[#All],[TOTAL Non-Truncated Unadjusted Claims Expenses]], AN_TME_BY[[#All],[Insurance Category Code]],3, AN_TME_BY[[#All],[Advanced Network/Insurance Carrier Org ID]],B214),0), "TRUE", ROUND(F214-SUMIFS(AN_TME_BY[[#All],[TOTAL Non-Truncated Unadjusted Claims Expenses]], AN_TME_BY[[#All],[Insurance Category Code]],3, AN_TME_BY[[#All],[Advanced Network/Insurance Carrier Org ID]],B214),2))</f>
        <v>TRUE</v>
      </c>
      <c r="L214" s="534" t="str">
        <f>IF(ROUND(G214,0)=ROUND(SUMIFS(AN_TME_BY[[#All],[TOTAL Truncated Unadjusted Claims Expenses (A21 -A19)]], AN_TME_BY[[#All],[Insurance Category Code]],3, AN_TME_BY[[#All],[Advanced Network/Insurance Carrier Org ID]],B214),0), "TRUE", ROUND(G214-SUMIFS(AN_TME_BY[[#All],[TOTAL Truncated Unadjusted Claims Expenses (A21 -A19)]], AN_TME_BY[[#All],[Insurance Category Code]],3, AN_TME_BY[[#All],[Advanced Network/Insurance Carrier Org ID]],B214),2))</f>
        <v>TRUE</v>
      </c>
      <c r="M214" s="525" t="str">
        <f t="shared" si="21"/>
        <v>TRUE</v>
      </c>
      <c r="N214" s="533" t="b">
        <f>ROUND(SUMIFS(AN_TME_BY[[#All],[TOTAL Non-Truncated Unadjusted Claims Expenses]], AN_TME_BY[[#All],[Insurance Category Code]],3, AN_TME_BY[[#All],[Advanced Network/Insurance Carrier Org ID]],B214),2)&gt;=ROUND(SUMIFS(AN_TME_BY[[#All],[TOTAL Truncated Unadjusted Claims Expenses (A21 -A19)]], AN_TME_BY[[#All],[Insurance Category Code]],3, AN_TME_BY[[#All],[Advanced Network/Insurance Carrier Org ID]],B214),2)</f>
        <v>1</v>
      </c>
      <c r="O214" s="534" t="b">
        <f>ROUND(SUMIFS(AN_TME_BY[[#All],[TOTAL Truncated Unadjusted Claims Expenses (A21 -A19)]], AN_TME_BY[[#All],[Insurance Category Code]],3, AN_TME_BY[[#All],[Advanced Network/Insurance Carrier Org ID]],B214)+SUMIFS(AN_TME_BY[[#All],[Total Claims Excluded because of Truncation]], AN_TME_BY[[#All],[Insurance Category Code]],3, AN_TME_BY[[#All],[Advanced Network/Insurance Carrier Org ID]],B214),2)=ROUND(SUMIFS(AN_TME_BY[[#All],[TOTAL Non-Truncated Unadjusted Claims Expenses]], AN_TME_BY[[#All],[Insurance Category Code]],3, AN_TME_BY[[#All],[Advanced Network/Insurance Carrier Org ID]],B214), 2)</f>
        <v>1</v>
      </c>
      <c r="Q214" s="216">
        <v>117</v>
      </c>
      <c r="R214" s="404">
        <f>ROUND(SUMIFS(Age_Sex_PY[[#All],[Total Member Months by Age/Sex Band]], Age_Sex_PY[[#All],[Advanced Network ID]], $Q214, Age_Sex_PY[[#All],[Insurance Category Code]],3), 2)</f>
        <v>0</v>
      </c>
      <c r="S214" s="238">
        <f>ROUND(SUMIFS(Age_Sex_PY[[#All],[Total Dollars Excluded from Spending After Applying Truncation at the Member Level]], Age_Sex_PY[[#All],[Advanced Network ID]], $B214, Age_Sex_PY[[#All],[Insurance Category Code]],3), 2)</f>
        <v>0</v>
      </c>
      <c r="T214" s="209">
        <f>ROUND(SUMIFS(Age_Sex_PY[[#All],[Count of Members whose Spending was Truncated]], Age_Sex_PY[[#All],[Advanced Network ID]], $B214, Age_Sex_PY[[#All],[Insurance Category Code]],3),2)</f>
        <v>0</v>
      </c>
      <c r="U214" s="210">
        <f>ROUND(SUMIFS(Age_Sex_PY[[#All],[Total Spending before Truncation is Applied]], Age_Sex_PY[[#All],[Advanced Network ID]], $B214, Age_Sex_PY[[#All],[Insurance Category Code]],3),2)</f>
        <v>0</v>
      </c>
      <c r="V214" s="212">
        <f>ROUND(SUMIFS(Age_Sex_PY[[#All],[Total Spending After Applying Truncation at the Member Level]], Age_Sex_PY[[#All],[Advanced Network ID]], $B214, Age_Sex_PY[[#All],[Insurance Category Code]],3),2)</f>
        <v>0</v>
      </c>
      <c r="W214" s="525" t="str">
        <f>IF(ROUND(R214,0)=ROUND(SUMIFS(AN_TME_PY[[#All],[Member Months]], AN_TME_PY[[#All],[Insurance Category Code]],3, AN_TME_PY[[#All],[Advanced Network/Insurance Carrier Org ID]],Q214),0), "TRUE", ROUND(R214-SUMIFS(AN_TME_PY[[#All],[Member Months]], AN_TME_PY[[#All],[Insurance Category Code]],3, AN_TME_PY[[#All],[Advanced Network/Insurance Carrier Org ID]],Q214),2))</f>
        <v>TRUE</v>
      </c>
      <c r="X214" s="527" t="str">
        <f>IF(ROUND(S214,0)=ROUND(SUMIFS(AN_TME_PY[[#All],[Total Claims Excluded because of Truncation]], AN_TME_PY[[#All],[Insurance Category Code]],3, AN_TME_PY[[#All],[Advanced Network/Insurance Carrier Org ID]],Q214),0), "TRUE", ROUND(S214-SUMIFS(AN_TME_PY[[#All],[Total Claims Excluded because of Truncation]], AN_TME_PY[[#All],[Insurance Category Code]],3, AN_TME_PY[[#All],[Advanced Network/Insurance Carrier Org ID]],Q214),2))</f>
        <v>TRUE</v>
      </c>
      <c r="Y214" s="537" t="str">
        <f>IF(ROUND(T214,0)=ROUND(SUMIFS(AN_TME_PY[[#All],[Count of Members with Claims Truncated]], AN_TME_PY[[#All],[Insurance Category Code]],3, AN_TME_PY[[#All],[Advanced Network/Insurance Carrier Org ID]],Q214),0), "TRUE", ROUND(T214-SUMIFS(AN_TME_PY[[#All],[Count of Members with Claims Truncated]], AN_TME_PY[[#All],[Insurance Category Code]],3, AN_TME_PY[[#All],[Advanced Network/Insurance Carrier Org ID]],Q214),2))</f>
        <v>TRUE</v>
      </c>
      <c r="Z214" s="528" t="str">
        <f>IF(ROUND(U214,0)=ROUND(SUMIFS(AN_TME_PY[[#All],[TOTAL Non-Truncated Unadjusted Claims Expenses]], AN_TME_PY[[#All],[Insurance Category Code]],3, AN_TME_PY[[#All],[Advanced Network/Insurance Carrier Org ID]],Q214),0), "TRUE", ROUND(U214-SUMIFS(AN_TME_PY[[#All],[TOTAL Non-Truncated Unadjusted Claims Expenses]], AN_TME_PY[[#All],[Insurance Category Code]],3, AN_TME_PY[[#All],[Advanced Network/Insurance Carrier Org ID]],Q214),2))</f>
        <v>TRUE</v>
      </c>
      <c r="AA214" s="529" t="str">
        <f>IF(ROUND(V214,0)=ROUND(SUMIFS(AN_TME_PY[[#All],[TOTAL Truncated Unadjusted Claims Expenses (A21 -A19)]], AN_TME_PY[[#All],[Insurance Category Code]],3, AN_TME_PY[[#All],[Advanced Network/Insurance Carrier Org ID]],Q214),0), "TRUE", ROUND(V214-SUMIFS(AN_TME_PY[[#All],[TOTAL Truncated Unadjusted Claims Expenses (A21 -A19)]], AN_TME_PY[[#All],[Insurance Category Code]],3, AN_TME_PY[[#All],[Advanced Network/Insurance Carrier Org ID]],Q214),2))</f>
        <v>TRUE</v>
      </c>
      <c r="AB214" s="525" t="str">
        <f t="shared" si="24"/>
        <v>TRUE</v>
      </c>
      <c r="AC214" s="528" t="b">
        <f>ROUND(SUMIFS(AN_TME_PY[[#All],[TOTAL Non-Truncated Unadjusted Claims Expenses]], AN_TME_PY[[#All],[Insurance Category Code]],3, AN_TME_PY[[#All],[Advanced Network/Insurance Carrier Org ID]],Q214),2)&gt;=ROUND(SUMIFS(AN_TME_PY[[#All],[TOTAL Truncated Unadjusted Claims Expenses (A21 -A19)]], AN_TME_PY[[#All],[Insurance Category Code]],3, AN_TME_PY[[#All],[Advanced Network/Insurance Carrier Org ID]],Q214), 2)</f>
        <v>1</v>
      </c>
      <c r="AD214" s="529" t="b">
        <f>ROUND(SUMIFS(AN_TME_PY[[#All],[TOTAL Truncated Unadjusted Claims Expenses (A21 -A19)]], AN_TME_PY[[#All],[Insurance Category Code]],3, AN_TME_PY[[#All],[Advanced Network/Insurance Carrier Org ID]],Q214)+SUMIFS(AN_TME_PY[[#All],[Total Claims Excluded because of Truncation]], AN_TME_PY[[#All],[Insurance Category Code]],3, AN_TME_PY[[#All],[Advanced Network/Insurance Carrier Org ID]],Q214),2)=ROUND(SUMIFS(AN_TME_PY[[#All],[TOTAL Non-Truncated Unadjusted Claims Expenses]], AN_TME_PY[[#All],[Insurance Category Code]],3, AN_TME_PY[[#All],[Advanced Network/Insurance Carrier Org ID]],Q214),2)</f>
        <v>1</v>
      </c>
      <c r="AF214" s="283" t="str">
        <f t="shared" si="23"/>
        <v>NA</v>
      </c>
    </row>
    <row r="215" spans="2:32" outlineLevel="1" x14ac:dyDescent="0.25">
      <c r="B215" s="216">
        <v>118</v>
      </c>
      <c r="C215" s="404">
        <f>ROUND(SUMIFS(Age_Sex_BY[[#All],[Total Member Months by Age/Sex Band]], Age_Sex_BY[[#All],[Advanced Network ID]], $B215, Age_Sex_BY[[#All],[Insurance Category Code]],3),2)</f>
        <v>0</v>
      </c>
      <c r="D215" s="238">
        <f>ROUND(SUMIFS(Age_Sex_BY[[#All],[Total Dollars Excluded from Spending After Applying Truncation at the Member Level]], Age_Sex_BY[[#All],[Advanced Network ID]], $B215, Age_Sex_BY[[#All],[Insurance Category Code]],3),2)</f>
        <v>0</v>
      </c>
      <c r="E215" s="209">
        <f>ROUND(SUMIFS(Age_Sex_BY[[#All],[Count of Members whose Spending was Truncated]], Age_Sex_BY[[#All],[Advanced Network ID]], $B215, Age_Sex_BY[[#All],[Insurance Category Code]],3),2)</f>
        <v>0</v>
      </c>
      <c r="F215" s="210">
        <f>ROUND(SUMIFS(Age_Sex_BY[[#All],[Total Spending before Truncation is Applied]], Age_Sex_BY[[#All],[Advanced Network ID]], $B215, Age_Sex_BY[[#All],[Insurance Category Code]],3),2)</f>
        <v>0</v>
      </c>
      <c r="G215" s="212">
        <f>ROUND(SUMIFS(Age_Sex_BY[[#All],[Total Spending After Applying Truncation at the Member Level]], Age_Sex_BY[[#All],[Advanced Network ID]], $B215, Age_Sex_BY[[#All],[Insurance Category Code]],3), 2)</f>
        <v>0</v>
      </c>
      <c r="H215" s="525" t="str">
        <f>IF(ROUND(C215,0)=ROUND(SUMIFS(AN_TME_BY[[#All],[Member Months]], AN_TME_BY[[#All],[Insurance Category Code]],3, AN_TME_BY[[#All],[Advanced Network/Insurance Carrier Org ID]],B215),0), "TRUE", ROUND(C215-SUMIFS(AN_TME_BY[[#All],[Member Months]], AN_TME_BY[[#All],[Insurance Category Code]],3, AN_TME_BY[[#All],[Advanced Network/Insurance Carrier Org ID]],B215),2))</f>
        <v>TRUE</v>
      </c>
      <c r="I215" s="533" t="str">
        <f>IF(ROUND(D215,0)=ROUND(SUMIFS(AN_TME_BY[[#All],[Total Claims Excluded because of Truncation]], AN_TME_BY[[#All],[Insurance Category Code]],3, AN_TME_BY[[#All],[Advanced Network/Insurance Carrier Org ID]],B215),0), "TRUE", ROUND(D215-SUMIFS(AN_TME_BY[[#All],[Total Claims Excluded because of Truncation]], AN_TME_BY[[#All],[Insurance Category Code]],3, AN_TME_BY[[#All],[Advanced Network/Insurance Carrier Org ID]],B215),2))</f>
        <v>TRUE</v>
      </c>
      <c r="J215" s="537" t="str">
        <f>IF(ROUND(E215,0)=ROUND(SUMIFS(AN_TME_BY[[#All],[Count of Members with Claims Truncated]], AN_TME_BY[[#All],[Insurance Category Code]],3, AN_TME_BY[[#All],[Advanced Network/Insurance Carrier Org ID]],B215),0), "TRUE", ROUND(E215-SUMIFS(AN_TME_BY[[#All],[Count of Members with Claims Truncated]], AN_TME_BY[[#All],[Insurance Category Code]],3, AN_TME_BY[[#All],[Advanced Network/Insurance Carrier Org ID]],B215),2))</f>
        <v>TRUE</v>
      </c>
      <c r="K215" s="533" t="str">
        <f>IF(ROUND(F215,0)=ROUND(SUMIFS(AN_TME_BY[[#All],[TOTAL Non-Truncated Unadjusted Claims Expenses]], AN_TME_BY[[#All],[Insurance Category Code]],3, AN_TME_BY[[#All],[Advanced Network/Insurance Carrier Org ID]],B215),0), "TRUE", ROUND(F215-SUMIFS(AN_TME_BY[[#All],[TOTAL Non-Truncated Unadjusted Claims Expenses]], AN_TME_BY[[#All],[Insurance Category Code]],3, AN_TME_BY[[#All],[Advanced Network/Insurance Carrier Org ID]],B215),2))</f>
        <v>TRUE</v>
      </c>
      <c r="L215" s="534" t="str">
        <f>IF(ROUND(G215,0)=ROUND(SUMIFS(AN_TME_BY[[#All],[TOTAL Truncated Unadjusted Claims Expenses (A21 -A19)]], AN_TME_BY[[#All],[Insurance Category Code]],3, AN_TME_BY[[#All],[Advanced Network/Insurance Carrier Org ID]],B215),0), "TRUE", ROUND(G215-SUMIFS(AN_TME_BY[[#All],[TOTAL Truncated Unadjusted Claims Expenses (A21 -A19)]], AN_TME_BY[[#All],[Insurance Category Code]],3, AN_TME_BY[[#All],[Advanced Network/Insurance Carrier Org ID]],B215),2))</f>
        <v>TRUE</v>
      </c>
      <c r="M215" s="525" t="str">
        <f t="shared" si="21"/>
        <v>TRUE</v>
      </c>
      <c r="N215" s="533" t="b">
        <f>ROUND(SUMIFS(AN_TME_BY[[#All],[TOTAL Non-Truncated Unadjusted Claims Expenses]], AN_TME_BY[[#All],[Insurance Category Code]],3, AN_TME_BY[[#All],[Advanced Network/Insurance Carrier Org ID]],B215),2)&gt;=ROUND(SUMIFS(AN_TME_BY[[#All],[TOTAL Truncated Unadjusted Claims Expenses (A21 -A19)]], AN_TME_BY[[#All],[Insurance Category Code]],3, AN_TME_BY[[#All],[Advanced Network/Insurance Carrier Org ID]],B215),2)</f>
        <v>1</v>
      </c>
      <c r="O215" s="534" t="b">
        <f>ROUND(SUMIFS(AN_TME_BY[[#All],[TOTAL Truncated Unadjusted Claims Expenses (A21 -A19)]], AN_TME_BY[[#All],[Insurance Category Code]],3, AN_TME_BY[[#All],[Advanced Network/Insurance Carrier Org ID]],B215)+SUMIFS(AN_TME_BY[[#All],[Total Claims Excluded because of Truncation]], AN_TME_BY[[#All],[Insurance Category Code]],3, AN_TME_BY[[#All],[Advanced Network/Insurance Carrier Org ID]],B215),2)=ROUND(SUMIFS(AN_TME_BY[[#All],[TOTAL Non-Truncated Unadjusted Claims Expenses]], AN_TME_BY[[#All],[Insurance Category Code]],3, AN_TME_BY[[#All],[Advanced Network/Insurance Carrier Org ID]],B215), 2)</f>
        <v>1</v>
      </c>
      <c r="Q215" s="216">
        <v>118</v>
      </c>
      <c r="R215" s="404">
        <f>ROUND(SUMIFS(Age_Sex_PY[[#All],[Total Member Months by Age/Sex Band]], Age_Sex_PY[[#All],[Advanced Network ID]], $Q215, Age_Sex_PY[[#All],[Insurance Category Code]],3), 2)</f>
        <v>0</v>
      </c>
      <c r="S215" s="238">
        <f>ROUND(SUMIFS(Age_Sex_PY[[#All],[Total Dollars Excluded from Spending After Applying Truncation at the Member Level]], Age_Sex_PY[[#All],[Advanced Network ID]], $B215, Age_Sex_PY[[#All],[Insurance Category Code]],3), 2)</f>
        <v>0</v>
      </c>
      <c r="T215" s="209">
        <f>ROUND(SUMIFS(Age_Sex_PY[[#All],[Count of Members whose Spending was Truncated]], Age_Sex_PY[[#All],[Advanced Network ID]], $B215, Age_Sex_PY[[#All],[Insurance Category Code]],3),2)</f>
        <v>0</v>
      </c>
      <c r="U215" s="210">
        <f>ROUND(SUMIFS(Age_Sex_PY[[#All],[Total Spending before Truncation is Applied]], Age_Sex_PY[[#All],[Advanced Network ID]], $B215, Age_Sex_PY[[#All],[Insurance Category Code]],3),2)</f>
        <v>0</v>
      </c>
      <c r="V215" s="212">
        <f>ROUND(SUMIFS(Age_Sex_PY[[#All],[Total Spending After Applying Truncation at the Member Level]], Age_Sex_PY[[#All],[Advanced Network ID]], $B215, Age_Sex_PY[[#All],[Insurance Category Code]],3),2)</f>
        <v>0</v>
      </c>
      <c r="W215" s="525" t="str">
        <f>IF(ROUND(R215,0)=ROUND(SUMIFS(AN_TME_PY[[#All],[Member Months]], AN_TME_PY[[#All],[Insurance Category Code]],3, AN_TME_PY[[#All],[Advanced Network/Insurance Carrier Org ID]],Q215),0), "TRUE", ROUND(R215-SUMIFS(AN_TME_PY[[#All],[Member Months]], AN_TME_PY[[#All],[Insurance Category Code]],3, AN_TME_PY[[#All],[Advanced Network/Insurance Carrier Org ID]],Q215),2))</f>
        <v>TRUE</v>
      </c>
      <c r="X215" s="527" t="str">
        <f>IF(ROUND(S215,0)=ROUND(SUMIFS(AN_TME_PY[[#All],[Total Claims Excluded because of Truncation]], AN_TME_PY[[#All],[Insurance Category Code]],3, AN_TME_PY[[#All],[Advanced Network/Insurance Carrier Org ID]],Q215),0), "TRUE", ROUND(S215-SUMIFS(AN_TME_PY[[#All],[Total Claims Excluded because of Truncation]], AN_TME_PY[[#All],[Insurance Category Code]],3, AN_TME_PY[[#All],[Advanced Network/Insurance Carrier Org ID]],Q215),2))</f>
        <v>TRUE</v>
      </c>
      <c r="Y215" s="537" t="str">
        <f>IF(ROUND(T215,0)=ROUND(SUMIFS(AN_TME_PY[[#All],[Count of Members with Claims Truncated]], AN_TME_PY[[#All],[Insurance Category Code]],3, AN_TME_PY[[#All],[Advanced Network/Insurance Carrier Org ID]],Q215),0), "TRUE", ROUND(T215-SUMIFS(AN_TME_PY[[#All],[Count of Members with Claims Truncated]], AN_TME_PY[[#All],[Insurance Category Code]],3, AN_TME_PY[[#All],[Advanced Network/Insurance Carrier Org ID]],Q215),2))</f>
        <v>TRUE</v>
      </c>
      <c r="Z215" s="528" t="str">
        <f>IF(ROUND(U215,0)=ROUND(SUMIFS(AN_TME_PY[[#All],[TOTAL Non-Truncated Unadjusted Claims Expenses]], AN_TME_PY[[#All],[Insurance Category Code]],3, AN_TME_PY[[#All],[Advanced Network/Insurance Carrier Org ID]],Q215),0), "TRUE", ROUND(U215-SUMIFS(AN_TME_PY[[#All],[TOTAL Non-Truncated Unadjusted Claims Expenses]], AN_TME_PY[[#All],[Insurance Category Code]],3, AN_TME_PY[[#All],[Advanced Network/Insurance Carrier Org ID]],Q215),2))</f>
        <v>TRUE</v>
      </c>
      <c r="AA215" s="529" t="str">
        <f>IF(ROUND(V215,0)=ROUND(SUMIFS(AN_TME_PY[[#All],[TOTAL Truncated Unadjusted Claims Expenses (A21 -A19)]], AN_TME_PY[[#All],[Insurance Category Code]],3, AN_TME_PY[[#All],[Advanced Network/Insurance Carrier Org ID]],Q215),0), "TRUE", ROUND(V215-SUMIFS(AN_TME_PY[[#All],[TOTAL Truncated Unadjusted Claims Expenses (A21 -A19)]], AN_TME_PY[[#All],[Insurance Category Code]],3, AN_TME_PY[[#All],[Advanced Network/Insurance Carrier Org ID]],Q215),2))</f>
        <v>TRUE</v>
      </c>
      <c r="AB215" s="525" t="str">
        <f t="shared" si="24"/>
        <v>TRUE</v>
      </c>
      <c r="AC215" s="528" t="b">
        <f>ROUND(SUMIFS(AN_TME_PY[[#All],[TOTAL Non-Truncated Unadjusted Claims Expenses]], AN_TME_PY[[#All],[Insurance Category Code]],3, AN_TME_PY[[#All],[Advanced Network/Insurance Carrier Org ID]],Q215),2)&gt;=ROUND(SUMIFS(AN_TME_PY[[#All],[TOTAL Truncated Unadjusted Claims Expenses (A21 -A19)]], AN_TME_PY[[#All],[Insurance Category Code]],3, AN_TME_PY[[#All],[Advanced Network/Insurance Carrier Org ID]],Q215), 2)</f>
        <v>1</v>
      </c>
      <c r="AD215" s="529" t="b">
        <f>ROUND(SUMIFS(AN_TME_PY[[#All],[TOTAL Truncated Unadjusted Claims Expenses (A21 -A19)]], AN_TME_PY[[#All],[Insurance Category Code]],3, AN_TME_PY[[#All],[Advanced Network/Insurance Carrier Org ID]],Q215)+SUMIFS(AN_TME_PY[[#All],[Total Claims Excluded because of Truncation]], AN_TME_PY[[#All],[Insurance Category Code]],3, AN_TME_PY[[#All],[Advanced Network/Insurance Carrier Org ID]],Q215),2)=ROUND(SUMIFS(AN_TME_PY[[#All],[TOTAL Non-Truncated Unadjusted Claims Expenses]], AN_TME_PY[[#All],[Insurance Category Code]],3, AN_TME_PY[[#All],[Advanced Network/Insurance Carrier Org ID]],Q215),2)</f>
        <v>1</v>
      </c>
      <c r="AF215" s="283" t="str">
        <f t="shared" si="23"/>
        <v>NA</v>
      </c>
    </row>
    <row r="216" spans="2:32" outlineLevel="1" x14ac:dyDescent="0.25">
      <c r="B216" s="216">
        <v>119</v>
      </c>
      <c r="C216" s="404">
        <f>ROUND(SUMIFS(Age_Sex_BY[[#All],[Total Member Months by Age/Sex Band]], Age_Sex_BY[[#All],[Advanced Network ID]], $B216, Age_Sex_BY[[#All],[Insurance Category Code]],3),2)</f>
        <v>0</v>
      </c>
      <c r="D216" s="238">
        <f>ROUND(SUMIFS(Age_Sex_BY[[#All],[Total Dollars Excluded from Spending After Applying Truncation at the Member Level]], Age_Sex_BY[[#All],[Advanced Network ID]], $B216, Age_Sex_BY[[#All],[Insurance Category Code]],3),2)</f>
        <v>0</v>
      </c>
      <c r="E216" s="209">
        <f>ROUND(SUMIFS(Age_Sex_BY[[#All],[Count of Members whose Spending was Truncated]], Age_Sex_BY[[#All],[Advanced Network ID]], $B216, Age_Sex_BY[[#All],[Insurance Category Code]],3),2)</f>
        <v>0</v>
      </c>
      <c r="F216" s="210">
        <f>ROUND(SUMIFS(Age_Sex_BY[[#All],[Total Spending before Truncation is Applied]], Age_Sex_BY[[#All],[Advanced Network ID]], $B216, Age_Sex_BY[[#All],[Insurance Category Code]],3),2)</f>
        <v>0</v>
      </c>
      <c r="G216" s="212">
        <f>ROUND(SUMIFS(Age_Sex_BY[[#All],[Total Spending After Applying Truncation at the Member Level]], Age_Sex_BY[[#All],[Advanced Network ID]], $B216, Age_Sex_BY[[#All],[Insurance Category Code]],3), 2)</f>
        <v>0</v>
      </c>
      <c r="H216" s="525" t="str">
        <f>IF(ROUND(C216,0)=ROUND(SUMIFS(AN_TME_BY[[#All],[Member Months]], AN_TME_BY[[#All],[Insurance Category Code]],3, AN_TME_BY[[#All],[Advanced Network/Insurance Carrier Org ID]],B216),0), "TRUE", ROUND(C216-SUMIFS(AN_TME_BY[[#All],[Member Months]], AN_TME_BY[[#All],[Insurance Category Code]],3, AN_TME_BY[[#All],[Advanced Network/Insurance Carrier Org ID]],B216),2))</f>
        <v>TRUE</v>
      </c>
      <c r="I216" s="533" t="str">
        <f>IF(ROUND(D216,0)=ROUND(SUMIFS(AN_TME_BY[[#All],[Total Claims Excluded because of Truncation]], AN_TME_BY[[#All],[Insurance Category Code]],3, AN_TME_BY[[#All],[Advanced Network/Insurance Carrier Org ID]],B216),0), "TRUE", ROUND(D216-SUMIFS(AN_TME_BY[[#All],[Total Claims Excluded because of Truncation]], AN_TME_BY[[#All],[Insurance Category Code]],3, AN_TME_BY[[#All],[Advanced Network/Insurance Carrier Org ID]],B216),2))</f>
        <v>TRUE</v>
      </c>
      <c r="J216" s="537" t="str">
        <f>IF(ROUND(E216,0)=ROUND(SUMIFS(AN_TME_BY[[#All],[Count of Members with Claims Truncated]], AN_TME_BY[[#All],[Insurance Category Code]],3, AN_TME_BY[[#All],[Advanced Network/Insurance Carrier Org ID]],B216),0), "TRUE", ROUND(E216-SUMIFS(AN_TME_BY[[#All],[Count of Members with Claims Truncated]], AN_TME_BY[[#All],[Insurance Category Code]],3, AN_TME_BY[[#All],[Advanced Network/Insurance Carrier Org ID]],B216),2))</f>
        <v>TRUE</v>
      </c>
      <c r="K216" s="533" t="str">
        <f>IF(ROUND(F216,0)=ROUND(SUMIFS(AN_TME_BY[[#All],[TOTAL Non-Truncated Unadjusted Claims Expenses]], AN_TME_BY[[#All],[Insurance Category Code]],3, AN_TME_BY[[#All],[Advanced Network/Insurance Carrier Org ID]],B216),0), "TRUE", ROUND(F216-SUMIFS(AN_TME_BY[[#All],[TOTAL Non-Truncated Unadjusted Claims Expenses]], AN_TME_BY[[#All],[Insurance Category Code]],3, AN_TME_BY[[#All],[Advanced Network/Insurance Carrier Org ID]],B216),2))</f>
        <v>TRUE</v>
      </c>
      <c r="L216" s="534" t="str">
        <f>IF(ROUND(G216,0)=ROUND(SUMIFS(AN_TME_BY[[#All],[TOTAL Truncated Unadjusted Claims Expenses (A21 -A19)]], AN_TME_BY[[#All],[Insurance Category Code]],3, AN_TME_BY[[#All],[Advanced Network/Insurance Carrier Org ID]],B216),0), "TRUE", ROUND(G216-SUMIFS(AN_TME_BY[[#All],[TOTAL Truncated Unadjusted Claims Expenses (A21 -A19)]], AN_TME_BY[[#All],[Insurance Category Code]],3, AN_TME_BY[[#All],[Advanced Network/Insurance Carrier Org ID]],B216),2))</f>
        <v>TRUE</v>
      </c>
      <c r="M216" s="525" t="str">
        <f t="shared" si="21"/>
        <v>TRUE</v>
      </c>
      <c r="N216" s="533" t="b">
        <f>ROUND(SUMIFS(AN_TME_BY[[#All],[TOTAL Non-Truncated Unadjusted Claims Expenses]], AN_TME_BY[[#All],[Insurance Category Code]],3, AN_TME_BY[[#All],[Advanced Network/Insurance Carrier Org ID]],B216),2)&gt;=ROUND(SUMIFS(AN_TME_BY[[#All],[TOTAL Truncated Unadjusted Claims Expenses (A21 -A19)]], AN_TME_BY[[#All],[Insurance Category Code]],3, AN_TME_BY[[#All],[Advanced Network/Insurance Carrier Org ID]],B216),2)</f>
        <v>1</v>
      </c>
      <c r="O216" s="534" t="b">
        <f>ROUND(SUMIFS(AN_TME_BY[[#All],[TOTAL Truncated Unadjusted Claims Expenses (A21 -A19)]], AN_TME_BY[[#All],[Insurance Category Code]],3, AN_TME_BY[[#All],[Advanced Network/Insurance Carrier Org ID]],B216)+SUMIFS(AN_TME_BY[[#All],[Total Claims Excluded because of Truncation]], AN_TME_BY[[#All],[Insurance Category Code]],3, AN_TME_BY[[#All],[Advanced Network/Insurance Carrier Org ID]],B216),2)=ROUND(SUMIFS(AN_TME_BY[[#All],[TOTAL Non-Truncated Unadjusted Claims Expenses]], AN_TME_BY[[#All],[Insurance Category Code]],3, AN_TME_BY[[#All],[Advanced Network/Insurance Carrier Org ID]],B216), 2)</f>
        <v>1</v>
      </c>
      <c r="Q216" s="216">
        <v>119</v>
      </c>
      <c r="R216" s="404">
        <f>ROUND(SUMIFS(Age_Sex_PY[[#All],[Total Member Months by Age/Sex Band]], Age_Sex_PY[[#All],[Advanced Network ID]], $Q216, Age_Sex_PY[[#All],[Insurance Category Code]],3), 2)</f>
        <v>0</v>
      </c>
      <c r="S216" s="238">
        <f>ROUND(SUMIFS(Age_Sex_PY[[#All],[Total Dollars Excluded from Spending After Applying Truncation at the Member Level]], Age_Sex_PY[[#All],[Advanced Network ID]], $B216, Age_Sex_PY[[#All],[Insurance Category Code]],3), 2)</f>
        <v>0</v>
      </c>
      <c r="T216" s="209">
        <f>ROUND(SUMIFS(Age_Sex_PY[[#All],[Count of Members whose Spending was Truncated]], Age_Sex_PY[[#All],[Advanced Network ID]], $B216, Age_Sex_PY[[#All],[Insurance Category Code]],3),2)</f>
        <v>0</v>
      </c>
      <c r="U216" s="210">
        <f>ROUND(SUMIFS(Age_Sex_PY[[#All],[Total Spending before Truncation is Applied]], Age_Sex_PY[[#All],[Advanced Network ID]], $B216, Age_Sex_PY[[#All],[Insurance Category Code]],3),2)</f>
        <v>0</v>
      </c>
      <c r="V216" s="212">
        <f>ROUND(SUMIFS(Age_Sex_PY[[#All],[Total Spending After Applying Truncation at the Member Level]], Age_Sex_PY[[#All],[Advanced Network ID]], $B216, Age_Sex_PY[[#All],[Insurance Category Code]],3),2)</f>
        <v>0</v>
      </c>
      <c r="W216" s="525" t="str">
        <f>IF(ROUND(R216,0)=ROUND(SUMIFS(AN_TME_PY[[#All],[Member Months]], AN_TME_PY[[#All],[Insurance Category Code]],3, AN_TME_PY[[#All],[Advanced Network/Insurance Carrier Org ID]],Q216),0), "TRUE", ROUND(R216-SUMIFS(AN_TME_PY[[#All],[Member Months]], AN_TME_PY[[#All],[Insurance Category Code]],3, AN_TME_PY[[#All],[Advanced Network/Insurance Carrier Org ID]],Q216),2))</f>
        <v>TRUE</v>
      </c>
      <c r="X216" s="527" t="str">
        <f>IF(ROUND(S216,0)=ROUND(SUMIFS(AN_TME_PY[[#All],[Total Claims Excluded because of Truncation]], AN_TME_PY[[#All],[Insurance Category Code]],3, AN_TME_PY[[#All],[Advanced Network/Insurance Carrier Org ID]],Q216),0), "TRUE", ROUND(S216-SUMIFS(AN_TME_PY[[#All],[Total Claims Excluded because of Truncation]], AN_TME_PY[[#All],[Insurance Category Code]],3, AN_TME_PY[[#All],[Advanced Network/Insurance Carrier Org ID]],Q216),2))</f>
        <v>TRUE</v>
      </c>
      <c r="Y216" s="537" t="str">
        <f>IF(ROUND(T216,0)=ROUND(SUMIFS(AN_TME_PY[[#All],[Count of Members with Claims Truncated]], AN_TME_PY[[#All],[Insurance Category Code]],3, AN_TME_PY[[#All],[Advanced Network/Insurance Carrier Org ID]],Q216),0), "TRUE", ROUND(T216-SUMIFS(AN_TME_PY[[#All],[Count of Members with Claims Truncated]], AN_TME_PY[[#All],[Insurance Category Code]],3, AN_TME_PY[[#All],[Advanced Network/Insurance Carrier Org ID]],Q216),2))</f>
        <v>TRUE</v>
      </c>
      <c r="Z216" s="528" t="str">
        <f>IF(ROUND(U216,0)=ROUND(SUMIFS(AN_TME_PY[[#All],[TOTAL Non-Truncated Unadjusted Claims Expenses]], AN_TME_PY[[#All],[Insurance Category Code]],3, AN_TME_PY[[#All],[Advanced Network/Insurance Carrier Org ID]],Q216),0), "TRUE", ROUND(U216-SUMIFS(AN_TME_PY[[#All],[TOTAL Non-Truncated Unadjusted Claims Expenses]], AN_TME_PY[[#All],[Insurance Category Code]],3, AN_TME_PY[[#All],[Advanced Network/Insurance Carrier Org ID]],Q216),2))</f>
        <v>TRUE</v>
      </c>
      <c r="AA216" s="529" t="str">
        <f>IF(ROUND(V216,0)=ROUND(SUMIFS(AN_TME_PY[[#All],[TOTAL Truncated Unadjusted Claims Expenses (A21 -A19)]], AN_TME_PY[[#All],[Insurance Category Code]],3, AN_TME_PY[[#All],[Advanced Network/Insurance Carrier Org ID]],Q216),0), "TRUE", ROUND(V216-SUMIFS(AN_TME_PY[[#All],[TOTAL Truncated Unadjusted Claims Expenses (A21 -A19)]], AN_TME_PY[[#All],[Insurance Category Code]],3, AN_TME_PY[[#All],[Advanced Network/Insurance Carrier Org ID]],Q216),2))</f>
        <v>TRUE</v>
      </c>
      <c r="AB216" s="525" t="str">
        <f t="shared" si="24"/>
        <v>TRUE</v>
      </c>
      <c r="AC216" s="528" t="b">
        <f>ROUND(SUMIFS(AN_TME_PY[[#All],[TOTAL Non-Truncated Unadjusted Claims Expenses]], AN_TME_PY[[#All],[Insurance Category Code]],3, AN_TME_PY[[#All],[Advanced Network/Insurance Carrier Org ID]],Q216),2)&gt;=ROUND(SUMIFS(AN_TME_PY[[#All],[TOTAL Truncated Unadjusted Claims Expenses (A21 -A19)]], AN_TME_PY[[#All],[Insurance Category Code]],3, AN_TME_PY[[#All],[Advanced Network/Insurance Carrier Org ID]],Q216), 2)</f>
        <v>1</v>
      </c>
      <c r="AD216" s="529" t="b">
        <f>ROUND(SUMIFS(AN_TME_PY[[#All],[TOTAL Truncated Unadjusted Claims Expenses (A21 -A19)]], AN_TME_PY[[#All],[Insurance Category Code]],3, AN_TME_PY[[#All],[Advanced Network/Insurance Carrier Org ID]],Q216)+SUMIFS(AN_TME_PY[[#All],[Total Claims Excluded because of Truncation]], AN_TME_PY[[#All],[Insurance Category Code]],3, AN_TME_PY[[#All],[Advanced Network/Insurance Carrier Org ID]],Q216),2)=ROUND(SUMIFS(AN_TME_PY[[#All],[TOTAL Non-Truncated Unadjusted Claims Expenses]], AN_TME_PY[[#All],[Insurance Category Code]],3, AN_TME_PY[[#All],[Advanced Network/Insurance Carrier Org ID]],Q216),2)</f>
        <v>1</v>
      </c>
      <c r="AF216" s="283" t="str">
        <f t="shared" si="23"/>
        <v>NA</v>
      </c>
    </row>
    <row r="217" spans="2:32" outlineLevel="1" x14ac:dyDescent="0.25">
      <c r="B217" s="216">
        <v>120</v>
      </c>
      <c r="C217" s="404">
        <f>ROUND(SUMIFS(Age_Sex_BY[[#All],[Total Member Months by Age/Sex Band]], Age_Sex_BY[[#All],[Advanced Network ID]], $B217, Age_Sex_BY[[#All],[Insurance Category Code]],3),2)</f>
        <v>0</v>
      </c>
      <c r="D217" s="238">
        <f>ROUND(SUMIFS(Age_Sex_BY[[#All],[Total Dollars Excluded from Spending After Applying Truncation at the Member Level]], Age_Sex_BY[[#All],[Advanced Network ID]], $B217, Age_Sex_BY[[#All],[Insurance Category Code]],3),2)</f>
        <v>0</v>
      </c>
      <c r="E217" s="209">
        <f>ROUND(SUMIFS(Age_Sex_BY[[#All],[Count of Members whose Spending was Truncated]], Age_Sex_BY[[#All],[Advanced Network ID]], $B217, Age_Sex_BY[[#All],[Insurance Category Code]],3),2)</f>
        <v>0</v>
      </c>
      <c r="F217" s="210">
        <f>ROUND(SUMIFS(Age_Sex_BY[[#All],[Total Spending before Truncation is Applied]], Age_Sex_BY[[#All],[Advanced Network ID]], $B217, Age_Sex_BY[[#All],[Insurance Category Code]],3),2)</f>
        <v>0</v>
      </c>
      <c r="G217" s="212">
        <f>ROUND(SUMIFS(Age_Sex_BY[[#All],[Total Spending After Applying Truncation at the Member Level]], Age_Sex_BY[[#All],[Advanced Network ID]], $B217, Age_Sex_BY[[#All],[Insurance Category Code]],3), 2)</f>
        <v>0</v>
      </c>
      <c r="H217" s="525" t="str">
        <f>IF(ROUND(C217,0)=ROUND(SUMIFS(AN_TME_BY[[#All],[Member Months]], AN_TME_BY[[#All],[Insurance Category Code]],3, AN_TME_BY[[#All],[Advanced Network/Insurance Carrier Org ID]],B217),0), "TRUE", ROUND(C217-SUMIFS(AN_TME_BY[[#All],[Member Months]], AN_TME_BY[[#All],[Insurance Category Code]],3, AN_TME_BY[[#All],[Advanced Network/Insurance Carrier Org ID]],B217),2))</f>
        <v>TRUE</v>
      </c>
      <c r="I217" s="533" t="str">
        <f>IF(ROUND(D217,0)=ROUND(SUMIFS(AN_TME_BY[[#All],[Total Claims Excluded because of Truncation]], AN_TME_BY[[#All],[Insurance Category Code]],3, AN_TME_BY[[#All],[Advanced Network/Insurance Carrier Org ID]],B217),0), "TRUE", ROUND(D217-SUMIFS(AN_TME_BY[[#All],[Total Claims Excluded because of Truncation]], AN_TME_BY[[#All],[Insurance Category Code]],3, AN_TME_BY[[#All],[Advanced Network/Insurance Carrier Org ID]],B217),2))</f>
        <v>TRUE</v>
      </c>
      <c r="J217" s="537" t="str">
        <f>IF(ROUND(E217,0)=ROUND(SUMIFS(AN_TME_BY[[#All],[Count of Members with Claims Truncated]], AN_TME_BY[[#All],[Insurance Category Code]],3, AN_TME_BY[[#All],[Advanced Network/Insurance Carrier Org ID]],B217),0), "TRUE", ROUND(E217-SUMIFS(AN_TME_BY[[#All],[Count of Members with Claims Truncated]], AN_TME_BY[[#All],[Insurance Category Code]],3, AN_TME_BY[[#All],[Advanced Network/Insurance Carrier Org ID]],B217),2))</f>
        <v>TRUE</v>
      </c>
      <c r="K217" s="533" t="str">
        <f>IF(ROUND(F217,0)=ROUND(SUMIFS(AN_TME_BY[[#All],[TOTAL Non-Truncated Unadjusted Claims Expenses]], AN_TME_BY[[#All],[Insurance Category Code]],3, AN_TME_BY[[#All],[Advanced Network/Insurance Carrier Org ID]],B217),0), "TRUE", ROUND(F217-SUMIFS(AN_TME_BY[[#All],[TOTAL Non-Truncated Unadjusted Claims Expenses]], AN_TME_BY[[#All],[Insurance Category Code]],3, AN_TME_BY[[#All],[Advanced Network/Insurance Carrier Org ID]],B217),2))</f>
        <v>TRUE</v>
      </c>
      <c r="L217" s="534" t="str">
        <f>IF(ROUND(G217,0)=ROUND(SUMIFS(AN_TME_BY[[#All],[TOTAL Truncated Unadjusted Claims Expenses (A21 -A19)]], AN_TME_BY[[#All],[Insurance Category Code]],3, AN_TME_BY[[#All],[Advanced Network/Insurance Carrier Org ID]],B217),0), "TRUE", ROUND(G217-SUMIFS(AN_TME_BY[[#All],[TOTAL Truncated Unadjusted Claims Expenses (A21 -A19)]], AN_TME_BY[[#All],[Insurance Category Code]],3, AN_TME_BY[[#All],[Advanced Network/Insurance Carrier Org ID]],B217),2))</f>
        <v>TRUE</v>
      </c>
      <c r="M217" s="525" t="str">
        <f t="shared" si="21"/>
        <v>TRUE</v>
      </c>
      <c r="N217" s="533" t="b">
        <f>ROUND(SUMIFS(AN_TME_BY[[#All],[TOTAL Non-Truncated Unadjusted Claims Expenses]], AN_TME_BY[[#All],[Insurance Category Code]],3, AN_TME_BY[[#All],[Advanced Network/Insurance Carrier Org ID]],B217),2)&gt;=ROUND(SUMIFS(AN_TME_BY[[#All],[TOTAL Truncated Unadjusted Claims Expenses (A21 -A19)]], AN_TME_BY[[#All],[Insurance Category Code]],3, AN_TME_BY[[#All],[Advanced Network/Insurance Carrier Org ID]],B217),2)</f>
        <v>1</v>
      </c>
      <c r="O217" s="534" t="b">
        <f>ROUND(SUMIFS(AN_TME_BY[[#All],[TOTAL Truncated Unadjusted Claims Expenses (A21 -A19)]], AN_TME_BY[[#All],[Insurance Category Code]],3, AN_TME_BY[[#All],[Advanced Network/Insurance Carrier Org ID]],B217)+SUMIFS(AN_TME_BY[[#All],[Total Claims Excluded because of Truncation]], AN_TME_BY[[#All],[Insurance Category Code]],3, AN_TME_BY[[#All],[Advanced Network/Insurance Carrier Org ID]],B217),2)=ROUND(SUMIFS(AN_TME_BY[[#All],[TOTAL Non-Truncated Unadjusted Claims Expenses]], AN_TME_BY[[#All],[Insurance Category Code]],3, AN_TME_BY[[#All],[Advanced Network/Insurance Carrier Org ID]],B217), 2)</f>
        <v>1</v>
      </c>
      <c r="Q217" s="216">
        <v>120</v>
      </c>
      <c r="R217" s="404">
        <f>ROUND(SUMIFS(Age_Sex_PY[[#All],[Total Member Months by Age/Sex Band]], Age_Sex_PY[[#All],[Advanced Network ID]], $Q217, Age_Sex_PY[[#All],[Insurance Category Code]],3), 2)</f>
        <v>0</v>
      </c>
      <c r="S217" s="238">
        <f>ROUND(SUMIFS(Age_Sex_PY[[#All],[Total Dollars Excluded from Spending After Applying Truncation at the Member Level]], Age_Sex_PY[[#All],[Advanced Network ID]], $B217, Age_Sex_PY[[#All],[Insurance Category Code]],3), 2)</f>
        <v>0</v>
      </c>
      <c r="T217" s="209">
        <f>ROUND(SUMIFS(Age_Sex_PY[[#All],[Count of Members whose Spending was Truncated]], Age_Sex_PY[[#All],[Advanced Network ID]], $B217, Age_Sex_PY[[#All],[Insurance Category Code]],3),2)</f>
        <v>0</v>
      </c>
      <c r="U217" s="210">
        <f>ROUND(SUMIFS(Age_Sex_PY[[#All],[Total Spending before Truncation is Applied]], Age_Sex_PY[[#All],[Advanced Network ID]], $B217, Age_Sex_PY[[#All],[Insurance Category Code]],3),2)</f>
        <v>0</v>
      </c>
      <c r="V217" s="212">
        <f>ROUND(SUMIFS(Age_Sex_PY[[#All],[Total Spending After Applying Truncation at the Member Level]], Age_Sex_PY[[#All],[Advanced Network ID]], $B217, Age_Sex_PY[[#All],[Insurance Category Code]],3),2)</f>
        <v>0</v>
      </c>
      <c r="W217" s="525" t="str">
        <f>IF(ROUND(R217,0)=ROUND(SUMIFS(AN_TME_PY[[#All],[Member Months]], AN_TME_PY[[#All],[Insurance Category Code]],3, AN_TME_PY[[#All],[Advanced Network/Insurance Carrier Org ID]],Q217),0), "TRUE", ROUND(R217-SUMIFS(AN_TME_PY[[#All],[Member Months]], AN_TME_PY[[#All],[Insurance Category Code]],3, AN_TME_PY[[#All],[Advanced Network/Insurance Carrier Org ID]],Q217),2))</f>
        <v>TRUE</v>
      </c>
      <c r="X217" s="527" t="str">
        <f>IF(ROUND(S217,0)=ROUND(SUMIFS(AN_TME_PY[[#All],[Total Claims Excluded because of Truncation]], AN_TME_PY[[#All],[Insurance Category Code]],3, AN_TME_PY[[#All],[Advanced Network/Insurance Carrier Org ID]],Q217),0), "TRUE", ROUND(S217-SUMIFS(AN_TME_PY[[#All],[Total Claims Excluded because of Truncation]], AN_TME_PY[[#All],[Insurance Category Code]],3, AN_TME_PY[[#All],[Advanced Network/Insurance Carrier Org ID]],Q217),2))</f>
        <v>TRUE</v>
      </c>
      <c r="Y217" s="537" t="str">
        <f>IF(ROUND(T217,0)=ROUND(SUMIFS(AN_TME_PY[[#All],[Count of Members with Claims Truncated]], AN_TME_PY[[#All],[Insurance Category Code]],3, AN_TME_PY[[#All],[Advanced Network/Insurance Carrier Org ID]],Q217),0), "TRUE", ROUND(T217-SUMIFS(AN_TME_PY[[#All],[Count of Members with Claims Truncated]], AN_TME_PY[[#All],[Insurance Category Code]],3, AN_TME_PY[[#All],[Advanced Network/Insurance Carrier Org ID]],Q217),2))</f>
        <v>TRUE</v>
      </c>
      <c r="Z217" s="528" t="str">
        <f>IF(ROUND(U217,0)=ROUND(SUMIFS(AN_TME_PY[[#All],[TOTAL Non-Truncated Unadjusted Claims Expenses]], AN_TME_PY[[#All],[Insurance Category Code]],3, AN_TME_PY[[#All],[Advanced Network/Insurance Carrier Org ID]],Q217),0), "TRUE", ROUND(U217-SUMIFS(AN_TME_PY[[#All],[TOTAL Non-Truncated Unadjusted Claims Expenses]], AN_TME_PY[[#All],[Insurance Category Code]],3, AN_TME_PY[[#All],[Advanced Network/Insurance Carrier Org ID]],Q217),2))</f>
        <v>TRUE</v>
      </c>
      <c r="AA217" s="529" t="str">
        <f>IF(ROUND(V217,0)=ROUND(SUMIFS(AN_TME_PY[[#All],[TOTAL Truncated Unadjusted Claims Expenses (A21 -A19)]], AN_TME_PY[[#All],[Insurance Category Code]],3, AN_TME_PY[[#All],[Advanced Network/Insurance Carrier Org ID]],Q217),0), "TRUE", ROUND(V217-SUMIFS(AN_TME_PY[[#All],[TOTAL Truncated Unadjusted Claims Expenses (A21 -A19)]], AN_TME_PY[[#All],[Insurance Category Code]],3, AN_TME_PY[[#All],[Advanced Network/Insurance Carrier Org ID]],Q217),2))</f>
        <v>TRUE</v>
      </c>
      <c r="AB217" s="525" t="str">
        <f t="shared" si="24"/>
        <v>TRUE</v>
      </c>
      <c r="AC217" s="528" t="b">
        <f>ROUND(SUMIFS(AN_TME_PY[[#All],[TOTAL Non-Truncated Unadjusted Claims Expenses]], AN_TME_PY[[#All],[Insurance Category Code]],3, AN_TME_PY[[#All],[Advanced Network/Insurance Carrier Org ID]],Q217),2)&gt;=ROUND(SUMIFS(AN_TME_PY[[#All],[TOTAL Truncated Unadjusted Claims Expenses (A21 -A19)]], AN_TME_PY[[#All],[Insurance Category Code]],3, AN_TME_PY[[#All],[Advanced Network/Insurance Carrier Org ID]],Q217), 2)</f>
        <v>1</v>
      </c>
      <c r="AD217" s="529" t="b">
        <f>ROUND(SUMIFS(AN_TME_PY[[#All],[TOTAL Truncated Unadjusted Claims Expenses (A21 -A19)]], AN_TME_PY[[#All],[Insurance Category Code]],3, AN_TME_PY[[#All],[Advanced Network/Insurance Carrier Org ID]],Q217)+SUMIFS(AN_TME_PY[[#All],[Total Claims Excluded because of Truncation]], AN_TME_PY[[#All],[Insurance Category Code]],3, AN_TME_PY[[#All],[Advanced Network/Insurance Carrier Org ID]],Q217),2)=ROUND(SUMIFS(AN_TME_PY[[#All],[TOTAL Non-Truncated Unadjusted Claims Expenses]], AN_TME_PY[[#All],[Insurance Category Code]],3, AN_TME_PY[[#All],[Advanced Network/Insurance Carrier Org ID]],Q217),2)</f>
        <v>1</v>
      </c>
      <c r="AF217" s="283" t="str">
        <f t="shared" si="23"/>
        <v>NA</v>
      </c>
    </row>
    <row r="218" spans="2:32" outlineLevel="1" x14ac:dyDescent="0.25">
      <c r="B218" s="216">
        <v>121</v>
      </c>
      <c r="C218" s="404">
        <f>ROUND(SUMIFS(Age_Sex_BY[[#All],[Total Member Months by Age/Sex Band]], Age_Sex_BY[[#All],[Advanced Network ID]], $B218, Age_Sex_BY[[#All],[Insurance Category Code]],3),2)</f>
        <v>0</v>
      </c>
      <c r="D218" s="238">
        <f>ROUND(SUMIFS(Age_Sex_BY[[#All],[Total Dollars Excluded from Spending After Applying Truncation at the Member Level]], Age_Sex_BY[[#All],[Advanced Network ID]], $B218, Age_Sex_BY[[#All],[Insurance Category Code]],3),2)</f>
        <v>0</v>
      </c>
      <c r="E218" s="209">
        <f>ROUND(SUMIFS(Age_Sex_BY[[#All],[Count of Members whose Spending was Truncated]], Age_Sex_BY[[#All],[Advanced Network ID]], $B218, Age_Sex_BY[[#All],[Insurance Category Code]],3),2)</f>
        <v>0</v>
      </c>
      <c r="F218" s="210">
        <f>ROUND(SUMIFS(Age_Sex_BY[[#All],[Total Spending before Truncation is Applied]], Age_Sex_BY[[#All],[Advanced Network ID]], $B218, Age_Sex_BY[[#All],[Insurance Category Code]],3),2)</f>
        <v>0</v>
      </c>
      <c r="G218" s="212">
        <f>ROUND(SUMIFS(Age_Sex_BY[[#All],[Total Spending After Applying Truncation at the Member Level]], Age_Sex_BY[[#All],[Advanced Network ID]], $B218, Age_Sex_BY[[#All],[Insurance Category Code]],3), 2)</f>
        <v>0</v>
      </c>
      <c r="H218" s="525" t="str">
        <f>IF(ROUND(C218,0)=ROUND(SUMIFS(AN_TME_BY[[#All],[Member Months]], AN_TME_BY[[#All],[Insurance Category Code]],3, AN_TME_BY[[#All],[Advanced Network/Insurance Carrier Org ID]],B218),0), "TRUE", ROUND(C218-SUMIFS(AN_TME_BY[[#All],[Member Months]], AN_TME_BY[[#All],[Insurance Category Code]],3, AN_TME_BY[[#All],[Advanced Network/Insurance Carrier Org ID]],B218),2))</f>
        <v>TRUE</v>
      </c>
      <c r="I218" s="533" t="str">
        <f>IF(ROUND(D218,0)=ROUND(SUMIFS(AN_TME_BY[[#All],[Total Claims Excluded because of Truncation]], AN_TME_BY[[#All],[Insurance Category Code]],3, AN_TME_BY[[#All],[Advanced Network/Insurance Carrier Org ID]],B218),0), "TRUE", ROUND(D218-SUMIFS(AN_TME_BY[[#All],[Total Claims Excluded because of Truncation]], AN_TME_BY[[#All],[Insurance Category Code]],3, AN_TME_BY[[#All],[Advanced Network/Insurance Carrier Org ID]],B218),2))</f>
        <v>TRUE</v>
      </c>
      <c r="J218" s="537" t="str">
        <f>IF(ROUND(E218,0)=ROUND(SUMIFS(AN_TME_BY[[#All],[Count of Members with Claims Truncated]], AN_TME_BY[[#All],[Insurance Category Code]],3, AN_TME_BY[[#All],[Advanced Network/Insurance Carrier Org ID]],B218),0), "TRUE", ROUND(E218-SUMIFS(AN_TME_BY[[#All],[Count of Members with Claims Truncated]], AN_TME_BY[[#All],[Insurance Category Code]],3, AN_TME_BY[[#All],[Advanced Network/Insurance Carrier Org ID]],B218),2))</f>
        <v>TRUE</v>
      </c>
      <c r="K218" s="533" t="str">
        <f>IF(ROUND(F218,0)=ROUND(SUMIFS(AN_TME_BY[[#All],[TOTAL Non-Truncated Unadjusted Claims Expenses]], AN_TME_BY[[#All],[Insurance Category Code]],3, AN_TME_BY[[#All],[Advanced Network/Insurance Carrier Org ID]],B218),0), "TRUE", ROUND(F218-SUMIFS(AN_TME_BY[[#All],[TOTAL Non-Truncated Unadjusted Claims Expenses]], AN_TME_BY[[#All],[Insurance Category Code]],3, AN_TME_BY[[#All],[Advanced Network/Insurance Carrier Org ID]],B218),2))</f>
        <v>TRUE</v>
      </c>
      <c r="L218" s="534" t="str">
        <f>IF(ROUND(G218,0)=ROUND(SUMIFS(AN_TME_BY[[#All],[TOTAL Truncated Unadjusted Claims Expenses (A21 -A19)]], AN_TME_BY[[#All],[Insurance Category Code]],3, AN_TME_BY[[#All],[Advanced Network/Insurance Carrier Org ID]],B218),0), "TRUE", ROUND(G218-SUMIFS(AN_TME_BY[[#All],[TOTAL Truncated Unadjusted Claims Expenses (A21 -A19)]], AN_TME_BY[[#All],[Insurance Category Code]],3, AN_TME_BY[[#All],[Advanced Network/Insurance Carrier Org ID]],B218),2))</f>
        <v>TRUE</v>
      </c>
      <c r="M218" s="525" t="str">
        <f t="shared" si="21"/>
        <v>TRUE</v>
      </c>
      <c r="N218" s="533" t="b">
        <f>ROUND(SUMIFS(AN_TME_BY[[#All],[TOTAL Non-Truncated Unadjusted Claims Expenses]], AN_TME_BY[[#All],[Insurance Category Code]],3, AN_TME_BY[[#All],[Advanced Network/Insurance Carrier Org ID]],B218),2)&gt;=ROUND(SUMIFS(AN_TME_BY[[#All],[TOTAL Truncated Unadjusted Claims Expenses (A21 -A19)]], AN_TME_BY[[#All],[Insurance Category Code]],3, AN_TME_BY[[#All],[Advanced Network/Insurance Carrier Org ID]],B218),2)</f>
        <v>1</v>
      </c>
      <c r="O218" s="534" t="b">
        <f>ROUND(SUMIFS(AN_TME_BY[[#All],[TOTAL Truncated Unadjusted Claims Expenses (A21 -A19)]], AN_TME_BY[[#All],[Insurance Category Code]],3, AN_TME_BY[[#All],[Advanced Network/Insurance Carrier Org ID]],B218)+SUMIFS(AN_TME_BY[[#All],[Total Claims Excluded because of Truncation]], AN_TME_BY[[#All],[Insurance Category Code]],3, AN_TME_BY[[#All],[Advanced Network/Insurance Carrier Org ID]],B218),2)=ROUND(SUMIFS(AN_TME_BY[[#All],[TOTAL Non-Truncated Unadjusted Claims Expenses]], AN_TME_BY[[#All],[Insurance Category Code]],3, AN_TME_BY[[#All],[Advanced Network/Insurance Carrier Org ID]],B218), 2)</f>
        <v>1</v>
      </c>
      <c r="Q218" s="216">
        <v>121</v>
      </c>
      <c r="R218" s="404">
        <f>ROUND(SUMIFS(Age_Sex_PY[[#All],[Total Member Months by Age/Sex Band]], Age_Sex_PY[[#All],[Advanced Network ID]], $Q218, Age_Sex_PY[[#All],[Insurance Category Code]],3), 2)</f>
        <v>0</v>
      </c>
      <c r="S218" s="238">
        <f>ROUND(SUMIFS(Age_Sex_PY[[#All],[Total Dollars Excluded from Spending After Applying Truncation at the Member Level]], Age_Sex_PY[[#All],[Advanced Network ID]], $B218, Age_Sex_PY[[#All],[Insurance Category Code]],3), 2)</f>
        <v>0</v>
      </c>
      <c r="T218" s="209">
        <f>ROUND(SUMIFS(Age_Sex_PY[[#All],[Count of Members whose Spending was Truncated]], Age_Sex_PY[[#All],[Advanced Network ID]], $B218, Age_Sex_PY[[#All],[Insurance Category Code]],3),2)</f>
        <v>0</v>
      </c>
      <c r="U218" s="210">
        <f>ROUND(SUMIFS(Age_Sex_PY[[#All],[Total Spending before Truncation is Applied]], Age_Sex_PY[[#All],[Advanced Network ID]], $B218, Age_Sex_PY[[#All],[Insurance Category Code]],3),2)</f>
        <v>0</v>
      </c>
      <c r="V218" s="212">
        <f>ROUND(SUMIFS(Age_Sex_PY[[#All],[Total Spending After Applying Truncation at the Member Level]], Age_Sex_PY[[#All],[Advanced Network ID]], $B218, Age_Sex_PY[[#All],[Insurance Category Code]],3),2)</f>
        <v>0</v>
      </c>
      <c r="W218" s="525" t="str">
        <f>IF(ROUND(R218,0)=ROUND(SUMIFS(AN_TME_PY[[#All],[Member Months]], AN_TME_PY[[#All],[Insurance Category Code]],3, AN_TME_PY[[#All],[Advanced Network/Insurance Carrier Org ID]],Q218),0), "TRUE", ROUND(R218-SUMIFS(AN_TME_PY[[#All],[Member Months]], AN_TME_PY[[#All],[Insurance Category Code]],3, AN_TME_PY[[#All],[Advanced Network/Insurance Carrier Org ID]],Q218),2))</f>
        <v>TRUE</v>
      </c>
      <c r="X218" s="527" t="str">
        <f>IF(ROUND(S218,0)=ROUND(SUMIFS(AN_TME_PY[[#All],[Total Claims Excluded because of Truncation]], AN_TME_PY[[#All],[Insurance Category Code]],3, AN_TME_PY[[#All],[Advanced Network/Insurance Carrier Org ID]],Q218),0), "TRUE", ROUND(S218-SUMIFS(AN_TME_PY[[#All],[Total Claims Excluded because of Truncation]], AN_TME_PY[[#All],[Insurance Category Code]],3, AN_TME_PY[[#All],[Advanced Network/Insurance Carrier Org ID]],Q218),2))</f>
        <v>TRUE</v>
      </c>
      <c r="Y218" s="537" t="str">
        <f>IF(ROUND(T218,0)=ROUND(SUMIFS(AN_TME_PY[[#All],[Count of Members with Claims Truncated]], AN_TME_PY[[#All],[Insurance Category Code]],3, AN_TME_PY[[#All],[Advanced Network/Insurance Carrier Org ID]],Q218),0), "TRUE", ROUND(T218-SUMIFS(AN_TME_PY[[#All],[Count of Members with Claims Truncated]], AN_TME_PY[[#All],[Insurance Category Code]],3, AN_TME_PY[[#All],[Advanced Network/Insurance Carrier Org ID]],Q218),2))</f>
        <v>TRUE</v>
      </c>
      <c r="Z218" s="528" t="str">
        <f>IF(ROUND(U218,0)=ROUND(SUMIFS(AN_TME_PY[[#All],[TOTAL Non-Truncated Unadjusted Claims Expenses]], AN_TME_PY[[#All],[Insurance Category Code]],3, AN_TME_PY[[#All],[Advanced Network/Insurance Carrier Org ID]],Q218),0), "TRUE", ROUND(U218-SUMIFS(AN_TME_PY[[#All],[TOTAL Non-Truncated Unadjusted Claims Expenses]], AN_TME_PY[[#All],[Insurance Category Code]],3, AN_TME_PY[[#All],[Advanced Network/Insurance Carrier Org ID]],Q218),2))</f>
        <v>TRUE</v>
      </c>
      <c r="AA218" s="529" t="str">
        <f>IF(ROUND(V218,0)=ROUND(SUMIFS(AN_TME_PY[[#All],[TOTAL Truncated Unadjusted Claims Expenses (A21 -A19)]], AN_TME_PY[[#All],[Insurance Category Code]],3, AN_TME_PY[[#All],[Advanced Network/Insurance Carrier Org ID]],Q218),0), "TRUE", ROUND(V218-SUMIFS(AN_TME_PY[[#All],[TOTAL Truncated Unadjusted Claims Expenses (A21 -A19)]], AN_TME_PY[[#All],[Insurance Category Code]],3, AN_TME_PY[[#All],[Advanced Network/Insurance Carrier Org ID]],Q218),2))</f>
        <v>TRUE</v>
      </c>
      <c r="AB218" s="525" t="str">
        <f t="shared" si="24"/>
        <v>TRUE</v>
      </c>
      <c r="AC218" s="528" t="b">
        <f>ROUND(SUMIFS(AN_TME_PY[[#All],[TOTAL Non-Truncated Unadjusted Claims Expenses]], AN_TME_PY[[#All],[Insurance Category Code]],3, AN_TME_PY[[#All],[Advanced Network/Insurance Carrier Org ID]],Q218),2)&gt;=ROUND(SUMIFS(AN_TME_PY[[#All],[TOTAL Truncated Unadjusted Claims Expenses (A21 -A19)]], AN_TME_PY[[#All],[Insurance Category Code]],3, AN_TME_PY[[#All],[Advanced Network/Insurance Carrier Org ID]],Q218), 2)</f>
        <v>1</v>
      </c>
      <c r="AD218" s="529" t="b">
        <f>ROUND(SUMIFS(AN_TME_PY[[#All],[TOTAL Truncated Unadjusted Claims Expenses (A21 -A19)]], AN_TME_PY[[#All],[Insurance Category Code]],3, AN_TME_PY[[#All],[Advanced Network/Insurance Carrier Org ID]],Q218)+SUMIFS(AN_TME_PY[[#All],[Total Claims Excluded because of Truncation]], AN_TME_PY[[#All],[Insurance Category Code]],3, AN_TME_PY[[#All],[Advanced Network/Insurance Carrier Org ID]],Q218),2)=ROUND(SUMIFS(AN_TME_PY[[#All],[TOTAL Non-Truncated Unadjusted Claims Expenses]], AN_TME_PY[[#All],[Insurance Category Code]],3, AN_TME_PY[[#All],[Advanced Network/Insurance Carrier Org ID]],Q218),2)</f>
        <v>1</v>
      </c>
      <c r="AF218" s="283" t="str">
        <f t="shared" si="23"/>
        <v>NA</v>
      </c>
    </row>
    <row r="219" spans="2:32" outlineLevel="1" x14ac:dyDescent="0.25">
      <c r="B219" s="216">
        <v>122</v>
      </c>
      <c r="C219" s="404">
        <f>ROUND(SUMIFS(Age_Sex_BY[[#All],[Total Member Months by Age/Sex Band]], Age_Sex_BY[[#All],[Advanced Network ID]], $B219, Age_Sex_BY[[#All],[Insurance Category Code]],3),2)</f>
        <v>0</v>
      </c>
      <c r="D219" s="238">
        <f>ROUND(SUMIFS(Age_Sex_BY[[#All],[Total Dollars Excluded from Spending After Applying Truncation at the Member Level]], Age_Sex_BY[[#All],[Advanced Network ID]], $B219, Age_Sex_BY[[#All],[Insurance Category Code]],3),2)</f>
        <v>0</v>
      </c>
      <c r="E219" s="209">
        <f>ROUND(SUMIFS(Age_Sex_BY[[#All],[Count of Members whose Spending was Truncated]], Age_Sex_BY[[#All],[Advanced Network ID]], $B219, Age_Sex_BY[[#All],[Insurance Category Code]],3),2)</f>
        <v>0</v>
      </c>
      <c r="F219" s="210">
        <f>ROUND(SUMIFS(Age_Sex_BY[[#All],[Total Spending before Truncation is Applied]], Age_Sex_BY[[#All],[Advanced Network ID]], $B219, Age_Sex_BY[[#All],[Insurance Category Code]],3),2)</f>
        <v>0</v>
      </c>
      <c r="G219" s="212">
        <f>ROUND(SUMIFS(Age_Sex_BY[[#All],[Total Spending After Applying Truncation at the Member Level]], Age_Sex_BY[[#All],[Advanced Network ID]], $B219, Age_Sex_BY[[#All],[Insurance Category Code]],3), 2)</f>
        <v>0</v>
      </c>
      <c r="H219" s="525" t="str">
        <f>IF(ROUND(C219,0)=ROUND(SUMIFS(AN_TME_BY[[#All],[Member Months]], AN_TME_BY[[#All],[Insurance Category Code]],3, AN_TME_BY[[#All],[Advanced Network/Insurance Carrier Org ID]],B219),0), "TRUE", ROUND(C219-SUMIFS(AN_TME_BY[[#All],[Member Months]], AN_TME_BY[[#All],[Insurance Category Code]],3, AN_TME_BY[[#All],[Advanced Network/Insurance Carrier Org ID]],B219),2))</f>
        <v>TRUE</v>
      </c>
      <c r="I219" s="533" t="str">
        <f>IF(ROUND(D219,0)=ROUND(SUMIFS(AN_TME_BY[[#All],[Total Claims Excluded because of Truncation]], AN_TME_BY[[#All],[Insurance Category Code]],3, AN_TME_BY[[#All],[Advanced Network/Insurance Carrier Org ID]],B219),0), "TRUE", ROUND(D219-SUMIFS(AN_TME_BY[[#All],[Total Claims Excluded because of Truncation]], AN_TME_BY[[#All],[Insurance Category Code]],3, AN_TME_BY[[#All],[Advanced Network/Insurance Carrier Org ID]],B219),2))</f>
        <v>TRUE</v>
      </c>
      <c r="J219" s="537" t="str">
        <f>IF(ROUND(E219,0)=ROUND(SUMIFS(AN_TME_BY[[#All],[Count of Members with Claims Truncated]], AN_TME_BY[[#All],[Insurance Category Code]],3, AN_TME_BY[[#All],[Advanced Network/Insurance Carrier Org ID]],B219),0), "TRUE", ROUND(E219-SUMIFS(AN_TME_BY[[#All],[Count of Members with Claims Truncated]], AN_TME_BY[[#All],[Insurance Category Code]],3, AN_TME_BY[[#All],[Advanced Network/Insurance Carrier Org ID]],B219),2))</f>
        <v>TRUE</v>
      </c>
      <c r="K219" s="533" t="str">
        <f>IF(ROUND(F219,0)=ROUND(SUMIFS(AN_TME_BY[[#All],[TOTAL Non-Truncated Unadjusted Claims Expenses]], AN_TME_BY[[#All],[Insurance Category Code]],3, AN_TME_BY[[#All],[Advanced Network/Insurance Carrier Org ID]],B219),0), "TRUE", ROUND(F219-SUMIFS(AN_TME_BY[[#All],[TOTAL Non-Truncated Unadjusted Claims Expenses]], AN_TME_BY[[#All],[Insurance Category Code]],3, AN_TME_BY[[#All],[Advanced Network/Insurance Carrier Org ID]],B219),2))</f>
        <v>TRUE</v>
      </c>
      <c r="L219" s="534" t="str">
        <f>IF(ROUND(G219,0)=ROUND(SUMIFS(AN_TME_BY[[#All],[TOTAL Truncated Unadjusted Claims Expenses (A21 -A19)]], AN_TME_BY[[#All],[Insurance Category Code]],3, AN_TME_BY[[#All],[Advanced Network/Insurance Carrier Org ID]],B219),0), "TRUE", ROUND(G219-SUMIFS(AN_TME_BY[[#All],[TOTAL Truncated Unadjusted Claims Expenses (A21 -A19)]], AN_TME_BY[[#All],[Insurance Category Code]],3, AN_TME_BY[[#All],[Advanced Network/Insurance Carrier Org ID]],B219),2))</f>
        <v>TRUE</v>
      </c>
      <c r="M219" s="525" t="str">
        <f t="shared" si="21"/>
        <v>TRUE</v>
      </c>
      <c r="N219" s="533" t="b">
        <f>ROUND(SUMIFS(AN_TME_BY[[#All],[TOTAL Non-Truncated Unadjusted Claims Expenses]], AN_TME_BY[[#All],[Insurance Category Code]],3, AN_TME_BY[[#All],[Advanced Network/Insurance Carrier Org ID]],B219),2)&gt;=ROUND(SUMIFS(AN_TME_BY[[#All],[TOTAL Truncated Unadjusted Claims Expenses (A21 -A19)]], AN_TME_BY[[#All],[Insurance Category Code]],3, AN_TME_BY[[#All],[Advanced Network/Insurance Carrier Org ID]],B219),2)</f>
        <v>1</v>
      </c>
      <c r="O219" s="534" t="b">
        <f>ROUND(SUMIFS(AN_TME_BY[[#All],[TOTAL Truncated Unadjusted Claims Expenses (A21 -A19)]], AN_TME_BY[[#All],[Insurance Category Code]],3, AN_TME_BY[[#All],[Advanced Network/Insurance Carrier Org ID]],B219)+SUMIFS(AN_TME_BY[[#All],[Total Claims Excluded because of Truncation]], AN_TME_BY[[#All],[Insurance Category Code]],3, AN_TME_BY[[#All],[Advanced Network/Insurance Carrier Org ID]],B219),2)=ROUND(SUMIFS(AN_TME_BY[[#All],[TOTAL Non-Truncated Unadjusted Claims Expenses]], AN_TME_BY[[#All],[Insurance Category Code]],3, AN_TME_BY[[#All],[Advanced Network/Insurance Carrier Org ID]],B219), 2)</f>
        <v>1</v>
      </c>
      <c r="Q219" s="216">
        <v>122</v>
      </c>
      <c r="R219" s="404">
        <f>ROUND(SUMIFS(Age_Sex_PY[[#All],[Total Member Months by Age/Sex Band]], Age_Sex_PY[[#All],[Advanced Network ID]], $Q219, Age_Sex_PY[[#All],[Insurance Category Code]],3), 2)</f>
        <v>0</v>
      </c>
      <c r="S219" s="238">
        <f>ROUND(SUMIFS(Age_Sex_PY[[#All],[Total Dollars Excluded from Spending After Applying Truncation at the Member Level]], Age_Sex_PY[[#All],[Advanced Network ID]], $B219, Age_Sex_PY[[#All],[Insurance Category Code]],3), 2)</f>
        <v>0</v>
      </c>
      <c r="T219" s="209">
        <f>ROUND(SUMIFS(Age_Sex_PY[[#All],[Count of Members whose Spending was Truncated]], Age_Sex_PY[[#All],[Advanced Network ID]], $B219, Age_Sex_PY[[#All],[Insurance Category Code]],3),2)</f>
        <v>0</v>
      </c>
      <c r="U219" s="210">
        <f>ROUND(SUMIFS(Age_Sex_PY[[#All],[Total Spending before Truncation is Applied]], Age_Sex_PY[[#All],[Advanced Network ID]], $B219, Age_Sex_PY[[#All],[Insurance Category Code]],3),2)</f>
        <v>0</v>
      </c>
      <c r="V219" s="212">
        <f>ROUND(SUMIFS(Age_Sex_PY[[#All],[Total Spending After Applying Truncation at the Member Level]], Age_Sex_PY[[#All],[Advanced Network ID]], $B219, Age_Sex_PY[[#All],[Insurance Category Code]],3),2)</f>
        <v>0</v>
      </c>
      <c r="W219" s="525" t="str">
        <f>IF(ROUND(R219,0)=ROUND(SUMIFS(AN_TME_PY[[#All],[Member Months]], AN_TME_PY[[#All],[Insurance Category Code]],3, AN_TME_PY[[#All],[Advanced Network/Insurance Carrier Org ID]],Q219),0), "TRUE", ROUND(R219-SUMIFS(AN_TME_PY[[#All],[Member Months]], AN_TME_PY[[#All],[Insurance Category Code]],3, AN_TME_PY[[#All],[Advanced Network/Insurance Carrier Org ID]],Q219),2))</f>
        <v>TRUE</v>
      </c>
      <c r="X219" s="527" t="str">
        <f>IF(ROUND(S219,0)=ROUND(SUMIFS(AN_TME_PY[[#All],[Total Claims Excluded because of Truncation]], AN_TME_PY[[#All],[Insurance Category Code]],3, AN_TME_PY[[#All],[Advanced Network/Insurance Carrier Org ID]],Q219),0), "TRUE", ROUND(S219-SUMIFS(AN_TME_PY[[#All],[Total Claims Excluded because of Truncation]], AN_TME_PY[[#All],[Insurance Category Code]],3, AN_TME_PY[[#All],[Advanced Network/Insurance Carrier Org ID]],Q219),2))</f>
        <v>TRUE</v>
      </c>
      <c r="Y219" s="537" t="str">
        <f>IF(ROUND(T219,0)=ROUND(SUMIFS(AN_TME_PY[[#All],[Count of Members with Claims Truncated]], AN_TME_PY[[#All],[Insurance Category Code]],3, AN_TME_PY[[#All],[Advanced Network/Insurance Carrier Org ID]],Q219),0), "TRUE", ROUND(T219-SUMIFS(AN_TME_PY[[#All],[Count of Members with Claims Truncated]], AN_TME_PY[[#All],[Insurance Category Code]],3, AN_TME_PY[[#All],[Advanced Network/Insurance Carrier Org ID]],Q219),2))</f>
        <v>TRUE</v>
      </c>
      <c r="Z219" s="528" t="str">
        <f>IF(ROUND(U219,0)=ROUND(SUMIFS(AN_TME_PY[[#All],[TOTAL Non-Truncated Unadjusted Claims Expenses]], AN_TME_PY[[#All],[Insurance Category Code]],3, AN_TME_PY[[#All],[Advanced Network/Insurance Carrier Org ID]],Q219),0), "TRUE", ROUND(U219-SUMIFS(AN_TME_PY[[#All],[TOTAL Non-Truncated Unadjusted Claims Expenses]], AN_TME_PY[[#All],[Insurance Category Code]],3, AN_TME_PY[[#All],[Advanced Network/Insurance Carrier Org ID]],Q219),2))</f>
        <v>TRUE</v>
      </c>
      <c r="AA219" s="529" t="str">
        <f>IF(ROUND(V219,0)=ROUND(SUMIFS(AN_TME_PY[[#All],[TOTAL Truncated Unadjusted Claims Expenses (A21 -A19)]], AN_TME_PY[[#All],[Insurance Category Code]],3, AN_TME_PY[[#All],[Advanced Network/Insurance Carrier Org ID]],Q219),0), "TRUE", ROUND(V219-SUMIFS(AN_TME_PY[[#All],[TOTAL Truncated Unadjusted Claims Expenses (A21 -A19)]], AN_TME_PY[[#All],[Insurance Category Code]],3, AN_TME_PY[[#All],[Advanced Network/Insurance Carrier Org ID]],Q219),2))</f>
        <v>TRUE</v>
      </c>
      <c r="AB219" s="525" t="str">
        <f t="shared" si="24"/>
        <v>TRUE</v>
      </c>
      <c r="AC219" s="528" t="b">
        <f>ROUND(SUMIFS(AN_TME_PY[[#All],[TOTAL Non-Truncated Unadjusted Claims Expenses]], AN_TME_PY[[#All],[Insurance Category Code]],3, AN_TME_PY[[#All],[Advanced Network/Insurance Carrier Org ID]],Q219),2)&gt;=ROUND(SUMIFS(AN_TME_PY[[#All],[TOTAL Truncated Unadjusted Claims Expenses (A21 -A19)]], AN_TME_PY[[#All],[Insurance Category Code]],3, AN_TME_PY[[#All],[Advanced Network/Insurance Carrier Org ID]],Q219), 2)</f>
        <v>1</v>
      </c>
      <c r="AD219" s="529" t="b">
        <f>ROUND(SUMIFS(AN_TME_PY[[#All],[TOTAL Truncated Unadjusted Claims Expenses (A21 -A19)]], AN_TME_PY[[#All],[Insurance Category Code]],3, AN_TME_PY[[#All],[Advanced Network/Insurance Carrier Org ID]],Q219)+SUMIFS(AN_TME_PY[[#All],[Total Claims Excluded because of Truncation]], AN_TME_PY[[#All],[Insurance Category Code]],3, AN_TME_PY[[#All],[Advanced Network/Insurance Carrier Org ID]],Q219),2)=ROUND(SUMIFS(AN_TME_PY[[#All],[TOTAL Non-Truncated Unadjusted Claims Expenses]], AN_TME_PY[[#All],[Insurance Category Code]],3, AN_TME_PY[[#All],[Advanced Network/Insurance Carrier Org ID]],Q219),2)</f>
        <v>1</v>
      </c>
      <c r="AF219" s="283" t="str">
        <f t="shared" si="23"/>
        <v>NA</v>
      </c>
    </row>
    <row r="220" spans="2:32" outlineLevel="1" x14ac:dyDescent="0.25">
      <c r="B220" s="216">
        <v>123</v>
      </c>
      <c r="C220" s="404">
        <f>ROUND(SUMIFS(Age_Sex_BY[[#All],[Total Member Months by Age/Sex Band]], Age_Sex_BY[[#All],[Advanced Network ID]], $B220, Age_Sex_BY[[#All],[Insurance Category Code]],3),2)</f>
        <v>0</v>
      </c>
      <c r="D220" s="238">
        <f>ROUND(SUMIFS(Age_Sex_BY[[#All],[Total Dollars Excluded from Spending After Applying Truncation at the Member Level]], Age_Sex_BY[[#All],[Advanced Network ID]], $B220, Age_Sex_BY[[#All],[Insurance Category Code]],3),2)</f>
        <v>0</v>
      </c>
      <c r="E220" s="209">
        <f>ROUND(SUMIFS(Age_Sex_BY[[#All],[Count of Members whose Spending was Truncated]], Age_Sex_BY[[#All],[Advanced Network ID]], $B220, Age_Sex_BY[[#All],[Insurance Category Code]],3),2)</f>
        <v>0</v>
      </c>
      <c r="F220" s="210">
        <f>ROUND(SUMIFS(Age_Sex_BY[[#All],[Total Spending before Truncation is Applied]], Age_Sex_BY[[#All],[Advanced Network ID]], $B220, Age_Sex_BY[[#All],[Insurance Category Code]],3),2)</f>
        <v>0</v>
      </c>
      <c r="G220" s="212">
        <f>ROUND(SUMIFS(Age_Sex_BY[[#All],[Total Spending After Applying Truncation at the Member Level]], Age_Sex_BY[[#All],[Advanced Network ID]], $B220, Age_Sex_BY[[#All],[Insurance Category Code]],3), 2)</f>
        <v>0</v>
      </c>
      <c r="H220" s="525" t="str">
        <f>IF(ROUND(C220,0)=ROUND(SUMIFS(AN_TME_BY[[#All],[Member Months]], AN_TME_BY[[#All],[Insurance Category Code]],3, AN_TME_BY[[#All],[Advanced Network/Insurance Carrier Org ID]],B220),0), "TRUE", ROUND(C220-SUMIFS(AN_TME_BY[[#All],[Member Months]], AN_TME_BY[[#All],[Insurance Category Code]],3, AN_TME_BY[[#All],[Advanced Network/Insurance Carrier Org ID]],B220),2))</f>
        <v>TRUE</v>
      </c>
      <c r="I220" s="533" t="str">
        <f>IF(ROUND(D220,0)=ROUND(SUMIFS(AN_TME_BY[[#All],[Total Claims Excluded because of Truncation]], AN_TME_BY[[#All],[Insurance Category Code]],3, AN_TME_BY[[#All],[Advanced Network/Insurance Carrier Org ID]],B220),0), "TRUE", ROUND(D220-SUMIFS(AN_TME_BY[[#All],[Total Claims Excluded because of Truncation]], AN_TME_BY[[#All],[Insurance Category Code]],3, AN_TME_BY[[#All],[Advanced Network/Insurance Carrier Org ID]],B220),2))</f>
        <v>TRUE</v>
      </c>
      <c r="J220" s="537" t="str">
        <f>IF(ROUND(E220,0)=ROUND(SUMIFS(AN_TME_BY[[#All],[Count of Members with Claims Truncated]], AN_TME_BY[[#All],[Insurance Category Code]],3, AN_TME_BY[[#All],[Advanced Network/Insurance Carrier Org ID]],B220),0), "TRUE", ROUND(E220-SUMIFS(AN_TME_BY[[#All],[Count of Members with Claims Truncated]], AN_TME_BY[[#All],[Insurance Category Code]],3, AN_TME_BY[[#All],[Advanced Network/Insurance Carrier Org ID]],B220),2))</f>
        <v>TRUE</v>
      </c>
      <c r="K220" s="533" t="str">
        <f>IF(ROUND(F220,0)=ROUND(SUMIFS(AN_TME_BY[[#All],[TOTAL Non-Truncated Unadjusted Claims Expenses]], AN_TME_BY[[#All],[Insurance Category Code]],3, AN_TME_BY[[#All],[Advanced Network/Insurance Carrier Org ID]],B220),0), "TRUE", ROUND(F220-SUMIFS(AN_TME_BY[[#All],[TOTAL Non-Truncated Unadjusted Claims Expenses]], AN_TME_BY[[#All],[Insurance Category Code]],3, AN_TME_BY[[#All],[Advanced Network/Insurance Carrier Org ID]],B220),2))</f>
        <v>TRUE</v>
      </c>
      <c r="L220" s="534" t="str">
        <f>IF(ROUND(G220,0)=ROUND(SUMIFS(AN_TME_BY[[#All],[TOTAL Truncated Unadjusted Claims Expenses (A21 -A19)]], AN_TME_BY[[#All],[Insurance Category Code]],3, AN_TME_BY[[#All],[Advanced Network/Insurance Carrier Org ID]],B220),0), "TRUE", ROUND(G220-SUMIFS(AN_TME_BY[[#All],[TOTAL Truncated Unadjusted Claims Expenses (A21 -A19)]], AN_TME_BY[[#All],[Insurance Category Code]],3, AN_TME_BY[[#All],[Advanced Network/Insurance Carrier Org ID]],B220),2))</f>
        <v>TRUE</v>
      </c>
      <c r="M220" s="525" t="str">
        <f t="shared" si="21"/>
        <v>TRUE</v>
      </c>
      <c r="N220" s="533" t="b">
        <f>ROUND(SUMIFS(AN_TME_BY[[#All],[TOTAL Non-Truncated Unadjusted Claims Expenses]], AN_TME_BY[[#All],[Insurance Category Code]],3, AN_TME_BY[[#All],[Advanced Network/Insurance Carrier Org ID]],B220),2)&gt;=ROUND(SUMIFS(AN_TME_BY[[#All],[TOTAL Truncated Unadjusted Claims Expenses (A21 -A19)]], AN_TME_BY[[#All],[Insurance Category Code]],3, AN_TME_BY[[#All],[Advanced Network/Insurance Carrier Org ID]],B220),2)</f>
        <v>1</v>
      </c>
      <c r="O220" s="534" t="b">
        <f>ROUND(SUMIFS(AN_TME_BY[[#All],[TOTAL Truncated Unadjusted Claims Expenses (A21 -A19)]], AN_TME_BY[[#All],[Insurance Category Code]],3, AN_TME_BY[[#All],[Advanced Network/Insurance Carrier Org ID]],B220)+SUMIFS(AN_TME_BY[[#All],[Total Claims Excluded because of Truncation]], AN_TME_BY[[#All],[Insurance Category Code]],3, AN_TME_BY[[#All],[Advanced Network/Insurance Carrier Org ID]],B220),2)=ROUND(SUMIFS(AN_TME_BY[[#All],[TOTAL Non-Truncated Unadjusted Claims Expenses]], AN_TME_BY[[#All],[Insurance Category Code]],3, AN_TME_BY[[#All],[Advanced Network/Insurance Carrier Org ID]],B220), 2)</f>
        <v>1</v>
      </c>
      <c r="Q220" s="216">
        <v>123</v>
      </c>
      <c r="R220" s="404">
        <f>ROUND(SUMIFS(Age_Sex_PY[[#All],[Total Member Months by Age/Sex Band]], Age_Sex_PY[[#All],[Advanced Network ID]], $Q220, Age_Sex_PY[[#All],[Insurance Category Code]],3), 2)</f>
        <v>0</v>
      </c>
      <c r="S220" s="238">
        <f>ROUND(SUMIFS(Age_Sex_PY[[#All],[Total Dollars Excluded from Spending After Applying Truncation at the Member Level]], Age_Sex_PY[[#All],[Advanced Network ID]], $B220, Age_Sex_PY[[#All],[Insurance Category Code]],3), 2)</f>
        <v>0</v>
      </c>
      <c r="T220" s="209">
        <f>ROUND(SUMIFS(Age_Sex_PY[[#All],[Count of Members whose Spending was Truncated]], Age_Sex_PY[[#All],[Advanced Network ID]], $B220, Age_Sex_PY[[#All],[Insurance Category Code]],3),2)</f>
        <v>0</v>
      </c>
      <c r="U220" s="210">
        <f>ROUND(SUMIFS(Age_Sex_PY[[#All],[Total Spending before Truncation is Applied]], Age_Sex_PY[[#All],[Advanced Network ID]], $B220, Age_Sex_PY[[#All],[Insurance Category Code]],3),2)</f>
        <v>0</v>
      </c>
      <c r="V220" s="212">
        <f>ROUND(SUMIFS(Age_Sex_PY[[#All],[Total Spending After Applying Truncation at the Member Level]], Age_Sex_PY[[#All],[Advanced Network ID]], $B220, Age_Sex_PY[[#All],[Insurance Category Code]],3),2)</f>
        <v>0</v>
      </c>
      <c r="W220" s="525" t="str">
        <f>IF(ROUND(R220,0)=ROUND(SUMIFS(AN_TME_PY[[#All],[Member Months]], AN_TME_PY[[#All],[Insurance Category Code]],3, AN_TME_PY[[#All],[Advanced Network/Insurance Carrier Org ID]],Q220),0), "TRUE", ROUND(R220-SUMIFS(AN_TME_PY[[#All],[Member Months]], AN_TME_PY[[#All],[Insurance Category Code]],3, AN_TME_PY[[#All],[Advanced Network/Insurance Carrier Org ID]],Q220),2))</f>
        <v>TRUE</v>
      </c>
      <c r="X220" s="527" t="str">
        <f>IF(ROUND(S220,0)=ROUND(SUMIFS(AN_TME_PY[[#All],[Total Claims Excluded because of Truncation]], AN_TME_PY[[#All],[Insurance Category Code]],3, AN_TME_PY[[#All],[Advanced Network/Insurance Carrier Org ID]],Q220),0), "TRUE", ROUND(S220-SUMIFS(AN_TME_PY[[#All],[Total Claims Excluded because of Truncation]], AN_TME_PY[[#All],[Insurance Category Code]],3, AN_TME_PY[[#All],[Advanced Network/Insurance Carrier Org ID]],Q220),2))</f>
        <v>TRUE</v>
      </c>
      <c r="Y220" s="537" t="str">
        <f>IF(ROUND(T220,0)=ROUND(SUMIFS(AN_TME_PY[[#All],[Count of Members with Claims Truncated]], AN_TME_PY[[#All],[Insurance Category Code]],3, AN_TME_PY[[#All],[Advanced Network/Insurance Carrier Org ID]],Q220),0), "TRUE", ROUND(T220-SUMIFS(AN_TME_PY[[#All],[Count of Members with Claims Truncated]], AN_TME_PY[[#All],[Insurance Category Code]],3, AN_TME_PY[[#All],[Advanced Network/Insurance Carrier Org ID]],Q220),2))</f>
        <v>TRUE</v>
      </c>
      <c r="Z220" s="528" t="str">
        <f>IF(ROUND(U220,0)=ROUND(SUMIFS(AN_TME_PY[[#All],[TOTAL Non-Truncated Unadjusted Claims Expenses]], AN_TME_PY[[#All],[Insurance Category Code]],3, AN_TME_PY[[#All],[Advanced Network/Insurance Carrier Org ID]],Q220),0), "TRUE", ROUND(U220-SUMIFS(AN_TME_PY[[#All],[TOTAL Non-Truncated Unadjusted Claims Expenses]], AN_TME_PY[[#All],[Insurance Category Code]],3, AN_TME_PY[[#All],[Advanced Network/Insurance Carrier Org ID]],Q220),2))</f>
        <v>TRUE</v>
      </c>
      <c r="AA220" s="529" t="str">
        <f>IF(ROUND(V220,0)=ROUND(SUMIFS(AN_TME_PY[[#All],[TOTAL Truncated Unadjusted Claims Expenses (A21 -A19)]], AN_TME_PY[[#All],[Insurance Category Code]],3, AN_TME_PY[[#All],[Advanced Network/Insurance Carrier Org ID]],Q220),0), "TRUE", ROUND(V220-SUMIFS(AN_TME_PY[[#All],[TOTAL Truncated Unadjusted Claims Expenses (A21 -A19)]], AN_TME_PY[[#All],[Insurance Category Code]],3, AN_TME_PY[[#All],[Advanced Network/Insurance Carrier Org ID]],Q220),2))</f>
        <v>TRUE</v>
      </c>
      <c r="AB220" s="525" t="str">
        <f t="shared" si="24"/>
        <v>TRUE</v>
      </c>
      <c r="AC220" s="528" t="b">
        <f>ROUND(SUMIFS(AN_TME_PY[[#All],[TOTAL Non-Truncated Unadjusted Claims Expenses]], AN_TME_PY[[#All],[Insurance Category Code]],3, AN_TME_PY[[#All],[Advanced Network/Insurance Carrier Org ID]],Q220),2)&gt;=ROUND(SUMIFS(AN_TME_PY[[#All],[TOTAL Truncated Unadjusted Claims Expenses (A21 -A19)]], AN_TME_PY[[#All],[Insurance Category Code]],3, AN_TME_PY[[#All],[Advanced Network/Insurance Carrier Org ID]],Q220), 2)</f>
        <v>1</v>
      </c>
      <c r="AD220" s="529" t="b">
        <f>ROUND(SUMIFS(AN_TME_PY[[#All],[TOTAL Truncated Unadjusted Claims Expenses (A21 -A19)]], AN_TME_PY[[#All],[Insurance Category Code]],3, AN_TME_PY[[#All],[Advanced Network/Insurance Carrier Org ID]],Q220)+SUMIFS(AN_TME_PY[[#All],[Total Claims Excluded because of Truncation]], AN_TME_PY[[#All],[Insurance Category Code]],3, AN_TME_PY[[#All],[Advanced Network/Insurance Carrier Org ID]],Q220),2)=ROUND(SUMIFS(AN_TME_PY[[#All],[TOTAL Non-Truncated Unadjusted Claims Expenses]], AN_TME_PY[[#All],[Insurance Category Code]],3, AN_TME_PY[[#All],[Advanced Network/Insurance Carrier Org ID]],Q220),2)</f>
        <v>1</v>
      </c>
      <c r="AF220" s="283" t="str">
        <f t="shared" si="23"/>
        <v>NA</v>
      </c>
    </row>
    <row r="221" spans="2:32" outlineLevel="1" x14ac:dyDescent="0.25">
      <c r="B221" s="216">
        <v>124</v>
      </c>
      <c r="C221" s="404">
        <f>ROUND(SUMIFS(Age_Sex_BY[[#All],[Total Member Months by Age/Sex Band]], Age_Sex_BY[[#All],[Advanced Network ID]], $B221, Age_Sex_BY[[#All],[Insurance Category Code]],3),2)</f>
        <v>0</v>
      </c>
      <c r="D221" s="238">
        <f>ROUND(SUMIFS(Age_Sex_BY[[#All],[Total Dollars Excluded from Spending After Applying Truncation at the Member Level]], Age_Sex_BY[[#All],[Advanced Network ID]], $B221, Age_Sex_BY[[#All],[Insurance Category Code]],3),2)</f>
        <v>0</v>
      </c>
      <c r="E221" s="209">
        <f>ROUND(SUMIFS(Age_Sex_BY[[#All],[Count of Members whose Spending was Truncated]], Age_Sex_BY[[#All],[Advanced Network ID]], $B221, Age_Sex_BY[[#All],[Insurance Category Code]],3),2)</f>
        <v>0</v>
      </c>
      <c r="F221" s="210">
        <f>ROUND(SUMIFS(Age_Sex_BY[[#All],[Total Spending before Truncation is Applied]], Age_Sex_BY[[#All],[Advanced Network ID]], $B221, Age_Sex_BY[[#All],[Insurance Category Code]],3),2)</f>
        <v>0</v>
      </c>
      <c r="G221" s="212">
        <f>ROUND(SUMIFS(Age_Sex_BY[[#All],[Total Spending After Applying Truncation at the Member Level]], Age_Sex_BY[[#All],[Advanced Network ID]], $B221, Age_Sex_BY[[#All],[Insurance Category Code]],3), 2)</f>
        <v>0</v>
      </c>
      <c r="H221" s="525" t="str">
        <f>IF(ROUND(C221,0)=ROUND(SUMIFS(AN_TME_BY[[#All],[Member Months]], AN_TME_BY[[#All],[Insurance Category Code]],3, AN_TME_BY[[#All],[Advanced Network/Insurance Carrier Org ID]],B221),0), "TRUE", ROUND(C221-SUMIFS(AN_TME_BY[[#All],[Member Months]], AN_TME_BY[[#All],[Insurance Category Code]],3, AN_TME_BY[[#All],[Advanced Network/Insurance Carrier Org ID]],B221),2))</f>
        <v>TRUE</v>
      </c>
      <c r="I221" s="533" t="str">
        <f>IF(ROUND(D221,0)=ROUND(SUMIFS(AN_TME_BY[[#All],[Total Claims Excluded because of Truncation]], AN_TME_BY[[#All],[Insurance Category Code]],3, AN_TME_BY[[#All],[Advanced Network/Insurance Carrier Org ID]],B221),0), "TRUE", ROUND(D221-SUMIFS(AN_TME_BY[[#All],[Total Claims Excluded because of Truncation]], AN_TME_BY[[#All],[Insurance Category Code]],3, AN_TME_BY[[#All],[Advanced Network/Insurance Carrier Org ID]],B221),2))</f>
        <v>TRUE</v>
      </c>
      <c r="J221" s="537" t="str">
        <f>IF(ROUND(E221,0)=ROUND(SUMIFS(AN_TME_BY[[#All],[Count of Members with Claims Truncated]], AN_TME_BY[[#All],[Insurance Category Code]],3, AN_TME_BY[[#All],[Advanced Network/Insurance Carrier Org ID]],B221),0), "TRUE", ROUND(E221-SUMIFS(AN_TME_BY[[#All],[Count of Members with Claims Truncated]], AN_TME_BY[[#All],[Insurance Category Code]],3, AN_TME_BY[[#All],[Advanced Network/Insurance Carrier Org ID]],B221),2))</f>
        <v>TRUE</v>
      </c>
      <c r="K221" s="533" t="str">
        <f>IF(ROUND(F221,0)=ROUND(SUMIFS(AN_TME_BY[[#All],[TOTAL Non-Truncated Unadjusted Claims Expenses]], AN_TME_BY[[#All],[Insurance Category Code]],3, AN_TME_BY[[#All],[Advanced Network/Insurance Carrier Org ID]],B221),0), "TRUE", ROUND(F221-SUMIFS(AN_TME_BY[[#All],[TOTAL Non-Truncated Unadjusted Claims Expenses]], AN_TME_BY[[#All],[Insurance Category Code]],3, AN_TME_BY[[#All],[Advanced Network/Insurance Carrier Org ID]],B221),2))</f>
        <v>TRUE</v>
      </c>
      <c r="L221" s="534" t="str">
        <f>IF(ROUND(G221,0)=ROUND(SUMIFS(AN_TME_BY[[#All],[TOTAL Truncated Unadjusted Claims Expenses (A21 -A19)]], AN_TME_BY[[#All],[Insurance Category Code]],3, AN_TME_BY[[#All],[Advanced Network/Insurance Carrier Org ID]],B221),0), "TRUE", ROUND(G221-SUMIFS(AN_TME_BY[[#All],[TOTAL Truncated Unadjusted Claims Expenses (A21 -A19)]], AN_TME_BY[[#All],[Insurance Category Code]],3, AN_TME_BY[[#All],[Advanced Network/Insurance Carrier Org ID]],B221),2))</f>
        <v>TRUE</v>
      </c>
      <c r="M221" s="525" t="str">
        <f t="shared" si="21"/>
        <v>TRUE</v>
      </c>
      <c r="N221" s="533" t="b">
        <f>ROUND(SUMIFS(AN_TME_BY[[#All],[TOTAL Non-Truncated Unadjusted Claims Expenses]], AN_TME_BY[[#All],[Insurance Category Code]],3, AN_TME_BY[[#All],[Advanced Network/Insurance Carrier Org ID]],B221),2)&gt;=ROUND(SUMIFS(AN_TME_BY[[#All],[TOTAL Truncated Unadjusted Claims Expenses (A21 -A19)]], AN_TME_BY[[#All],[Insurance Category Code]],3, AN_TME_BY[[#All],[Advanced Network/Insurance Carrier Org ID]],B221),2)</f>
        <v>1</v>
      </c>
      <c r="O221" s="534" t="b">
        <f>ROUND(SUMIFS(AN_TME_BY[[#All],[TOTAL Truncated Unadjusted Claims Expenses (A21 -A19)]], AN_TME_BY[[#All],[Insurance Category Code]],3, AN_TME_BY[[#All],[Advanced Network/Insurance Carrier Org ID]],B221)+SUMIFS(AN_TME_BY[[#All],[Total Claims Excluded because of Truncation]], AN_TME_BY[[#All],[Insurance Category Code]],3, AN_TME_BY[[#All],[Advanced Network/Insurance Carrier Org ID]],B221),2)=ROUND(SUMIFS(AN_TME_BY[[#All],[TOTAL Non-Truncated Unadjusted Claims Expenses]], AN_TME_BY[[#All],[Insurance Category Code]],3, AN_TME_BY[[#All],[Advanced Network/Insurance Carrier Org ID]],B221), 2)</f>
        <v>1</v>
      </c>
      <c r="Q221" s="216">
        <v>124</v>
      </c>
      <c r="R221" s="404">
        <f>ROUND(SUMIFS(Age_Sex_PY[[#All],[Total Member Months by Age/Sex Band]], Age_Sex_PY[[#All],[Advanced Network ID]], $Q221, Age_Sex_PY[[#All],[Insurance Category Code]],3), 2)</f>
        <v>0</v>
      </c>
      <c r="S221" s="238">
        <f>ROUND(SUMIFS(Age_Sex_PY[[#All],[Total Dollars Excluded from Spending After Applying Truncation at the Member Level]], Age_Sex_PY[[#All],[Advanced Network ID]], $B221, Age_Sex_PY[[#All],[Insurance Category Code]],3), 2)</f>
        <v>0</v>
      </c>
      <c r="T221" s="209">
        <f>ROUND(SUMIFS(Age_Sex_PY[[#All],[Count of Members whose Spending was Truncated]], Age_Sex_PY[[#All],[Advanced Network ID]], $B221, Age_Sex_PY[[#All],[Insurance Category Code]],3),2)</f>
        <v>0</v>
      </c>
      <c r="U221" s="210">
        <f>ROUND(SUMIFS(Age_Sex_PY[[#All],[Total Spending before Truncation is Applied]], Age_Sex_PY[[#All],[Advanced Network ID]], $B221, Age_Sex_PY[[#All],[Insurance Category Code]],3),2)</f>
        <v>0</v>
      </c>
      <c r="V221" s="212">
        <f>ROUND(SUMIFS(Age_Sex_PY[[#All],[Total Spending After Applying Truncation at the Member Level]], Age_Sex_PY[[#All],[Advanced Network ID]], $B221, Age_Sex_PY[[#All],[Insurance Category Code]],3),2)</f>
        <v>0</v>
      </c>
      <c r="W221" s="525" t="str">
        <f>IF(ROUND(R221,0)=ROUND(SUMIFS(AN_TME_PY[[#All],[Member Months]], AN_TME_PY[[#All],[Insurance Category Code]],3, AN_TME_PY[[#All],[Advanced Network/Insurance Carrier Org ID]],Q221),0), "TRUE", ROUND(R221-SUMIFS(AN_TME_PY[[#All],[Member Months]], AN_TME_PY[[#All],[Insurance Category Code]],3, AN_TME_PY[[#All],[Advanced Network/Insurance Carrier Org ID]],Q221),2))</f>
        <v>TRUE</v>
      </c>
      <c r="X221" s="527" t="str">
        <f>IF(ROUND(S221,0)=ROUND(SUMIFS(AN_TME_PY[[#All],[Total Claims Excluded because of Truncation]], AN_TME_PY[[#All],[Insurance Category Code]],3, AN_TME_PY[[#All],[Advanced Network/Insurance Carrier Org ID]],Q221),0), "TRUE", ROUND(S221-SUMIFS(AN_TME_PY[[#All],[Total Claims Excluded because of Truncation]], AN_TME_PY[[#All],[Insurance Category Code]],3, AN_TME_PY[[#All],[Advanced Network/Insurance Carrier Org ID]],Q221),2))</f>
        <v>TRUE</v>
      </c>
      <c r="Y221" s="537" t="str">
        <f>IF(ROUND(T221,0)=ROUND(SUMIFS(AN_TME_PY[[#All],[Count of Members with Claims Truncated]], AN_TME_PY[[#All],[Insurance Category Code]],3, AN_TME_PY[[#All],[Advanced Network/Insurance Carrier Org ID]],Q221),0), "TRUE", ROUND(T221-SUMIFS(AN_TME_PY[[#All],[Count of Members with Claims Truncated]], AN_TME_PY[[#All],[Insurance Category Code]],3, AN_TME_PY[[#All],[Advanced Network/Insurance Carrier Org ID]],Q221),2))</f>
        <v>TRUE</v>
      </c>
      <c r="Z221" s="528" t="str">
        <f>IF(ROUND(U221,0)=ROUND(SUMIFS(AN_TME_PY[[#All],[TOTAL Non-Truncated Unadjusted Claims Expenses]], AN_TME_PY[[#All],[Insurance Category Code]],3, AN_TME_PY[[#All],[Advanced Network/Insurance Carrier Org ID]],Q221),0), "TRUE", ROUND(U221-SUMIFS(AN_TME_PY[[#All],[TOTAL Non-Truncated Unadjusted Claims Expenses]], AN_TME_PY[[#All],[Insurance Category Code]],3, AN_TME_PY[[#All],[Advanced Network/Insurance Carrier Org ID]],Q221),2))</f>
        <v>TRUE</v>
      </c>
      <c r="AA221" s="529" t="str">
        <f>IF(ROUND(V221,0)=ROUND(SUMIFS(AN_TME_PY[[#All],[TOTAL Truncated Unadjusted Claims Expenses (A21 -A19)]], AN_TME_PY[[#All],[Insurance Category Code]],3, AN_TME_PY[[#All],[Advanced Network/Insurance Carrier Org ID]],Q221),0), "TRUE", ROUND(V221-SUMIFS(AN_TME_PY[[#All],[TOTAL Truncated Unadjusted Claims Expenses (A21 -A19)]], AN_TME_PY[[#All],[Insurance Category Code]],3, AN_TME_PY[[#All],[Advanced Network/Insurance Carrier Org ID]],Q221),2))</f>
        <v>TRUE</v>
      </c>
      <c r="AB221" s="525" t="str">
        <f t="shared" si="24"/>
        <v>TRUE</v>
      </c>
      <c r="AC221" s="528" t="b">
        <f>ROUND(SUMIFS(AN_TME_PY[[#All],[TOTAL Non-Truncated Unadjusted Claims Expenses]], AN_TME_PY[[#All],[Insurance Category Code]],3, AN_TME_PY[[#All],[Advanced Network/Insurance Carrier Org ID]],Q221),2)&gt;=ROUND(SUMIFS(AN_TME_PY[[#All],[TOTAL Truncated Unadjusted Claims Expenses (A21 -A19)]], AN_TME_PY[[#All],[Insurance Category Code]],3, AN_TME_PY[[#All],[Advanced Network/Insurance Carrier Org ID]],Q221), 2)</f>
        <v>1</v>
      </c>
      <c r="AD221" s="529" t="b">
        <f>ROUND(SUMIFS(AN_TME_PY[[#All],[TOTAL Truncated Unadjusted Claims Expenses (A21 -A19)]], AN_TME_PY[[#All],[Insurance Category Code]],3, AN_TME_PY[[#All],[Advanced Network/Insurance Carrier Org ID]],Q221)+SUMIFS(AN_TME_PY[[#All],[Total Claims Excluded because of Truncation]], AN_TME_PY[[#All],[Insurance Category Code]],3, AN_TME_PY[[#All],[Advanced Network/Insurance Carrier Org ID]],Q221),2)=ROUND(SUMIFS(AN_TME_PY[[#All],[TOTAL Non-Truncated Unadjusted Claims Expenses]], AN_TME_PY[[#All],[Insurance Category Code]],3, AN_TME_PY[[#All],[Advanced Network/Insurance Carrier Org ID]],Q221),2)</f>
        <v>1</v>
      </c>
      <c r="AF221" s="283" t="str">
        <f t="shared" si="23"/>
        <v>NA</v>
      </c>
    </row>
    <row r="222" spans="2:32" outlineLevel="1" x14ac:dyDescent="0.25">
      <c r="B222" s="216">
        <v>125</v>
      </c>
      <c r="C222" s="404">
        <f>ROUND(SUMIFS(Age_Sex_BY[[#All],[Total Member Months by Age/Sex Band]], Age_Sex_BY[[#All],[Advanced Network ID]], $B222, Age_Sex_BY[[#All],[Insurance Category Code]],3),2)</f>
        <v>0</v>
      </c>
      <c r="D222" s="238">
        <f>ROUND(SUMIFS(Age_Sex_BY[[#All],[Total Dollars Excluded from Spending After Applying Truncation at the Member Level]], Age_Sex_BY[[#All],[Advanced Network ID]], $B222, Age_Sex_BY[[#All],[Insurance Category Code]],3),2)</f>
        <v>0</v>
      </c>
      <c r="E222" s="209">
        <f>ROUND(SUMIFS(Age_Sex_BY[[#All],[Count of Members whose Spending was Truncated]], Age_Sex_BY[[#All],[Advanced Network ID]], $B222, Age_Sex_BY[[#All],[Insurance Category Code]],3),2)</f>
        <v>0</v>
      </c>
      <c r="F222" s="210">
        <f>ROUND(SUMIFS(Age_Sex_BY[[#All],[Total Spending before Truncation is Applied]], Age_Sex_BY[[#All],[Advanced Network ID]], $B222, Age_Sex_BY[[#All],[Insurance Category Code]],3),2)</f>
        <v>0</v>
      </c>
      <c r="G222" s="212">
        <f>ROUND(SUMIFS(Age_Sex_BY[[#All],[Total Spending After Applying Truncation at the Member Level]], Age_Sex_BY[[#All],[Advanced Network ID]], $B222, Age_Sex_BY[[#All],[Insurance Category Code]],3), 2)</f>
        <v>0</v>
      </c>
      <c r="H222" s="525" t="str">
        <f>IF(ROUND(C222,0)=ROUND(SUMIFS(AN_TME_BY[[#All],[Member Months]], AN_TME_BY[[#All],[Insurance Category Code]],3, AN_TME_BY[[#All],[Advanced Network/Insurance Carrier Org ID]],B222),0), "TRUE", ROUND(C222-SUMIFS(AN_TME_BY[[#All],[Member Months]], AN_TME_BY[[#All],[Insurance Category Code]],3, AN_TME_BY[[#All],[Advanced Network/Insurance Carrier Org ID]],B222),2))</f>
        <v>TRUE</v>
      </c>
      <c r="I222" s="533" t="str">
        <f>IF(ROUND(D222,0)=ROUND(SUMIFS(AN_TME_BY[[#All],[Total Claims Excluded because of Truncation]], AN_TME_BY[[#All],[Insurance Category Code]],3, AN_TME_BY[[#All],[Advanced Network/Insurance Carrier Org ID]],B222),0), "TRUE", ROUND(D222-SUMIFS(AN_TME_BY[[#All],[Total Claims Excluded because of Truncation]], AN_TME_BY[[#All],[Insurance Category Code]],3, AN_TME_BY[[#All],[Advanced Network/Insurance Carrier Org ID]],B222),2))</f>
        <v>TRUE</v>
      </c>
      <c r="J222" s="537" t="str">
        <f>IF(ROUND(E222,0)=ROUND(SUMIFS(AN_TME_BY[[#All],[Count of Members with Claims Truncated]], AN_TME_BY[[#All],[Insurance Category Code]],3, AN_TME_BY[[#All],[Advanced Network/Insurance Carrier Org ID]],B222),0), "TRUE", ROUND(E222-SUMIFS(AN_TME_BY[[#All],[Count of Members with Claims Truncated]], AN_TME_BY[[#All],[Insurance Category Code]],3, AN_TME_BY[[#All],[Advanced Network/Insurance Carrier Org ID]],B222),2))</f>
        <v>TRUE</v>
      </c>
      <c r="K222" s="533" t="str">
        <f>IF(ROUND(F222,0)=ROUND(SUMIFS(AN_TME_BY[[#All],[TOTAL Non-Truncated Unadjusted Claims Expenses]], AN_TME_BY[[#All],[Insurance Category Code]],3, AN_TME_BY[[#All],[Advanced Network/Insurance Carrier Org ID]],B222),0), "TRUE", ROUND(F222-SUMIFS(AN_TME_BY[[#All],[TOTAL Non-Truncated Unadjusted Claims Expenses]], AN_TME_BY[[#All],[Insurance Category Code]],3, AN_TME_BY[[#All],[Advanced Network/Insurance Carrier Org ID]],B222),2))</f>
        <v>TRUE</v>
      </c>
      <c r="L222" s="534" t="str">
        <f>IF(ROUND(G222,0)=ROUND(SUMIFS(AN_TME_BY[[#All],[TOTAL Truncated Unadjusted Claims Expenses (A21 -A19)]], AN_TME_BY[[#All],[Insurance Category Code]],3, AN_TME_BY[[#All],[Advanced Network/Insurance Carrier Org ID]],B222),0), "TRUE", ROUND(G222-SUMIFS(AN_TME_BY[[#All],[TOTAL Truncated Unadjusted Claims Expenses (A21 -A19)]], AN_TME_BY[[#All],[Insurance Category Code]],3, AN_TME_BY[[#All],[Advanced Network/Insurance Carrier Org ID]],B222),2))</f>
        <v>TRUE</v>
      </c>
      <c r="M222" s="525" t="str">
        <f t="shared" si="21"/>
        <v>TRUE</v>
      </c>
      <c r="N222" s="533" t="b">
        <f>ROUND(SUMIFS(AN_TME_BY[[#All],[TOTAL Non-Truncated Unadjusted Claims Expenses]], AN_TME_BY[[#All],[Insurance Category Code]],3, AN_TME_BY[[#All],[Advanced Network/Insurance Carrier Org ID]],B222),2)&gt;=ROUND(SUMIFS(AN_TME_BY[[#All],[TOTAL Truncated Unadjusted Claims Expenses (A21 -A19)]], AN_TME_BY[[#All],[Insurance Category Code]],3, AN_TME_BY[[#All],[Advanced Network/Insurance Carrier Org ID]],B222),2)</f>
        <v>1</v>
      </c>
      <c r="O222" s="534" t="b">
        <f>ROUND(SUMIFS(AN_TME_BY[[#All],[TOTAL Truncated Unadjusted Claims Expenses (A21 -A19)]], AN_TME_BY[[#All],[Insurance Category Code]],3, AN_TME_BY[[#All],[Advanced Network/Insurance Carrier Org ID]],B222)+SUMIFS(AN_TME_BY[[#All],[Total Claims Excluded because of Truncation]], AN_TME_BY[[#All],[Insurance Category Code]],3, AN_TME_BY[[#All],[Advanced Network/Insurance Carrier Org ID]],B222),2)=ROUND(SUMIFS(AN_TME_BY[[#All],[TOTAL Non-Truncated Unadjusted Claims Expenses]], AN_TME_BY[[#All],[Insurance Category Code]],3, AN_TME_BY[[#All],[Advanced Network/Insurance Carrier Org ID]],B222), 2)</f>
        <v>1</v>
      </c>
      <c r="Q222" s="216">
        <v>125</v>
      </c>
      <c r="R222" s="404">
        <f>ROUND(SUMIFS(Age_Sex_PY[[#All],[Total Member Months by Age/Sex Band]], Age_Sex_PY[[#All],[Advanced Network ID]], $Q222, Age_Sex_PY[[#All],[Insurance Category Code]],3), 2)</f>
        <v>0</v>
      </c>
      <c r="S222" s="238">
        <f>ROUND(SUMIFS(Age_Sex_PY[[#All],[Total Dollars Excluded from Spending After Applying Truncation at the Member Level]], Age_Sex_PY[[#All],[Advanced Network ID]], $B222, Age_Sex_PY[[#All],[Insurance Category Code]],3), 2)</f>
        <v>0</v>
      </c>
      <c r="T222" s="209">
        <f>ROUND(SUMIFS(Age_Sex_PY[[#All],[Count of Members whose Spending was Truncated]], Age_Sex_PY[[#All],[Advanced Network ID]], $B222, Age_Sex_PY[[#All],[Insurance Category Code]],3),2)</f>
        <v>0</v>
      </c>
      <c r="U222" s="210">
        <f>ROUND(SUMIFS(Age_Sex_PY[[#All],[Total Spending before Truncation is Applied]], Age_Sex_PY[[#All],[Advanced Network ID]], $B222, Age_Sex_PY[[#All],[Insurance Category Code]],3),2)</f>
        <v>0</v>
      </c>
      <c r="V222" s="212">
        <f>ROUND(SUMIFS(Age_Sex_PY[[#All],[Total Spending After Applying Truncation at the Member Level]], Age_Sex_PY[[#All],[Advanced Network ID]], $B222, Age_Sex_PY[[#All],[Insurance Category Code]],3),2)</f>
        <v>0</v>
      </c>
      <c r="W222" s="525" t="str">
        <f>IF(ROUND(R222,0)=ROUND(SUMIFS(AN_TME_PY[[#All],[Member Months]], AN_TME_PY[[#All],[Insurance Category Code]],3, AN_TME_PY[[#All],[Advanced Network/Insurance Carrier Org ID]],Q222),0), "TRUE", ROUND(R222-SUMIFS(AN_TME_PY[[#All],[Member Months]], AN_TME_PY[[#All],[Insurance Category Code]],3, AN_TME_PY[[#All],[Advanced Network/Insurance Carrier Org ID]],Q222),2))</f>
        <v>TRUE</v>
      </c>
      <c r="X222" s="527" t="str">
        <f>IF(ROUND(S222,0)=ROUND(SUMIFS(AN_TME_PY[[#All],[Total Claims Excluded because of Truncation]], AN_TME_PY[[#All],[Insurance Category Code]],3, AN_TME_PY[[#All],[Advanced Network/Insurance Carrier Org ID]],Q222),0), "TRUE", ROUND(S222-SUMIFS(AN_TME_PY[[#All],[Total Claims Excluded because of Truncation]], AN_TME_PY[[#All],[Insurance Category Code]],3, AN_TME_PY[[#All],[Advanced Network/Insurance Carrier Org ID]],Q222),2))</f>
        <v>TRUE</v>
      </c>
      <c r="Y222" s="537" t="str">
        <f>IF(ROUND(T222,0)=ROUND(SUMIFS(AN_TME_PY[[#All],[Count of Members with Claims Truncated]], AN_TME_PY[[#All],[Insurance Category Code]],3, AN_TME_PY[[#All],[Advanced Network/Insurance Carrier Org ID]],Q222),0), "TRUE", ROUND(T222-SUMIFS(AN_TME_PY[[#All],[Count of Members with Claims Truncated]], AN_TME_PY[[#All],[Insurance Category Code]],3, AN_TME_PY[[#All],[Advanced Network/Insurance Carrier Org ID]],Q222),2))</f>
        <v>TRUE</v>
      </c>
      <c r="Z222" s="528" t="str">
        <f>IF(ROUND(U222,0)=ROUND(SUMIFS(AN_TME_PY[[#All],[TOTAL Non-Truncated Unadjusted Claims Expenses]], AN_TME_PY[[#All],[Insurance Category Code]],3, AN_TME_PY[[#All],[Advanced Network/Insurance Carrier Org ID]],Q222),0), "TRUE", ROUND(U222-SUMIFS(AN_TME_PY[[#All],[TOTAL Non-Truncated Unadjusted Claims Expenses]], AN_TME_PY[[#All],[Insurance Category Code]],3, AN_TME_PY[[#All],[Advanced Network/Insurance Carrier Org ID]],Q222),2))</f>
        <v>TRUE</v>
      </c>
      <c r="AA222" s="529" t="str">
        <f>IF(ROUND(V222,0)=ROUND(SUMIFS(AN_TME_PY[[#All],[TOTAL Truncated Unadjusted Claims Expenses (A21 -A19)]], AN_TME_PY[[#All],[Insurance Category Code]],3, AN_TME_PY[[#All],[Advanced Network/Insurance Carrier Org ID]],Q222),0), "TRUE", ROUND(V222-SUMIFS(AN_TME_PY[[#All],[TOTAL Truncated Unadjusted Claims Expenses (A21 -A19)]], AN_TME_PY[[#All],[Insurance Category Code]],3, AN_TME_PY[[#All],[Advanced Network/Insurance Carrier Org ID]],Q222),2))</f>
        <v>TRUE</v>
      </c>
      <c r="AB222" s="525" t="str">
        <f t="shared" si="24"/>
        <v>TRUE</v>
      </c>
      <c r="AC222" s="528" t="b">
        <f>ROUND(SUMIFS(AN_TME_PY[[#All],[TOTAL Non-Truncated Unadjusted Claims Expenses]], AN_TME_PY[[#All],[Insurance Category Code]],3, AN_TME_PY[[#All],[Advanced Network/Insurance Carrier Org ID]],Q222),2)&gt;=ROUND(SUMIFS(AN_TME_PY[[#All],[TOTAL Truncated Unadjusted Claims Expenses (A21 -A19)]], AN_TME_PY[[#All],[Insurance Category Code]],3, AN_TME_PY[[#All],[Advanced Network/Insurance Carrier Org ID]],Q222), 2)</f>
        <v>1</v>
      </c>
      <c r="AD222" s="529" t="b">
        <f>ROUND(SUMIFS(AN_TME_PY[[#All],[TOTAL Truncated Unadjusted Claims Expenses (A21 -A19)]], AN_TME_PY[[#All],[Insurance Category Code]],3, AN_TME_PY[[#All],[Advanced Network/Insurance Carrier Org ID]],Q222)+SUMIFS(AN_TME_PY[[#All],[Total Claims Excluded because of Truncation]], AN_TME_PY[[#All],[Insurance Category Code]],3, AN_TME_PY[[#All],[Advanced Network/Insurance Carrier Org ID]],Q222),2)=ROUND(SUMIFS(AN_TME_PY[[#All],[TOTAL Non-Truncated Unadjusted Claims Expenses]], AN_TME_PY[[#All],[Insurance Category Code]],3, AN_TME_PY[[#All],[Advanced Network/Insurance Carrier Org ID]],Q222),2)</f>
        <v>1</v>
      </c>
      <c r="AF222" s="283" t="str">
        <f t="shared" si="23"/>
        <v>NA</v>
      </c>
    </row>
    <row r="223" spans="2:32" outlineLevel="1" x14ac:dyDescent="0.25">
      <c r="B223" s="216">
        <v>126</v>
      </c>
      <c r="C223" s="404">
        <f>ROUND(SUMIFS(Age_Sex_BY[[#All],[Total Member Months by Age/Sex Band]], Age_Sex_BY[[#All],[Advanced Network ID]], $B223, Age_Sex_BY[[#All],[Insurance Category Code]],3),2)</f>
        <v>0</v>
      </c>
      <c r="D223" s="238">
        <f>ROUND(SUMIFS(Age_Sex_BY[[#All],[Total Dollars Excluded from Spending After Applying Truncation at the Member Level]], Age_Sex_BY[[#All],[Advanced Network ID]], $B223, Age_Sex_BY[[#All],[Insurance Category Code]],3),2)</f>
        <v>0</v>
      </c>
      <c r="E223" s="209">
        <f>ROUND(SUMIFS(Age_Sex_BY[[#All],[Count of Members whose Spending was Truncated]], Age_Sex_BY[[#All],[Advanced Network ID]], $B223, Age_Sex_BY[[#All],[Insurance Category Code]],3),2)</f>
        <v>0</v>
      </c>
      <c r="F223" s="210">
        <f>ROUND(SUMIFS(Age_Sex_BY[[#All],[Total Spending before Truncation is Applied]], Age_Sex_BY[[#All],[Advanced Network ID]], $B223, Age_Sex_BY[[#All],[Insurance Category Code]],3),2)</f>
        <v>0</v>
      </c>
      <c r="G223" s="212">
        <f>ROUND(SUMIFS(Age_Sex_BY[[#All],[Total Spending After Applying Truncation at the Member Level]], Age_Sex_BY[[#All],[Advanced Network ID]], $B223, Age_Sex_BY[[#All],[Insurance Category Code]],3), 2)</f>
        <v>0</v>
      </c>
      <c r="H223" s="525" t="str">
        <f>IF(ROUND(C223,0)=ROUND(SUMIFS(AN_TME_BY[[#All],[Member Months]], AN_TME_BY[[#All],[Insurance Category Code]],3, AN_TME_BY[[#All],[Advanced Network/Insurance Carrier Org ID]],B223),0), "TRUE", ROUND(C223-SUMIFS(AN_TME_BY[[#All],[Member Months]], AN_TME_BY[[#All],[Insurance Category Code]],3, AN_TME_BY[[#All],[Advanced Network/Insurance Carrier Org ID]],B223),2))</f>
        <v>TRUE</v>
      </c>
      <c r="I223" s="533" t="str">
        <f>IF(ROUND(D223,0)=ROUND(SUMIFS(AN_TME_BY[[#All],[Total Claims Excluded because of Truncation]], AN_TME_BY[[#All],[Insurance Category Code]],3, AN_TME_BY[[#All],[Advanced Network/Insurance Carrier Org ID]],B223),0), "TRUE", ROUND(D223-SUMIFS(AN_TME_BY[[#All],[Total Claims Excluded because of Truncation]], AN_TME_BY[[#All],[Insurance Category Code]],3, AN_TME_BY[[#All],[Advanced Network/Insurance Carrier Org ID]],B223),2))</f>
        <v>TRUE</v>
      </c>
      <c r="J223" s="537" t="str">
        <f>IF(ROUND(E223,0)=ROUND(SUMIFS(AN_TME_BY[[#All],[Count of Members with Claims Truncated]], AN_TME_BY[[#All],[Insurance Category Code]],3, AN_TME_BY[[#All],[Advanced Network/Insurance Carrier Org ID]],B223),0), "TRUE", ROUND(E223-SUMIFS(AN_TME_BY[[#All],[Count of Members with Claims Truncated]], AN_TME_BY[[#All],[Insurance Category Code]],3, AN_TME_BY[[#All],[Advanced Network/Insurance Carrier Org ID]],B223),2))</f>
        <v>TRUE</v>
      </c>
      <c r="K223" s="533" t="str">
        <f>IF(ROUND(F223,0)=ROUND(SUMIFS(AN_TME_BY[[#All],[TOTAL Non-Truncated Unadjusted Claims Expenses]], AN_TME_BY[[#All],[Insurance Category Code]],3, AN_TME_BY[[#All],[Advanced Network/Insurance Carrier Org ID]],B223),0), "TRUE", ROUND(F223-SUMIFS(AN_TME_BY[[#All],[TOTAL Non-Truncated Unadjusted Claims Expenses]], AN_TME_BY[[#All],[Insurance Category Code]],3, AN_TME_BY[[#All],[Advanced Network/Insurance Carrier Org ID]],B223),2))</f>
        <v>TRUE</v>
      </c>
      <c r="L223" s="534" t="str">
        <f>IF(ROUND(G223,0)=ROUND(SUMIFS(AN_TME_BY[[#All],[TOTAL Truncated Unadjusted Claims Expenses (A21 -A19)]], AN_TME_BY[[#All],[Insurance Category Code]],3, AN_TME_BY[[#All],[Advanced Network/Insurance Carrier Org ID]],B223),0), "TRUE", ROUND(G223-SUMIFS(AN_TME_BY[[#All],[TOTAL Truncated Unadjusted Claims Expenses (A21 -A19)]], AN_TME_BY[[#All],[Insurance Category Code]],3, AN_TME_BY[[#All],[Advanced Network/Insurance Carrier Org ID]],B223),2))</f>
        <v>TRUE</v>
      </c>
      <c r="M223" s="525" t="str">
        <f t="shared" si="21"/>
        <v>TRUE</v>
      </c>
      <c r="N223" s="533" t="b">
        <f>ROUND(SUMIFS(AN_TME_BY[[#All],[TOTAL Non-Truncated Unadjusted Claims Expenses]], AN_TME_BY[[#All],[Insurance Category Code]],3, AN_TME_BY[[#All],[Advanced Network/Insurance Carrier Org ID]],B223),2)&gt;=ROUND(SUMIFS(AN_TME_BY[[#All],[TOTAL Truncated Unadjusted Claims Expenses (A21 -A19)]], AN_TME_BY[[#All],[Insurance Category Code]],3, AN_TME_BY[[#All],[Advanced Network/Insurance Carrier Org ID]],B223),2)</f>
        <v>1</v>
      </c>
      <c r="O223" s="534" t="b">
        <f>ROUND(SUMIFS(AN_TME_BY[[#All],[TOTAL Truncated Unadjusted Claims Expenses (A21 -A19)]], AN_TME_BY[[#All],[Insurance Category Code]],3, AN_TME_BY[[#All],[Advanced Network/Insurance Carrier Org ID]],B223)+SUMIFS(AN_TME_BY[[#All],[Total Claims Excluded because of Truncation]], AN_TME_BY[[#All],[Insurance Category Code]],3, AN_TME_BY[[#All],[Advanced Network/Insurance Carrier Org ID]],B223),2)=ROUND(SUMIFS(AN_TME_BY[[#All],[TOTAL Non-Truncated Unadjusted Claims Expenses]], AN_TME_BY[[#All],[Insurance Category Code]],3, AN_TME_BY[[#All],[Advanced Network/Insurance Carrier Org ID]],B223), 2)</f>
        <v>1</v>
      </c>
      <c r="Q223" s="216">
        <v>126</v>
      </c>
      <c r="R223" s="404">
        <f>ROUND(SUMIFS(Age_Sex_PY[[#All],[Total Member Months by Age/Sex Band]], Age_Sex_PY[[#All],[Advanced Network ID]], $Q223, Age_Sex_PY[[#All],[Insurance Category Code]],3), 2)</f>
        <v>0</v>
      </c>
      <c r="S223" s="238">
        <f>ROUND(SUMIFS(Age_Sex_PY[[#All],[Total Dollars Excluded from Spending After Applying Truncation at the Member Level]], Age_Sex_PY[[#All],[Advanced Network ID]], $B223, Age_Sex_PY[[#All],[Insurance Category Code]],3), 2)</f>
        <v>0</v>
      </c>
      <c r="T223" s="209">
        <f>ROUND(SUMIFS(Age_Sex_PY[[#All],[Count of Members whose Spending was Truncated]], Age_Sex_PY[[#All],[Advanced Network ID]], $B223, Age_Sex_PY[[#All],[Insurance Category Code]],3),2)</f>
        <v>0</v>
      </c>
      <c r="U223" s="210">
        <f>ROUND(SUMIFS(Age_Sex_PY[[#All],[Total Spending before Truncation is Applied]], Age_Sex_PY[[#All],[Advanced Network ID]], $B223, Age_Sex_PY[[#All],[Insurance Category Code]],3),2)</f>
        <v>0</v>
      </c>
      <c r="V223" s="212">
        <f>ROUND(SUMIFS(Age_Sex_PY[[#All],[Total Spending After Applying Truncation at the Member Level]], Age_Sex_PY[[#All],[Advanced Network ID]], $B223, Age_Sex_PY[[#All],[Insurance Category Code]],3),2)</f>
        <v>0</v>
      </c>
      <c r="W223" s="525" t="str">
        <f>IF(ROUND(R223,0)=ROUND(SUMIFS(AN_TME_PY[[#All],[Member Months]], AN_TME_PY[[#All],[Insurance Category Code]],3, AN_TME_PY[[#All],[Advanced Network/Insurance Carrier Org ID]],Q223),0), "TRUE", ROUND(R223-SUMIFS(AN_TME_PY[[#All],[Member Months]], AN_TME_PY[[#All],[Insurance Category Code]],3, AN_TME_PY[[#All],[Advanced Network/Insurance Carrier Org ID]],Q223),2))</f>
        <v>TRUE</v>
      </c>
      <c r="X223" s="527" t="str">
        <f>IF(ROUND(S223,0)=ROUND(SUMIFS(AN_TME_PY[[#All],[Total Claims Excluded because of Truncation]], AN_TME_PY[[#All],[Insurance Category Code]],3, AN_TME_PY[[#All],[Advanced Network/Insurance Carrier Org ID]],Q223),0), "TRUE", ROUND(S223-SUMIFS(AN_TME_PY[[#All],[Total Claims Excluded because of Truncation]], AN_TME_PY[[#All],[Insurance Category Code]],3, AN_TME_PY[[#All],[Advanced Network/Insurance Carrier Org ID]],Q223),2))</f>
        <v>TRUE</v>
      </c>
      <c r="Y223" s="537" t="str">
        <f>IF(ROUND(T223,0)=ROUND(SUMIFS(AN_TME_PY[[#All],[Count of Members with Claims Truncated]], AN_TME_PY[[#All],[Insurance Category Code]],3, AN_TME_PY[[#All],[Advanced Network/Insurance Carrier Org ID]],Q223),0), "TRUE", ROUND(T223-SUMIFS(AN_TME_PY[[#All],[Count of Members with Claims Truncated]], AN_TME_PY[[#All],[Insurance Category Code]],3, AN_TME_PY[[#All],[Advanced Network/Insurance Carrier Org ID]],Q223),2))</f>
        <v>TRUE</v>
      </c>
      <c r="Z223" s="528" t="str">
        <f>IF(ROUND(U223,0)=ROUND(SUMIFS(AN_TME_PY[[#All],[TOTAL Non-Truncated Unadjusted Claims Expenses]], AN_TME_PY[[#All],[Insurance Category Code]],3, AN_TME_PY[[#All],[Advanced Network/Insurance Carrier Org ID]],Q223),0), "TRUE", ROUND(U223-SUMIFS(AN_TME_PY[[#All],[TOTAL Non-Truncated Unadjusted Claims Expenses]], AN_TME_PY[[#All],[Insurance Category Code]],3, AN_TME_PY[[#All],[Advanced Network/Insurance Carrier Org ID]],Q223),2))</f>
        <v>TRUE</v>
      </c>
      <c r="AA223" s="529" t="str">
        <f>IF(ROUND(V223,0)=ROUND(SUMIFS(AN_TME_PY[[#All],[TOTAL Truncated Unadjusted Claims Expenses (A21 -A19)]], AN_TME_PY[[#All],[Insurance Category Code]],3, AN_TME_PY[[#All],[Advanced Network/Insurance Carrier Org ID]],Q223),0), "TRUE", ROUND(V223-SUMIFS(AN_TME_PY[[#All],[TOTAL Truncated Unadjusted Claims Expenses (A21 -A19)]], AN_TME_PY[[#All],[Insurance Category Code]],3, AN_TME_PY[[#All],[Advanced Network/Insurance Carrier Org ID]],Q223),2))</f>
        <v>TRUE</v>
      </c>
      <c r="AB223" s="525" t="str">
        <f t="shared" si="24"/>
        <v>TRUE</v>
      </c>
      <c r="AC223" s="528" t="b">
        <f>ROUND(SUMIFS(AN_TME_PY[[#All],[TOTAL Non-Truncated Unadjusted Claims Expenses]], AN_TME_PY[[#All],[Insurance Category Code]],3, AN_TME_PY[[#All],[Advanced Network/Insurance Carrier Org ID]],Q223),2)&gt;=ROUND(SUMIFS(AN_TME_PY[[#All],[TOTAL Truncated Unadjusted Claims Expenses (A21 -A19)]], AN_TME_PY[[#All],[Insurance Category Code]],3, AN_TME_PY[[#All],[Advanced Network/Insurance Carrier Org ID]],Q223), 2)</f>
        <v>1</v>
      </c>
      <c r="AD223" s="529" t="b">
        <f>ROUND(SUMIFS(AN_TME_PY[[#All],[TOTAL Truncated Unadjusted Claims Expenses (A21 -A19)]], AN_TME_PY[[#All],[Insurance Category Code]],3, AN_TME_PY[[#All],[Advanced Network/Insurance Carrier Org ID]],Q223)+SUMIFS(AN_TME_PY[[#All],[Total Claims Excluded because of Truncation]], AN_TME_PY[[#All],[Insurance Category Code]],3, AN_TME_PY[[#All],[Advanced Network/Insurance Carrier Org ID]],Q223),2)=ROUND(SUMIFS(AN_TME_PY[[#All],[TOTAL Non-Truncated Unadjusted Claims Expenses]], AN_TME_PY[[#All],[Insurance Category Code]],3, AN_TME_PY[[#All],[Advanced Network/Insurance Carrier Org ID]],Q223),2)</f>
        <v>1</v>
      </c>
      <c r="AF223" s="283" t="str">
        <f t="shared" si="23"/>
        <v>NA</v>
      </c>
    </row>
    <row r="224" spans="2:32" outlineLevel="1" x14ac:dyDescent="0.25">
      <c r="B224" s="216">
        <v>127</v>
      </c>
      <c r="C224" s="404">
        <f>ROUND(SUMIFS(Age_Sex_BY[[#All],[Total Member Months by Age/Sex Band]], Age_Sex_BY[[#All],[Advanced Network ID]], $B224, Age_Sex_BY[[#All],[Insurance Category Code]],3),2)</f>
        <v>0</v>
      </c>
      <c r="D224" s="238">
        <f>ROUND(SUMIFS(Age_Sex_BY[[#All],[Total Dollars Excluded from Spending After Applying Truncation at the Member Level]], Age_Sex_BY[[#All],[Advanced Network ID]], $B224, Age_Sex_BY[[#All],[Insurance Category Code]],3),2)</f>
        <v>0</v>
      </c>
      <c r="E224" s="209">
        <f>ROUND(SUMIFS(Age_Sex_BY[[#All],[Count of Members whose Spending was Truncated]], Age_Sex_BY[[#All],[Advanced Network ID]], $B224, Age_Sex_BY[[#All],[Insurance Category Code]],3),2)</f>
        <v>0</v>
      </c>
      <c r="F224" s="210">
        <f>ROUND(SUMIFS(Age_Sex_BY[[#All],[Total Spending before Truncation is Applied]], Age_Sex_BY[[#All],[Advanced Network ID]], $B224, Age_Sex_BY[[#All],[Insurance Category Code]],3),2)</f>
        <v>0</v>
      </c>
      <c r="G224" s="212">
        <f>ROUND(SUMIFS(Age_Sex_BY[[#All],[Total Spending After Applying Truncation at the Member Level]], Age_Sex_BY[[#All],[Advanced Network ID]], $B224, Age_Sex_BY[[#All],[Insurance Category Code]],3), 2)</f>
        <v>0</v>
      </c>
      <c r="H224" s="525" t="str">
        <f>IF(ROUND(C224,0)=ROUND(SUMIFS(AN_TME_BY[[#All],[Member Months]], AN_TME_BY[[#All],[Insurance Category Code]],3, AN_TME_BY[[#All],[Advanced Network/Insurance Carrier Org ID]],B224),0), "TRUE", ROUND(C224-SUMIFS(AN_TME_BY[[#All],[Member Months]], AN_TME_BY[[#All],[Insurance Category Code]],3, AN_TME_BY[[#All],[Advanced Network/Insurance Carrier Org ID]],B224),2))</f>
        <v>TRUE</v>
      </c>
      <c r="I224" s="533" t="str">
        <f>IF(ROUND(D224,0)=ROUND(SUMIFS(AN_TME_BY[[#All],[Total Claims Excluded because of Truncation]], AN_TME_BY[[#All],[Insurance Category Code]],3, AN_TME_BY[[#All],[Advanced Network/Insurance Carrier Org ID]],B224),0), "TRUE", ROUND(D224-SUMIFS(AN_TME_BY[[#All],[Total Claims Excluded because of Truncation]], AN_TME_BY[[#All],[Insurance Category Code]],3, AN_TME_BY[[#All],[Advanced Network/Insurance Carrier Org ID]],B224),2))</f>
        <v>TRUE</v>
      </c>
      <c r="J224" s="537" t="str">
        <f>IF(ROUND(E224,0)=ROUND(SUMIFS(AN_TME_BY[[#All],[Count of Members with Claims Truncated]], AN_TME_BY[[#All],[Insurance Category Code]],3, AN_TME_BY[[#All],[Advanced Network/Insurance Carrier Org ID]],B224),0), "TRUE", ROUND(E224-SUMIFS(AN_TME_BY[[#All],[Count of Members with Claims Truncated]], AN_TME_BY[[#All],[Insurance Category Code]],3, AN_TME_BY[[#All],[Advanced Network/Insurance Carrier Org ID]],B224),2))</f>
        <v>TRUE</v>
      </c>
      <c r="K224" s="533" t="str">
        <f>IF(ROUND(F224,0)=ROUND(SUMIFS(AN_TME_BY[[#All],[TOTAL Non-Truncated Unadjusted Claims Expenses]], AN_TME_BY[[#All],[Insurance Category Code]],3, AN_TME_BY[[#All],[Advanced Network/Insurance Carrier Org ID]],B224),0), "TRUE", ROUND(F224-SUMIFS(AN_TME_BY[[#All],[TOTAL Non-Truncated Unadjusted Claims Expenses]], AN_TME_BY[[#All],[Insurance Category Code]],3, AN_TME_BY[[#All],[Advanced Network/Insurance Carrier Org ID]],B224),2))</f>
        <v>TRUE</v>
      </c>
      <c r="L224" s="534" t="str">
        <f>IF(ROUND(G224,0)=ROUND(SUMIFS(AN_TME_BY[[#All],[TOTAL Truncated Unadjusted Claims Expenses (A21 -A19)]], AN_TME_BY[[#All],[Insurance Category Code]],3, AN_TME_BY[[#All],[Advanced Network/Insurance Carrier Org ID]],B224),0), "TRUE", ROUND(G224-SUMIFS(AN_TME_BY[[#All],[TOTAL Truncated Unadjusted Claims Expenses (A21 -A19)]], AN_TME_BY[[#All],[Insurance Category Code]],3, AN_TME_BY[[#All],[Advanced Network/Insurance Carrier Org ID]],B224),2))</f>
        <v>TRUE</v>
      </c>
      <c r="M224" s="525" t="str">
        <f t="shared" si="21"/>
        <v>TRUE</v>
      </c>
      <c r="N224" s="533" t="b">
        <f>ROUND(SUMIFS(AN_TME_BY[[#All],[TOTAL Non-Truncated Unadjusted Claims Expenses]], AN_TME_BY[[#All],[Insurance Category Code]],3, AN_TME_BY[[#All],[Advanced Network/Insurance Carrier Org ID]],B224),2)&gt;=ROUND(SUMIFS(AN_TME_BY[[#All],[TOTAL Truncated Unadjusted Claims Expenses (A21 -A19)]], AN_TME_BY[[#All],[Insurance Category Code]],3, AN_TME_BY[[#All],[Advanced Network/Insurance Carrier Org ID]],B224),2)</f>
        <v>1</v>
      </c>
      <c r="O224" s="534" t="b">
        <f>ROUND(SUMIFS(AN_TME_BY[[#All],[TOTAL Truncated Unadjusted Claims Expenses (A21 -A19)]], AN_TME_BY[[#All],[Insurance Category Code]],3, AN_TME_BY[[#All],[Advanced Network/Insurance Carrier Org ID]],B224)+SUMIFS(AN_TME_BY[[#All],[Total Claims Excluded because of Truncation]], AN_TME_BY[[#All],[Insurance Category Code]],3, AN_TME_BY[[#All],[Advanced Network/Insurance Carrier Org ID]],B224),2)=ROUND(SUMIFS(AN_TME_BY[[#All],[TOTAL Non-Truncated Unadjusted Claims Expenses]], AN_TME_BY[[#All],[Insurance Category Code]],3, AN_TME_BY[[#All],[Advanced Network/Insurance Carrier Org ID]],B224), 2)</f>
        <v>1</v>
      </c>
      <c r="Q224" s="216">
        <v>127</v>
      </c>
      <c r="R224" s="404">
        <f>ROUND(SUMIFS(Age_Sex_PY[[#All],[Total Member Months by Age/Sex Band]], Age_Sex_PY[[#All],[Advanced Network ID]], $Q224, Age_Sex_PY[[#All],[Insurance Category Code]],3), 2)</f>
        <v>0</v>
      </c>
      <c r="S224" s="238">
        <f>ROUND(SUMIFS(Age_Sex_PY[[#All],[Total Dollars Excluded from Spending After Applying Truncation at the Member Level]], Age_Sex_PY[[#All],[Advanced Network ID]], $B224, Age_Sex_PY[[#All],[Insurance Category Code]],3), 2)</f>
        <v>0</v>
      </c>
      <c r="T224" s="209">
        <f>ROUND(SUMIFS(Age_Sex_PY[[#All],[Count of Members whose Spending was Truncated]], Age_Sex_PY[[#All],[Advanced Network ID]], $B224, Age_Sex_PY[[#All],[Insurance Category Code]],3),2)</f>
        <v>0</v>
      </c>
      <c r="U224" s="210">
        <f>ROUND(SUMIFS(Age_Sex_PY[[#All],[Total Spending before Truncation is Applied]], Age_Sex_PY[[#All],[Advanced Network ID]], $B224, Age_Sex_PY[[#All],[Insurance Category Code]],3),2)</f>
        <v>0</v>
      </c>
      <c r="V224" s="212">
        <f>ROUND(SUMIFS(Age_Sex_PY[[#All],[Total Spending After Applying Truncation at the Member Level]], Age_Sex_PY[[#All],[Advanced Network ID]], $B224, Age_Sex_PY[[#All],[Insurance Category Code]],3),2)</f>
        <v>0</v>
      </c>
      <c r="W224" s="525" t="str">
        <f>IF(ROUND(R224,0)=ROUND(SUMIFS(AN_TME_PY[[#All],[Member Months]], AN_TME_PY[[#All],[Insurance Category Code]],3, AN_TME_PY[[#All],[Advanced Network/Insurance Carrier Org ID]],Q224),0), "TRUE", ROUND(R224-SUMIFS(AN_TME_PY[[#All],[Member Months]], AN_TME_PY[[#All],[Insurance Category Code]],3, AN_TME_PY[[#All],[Advanced Network/Insurance Carrier Org ID]],Q224),2))</f>
        <v>TRUE</v>
      </c>
      <c r="X224" s="527" t="str">
        <f>IF(ROUND(S224,0)=ROUND(SUMIFS(AN_TME_PY[[#All],[Total Claims Excluded because of Truncation]], AN_TME_PY[[#All],[Insurance Category Code]],3, AN_TME_PY[[#All],[Advanced Network/Insurance Carrier Org ID]],Q224),0), "TRUE", ROUND(S224-SUMIFS(AN_TME_PY[[#All],[Total Claims Excluded because of Truncation]], AN_TME_PY[[#All],[Insurance Category Code]],3, AN_TME_PY[[#All],[Advanced Network/Insurance Carrier Org ID]],Q224),2))</f>
        <v>TRUE</v>
      </c>
      <c r="Y224" s="537" t="str">
        <f>IF(ROUND(T224,0)=ROUND(SUMIFS(AN_TME_PY[[#All],[Count of Members with Claims Truncated]], AN_TME_PY[[#All],[Insurance Category Code]],3, AN_TME_PY[[#All],[Advanced Network/Insurance Carrier Org ID]],Q224),0), "TRUE", ROUND(T224-SUMIFS(AN_TME_PY[[#All],[Count of Members with Claims Truncated]], AN_TME_PY[[#All],[Insurance Category Code]],3, AN_TME_PY[[#All],[Advanced Network/Insurance Carrier Org ID]],Q224),2))</f>
        <v>TRUE</v>
      </c>
      <c r="Z224" s="528" t="str">
        <f>IF(ROUND(U224,0)=ROUND(SUMIFS(AN_TME_PY[[#All],[TOTAL Non-Truncated Unadjusted Claims Expenses]], AN_TME_PY[[#All],[Insurance Category Code]],3, AN_TME_PY[[#All],[Advanced Network/Insurance Carrier Org ID]],Q224),0), "TRUE", ROUND(U224-SUMIFS(AN_TME_PY[[#All],[TOTAL Non-Truncated Unadjusted Claims Expenses]], AN_TME_PY[[#All],[Insurance Category Code]],3, AN_TME_PY[[#All],[Advanced Network/Insurance Carrier Org ID]],Q224),2))</f>
        <v>TRUE</v>
      </c>
      <c r="AA224" s="529" t="str">
        <f>IF(ROUND(V224,0)=ROUND(SUMIFS(AN_TME_PY[[#All],[TOTAL Truncated Unadjusted Claims Expenses (A21 -A19)]], AN_TME_PY[[#All],[Insurance Category Code]],3, AN_TME_PY[[#All],[Advanced Network/Insurance Carrier Org ID]],Q224),0), "TRUE", ROUND(V224-SUMIFS(AN_TME_PY[[#All],[TOTAL Truncated Unadjusted Claims Expenses (A21 -A19)]], AN_TME_PY[[#All],[Insurance Category Code]],3, AN_TME_PY[[#All],[Advanced Network/Insurance Carrier Org ID]],Q224),2))</f>
        <v>TRUE</v>
      </c>
      <c r="AB224" s="525" t="str">
        <f t="shared" si="24"/>
        <v>TRUE</v>
      </c>
      <c r="AC224" s="528" t="b">
        <f>ROUND(SUMIFS(AN_TME_PY[[#All],[TOTAL Non-Truncated Unadjusted Claims Expenses]], AN_TME_PY[[#All],[Insurance Category Code]],3, AN_TME_PY[[#All],[Advanced Network/Insurance Carrier Org ID]],Q224),2)&gt;=ROUND(SUMIFS(AN_TME_PY[[#All],[TOTAL Truncated Unadjusted Claims Expenses (A21 -A19)]], AN_TME_PY[[#All],[Insurance Category Code]],3, AN_TME_PY[[#All],[Advanced Network/Insurance Carrier Org ID]],Q224), 2)</f>
        <v>1</v>
      </c>
      <c r="AD224" s="529" t="b">
        <f>ROUND(SUMIFS(AN_TME_PY[[#All],[TOTAL Truncated Unadjusted Claims Expenses (A21 -A19)]], AN_TME_PY[[#All],[Insurance Category Code]],3, AN_TME_PY[[#All],[Advanced Network/Insurance Carrier Org ID]],Q224)+SUMIFS(AN_TME_PY[[#All],[Total Claims Excluded because of Truncation]], AN_TME_PY[[#All],[Insurance Category Code]],3, AN_TME_PY[[#All],[Advanced Network/Insurance Carrier Org ID]],Q224),2)=ROUND(SUMIFS(AN_TME_PY[[#All],[TOTAL Non-Truncated Unadjusted Claims Expenses]], AN_TME_PY[[#All],[Insurance Category Code]],3, AN_TME_PY[[#All],[Advanced Network/Insurance Carrier Org ID]],Q224),2)</f>
        <v>1</v>
      </c>
      <c r="AF224" s="283" t="str">
        <f t="shared" si="23"/>
        <v>NA</v>
      </c>
    </row>
    <row r="225" spans="2:32" outlineLevel="1" x14ac:dyDescent="0.25">
      <c r="B225" s="216">
        <v>128</v>
      </c>
      <c r="C225" s="404">
        <f>ROUND(SUMIFS(Age_Sex_BY[[#All],[Total Member Months by Age/Sex Band]], Age_Sex_BY[[#All],[Advanced Network ID]], $B225, Age_Sex_BY[[#All],[Insurance Category Code]],3),2)</f>
        <v>0</v>
      </c>
      <c r="D225" s="238">
        <f>ROUND(SUMIFS(Age_Sex_BY[[#All],[Total Dollars Excluded from Spending After Applying Truncation at the Member Level]], Age_Sex_BY[[#All],[Advanced Network ID]], $B225, Age_Sex_BY[[#All],[Insurance Category Code]],3),2)</f>
        <v>0</v>
      </c>
      <c r="E225" s="209">
        <f>ROUND(SUMIFS(Age_Sex_BY[[#All],[Count of Members whose Spending was Truncated]], Age_Sex_BY[[#All],[Advanced Network ID]], $B225, Age_Sex_BY[[#All],[Insurance Category Code]],3),2)</f>
        <v>0</v>
      </c>
      <c r="F225" s="210">
        <f>ROUND(SUMIFS(Age_Sex_BY[[#All],[Total Spending before Truncation is Applied]], Age_Sex_BY[[#All],[Advanced Network ID]], $B225, Age_Sex_BY[[#All],[Insurance Category Code]],3),2)</f>
        <v>0</v>
      </c>
      <c r="G225" s="212">
        <f>ROUND(SUMIFS(Age_Sex_BY[[#All],[Total Spending After Applying Truncation at the Member Level]], Age_Sex_BY[[#All],[Advanced Network ID]], $B225, Age_Sex_BY[[#All],[Insurance Category Code]],3), 2)</f>
        <v>0</v>
      </c>
      <c r="H225" s="525" t="str">
        <f>IF(ROUND(C225,0)=ROUND(SUMIFS(AN_TME_BY[[#All],[Member Months]], AN_TME_BY[[#All],[Insurance Category Code]],3, AN_TME_BY[[#All],[Advanced Network/Insurance Carrier Org ID]],B225),0), "TRUE", ROUND(C225-SUMIFS(AN_TME_BY[[#All],[Member Months]], AN_TME_BY[[#All],[Insurance Category Code]],3, AN_TME_BY[[#All],[Advanced Network/Insurance Carrier Org ID]],B225),2))</f>
        <v>TRUE</v>
      </c>
      <c r="I225" s="533" t="str">
        <f>IF(ROUND(D225,0)=ROUND(SUMIFS(AN_TME_BY[[#All],[Total Claims Excluded because of Truncation]], AN_TME_BY[[#All],[Insurance Category Code]],3, AN_TME_BY[[#All],[Advanced Network/Insurance Carrier Org ID]],B225),0), "TRUE", ROUND(D225-SUMIFS(AN_TME_BY[[#All],[Total Claims Excluded because of Truncation]], AN_TME_BY[[#All],[Insurance Category Code]],3, AN_TME_BY[[#All],[Advanced Network/Insurance Carrier Org ID]],B225),2))</f>
        <v>TRUE</v>
      </c>
      <c r="J225" s="537" t="str">
        <f>IF(ROUND(E225,0)=ROUND(SUMIFS(AN_TME_BY[[#All],[Count of Members with Claims Truncated]], AN_TME_BY[[#All],[Insurance Category Code]],3, AN_TME_BY[[#All],[Advanced Network/Insurance Carrier Org ID]],B225),0), "TRUE", ROUND(E225-SUMIFS(AN_TME_BY[[#All],[Count of Members with Claims Truncated]], AN_TME_BY[[#All],[Insurance Category Code]],3, AN_TME_BY[[#All],[Advanced Network/Insurance Carrier Org ID]],B225),2))</f>
        <v>TRUE</v>
      </c>
      <c r="K225" s="533" t="str">
        <f>IF(ROUND(F225,0)=ROUND(SUMIFS(AN_TME_BY[[#All],[TOTAL Non-Truncated Unadjusted Claims Expenses]], AN_TME_BY[[#All],[Insurance Category Code]],3, AN_TME_BY[[#All],[Advanced Network/Insurance Carrier Org ID]],B225),0), "TRUE", ROUND(F225-SUMIFS(AN_TME_BY[[#All],[TOTAL Non-Truncated Unadjusted Claims Expenses]], AN_TME_BY[[#All],[Insurance Category Code]],3, AN_TME_BY[[#All],[Advanced Network/Insurance Carrier Org ID]],B225),2))</f>
        <v>TRUE</v>
      </c>
      <c r="L225" s="534" t="str">
        <f>IF(ROUND(G225,0)=ROUND(SUMIFS(AN_TME_BY[[#All],[TOTAL Truncated Unadjusted Claims Expenses (A21 -A19)]], AN_TME_BY[[#All],[Insurance Category Code]],3, AN_TME_BY[[#All],[Advanced Network/Insurance Carrier Org ID]],B225),0), "TRUE", ROUND(G225-SUMIFS(AN_TME_BY[[#All],[TOTAL Truncated Unadjusted Claims Expenses (A21 -A19)]], AN_TME_BY[[#All],[Insurance Category Code]],3, AN_TME_BY[[#All],[Advanced Network/Insurance Carrier Org ID]],B225),2))</f>
        <v>TRUE</v>
      </c>
      <c r="M225" s="525" t="str">
        <f t="shared" si="21"/>
        <v>TRUE</v>
      </c>
      <c r="N225" s="533" t="b">
        <f>ROUND(SUMIFS(AN_TME_BY[[#All],[TOTAL Non-Truncated Unadjusted Claims Expenses]], AN_TME_BY[[#All],[Insurance Category Code]],3, AN_TME_BY[[#All],[Advanced Network/Insurance Carrier Org ID]],B225),2)&gt;=ROUND(SUMIFS(AN_TME_BY[[#All],[TOTAL Truncated Unadjusted Claims Expenses (A21 -A19)]], AN_TME_BY[[#All],[Insurance Category Code]],3, AN_TME_BY[[#All],[Advanced Network/Insurance Carrier Org ID]],B225),2)</f>
        <v>1</v>
      </c>
      <c r="O225" s="534" t="b">
        <f>ROUND(SUMIFS(AN_TME_BY[[#All],[TOTAL Truncated Unadjusted Claims Expenses (A21 -A19)]], AN_TME_BY[[#All],[Insurance Category Code]],3, AN_TME_BY[[#All],[Advanced Network/Insurance Carrier Org ID]],B225)+SUMIFS(AN_TME_BY[[#All],[Total Claims Excluded because of Truncation]], AN_TME_BY[[#All],[Insurance Category Code]],3, AN_TME_BY[[#All],[Advanced Network/Insurance Carrier Org ID]],B225),2)=ROUND(SUMIFS(AN_TME_BY[[#All],[TOTAL Non-Truncated Unadjusted Claims Expenses]], AN_TME_BY[[#All],[Insurance Category Code]],3, AN_TME_BY[[#All],[Advanced Network/Insurance Carrier Org ID]],B225), 2)</f>
        <v>1</v>
      </c>
      <c r="Q225" s="216">
        <v>128</v>
      </c>
      <c r="R225" s="404">
        <f>ROUND(SUMIFS(Age_Sex_PY[[#All],[Total Member Months by Age/Sex Band]], Age_Sex_PY[[#All],[Advanced Network ID]], $Q225, Age_Sex_PY[[#All],[Insurance Category Code]],3), 2)</f>
        <v>0</v>
      </c>
      <c r="S225" s="238">
        <f>ROUND(SUMIFS(Age_Sex_PY[[#All],[Total Dollars Excluded from Spending After Applying Truncation at the Member Level]], Age_Sex_PY[[#All],[Advanced Network ID]], $B225, Age_Sex_PY[[#All],[Insurance Category Code]],3), 2)</f>
        <v>0</v>
      </c>
      <c r="T225" s="209">
        <f>ROUND(SUMIFS(Age_Sex_PY[[#All],[Count of Members whose Spending was Truncated]], Age_Sex_PY[[#All],[Advanced Network ID]], $B225, Age_Sex_PY[[#All],[Insurance Category Code]],3),2)</f>
        <v>0</v>
      </c>
      <c r="U225" s="210">
        <f>ROUND(SUMIFS(Age_Sex_PY[[#All],[Total Spending before Truncation is Applied]], Age_Sex_PY[[#All],[Advanced Network ID]], $B225, Age_Sex_PY[[#All],[Insurance Category Code]],3),2)</f>
        <v>0</v>
      </c>
      <c r="V225" s="212">
        <f>ROUND(SUMIFS(Age_Sex_PY[[#All],[Total Spending After Applying Truncation at the Member Level]], Age_Sex_PY[[#All],[Advanced Network ID]], $B225, Age_Sex_PY[[#All],[Insurance Category Code]],3),2)</f>
        <v>0</v>
      </c>
      <c r="W225" s="525" t="str">
        <f>IF(ROUND(R225,0)=ROUND(SUMIFS(AN_TME_PY[[#All],[Member Months]], AN_TME_PY[[#All],[Insurance Category Code]],3, AN_TME_PY[[#All],[Advanced Network/Insurance Carrier Org ID]],Q225),0), "TRUE", ROUND(R225-SUMIFS(AN_TME_PY[[#All],[Member Months]], AN_TME_PY[[#All],[Insurance Category Code]],3, AN_TME_PY[[#All],[Advanced Network/Insurance Carrier Org ID]],Q225),2))</f>
        <v>TRUE</v>
      </c>
      <c r="X225" s="527" t="str">
        <f>IF(ROUND(S225,0)=ROUND(SUMIFS(AN_TME_PY[[#All],[Total Claims Excluded because of Truncation]], AN_TME_PY[[#All],[Insurance Category Code]],3, AN_TME_PY[[#All],[Advanced Network/Insurance Carrier Org ID]],Q225),0), "TRUE", ROUND(S225-SUMIFS(AN_TME_PY[[#All],[Total Claims Excluded because of Truncation]], AN_TME_PY[[#All],[Insurance Category Code]],3, AN_TME_PY[[#All],[Advanced Network/Insurance Carrier Org ID]],Q225),2))</f>
        <v>TRUE</v>
      </c>
      <c r="Y225" s="537" t="str">
        <f>IF(ROUND(T225,0)=ROUND(SUMIFS(AN_TME_PY[[#All],[Count of Members with Claims Truncated]], AN_TME_PY[[#All],[Insurance Category Code]],3, AN_TME_PY[[#All],[Advanced Network/Insurance Carrier Org ID]],Q225),0), "TRUE", ROUND(T225-SUMIFS(AN_TME_PY[[#All],[Count of Members with Claims Truncated]], AN_TME_PY[[#All],[Insurance Category Code]],3, AN_TME_PY[[#All],[Advanced Network/Insurance Carrier Org ID]],Q225),2))</f>
        <v>TRUE</v>
      </c>
      <c r="Z225" s="528" t="str">
        <f>IF(ROUND(U225,0)=ROUND(SUMIFS(AN_TME_PY[[#All],[TOTAL Non-Truncated Unadjusted Claims Expenses]], AN_TME_PY[[#All],[Insurance Category Code]],3, AN_TME_PY[[#All],[Advanced Network/Insurance Carrier Org ID]],Q225),0), "TRUE", ROUND(U225-SUMIFS(AN_TME_PY[[#All],[TOTAL Non-Truncated Unadjusted Claims Expenses]], AN_TME_PY[[#All],[Insurance Category Code]],3, AN_TME_PY[[#All],[Advanced Network/Insurance Carrier Org ID]],Q225),2))</f>
        <v>TRUE</v>
      </c>
      <c r="AA225" s="529" t="str">
        <f>IF(ROUND(V225,0)=ROUND(SUMIFS(AN_TME_PY[[#All],[TOTAL Truncated Unadjusted Claims Expenses (A21 -A19)]], AN_TME_PY[[#All],[Insurance Category Code]],3, AN_TME_PY[[#All],[Advanced Network/Insurance Carrier Org ID]],Q225),0), "TRUE", ROUND(V225-SUMIFS(AN_TME_PY[[#All],[TOTAL Truncated Unadjusted Claims Expenses (A21 -A19)]], AN_TME_PY[[#All],[Insurance Category Code]],3, AN_TME_PY[[#All],[Advanced Network/Insurance Carrier Org ID]],Q225),2))</f>
        <v>TRUE</v>
      </c>
      <c r="AB225" s="525" t="str">
        <f t="shared" si="24"/>
        <v>TRUE</v>
      </c>
      <c r="AC225" s="528" t="b">
        <f>ROUND(SUMIFS(AN_TME_PY[[#All],[TOTAL Non-Truncated Unadjusted Claims Expenses]], AN_TME_PY[[#All],[Insurance Category Code]],3, AN_TME_PY[[#All],[Advanced Network/Insurance Carrier Org ID]],Q225),2)&gt;=ROUND(SUMIFS(AN_TME_PY[[#All],[TOTAL Truncated Unadjusted Claims Expenses (A21 -A19)]], AN_TME_PY[[#All],[Insurance Category Code]],3, AN_TME_PY[[#All],[Advanced Network/Insurance Carrier Org ID]],Q225), 2)</f>
        <v>1</v>
      </c>
      <c r="AD225" s="529" t="b">
        <f>ROUND(SUMIFS(AN_TME_PY[[#All],[TOTAL Truncated Unadjusted Claims Expenses (A21 -A19)]], AN_TME_PY[[#All],[Insurance Category Code]],3, AN_TME_PY[[#All],[Advanced Network/Insurance Carrier Org ID]],Q225)+SUMIFS(AN_TME_PY[[#All],[Total Claims Excluded because of Truncation]], AN_TME_PY[[#All],[Insurance Category Code]],3, AN_TME_PY[[#All],[Advanced Network/Insurance Carrier Org ID]],Q225),2)=ROUND(SUMIFS(AN_TME_PY[[#All],[TOTAL Non-Truncated Unadjusted Claims Expenses]], AN_TME_PY[[#All],[Insurance Category Code]],3, AN_TME_PY[[#All],[Advanced Network/Insurance Carrier Org ID]],Q225),2)</f>
        <v>1</v>
      </c>
      <c r="AF225" s="283" t="str">
        <f t="shared" si="23"/>
        <v>NA</v>
      </c>
    </row>
    <row r="226" spans="2:32" outlineLevel="1" x14ac:dyDescent="0.25">
      <c r="B226" s="216">
        <v>129</v>
      </c>
      <c r="C226" s="404">
        <f>ROUND(SUMIFS(Age_Sex_BY[[#All],[Total Member Months by Age/Sex Band]], Age_Sex_BY[[#All],[Advanced Network ID]], $B226, Age_Sex_BY[[#All],[Insurance Category Code]],3),2)</f>
        <v>0</v>
      </c>
      <c r="D226" s="238">
        <f>ROUND(SUMIFS(Age_Sex_BY[[#All],[Total Dollars Excluded from Spending After Applying Truncation at the Member Level]], Age_Sex_BY[[#All],[Advanced Network ID]], $B226, Age_Sex_BY[[#All],[Insurance Category Code]],3),2)</f>
        <v>0</v>
      </c>
      <c r="E226" s="209">
        <f>ROUND(SUMIFS(Age_Sex_BY[[#All],[Count of Members whose Spending was Truncated]], Age_Sex_BY[[#All],[Advanced Network ID]], $B226, Age_Sex_BY[[#All],[Insurance Category Code]],3),2)</f>
        <v>0</v>
      </c>
      <c r="F226" s="210">
        <f>ROUND(SUMIFS(Age_Sex_BY[[#All],[Total Spending before Truncation is Applied]], Age_Sex_BY[[#All],[Advanced Network ID]], $B226, Age_Sex_BY[[#All],[Insurance Category Code]],3),2)</f>
        <v>0</v>
      </c>
      <c r="G226" s="212">
        <f>ROUND(SUMIFS(Age_Sex_BY[[#All],[Total Spending After Applying Truncation at the Member Level]], Age_Sex_BY[[#All],[Advanced Network ID]], $B226, Age_Sex_BY[[#All],[Insurance Category Code]],3), 2)</f>
        <v>0</v>
      </c>
      <c r="H226" s="525" t="str">
        <f>IF(ROUND(C226,0)=ROUND(SUMIFS(AN_TME_BY[[#All],[Member Months]], AN_TME_BY[[#All],[Insurance Category Code]],3, AN_TME_BY[[#All],[Advanced Network/Insurance Carrier Org ID]],B226),0), "TRUE", ROUND(C226-SUMIFS(AN_TME_BY[[#All],[Member Months]], AN_TME_BY[[#All],[Insurance Category Code]],3, AN_TME_BY[[#All],[Advanced Network/Insurance Carrier Org ID]],B226),2))</f>
        <v>TRUE</v>
      </c>
      <c r="I226" s="533" t="str">
        <f>IF(ROUND(D226,0)=ROUND(SUMIFS(AN_TME_BY[[#All],[Total Claims Excluded because of Truncation]], AN_TME_BY[[#All],[Insurance Category Code]],3, AN_TME_BY[[#All],[Advanced Network/Insurance Carrier Org ID]],B226),0), "TRUE", ROUND(D226-SUMIFS(AN_TME_BY[[#All],[Total Claims Excluded because of Truncation]], AN_TME_BY[[#All],[Insurance Category Code]],3, AN_TME_BY[[#All],[Advanced Network/Insurance Carrier Org ID]],B226),2))</f>
        <v>TRUE</v>
      </c>
      <c r="J226" s="537" t="str">
        <f>IF(ROUND(E226,0)=ROUND(SUMIFS(AN_TME_BY[[#All],[Count of Members with Claims Truncated]], AN_TME_BY[[#All],[Insurance Category Code]],3, AN_TME_BY[[#All],[Advanced Network/Insurance Carrier Org ID]],B226),0), "TRUE", ROUND(E226-SUMIFS(AN_TME_BY[[#All],[Count of Members with Claims Truncated]], AN_TME_BY[[#All],[Insurance Category Code]],3, AN_TME_BY[[#All],[Advanced Network/Insurance Carrier Org ID]],B226),2))</f>
        <v>TRUE</v>
      </c>
      <c r="K226" s="533" t="str">
        <f>IF(ROUND(F226,0)=ROUND(SUMIFS(AN_TME_BY[[#All],[TOTAL Non-Truncated Unadjusted Claims Expenses]], AN_TME_BY[[#All],[Insurance Category Code]],3, AN_TME_BY[[#All],[Advanced Network/Insurance Carrier Org ID]],B226),0), "TRUE", ROUND(F226-SUMIFS(AN_TME_BY[[#All],[TOTAL Non-Truncated Unadjusted Claims Expenses]], AN_TME_BY[[#All],[Insurance Category Code]],3, AN_TME_BY[[#All],[Advanced Network/Insurance Carrier Org ID]],B226),2))</f>
        <v>TRUE</v>
      </c>
      <c r="L226" s="534" t="str">
        <f>IF(ROUND(G226,0)=ROUND(SUMIFS(AN_TME_BY[[#All],[TOTAL Truncated Unadjusted Claims Expenses (A21 -A19)]], AN_TME_BY[[#All],[Insurance Category Code]],3, AN_TME_BY[[#All],[Advanced Network/Insurance Carrier Org ID]],B226),0), "TRUE", ROUND(G226-SUMIFS(AN_TME_BY[[#All],[TOTAL Truncated Unadjusted Claims Expenses (A21 -A19)]], AN_TME_BY[[#All],[Insurance Category Code]],3, AN_TME_BY[[#All],[Advanced Network/Insurance Carrier Org ID]],B226),2))</f>
        <v>TRUE</v>
      </c>
      <c r="M226" s="525" t="str">
        <f t="shared" si="21"/>
        <v>TRUE</v>
      </c>
      <c r="N226" s="533" t="b">
        <f>ROUND(SUMIFS(AN_TME_BY[[#All],[TOTAL Non-Truncated Unadjusted Claims Expenses]], AN_TME_BY[[#All],[Insurance Category Code]],3, AN_TME_BY[[#All],[Advanced Network/Insurance Carrier Org ID]],B226),2)&gt;=ROUND(SUMIFS(AN_TME_BY[[#All],[TOTAL Truncated Unadjusted Claims Expenses (A21 -A19)]], AN_TME_BY[[#All],[Insurance Category Code]],3, AN_TME_BY[[#All],[Advanced Network/Insurance Carrier Org ID]],B226),2)</f>
        <v>1</v>
      </c>
      <c r="O226" s="534" t="b">
        <f>ROUND(SUMIFS(AN_TME_BY[[#All],[TOTAL Truncated Unadjusted Claims Expenses (A21 -A19)]], AN_TME_BY[[#All],[Insurance Category Code]],3, AN_TME_BY[[#All],[Advanced Network/Insurance Carrier Org ID]],B226)+SUMIFS(AN_TME_BY[[#All],[Total Claims Excluded because of Truncation]], AN_TME_BY[[#All],[Insurance Category Code]],3, AN_TME_BY[[#All],[Advanced Network/Insurance Carrier Org ID]],B226),2)=ROUND(SUMIFS(AN_TME_BY[[#All],[TOTAL Non-Truncated Unadjusted Claims Expenses]], AN_TME_BY[[#All],[Insurance Category Code]],3, AN_TME_BY[[#All],[Advanced Network/Insurance Carrier Org ID]],B226), 2)</f>
        <v>1</v>
      </c>
      <c r="Q226" s="216">
        <v>129</v>
      </c>
      <c r="R226" s="404">
        <f>ROUND(SUMIFS(Age_Sex_PY[[#All],[Total Member Months by Age/Sex Band]], Age_Sex_PY[[#All],[Advanced Network ID]], $Q226, Age_Sex_PY[[#All],[Insurance Category Code]],3), 2)</f>
        <v>0</v>
      </c>
      <c r="S226" s="238">
        <f>ROUND(SUMIFS(Age_Sex_PY[[#All],[Total Dollars Excluded from Spending After Applying Truncation at the Member Level]], Age_Sex_PY[[#All],[Advanced Network ID]], $B226, Age_Sex_PY[[#All],[Insurance Category Code]],3), 2)</f>
        <v>0</v>
      </c>
      <c r="T226" s="209">
        <f>ROUND(SUMIFS(Age_Sex_PY[[#All],[Count of Members whose Spending was Truncated]], Age_Sex_PY[[#All],[Advanced Network ID]], $B226, Age_Sex_PY[[#All],[Insurance Category Code]],3),2)</f>
        <v>0</v>
      </c>
      <c r="U226" s="210">
        <f>ROUND(SUMIFS(Age_Sex_PY[[#All],[Total Spending before Truncation is Applied]], Age_Sex_PY[[#All],[Advanced Network ID]], $B226, Age_Sex_PY[[#All],[Insurance Category Code]],3),2)</f>
        <v>0</v>
      </c>
      <c r="V226" s="212">
        <f>ROUND(SUMIFS(Age_Sex_PY[[#All],[Total Spending After Applying Truncation at the Member Level]], Age_Sex_PY[[#All],[Advanced Network ID]], $B226, Age_Sex_PY[[#All],[Insurance Category Code]],3),2)</f>
        <v>0</v>
      </c>
      <c r="W226" s="525" t="str">
        <f>IF(ROUND(R226,0)=ROUND(SUMIFS(AN_TME_PY[[#All],[Member Months]], AN_TME_PY[[#All],[Insurance Category Code]],3, AN_TME_PY[[#All],[Advanced Network/Insurance Carrier Org ID]],Q226),0), "TRUE", ROUND(R226-SUMIFS(AN_TME_PY[[#All],[Member Months]], AN_TME_PY[[#All],[Insurance Category Code]],3, AN_TME_PY[[#All],[Advanced Network/Insurance Carrier Org ID]],Q226),2))</f>
        <v>TRUE</v>
      </c>
      <c r="X226" s="527" t="str">
        <f>IF(ROUND(S226,0)=ROUND(SUMIFS(AN_TME_PY[[#All],[Total Claims Excluded because of Truncation]], AN_TME_PY[[#All],[Insurance Category Code]],3, AN_TME_PY[[#All],[Advanced Network/Insurance Carrier Org ID]],Q226),0), "TRUE", ROUND(S226-SUMIFS(AN_TME_PY[[#All],[Total Claims Excluded because of Truncation]], AN_TME_PY[[#All],[Insurance Category Code]],3, AN_TME_PY[[#All],[Advanced Network/Insurance Carrier Org ID]],Q226),2))</f>
        <v>TRUE</v>
      </c>
      <c r="Y226" s="537" t="str">
        <f>IF(ROUND(T226,0)=ROUND(SUMIFS(AN_TME_PY[[#All],[Count of Members with Claims Truncated]], AN_TME_PY[[#All],[Insurance Category Code]],3, AN_TME_PY[[#All],[Advanced Network/Insurance Carrier Org ID]],Q226),0), "TRUE", ROUND(T226-SUMIFS(AN_TME_PY[[#All],[Count of Members with Claims Truncated]], AN_TME_PY[[#All],[Insurance Category Code]],3, AN_TME_PY[[#All],[Advanced Network/Insurance Carrier Org ID]],Q226),2))</f>
        <v>TRUE</v>
      </c>
      <c r="Z226" s="528" t="str">
        <f>IF(ROUND(U226,0)=ROUND(SUMIFS(AN_TME_PY[[#All],[TOTAL Non-Truncated Unadjusted Claims Expenses]], AN_TME_PY[[#All],[Insurance Category Code]],3, AN_TME_PY[[#All],[Advanced Network/Insurance Carrier Org ID]],Q226),0), "TRUE", ROUND(U226-SUMIFS(AN_TME_PY[[#All],[TOTAL Non-Truncated Unadjusted Claims Expenses]], AN_TME_PY[[#All],[Insurance Category Code]],3, AN_TME_PY[[#All],[Advanced Network/Insurance Carrier Org ID]],Q226),2))</f>
        <v>TRUE</v>
      </c>
      <c r="AA226" s="529" t="str">
        <f>IF(ROUND(V226,0)=ROUND(SUMIFS(AN_TME_PY[[#All],[TOTAL Truncated Unadjusted Claims Expenses (A21 -A19)]], AN_TME_PY[[#All],[Insurance Category Code]],3, AN_TME_PY[[#All],[Advanced Network/Insurance Carrier Org ID]],Q226),0), "TRUE", ROUND(V226-SUMIFS(AN_TME_PY[[#All],[TOTAL Truncated Unadjusted Claims Expenses (A21 -A19)]], AN_TME_PY[[#All],[Insurance Category Code]],3, AN_TME_PY[[#All],[Advanced Network/Insurance Carrier Org ID]],Q226),2))</f>
        <v>TRUE</v>
      </c>
      <c r="AB226" s="525" t="str">
        <f t="shared" si="24"/>
        <v>TRUE</v>
      </c>
      <c r="AC226" s="528" t="b">
        <f>ROUND(SUMIFS(AN_TME_PY[[#All],[TOTAL Non-Truncated Unadjusted Claims Expenses]], AN_TME_PY[[#All],[Insurance Category Code]],3, AN_TME_PY[[#All],[Advanced Network/Insurance Carrier Org ID]],Q226),2)&gt;=ROUND(SUMIFS(AN_TME_PY[[#All],[TOTAL Truncated Unadjusted Claims Expenses (A21 -A19)]], AN_TME_PY[[#All],[Insurance Category Code]],3, AN_TME_PY[[#All],[Advanced Network/Insurance Carrier Org ID]],Q226), 2)</f>
        <v>1</v>
      </c>
      <c r="AD226" s="529" t="b">
        <f>ROUND(SUMIFS(AN_TME_PY[[#All],[TOTAL Truncated Unadjusted Claims Expenses (A21 -A19)]], AN_TME_PY[[#All],[Insurance Category Code]],3, AN_TME_PY[[#All],[Advanced Network/Insurance Carrier Org ID]],Q226)+SUMIFS(AN_TME_PY[[#All],[Total Claims Excluded because of Truncation]], AN_TME_PY[[#All],[Insurance Category Code]],3, AN_TME_PY[[#All],[Advanced Network/Insurance Carrier Org ID]],Q226),2)=ROUND(SUMIFS(AN_TME_PY[[#All],[TOTAL Non-Truncated Unadjusted Claims Expenses]], AN_TME_PY[[#All],[Insurance Category Code]],3, AN_TME_PY[[#All],[Advanced Network/Insurance Carrier Org ID]],Q226),2)</f>
        <v>1</v>
      </c>
      <c r="AF226" s="283" t="str">
        <f t="shared" si="23"/>
        <v>NA</v>
      </c>
    </row>
    <row r="227" spans="2:32" outlineLevel="1" x14ac:dyDescent="0.25">
      <c r="B227" s="216">
        <v>130</v>
      </c>
      <c r="C227" s="404">
        <f>ROUND(SUMIFS(Age_Sex_BY[[#All],[Total Member Months by Age/Sex Band]], Age_Sex_BY[[#All],[Advanced Network ID]], $B227, Age_Sex_BY[[#All],[Insurance Category Code]],3),2)</f>
        <v>0</v>
      </c>
      <c r="D227" s="238">
        <f>ROUND(SUMIFS(Age_Sex_BY[[#All],[Total Dollars Excluded from Spending After Applying Truncation at the Member Level]], Age_Sex_BY[[#All],[Advanced Network ID]], $B227, Age_Sex_BY[[#All],[Insurance Category Code]],3),2)</f>
        <v>0</v>
      </c>
      <c r="E227" s="209">
        <f>ROUND(SUMIFS(Age_Sex_BY[[#All],[Count of Members whose Spending was Truncated]], Age_Sex_BY[[#All],[Advanced Network ID]], $B227, Age_Sex_BY[[#All],[Insurance Category Code]],3),2)</f>
        <v>0</v>
      </c>
      <c r="F227" s="210">
        <f>ROUND(SUMIFS(Age_Sex_BY[[#All],[Total Spending before Truncation is Applied]], Age_Sex_BY[[#All],[Advanced Network ID]], $B227, Age_Sex_BY[[#All],[Insurance Category Code]],3),2)</f>
        <v>0</v>
      </c>
      <c r="G227" s="212">
        <f>ROUND(SUMIFS(Age_Sex_BY[[#All],[Total Spending After Applying Truncation at the Member Level]], Age_Sex_BY[[#All],[Advanced Network ID]], $B227, Age_Sex_BY[[#All],[Insurance Category Code]],3), 2)</f>
        <v>0</v>
      </c>
      <c r="H227" s="525" t="str">
        <f>IF(ROUND(C227,0)=ROUND(SUMIFS(AN_TME_BY[[#All],[Member Months]], AN_TME_BY[[#All],[Insurance Category Code]],3, AN_TME_BY[[#All],[Advanced Network/Insurance Carrier Org ID]],B227),0), "TRUE", ROUND(C227-SUMIFS(AN_TME_BY[[#All],[Member Months]], AN_TME_BY[[#All],[Insurance Category Code]],3, AN_TME_BY[[#All],[Advanced Network/Insurance Carrier Org ID]],B227),2))</f>
        <v>TRUE</v>
      </c>
      <c r="I227" s="533" t="str">
        <f>IF(ROUND(D227,0)=ROUND(SUMIFS(AN_TME_BY[[#All],[Total Claims Excluded because of Truncation]], AN_TME_BY[[#All],[Insurance Category Code]],3, AN_TME_BY[[#All],[Advanced Network/Insurance Carrier Org ID]],B227),0), "TRUE", ROUND(D227-SUMIFS(AN_TME_BY[[#All],[Total Claims Excluded because of Truncation]], AN_TME_BY[[#All],[Insurance Category Code]],3, AN_TME_BY[[#All],[Advanced Network/Insurance Carrier Org ID]],B227),2))</f>
        <v>TRUE</v>
      </c>
      <c r="J227" s="537" t="str">
        <f>IF(ROUND(E227,0)=ROUND(SUMIFS(AN_TME_BY[[#All],[Count of Members with Claims Truncated]], AN_TME_BY[[#All],[Insurance Category Code]],3, AN_TME_BY[[#All],[Advanced Network/Insurance Carrier Org ID]],B227),0), "TRUE", ROUND(E227-SUMIFS(AN_TME_BY[[#All],[Count of Members with Claims Truncated]], AN_TME_BY[[#All],[Insurance Category Code]],3, AN_TME_BY[[#All],[Advanced Network/Insurance Carrier Org ID]],B227),2))</f>
        <v>TRUE</v>
      </c>
      <c r="K227" s="533" t="str">
        <f>IF(ROUND(F227,0)=ROUND(SUMIFS(AN_TME_BY[[#All],[TOTAL Non-Truncated Unadjusted Claims Expenses]], AN_TME_BY[[#All],[Insurance Category Code]],3, AN_TME_BY[[#All],[Advanced Network/Insurance Carrier Org ID]],B227),0), "TRUE", ROUND(F227-SUMIFS(AN_TME_BY[[#All],[TOTAL Non-Truncated Unadjusted Claims Expenses]], AN_TME_BY[[#All],[Insurance Category Code]],3, AN_TME_BY[[#All],[Advanced Network/Insurance Carrier Org ID]],B227),2))</f>
        <v>TRUE</v>
      </c>
      <c r="L227" s="534" t="str">
        <f>IF(ROUND(G227,0)=ROUND(SUMIFS(AN_TME_BY[[#All],[TOTAL Truncated Unadjusted Claims Expenses (A21 -A19)]], AN_TME_BY[[#All],[Insurance Category Code]],3, AN_TME_BY[[#All],[Advanced Network/Insurance Carrier Org ID]],B227),0), "TRUE", ROUND(G227-SUMIFS(AN_TME_BY[[#All],[TOTAL Truncated Unadjusted Claims Expenses (A21 -A19)]], AN_TME_BY[[#All],[Insurance Category Code]],3, AN_TME_BY[[#All],[Advanced Network/Insurance Carrier Org ID]],B227),2))</f>
        <v>TRUE</v>
      </c>
      <c r="M227" s="525" t="str">
        <f t="shared" si="21"/>
        <v>TRUE</v>
      </c>
      <c r="N227" s="533" t="b">
        <f>ROUND(SUMIFS(AN_TME_BY[[#All],[TOTAL Non-Truncated Unadjusted Claims Expenses]], AN_TME_BY[[#All],[Insurance Category Code]],3, AN_TME_BY[[#All],[Advanced Network/Insurance Carrier Org ID]],B227),2)&gt;=ROUND(SUMIFS(AN_TME_BY[[#All],[TOTAL Truncated Unadjusted Claims Expenses (A21 -A19)]], AN_TME_BY[[#All],[Insurance Category Code]],3, AN_TME_BY[[#All],[Advanced Network/Insurance Carrier Org ID]],B227),2)</f>
        <v>1</v>
      </c>
      <c r="O227" s="534" t="b">
        <f>ROUND(SUMIFS(AN_TME_BY[[#All],[TOTAL Truncated Unadjusted Claims Expenses (A21 -A19)]], AN_TME_BY[[#All],[Insurance Category Code]],3, AN_TME_BY[[#All],[Advanced Network/Insurance Carrier Org ID]],B227)+SUMIFS(AN_TME_BY[[#All],[Total Claims Excluded because of Truncation]], AN_TME_BY[[#All],[Insurance Category Code]],3, AN_TME_BY[[#All],[Advanced Network/Insurance Carrier Org ID]],B227),2)=ROUND(SUMIFS(AN_TME_BY[[#All],[TOTAL Non-Truncated Unadjusted Claims Expenses]], AN_TME_BY[[#All],[Insurance Category Code]],3, AN_TME_BY[[#All],[Advanced Network/Insurance Carrier Org ID]],B227), 2)</f>
        <v>1</v>
      </c>
      <c r="Q227" s="216">
        <v>130</v>
      </c>
      <c r="R227" s="404">
        <f>ROUND(SUMIFS(Age_Sex_PY[[#All],[Total Member Months by Age/Sex Band]], Age_Sex_PY[[#All],[Advanced Network ID]], $Q227, Age_Sex_PY[[#All],[Insurance Category Code]],3), 2)</f>
        <v>0</v>
      </c>
      <c r="S227" s="238">
        <f>ROUND(SUMIFS(Age_Sex_PY[[#All],[Total Dollars Excluded from Spending After Applying Truncation at the Member Level]], Age_Sex_PY[[#All],[Advanced Network ID]], $B227, Age_Sex_PY[[#All],[Insurance Category Code]],3), 2)</f>
        <v>0</v>
      </c>
      <c r="T227" s="209">
        <f>ROUND(SUMIFS(Age_Sex_PY[[#All],[Count of Members whose Spending was Truncated]], Age_Sex_PY[[#All],[Advanced Network ID]], $B227, Age_Sex_PY[[#All],[Insurance Category Code]],3),2)</f>
        <v>0</v>
      </c>
      <c r="U227" s="210">
        <f>ROUND(SUMIFS(Age_Sex_PY[[#All],[Total Spending before Truncation is Applied]], Age_Sex_PY[[#All],[Advanced Network ID]], $B227, Age_Sex_PY[[#All],[Insurance Category Code]],3),2)</f>
        <v>0</v>
      </c>
      <c r="V227" s="212">
        <f>ROUND(SUMIFS(Age_Sex_PY[[#All],[Total Spending After Applying Truncation at the Member Level]], Age_Sex_PY[[#All],[Advanced Network ID]], $B227, Age_Sex_PY[[#All],[Insurance Category Code]],3),2)</f>
        <v>0</v>
      </c>
      <c r="W227" s="525" t="str">
        <f>IF(ROUND(R227,0)=ROUND(SUMIFS(AN_TME_PY[[#All],[Member Months]], AN_TME_PY[[#All],[Insurance Category Code]],3, AN_TME_PY[[#All],[Advanced Network/Insurance Carrier Org ID]],Q227),0), "TRUE", ROUND(R227-SUMIFS(AN_TME_PY[[#All],[Member Months]], AN_TME_PY[[#All],[Insurance Category Code]],3, AN_TME_PY[[#All],[Advanced Network/Insurance Carrier Org ID]],Q227),2))</f>
        <v>TRUE</v>
      </c>
      <c r="X227" s="527" t="str">
        <f>IF(ROUND(S227,0)=ROUND(SUMIFS(AN_TME_PY[[#All],[Total Claims Excluded because of Truncation]], AN_TME_PY[[#All],[Insurance Category Code]],3, AN_TME_PY[[#All],[Advanced Network/Insurance Carrier Org ID]],Q227),0), "TRUE", ROUND(S227-SUMIFS(AN_TME_PY[[#All],[Total Claims Excluded because of Truncation]], AN_TME_PY[[#All],[Insurance Category Code]],3, AN_TME_PY[[#All],[Advanced Network/Insurance Carrier Org ID]],Q227),2))</f>
        <v>TRUE</v>
      </c>
      <c r="Y227" s="537" t="str">
        <f>IF(ROUND(T227,0)=ROUND(SUMIFS(AN_TME_PY[[#All],[Count of Members with Claims Truncated]], AN_TME_PY[[#All],[Insurance Category Code]],3, AN_TME_PY[[#All],[Advanced Network/Insurance Carrier Org ID]],Q227),0), "TRUE", ROUND(T227-SUMIFS(AN_TME_PY[[#All],[Count of Members with Claims Truncated]], AN_TME_PY[[#All],[Insurance Category Code]],3, AN_TME_PY[[#All],[Advanced Network/Insurance Carrier Org ID]],Q227),2))</f>
        <v>TRUE</v>
      </c>
      <c r="Z227" s="528" t="str">
        <f>IF(ROUND(U227,0)=ROUND(SUMIFS(AN_TME_PY[[#All],[TOTAL Non-Truncated Unadjusted Claims Expenses]], AN_TME_PY[[#All],[Insurance Category Code]],3, AN_TME_PY[[#All],[Advanced Network/Insurance Carrier Org ID]],Q227),0), "TRUE", ROUND(U227-SUMIFS(AN_TME_PY[[#All],[TOTAL Non-Truncated Unadjusted Claims Expenses]], AN_TME_PY[[#All],[Insurance Category Code]],3, AN_TME_PY[[#All],[Advanced Network/Insurance Carrier Org ID]],Q227),2))</f>
        <v>TRUE</v>
      </c>
      <c r="AA227" s="529" t="str">
        <f>IF(ROUND(V227,0)=ROUND(SUMIFS(AN_TME_PY[[#All],[TOTAL Truncated Unadjusted Claims Expenses (A21 -A19)]], AN_TME_PY[[#All],[Insurance Category Code]],3, AN_TME_PY[[#All],[Advanced Network/Insurance Carrier Org ID]],Q227),0), "TRUE", ROUND(V227-SUMIFS(AN_TME_PY[[#All],[TOTAL Truncated Unadjusted Claims Expenses (A21 -A19)]], AN_TME_PY[[#All],[Insurance Category Code]],3, AN_TME_PY[[#All],[Advanced Network/Insurance Carrier Org ID]],Q227),2))</f>
        <v>TRUE</v>
      </c>
      <c r="AB227" s="525" t="str">
        <f t="shared" si="24"/>
        <v>TRUE</v>
      </c>
      <c r="AC227" s="528" t="b">
        <f>ROUND(SUMIFS(AN_TME_PY[[#All],[TOTAL Non-Truncated Unadjusted Claims Expenses]], AN_TME_PY[[#All],[Insurance Category Code]],3, AN_TME_PY[[#All],[Advanced Network/Insurance Carrier Org ID]],Q227),2)&gt;=ROUND(SUMIFS(AN_TME_PY[[#All],[TOTAL Truncated Unadjusted Claims Expenses (A21 -A19)]], AN_TME_PY[[#All],[Insurance Category Code]],3, AN_TME_PY[[#All],[Advanced Network/Insurance Carrier Org ID]],Q227), 2)</f>
        <v>1</v>
      </c>
      <c r="AD227" s="529" t="b">
        <f>ROUND(SUMIFS(AN_TME_PY[[#All],[TOTAL Truncated Unadjusted Claims Expenses (A21 -A19)]], AN_TME_PY[[#All],[Insurance Category Code]],3, AN_TME_PY[[#All],[Advanced Network/Insurance Carrier Org ID]],Q227)+SUMIFS(AN_TME_PY[[#All],[Total Claims Excluded because of Truncation]], AN_TME_PY[[#All],[Insurance Category Code]],3, AN_TME_PY[[#All],[Advanced Network/Insurance Carrier Org ID]],Q227),2)=ROUND(SUMIFS(AN_TME_PY[[#All],[TOTAL Non-Truncated Unadjusted Claims Expenses]], AN_TME_PY[[#All],[Insurance Category Code]],3, AN_TME_PY[[#All],[Advanced Network/Insurance Carrier Org ID]],Q227),2)</f>
        <v>1</v>
      </c>
      <c r="AF227" s="283" t="str">
        <f t="shared" si="23"/>
        <v>NA</v>
      </c>
    </row>
    <row r="228" spans="2:32" outlineLevel="1" x14ac:dyDescent="0.25">
      <c r="B228" s="216">
        <v>131</v>
      </c>
      <c r="C228" s="404">
        <f>ROUND(SUMIFS(Age_Sex_BY[[#All],[Total Member Months by Age/Sex Band]], Age_Sex_BY[[#All],[Advanced Network ID]], $B228, Age_Sex_BY[[#All],[Insurance Category Code]],3),2)</f>
        <v>0</v>
      </c>
      <c r="D228" s="238">
        <f>ROUND(SUMIFS(Age_Sex_BY[[#All],[Total Dollars Excluded from Spending After Applying Truncation at the Member Level]], Age_Sex_BY[[#All],[Advanced Network ID]], $B228, Age_Sex_BY[[#All],[Insurance Category Code]],3),2)</f>
        <v>0</v>
      </c>
      <c r="E228" s="209">
        <f>ROUND(SUMIFS(Age_Sex_BY[[#All],[Count of Members whose Spending was Truncated]], Age_Sex_BY[[#All],[Advanced Network ID]], $B228, Age_Sex_BY[[#All],[Insurance Category Code]],3),2)</f>
        <v>0</v>
      </c>
      <c r="F228" s="210">
        <f>ROUND(SUMIFS(Age_Sex_BY[[#All],[Total Spending before Truncation is Applied]], Age_Sex_BY[[#All],[Advanced Network ID]], $B228, Age_Sex_BY[[#All],[Insurance Category Code]],3),2)</f>
        <v>0</v>
      </c>
      <c r="G228" s="212">
        <f>ROUND(SUMIFS(Age_Sex_BY[[#All],[Total Spending After Applying Truncation at the Member Level]], Age_Sex_BY[[#All],[Advanced Network ID]], $B228, Age_Sex_BY[[#All],[Insurance Category Code]],3), 2)</f>
        <v>0</v>
      </c>
      <c r="H228" s="525" t="str">
        <f>IF(ROUND(C228,0)=ROUND(SUMIFS(AN_TME_BY[[#All],[Member Months]], AN_TME_BY[[#All],[Insurance Category Code]],3, AN_TME_BY[[#All],[Advanced Network/Insurance Carrier Org ID]],B228),0), "TRUE", ROUND(C228-SUMIFS(AN_TME_BY[[#All],[Member Months]], AN_TME_BY[[#All],[Insurance Category Code]],3, AN_TME_BY[[#All],[Advanced Network/Insurance Carrier Org ID]],B228),2))</f>
        <v>TRUE</v>
      </c>
      <c r="I228" s="533" t="str">
        <f>IF(ROUND(D228,0)=ROUND(SUMIFS(AN_TME_BY[[#All],[Total Claims Excluded because of Truncation]], AN_TME_BY[[#All],[Insurance Category Code]],3, AN_TME_BY[[#All],[Advanced Network/Insurance Carrier Org ID]],B228),0), "TRUE", ROUND(D228-SUMIFS(AN_TME_BY[[#All],[Total Claims Excluded because of Truncation]], AN_TME_BY[[#All],[Insurance Category Code]],3, AN_TME_BY[[#All],[Advanced Network/Insurance Carrier Org ID]],B228),2))</f>
        <v>TRUE</v>
      </c>
      <c r="J228" s="537" t="str">
        <f>IF(ROUND(E228,0)=ROUND(SUMIFS(AN_TME_BY[[#All],[Count of Members with Claims Truncated]], AN_TME_BY[[#All],[Insurance Category Code]],3, AN_TME_BY[[#All],[Advanced Network/Insurance Carrier Org ID]],B228),0), "TRUE", ROUND(E228-SUMIFS(AN_TME_BY[[#All],[Count of Members with Claims Truncated]], AN_TME_BY[[#All],[Insurance Category Code]],3, AN_TME_BY[[#All],[Advanced Network/Insurance Carrier Org ID]],B228),2))</f>
        <v>TRUE</v>
      </c>
      <c r="K228" s="533" t="str">
        <f>IF(ROUND(F228,0)=ROUND(SUMIFS(AN_TME_BY[[#All],[TOTAL Non-Truncated Unadjusted Claims Expenses]], AN_TME_BY[[#All],[Insurance Category Code]],3, AN_TME_BY[[#All],[Advanced Network/Insurance Carrier Org ID]],B228),0), "TRUE", ROUND(F228-SUMIFS(AN_TME_BY[[#All],[TOTAL Non-Truncated Unadjusted Claims Expenses]], AN_TME_BY[[#All],[Insurance Category Code]],3, AN_TME_BY[[#All],[Advanced Network/Insurance Carrier Org ID]],B228),2))</f>
        <v>TRUE</v>
      </c>
      <c r="L228" s="534" t="str">
        <f>IF(ROUND(G228,0)=ROUND(SUMIFS(AN_TME_BY[[#All],[TOTAL Truncated Unadjusted Claims Expenses (A21 -A19)]], AN_TME_BY[[#All],[Insurance Category Code]],3, AN_TME_BY[[#All],[Advanced Network/Insurance Carrier Org ID]],B228),0), "TRUE", ROUND(G228-SUMIFS(AN_TME_BY[[#All],[TOTAL Truncated Unadjusted Claims Expenses (A21 -A19)]], AN_TME_BY[[#All],[Insurance Category Code]],3, AN_TME_BY[[#All],[Advanced Network/Insurance Carrier Org ID]],B228),2))</f>
        <v>TRUE</v>
      </c>
      <c r="M228" s="525" t="str">
        <f t="shared" si="21"/>
        <v>TRUE</v>
      </c>
      <c r="N228" s="533" t="b">
        <f>ROUND(SUMIFS(AN_TME_BY[[#All],[TOTAL Non-Truncated Unadjusted Claims Expenses]], AN_TME_BY[[#All],[Insurance Category Code]],3, AN_TME_BY[[#All],[Advanced Network/Insurance Carrier Org ID]],B228),2)&gt;=ROUND(SUMIFS(AN_TME_BY[[#All],[TOTAL Truncated Unadjusted Claims Expenses (A21 -A19)]], AN_TME_BY[[#All],[Insurance Category Code]],3, AN_TME_BY[[#All],[Advanced Network/Insurance Carrier Org ID]],B228),2)</f>
        <v>1</v>
      </c>
      <c r="O228" s="534" t="b">
        <f>ROUND(SUMIFS(AN_TME_BY[[#All],[TOTAL Truncated Unadjusted Claims Expenses (A21 -A19)]], AN_TME_BY[[#All],[Insurance Category Code]],3, AN_TME_BY[[#All],[Advanced Network/Insurance Carrier Org ID]],B228)+SUMIFS(AN_TME_BY[[#All],[Total Claims Excluded because of Truncation]], AN_TME_BY[[#All],[Insurance Category Code]],3, AN_TME_BY[[#All],[Advanced Network/Insurance Carrier Org ID]],B228),2)=ROUND(SUMIFS(AN_TME_BY[[#All],[TOTAL Non-Truncated Unadjusted Claims Expenses]], AN_TME_BY[[#All],[Insurance Category Code]],3, AN_TME_BY[[#All],[Advanced Network/Insurance Carrier Org ID]],B228), 2)</f>
        <v>1</v>
      </c>
      <c r="Q228" s="216">
        <v>131</v>
      </c>
      <c r="R228" s="404">
        <f>ROUND(SUMIFS(Age_Sex_PY[[#All],[Total Member Months by Age/Sex Band]], Age_Sex_PY[[#All],[Advanced Network ID]], $Q228, Age_Sex_PY[[#All],[Insurance Category Code]],3), 2)</f>
        <v>0</v>
      </c>
      <c r="S228" s="238">
        <f>ROUND(SUMIFS(Age_Sex_PY[[#All],[Total Dollars Excluded from Spending After Applying Truncation at the Member Level]], Age_Sex_PY[[#All],[Advanced Network ID]], $B228, Age_Sex_PY[[#All],[Insurance Category Code]],3), 2)</f>
        <v>0</v>
      </c>
      <c r="T228" s="209">
        <f>ROUND(SUMIFS(Age_Sex_PY[[#All],[Count of Members whose Spending was Truncated]], Age_Sex_PY[[#All],[Advanced Network ID]], $B228, Age_Sex_PY[[#All],[Insurance Category Code]],3),2)</f>
        <v>0</v>
      </c>
      <c r="U228" s="210">
        <f>ROUND(SUMIFS(Age_Sex_PY[[#All],[Total Spending before Truncation is Applied]], Age_Sex_PY[[#All],[Advanced Network ID]], $B228, Age_Sex_PY[[#All],[Insurance Category Code]],3),2)</f>
        <v>0</v>
      </c>
      <c r="V228" s="212">
        <f>ROUND(SUMIFS(Age_Sex_PY[[#All],[Total Spending After Applying Truncation at the Member Level]], Age_Sex_PY[[#All],[Advanced Network ID]], $B228, Age_Sex_PY[[#All],[Insurance Category Code]],3),2)</f>
        <v>0</v>
      </c>
      <c r="W228" s="525" t="str">
        <f>IF(ROUND(R228,0)=ROUND(SUMIFS(AN_TME_PY[[#All],[Member Months]], AN_TME_PY[[#All],[Insurance Category Code]],3, AN_TME_PY[[#All],[Advanced Network/Insurance Carrier Org ID]],Q228),0), "TRUE", ROUND(R228-SUMIFS(AN_TME_PY[[#All],[Member Months]], AN_TME_PY[[#All],[Insurance Category Code]],3, AN_TME_PY[[#All],[Advanced Network/Insurance Carrier Org ID]],Q228),2))</f>
        <v>TRUE</v>
      </c>
      <c r="X228" s="527" t="str">
        <f>IF(ROUND(S228,0)=ROUND(SUMIFS(AN_TME_PY[[#All],[Total Claims Excluded because of Truncation]], AN_TME_PY[[#All],[Insurance Category Code]],3, AN_TME_PY[[#All],[Advanced Network/Insurance Carrier Org ID]],Q228),0), "TRUE", ROUND(S228-SUMIFS(AN_TME_PY[[#All],[Total Claims Excluded because of Truncation]], AN_TME_PY[[#All],[Insurance Category Code]],3, AN_TME_PY[[#All],[Advanced Network/Insurance Carrier Org ID]],Q228),2))</f>
        <v>TRUE</v>
      </c>
      <c r="Y228" s="537" t="str">
        <f>IF(ROUND(T228,0)=ROUND(SUMIFS(AN_TME_PY[[#All],[Count of Members with Claims Truncated]], AN_TME_PY[[#All],[Insurance Category Code]],3, AN_TME_PY[[#All],[Advanced Network/Insurance Carrier Org ID]],Q228),0), "TRUE", ROUND(T228-SUMIFS(AN_TME_PY[[#All],[Count of Members with Claims Truncated]], AN_TME_PY[[#All],[Insurance Category Code]],3, AN_TME_PY[[#All],[Advanced Network/Insurance Carrier Org ID]],Q228),2))</f>
        <v>TRUE</v>
      </c>
      <c r="Z228" s="528" t="str">
        <f>IF(ROUND(U228,0)=ROUND(SUMIFS(AN_TME_PY[[#All],[TOTAL Non-Truncated Unadjusted Claims Expenses]], AN_TME_PY[[#All],[Insurance Category Code]],3, AN_TME_PY[[#All],[Advanced Network/Insurance Carrier Org ID]],Q228),0), "TRUE", ROUND(U228-SUMIFS(AN_TME_PY[[#All],[TOTAL Non-Truncated Unadjusted Claims Expenses]], AN_TME_PY[[#All],[Insurance Category Code]],3, AN_TME_PY[[#All],[Advanced Network/Insurance Carrier Org ID]],Q228),2))</f>
        <v>TRUE</v>
      </c>
      <c r="AA228" s="529" t="str">
        <f>IF(ROUND(V228,0)=ROUND(SUMIFS(AN_TME_PY[[#All],[TOTAL Truncated Unadjusted Claims Expenses (A21 -A19)]], AN_TME_PY[[#All],[Insurance Category Code]],3, AN_TME_PY[[#All],[Advanced Network/Insurance Carrier Org ID]],Q228),0), "TRUE", ROUND(V228-SUMIFS(AN_TME_PY[[#All],[TOTAL Truncated Unadjusted Claims Expenses (A21 -A19)]], AN_TME_PY[[#All],[Insurance Category Code]],3, AN_TME_PY[[#All],[Advanced Network/Insurance Carrier Org ID]],Q228),2))</f>
        <v>TRUE</v>
      </c>
      <c r="AB228" s="525" t="str">
        <f t="shared" si="24"/>
        <v>TRUE</v>
      </c>
      <c r="AC228" s="528" t="b">
        <f>ROUND(SUMIFS(AN_TME_PY[[#All],[TOTAL Non-Truncated Unadjusted Claims Expenses]], AN_TME_PY[[#All],[Insurance Category Code]],3, AN_TME_PY[[#All],[Advanced Network/Insurance Carrier Org ID]],Q228),2)&gt;=ROUND(SUMIFS(AN_TME_PY[[#All],[TOTAL Truncated Unadjusted Claims Expenses (A21 -A19)]], AN_TME_PY[[#All],[Insurance Category Code]],3, AN_TME_PY[[#All],[Advanced Network/Insurance Carrier Org ID]],Q228), 2)</f>
        <v>1</v>
      </c>
      <c r="AD228" s="529" t="b">
        <f>ROUND(SUMIFS(AN_TME_PY[[#All],[TOTAL Truncated Unadjusted Claims Expenses (A21 -A19)]], AN_TME_PY[[#All],[Insurance Category Code]],3, AN_TME_PY[[#All],[Advanced Network/Insurance Carrier Org ID]],Q228)+SUMIFS(AN_TME_PY[[#All],[Total Claims Excluded because of Truncation]], AN_TME_PY[[#All],[Insurance Category Code]],3, AN_TME_PY[[#All],[Advanced Network/Insurance Carrier Org ID]],Q228),2)=ROUND(SUMIFS(AN_TME_PY[[#All],[TOTAL Non-Truncated Unadjusted Claims Expenses]], AN_TME_PY[[#All],[Insurance Category Code]],3, AN_TME_PY[[#All],[Advanced Network/Insurance Carrier Org ID]],Q228),2)</f>
        <v>1</v>
      </c>
      <c r="AF228" s="283" t="str">
        <f t="shared" si="23"/>
        <v>NA</v>
      </c>
    </row>
    <row r="229" spans="2:32" outlineLevel="1" x14ac:dyDescent="0.25">
      <c r="B229" s="216">
        <v>132</v>
      </c>
      <c r="C229" s="404">
        <f>ROUND(SUMIFS(Age_Sex_BY[[#All],[Total Member Months by Age/Sex Band]], Age_Sex_BY[[#All],[Advanced Network ID]], $B229, Age_Sex_BY[[#All],[Insurance Category Code]],3),2)</f>
        <v>0</v>
      </c>
      <c r="D229" s="238">
        <f>ROUND(SUMIFS(Age_Sex_BY[[#All],[Total Dollars Excluded from Spending After Applying Truncation at the Member Level]], Age_Sex_BY[[#All],[Advanced Network ID]], $B229, Age_Sex_BY[[#All],[Insurance Category Code]],3),2)</f>
        <v>0</v>
      </c>
      <c r="E229" s="209">
        <f>ROUND(SUMIFS(Age_Sex_BY[[#All],[Count of Members whose Spending was Truncated]], Age_Sex_BY[[#All],[Advanced Network ID]], $B229, Age_Sex_BY[[#All],[Insurance Category Code]],3),2)</f>
        <v>0</v>
      </c>
      <c r="F229" s="210">
        <f>ROUND(SUMIFS(Age_Sex_BY[[#All],[Total Spending before Truncation is Applied]], Age_Sex_BY[[#All],[Advanced Network ID]], $B229, Age_Sex_BY[[#All],[Insurance Category Code]],3),2)</f>
        <v>0</v>
      </c>
      <c r="G229" s="212">
        <f>ROUND(SUMIFS(Age_Sex_BY[[#All],[Total Spending After Applying Truncation at the Member Level]], Age_Sex_BY[[#All],[Advanced Network ID]], $B229, Age_Sex_BY[[#All],[Insurance Category Code]],3), 2)</f>
        <v>0</v>
      </c>
      <c r="H229" s="525" t="str">
        <f>IF(ROUND(C229,0)=ROUND(SUMIFS(AN_TME_BY[[#All],[Member Months]], AN_TME_BY[[#All],[Insurance Category Code]],3, AN_TME_BY[[#All],[Advanced Network/Insurance Carrier Org ID]],B229),0), "TRUE", ROUND(C229-SUMIFS(AN_TME_BY[[#All],[Member Months]], AN_TME_BY[[#All],[Insurance Category Code]],3, AN_TME_BY[[#All],[Advanced Network/Insurance Carrier Org ID]],B229),2))</f>
        <v>TRUE</v>
      </c>
      <c r="I229" s="533" t="str">
        <f>IF(ROUND(D229,0)=ROUND(SUMIFS(AN_TME_BY[[#All],[Total Claims Excluded because of Truncation]], AN_TME_BY[[#All],[Insurance Category Code]],3, AN_TME_BY[[#All],[Advanced Network/Insurance Carrier Org ID]],B229),0), "TRUE", ROUND(D229-SUMIFS(AN_TME_BY[[#All],[Total Claims Excluded because of Truncation]], AN_TME_BY[[#All],[Insurance Category Code]],3, AN_TME_BY[[#All],[Advanced Network/Insurance Carrier Org ID]],B229),2))</f>
        <v>TRUE</v>
      </c>
      <c r="J229" s="537" t="str">
        <f>IF(ROUND(E229,0)=ROUND(SUMIFS(AN_TME_BY[[#All],[Count of Members with Claims Truncated]], AN_TME_BY[[#All],[Insurance Category Code]],3, AN_TME_BY[[#All],[Advanced Network/Insurance Carrier Org ID]],B229),0), "TRUE", ROUND(E229-SUMIFS(AN_TME_BY[[#All],[Count of Members with Claims Truncated]], AN_TME_BY[[#All],[Insurance Category Code]],3, AN_TME_BY[[#All],[Advanced Network/Insurance Carrier Org ID]],B229),2))</f>
        <v>TRUE</v>
      </c>
      <c r="K229" s="533" t="str">
        <f>IF(ROUND(F229,0)=ROUND(SUMIFS(AN_TME_BY[[#All],[TOTAL Non-Truncated Unadjusted Claims Expenses]], AN_TME_BY[[#All],[Insurance Category Code]],3, AN_TME_BY[[#All],[Advanced Network/Insurance Carrier Org ID]],B229),0), "TRUE", ROUND(F229-SUMIFS(AN_TME_BY[[#All],[TOTAL Non-Truncated Unadjusted Claims Expenses]], AN_TME_BY[[#All],[Insurance Category Code]],3, AN_TME_BY[[#All],[Advanced Network/Insurance Carrier Org ID]],B229),2))</f>
        <v>TRUE</v>
      </c>
      <c r="L229" s="534" t="str">
        <f>IF(ROUND(G229,0)=ROUND(SUMIFS(AN_TME_BY[[#All],[TOTAL Truncated Unadjusted Claims Expenses (A21 -A19)]], AN_TME_BY[[#All],[Insurance Category Code]],3, AN_TME_BY[[#All],[Advanced Network/Insurance Carrier Org ID]],B229),0), "TRUE", ROUND(G229-SUMIFS(AN_TME_BY[[#All],[TOTAL Truncated Unadjusted Claims Expenses (A21 -A19)]], AN_TME_BY[[#All],[Insurance Category Code]],3, AN_TME_BY[[#All],[Advanced Network/Insurance Carrier Org ID]],B229),2))</f>
        <v>TRUE</v>
      </c>
      <c r="M229" s="525" t="str">
        <f t="shared" ref="M229:M231" si="25">IF(E229=0, "TRUE",IF((C229/12)&gt;E229,"TRUE",(C229/12)-E229))</f>
        <v>TRUE</v>
      </c>
      <c r="N229" s="533" t="b">
        <f>ROUND(SUMIFS(AN_TME_BY[[#All],[TOTAL Non-Truncated Unadjusted Claims Expenses]], AN_TME_BY[[#All],[Insurance Category Code]],3, AN_TME_BY[[#All],[Advanced Network/Insurance Carrier Org ID]],B229),2)&gt;=ROUND(SUMIFS(AN_TME_BY[[#All],[TOTAL Truncated Unadjusted Claims Expenses (A21 -A19)]], AN_TME_BY[[#All],[Insurance Category Code]],3, AN_TME_BY[[#All],[Advanced Network/Insurance Carrier Org ID]],B229),2)</f>
        <v>1</v>
      </c>
      <c r="O229" s="534" t="b">
        <f>ROUND(SUMIFS(AN_TME_BY[[#All],[TOTAL Truncated Unadjusted Claims Expenses (A21 -A19)]], AN_TME_BY[[#All],[Insurance Category Code]],3, AN_TME_BY[[#All],[Advanced Network/Insurance Carrier Org ID]],B229)+SUMIFS(AN_TME_BY[[#All],[Total Claims Excluded because of Truncation]], AN_TME_BY[[#All],[Insurance Category Code]],3, AN_TME_BY[[#All],[Advanced Network/Insurance Carrier Org ID]],B229),2)=ROUND(SUMIFS(AN_TME_BY[[#All],[TOTAL Non-Truncated Unadjusted Claims Expenses]], AN_TME_BY[[#All],[Insurance Category Code]],3, AN_TME_BY[[#All],[Advanced Network/Insurance Carrier Org ID]],B229), 2)</f>
        <v>1</v>
      </c>
      <c r="Q229" s="216">
        <v>132</v>
      </c>
      <c r="R229" s="404">
        <f>ROUND(SUMIFS(Age_Sex_PY[[#All],[Total Member Months by Age/Sex Band]], Age_Sex_PY[[#All],[Advanced Network ID]], $Q229, Age_Sex_PY[[#All],[Insurance Category Code]],3), 2)</f>
        <v>0</v>
      </c>
      <c r="S229" s="238">
        <f>ROUND(SUMIFS(Age_Sex_PY[[#All],[Total Dollars Excluded from Spending After Applying Truncation at the Member Level]], Age_Sex_PY[[#All],[Advanced Network ID]], $B229, Age_Sex_PY[[#All],[Insurance Category Code]],3), 2)</f>
        <v>0</v>
      </c>
      <c r="T229" s="209">
        <f>ROUND(SUMIFS(Age_Sex_PY[[#All],[Count of Members whose Spending was Truncated]], Age_Sex_PY[[#All],[Advanced Network ID]], $B229, Age_Sex_PY[[#All],[Insurance Category Code]],3),2)</f>
        <v>0</v>
      </c>
      <c r="U229" s="210">
        <f>ROUND(SUMIFS(Age_Sex_PY[[#All],[Total Spending before Truncation is Applied]], Age_Sex_PY[[#All],[Advanced Network ID]], $B229, Age_Sex_PY[[#All],[Insurance Category Code]],3),2)</f>
        <v>0</v>
      </c>
      <c r="V229" s="212">
        <f>ROUND(SUMIFS(Age_Sex_PY[[#All],[Total Spending After Applying Truncation at the Member Level]], Age_Sex_PY[[#All],[Advanced Network ID]], $B229, Age_Sex_PY[[#All],[Insurance Category Code]],3),2)</f>
        <v>0</v>
      </c>
      <c r="W229" s="525" t="str">
        <f>IF(ROUND(R229,0)=ROUND(SUMIFS(AN_TME_PY[[#All],[Member Months]], AN_TME_PY[[#All],[Insurance Category Code]],3, AN_TME_PY[[#All],[Advanced Network/Insurance Carrier Org ID]],Q229),0), "TRUE", ROUND(R229-SUMIFS(AN_TME_PY[[#All],[Member Months]], AN_TME_PY[[#All],[Insurance Category Code]],3, AN_TME_PY[[#All],[Advanced Network/Insurance Carrier Org ID]],Q229),2))</f>
        <v>TRUE</v>
      </c>
      <c r="X229" s="527" t="str">
        <f>IF(ROUND(S229,0)=ROUND(SUMIFS(AN_TME_PY[[#All],[Total Claims Excluded because of Truncation]], AN_TME_PY[[#All],[Insurance Category Code]],3, AN_TME_PY[[#All],[Advanced Network/Insurance Carrier Org ID]],Q229),0), "TRUE", ROUND(S229-SUMIFS(AN_TME_PY[[#All],[Total Claims Excluded because of Truncation]], AN_TME_PY[[#All],[Insurance Category Code]],3, AN_TME_PY[[#All],[Advanced Network/Insurance Carrier Org ID]],Q229),2))</f>
        <v>TRUE</v>
      </c>
      <c r="Y229" s="537" t="str">
        <f>IF(ROUND(T229,0)=ROUND(SUMIFS(AN_TME_PY[[#All],[Count of Members with Claims Truncated]], AN_TME_PY[[#All],[Insurance Category Code]],3, AN_TME_PY[[#All],[Advanced Network/Insurance Carrier Org ID]],Q229),0), "TRUE", ROUND(T229-SUMIFS(AN_TME_PY[[#All],[Count of Members with Claims Truncated]], AN_TME_PY[[#All],[Insurance Category Code]],3, AN_TME_PY[[#All],[Advanced Network/Insurance Carrier Org ID]],Q229),2))</f>
        <v>TRUE</v>
      </c>
      <c r="Z229" s="528" t="str">
        <f>IF(ROUND(U229,0)=ROUND(SUMIFS(AN_TME_PY[[#All],[TOTAL Non-Truncated Unadjusted Claims Expenses]], AN_TME_PY[[#All],[Insurance Category Code]],3, AN_TME_PY[[#All],[Advanced Network/Insurance Carrier Org ID]],Q229),0), "TRUE", ROUND(U229-SUMIFS(AN_TME_PY[[#All],[TOTAL Non-Truncated Unadjusted Claims Expenses]], AN_TME_PY[[#All],[Insurance Category Code]],3, AN_TME_PY[[#All],[Advanced Network/Insurance Carrier Org ID]],Q229),2))</f>
        <v>TRUE</v>
      </c>
      <c r="AA229" s="529" t="str">
        <f>IF(ROUND(V229,0)=ROUND(SUMIFS(AN_TME_PY[[#All],[TOTAL Truncated Unadjusted Claims Expenses (A21 -A19)]], AN_TME_PY[[#All],[Insurance Category Code]],3, AN_TME_PY[[#All],[Advanced Network/Insurance Carrier Org ID]],Q229),0), "TRUE", ROUND(V229-SUMIFS(AN_TME_PY[[#All],[TOTAL Truncated Unadjusted Claims Expenses (A21 -A19)]], AN_TME_PY[[#All],[Insurance Category Code]],3, AN_TME_PY[[#All],[Advanced Network/Insurance Carrier Org ID]],Q229),2))</f>
        <v>TRUE</v>
      </c>
      <c r="AB229" s="525" t="str">
        <f t="shared" ref="AB229:AB231" si="26">IF(T229=0, "TRUE",IF((R229/12)&gt;T229,"TRUE",(R229/12)-T229))</f>
        <v>TRUE</v>
      </c>
      <c r="AC229" s="528" t="b">
        <f>ROUND(SUMIFS(AN_TME_PY[[#All],[TOTAL Non-Truncated Unadjusted Claims Expenses]], AN_TME_PY[[#All],[Insurance Category Code]],3, AN_TME_PY[[#All],[Advanced Network/Insurance Carrier Org ID]],Q229),2)&gt;=ROUND(SUMIFS(AN_TME_PY[[#All],[TOTAL Truncated Unadjusted Claims Expenses (A21 -A19)]], AN_TME_PY[[#All],[Insurance Category Code]],3, AN_TME_PY[[#All],[Advanced Network/Insurance Carrier Org ID]],Q229), 2)</f>
        <v>1</v>
      </c>
      <c r="AD229" s="529" t="b">
        <f>ROUND(SUMIFS(AN_TME_PY[[#All],[TOTAL Truncated Unadjusted Claims Expenses (A21 -A19)]], AN_TME_PY[[#All],[Insurance Category Code]],3, AN_TME_PY[[#All],[Advanced Network/Insurance Carrier Org ID]],Q229)+SUMIFS(AN_TME_PY[[#All],[Total Claims Excluded because of Truncation]], AN_TME_PY[[#All],[Insurance Category Code]],3, AN_TME_PY[[#All],[Advanced Network/Insurance Carrier Org ID]],Q229),2)=ROUND(SUMIFS(AN_TME_PY[[#All],[TOTAL Non-Truncated Unadjusted Claims Expenses]], AN_TME_PY[[#All],[Insurance Category Code]],3, AN_TME_PY[[#All],[Advanced Network/Insurance Carrier Org ID]],Q229),2)</f>
        <v>1</v>
      </c>
      <c r="AF229" s="283" t="str">
        <f t="shared" ref="AF229:AF231" si="27">IFERROR(R229/C229-1, "NA")</f>
        <v>NA</v>
      </c>
    </row>
    <row r="230" spans="2:32" outlineLevel="1" x14ac:dyDescent="0.25">
      <c r="B230" s="216">
        <v>133</v>
      </c>
      <c r="C230" s="404">
        <f>ROUND(SUMIFS(Age_Sex_BY[[#All],[Total Member Months by Age/Sex Band]], Age_Sex_BY[[#All],[Advanced Network ID]], $B230, Age_Sex_BY[[#All],[Insurance Category Code]],3),2)</f>
        <v>0</v>
      </c>
      <c r="D230" s="238">
        <f>ROUND(SUMIFS(Age_Sex_BY[[#All],[Total Dollars Excluded from Spending After Applying Truncation at the Member Level]], Age_Sex_BY[[#All],[Advanced Network ID]], $B230, Age_Sex_BY[[#All],[Insurance Category Code]],3),2)</f>
        <v>0</v>
      </c>
      <c r="E230" s="209">
        <f>ROUND(SUMIFS(Age_Sex_BY[[#All],[Count of Members whose Spending was Truncated]], Age_Sex_BY[[#All],[Advanced Network ID]], $B230, Age_Sex_BY[[#All],[Insurance Category Code]],3),2)</f>
        <v>0</v>
      </c>
      <c r="F230" s="210">
        <f>ROUND(SUMIFS(Age_Sex_BY[[#All],[Total Spending before Truncation is Applied]], Age_Sex_BY[[#All],[Advanced Network ID]], $B230, Age_Sex_BY[[#All],[Insurance Category Code]],3),2)</f>
        <v>0</v>
      </c>
      <c r="G230" s="212">
        <f>ROUND(SUMIFS(Age_Sex_BY[[#All],[Total Spending After Applying Truncation at the Member Level]], Age_Sex_BY[[#All],[Advanced Network ID]], $B230, Age_Sex_BY[[#All],[Insurance Category Code]],3), 2)</f>
        <v>0</v>
      </c>
      <c r="H230" s="525" t="str">
        <f>IF(ROUND(C230,0)=ROUND(SUMIFS(AN_TME_BY[[#All],[Member Months]], AN_TME_BY[[#All],[Insurance Category Code]],3, AN_TME_BY[[#All],[Advanced Network/Insurance Carrier Org ID]],B230),0), "TRUE", ROUND(C230-SUMIFS(AN_TME_BY[[#All],[Member Months]], AN_TME_BY[[#All],[Insurance Category Code]],3, AN_TME_BY[[#All],[Advanced Network/Insurance Carrier Org ID]],B230),2))</f>
        <v>TRUE</v>
      </c>
      <c r="I230" s="533" t="str">
        <f>IF(ROUND(D230,0)=ROUND(SUMIFS(AN_TME_BY[[#All],[Total Claims Excluded because of Truncation]], AN_TME_BY[[#All],[Insurance Category Code]],3, AN_TME_BY[[#All],[Advanced Network/Insurance Carrier Org ID]],B230),0), "TRUE", ROUND(D230-SUMIFS(AN_TME_BY[[#All],[Total Claims Excluded because of Truncation]], AN_TME_BY[[#All],[Insurance Category Code]],3, AN_TME_BY[[#All],[Advanced Network/Insurance Carrier Org ID]],B230),2))</f>
        <v>TRUE</v>
      </c>
      <c r="J230" s="537" t="str">
        <f>IF(ROUND(E230,0)=ROUND(SUMIFS(AN_TME_BY[[#All],[Count of Members with Claims Truncated]], AN_TME_BY[[#All],[Insurance Category Code]],3, AN_TME_BY[[#All],[Advanced Network/Insurance Carrier Org ID]],B230),0), "TRUE", ROUND(E230-SUMIFS(AN_TME_BY[[#All],[Count of Members with Claims Truncated]], AN_TME_BY[[#All],[Insurance Category Code]],3, AN_TME_BY[[#All],[Advanced Network/Insurance Carrier Org ID]],B230),2))</f>
        <v>TRUE</v>
      </c>
      <c r="K230" s="533" t="str">
        <f>IF(ROUND(F230,0)=ROUND(SUMIFS(AN_TME_BY[[#All],[TOTAL Non-Truncated Unadjusted Claims Expenses]], AN_TME_BY[[#All],[Insurance Category Code]],3, AN_TME_BY[[#All],[Advanced Network/Insurance Carrier Org ID]],B230),0), "TRUE", ROUND(F230-SUMIFS(AN_TME_BY[[#All],[TOTAL Non-Truncated Unadjusted Claims Expenses]], AN_TME_BY[[#All],[Insurance Category Code]],3, AN_TME_BY[[#All],[Advanced Network/Insurance Carrier Org ID]],B230),2))</f>
        <v>TRUE</v>
      </c>
      <c r="L230" s="534" t="str">
        <f>IF(ROUND(G230,0)=ROUND(SUMIFS(AN_TME_BY[[#All],[TOTAL Truncated Unadjusted Claims Expenses (A21 -A19)]], AN_TME_BY[[#All],[Insurance Category Code]],3, AN_TME_BY[[#All],[Advanced Network/Insurance Carrier Org ID]],B230),0), "TRUE", ROUND(G230-SUMIFS(AN_TME_BY[[#All],[TOTAL Truncated Unadjusted Claims Expenses (A21 -A19)]], AN_TME_BY[[#All],[Insurance Category Code]],3, AN_TME_BY[[#All],[Advanced Network/Insurance Carrier Org ID]],B230),2))</f>
        <v>TRUE</v>
      </c>
      <c r="M230" s="525" t="str">
        <f t="shared" si="25"/>
        <v>TRUE</v>
      </c>
      <c r="N230" s="533" t="b">
        <f>ROUND(SUMIFS(AN_TME_BY[[#All],[TOTAL Non-Truncated Unadjusted Claims Expenses]], AN_TME_BY[[#All],[Insurance Category Code]],3, AN_TME_BY[[#All],[Advanced Network/Insurance Carrier Org ID]],B230),2)&gt;=ROUND(SUMIFS(AN_TME_BY[[#All],[TOTAL Truncated Unadjusted Claims Expenses (A21 -A19)]], AN_TME_BY[[#All],[Insurance Category Code]],3, AN_TME_BY[[#All],[Advanced Network/Insurance Carrier Org ID]],B230),2)</f>
        <v>1</v>
      </c>
      <c r="O230" s="534" t="b">
        <f>ROUND(SUMIFS(AN_TME_BY[[#All],[TOTAL Truncated Unadjusted Claims Expenses (A21 -A19)]], AN_TME_BY[[#All],[Insurance Category Code]],3, AN_TME_BY[[#All],[Advanced Network/Insurance Carrier Org ID]],B230)+SUMIFS(AN_TME_BY[[#All],[Total Claims Excluded because of Truncation]], AN_TME_BY[[#All],[Insurance Category Code]],3, AN_TME_BY[[#All],[Advanced Network/Insurance Carrier Org ID]],B230),2)=ROUND(SUMIFS(AN_TME_BY[[#All],[TOTAL Non-Truncated Unadjusted Claims Expenses]], AN_TME_BY[[#All],[Insurance Category Code]],3, AN_TME_BY[[#All],[Advanced Network/Insurance Carrier Org ID]],B230), 2)</f>
        <v>1</v>
      </c>
      <c r="Q230" s="216">
        <v>133</v>
      </c>
      <c r="R230" s="404">
        <f>ROUND(SUMIFS(Age_Sex_PY[[#All],[Total Member Months by Age/Sex Band]], Age_Sex_PY[[#All],[Advanced Network ID]], $Q230, Age_Sex_PY[[#All],[Insurance Category Code]],3), 2)</f>
        <v>0</v>
      </c>
      <c r="S230" s="238">
        <f>ROUND(SUMIFS(Age_Sex_PY[[#All],[Total Dollars Excluded from Spending After Applying Truncation at the Member Level]], Age_Sex_PY[[#All],[Advanced Network ID]], $B230, Age_Sex_PY[[#All],[Insurance Category Code]],3), 2)</f>
        <v>0</v>
      </c>
      <c r="T230" s="209">
        <f>ROUND(SUMIFS(Age_Sex_PY[[#All],[Count of Members whose Spending was Truncated]], Age_Sex_PY[[#All],[Advanced Network ID]], $B230, Age_Sex_PY[[#All],[Insurance Category Code]],3),2)</f>
        <v>0</v>
      </c>
      <c r="U230" s="210">
        <f>ROUND(SUMIFS(Age_Sex_PY[[#All],[Total Spending before Truncation is Applied]], Age_Sex_PY[[#All],[Advanced Network ID]], $B230, Age_Sex_PY[[#All],[Insurance Category Code]],3),2)</f>
        <v>0</v>
      </c>
      <c r="V230" s="212">
        <f>ROUND(SUMIFS(Age_Sex_PY[[#All],[Total Spending After Applying Truncation at the Member Level]], Age_Sex_PY[[#All],[Advanced Network ID]], $B230, Age_Sex_PY[[#All],[Insurance Category Code]],3),2)</f>
        <v>0</v>
      </c>
      <c r="W230" s="525" t="str">
        <f>IF(ROUND(R230,0)=ROUND(SUMIFS(AN_TME_PY[[#All],[Member Months]], AN_TME_PY[[#All],[Insurance Category Code]],3, AN_TME_PY[[#All],[Advanced Network/Insurance Carrier Org ID]],Q230),0), "TRUE", ROUND(R230-SUMIFS(AN_TME_PY[[#All],[Member Months]], AN_TME_PY[[#All],[Insurance Category Code]],3, AN_TME_PY[[#All],[Advanced Network/Insurance Carrier Org ID]],Q230),2))</f>
        <v>TRUE</v>
      </c>
      <c r="X230" s="527" t="str">
        <f>IF(ROUND(S230,0)=ROUND(SUMIFS(AN_TME_PY[[#All],[Total Claims Excluded because of Truncation]], AN_TME_PY[[#All],[Insurance Category Code]],3, AN_TME_PY[[#All],[Advanced Network/Insurance Carrier Org ID]],Q230),0), "TRUE", ROUND(S230-SUMIFS(AN_TME_PY[[#All],[Total Claims Excluded because of Truncation]], AN_TME_PY[[#All],[Insurance Category Code]],3, AN_TME_PY[[#All],[Advanced Network/Insurance Carrier Org ID]],Q230),2))</f>
        <v>TRUE</v>
      </c>
      <c r="Y230" s="537" t="str">
        <f>IF(ROUND(T230,0)=ROUND(SUMIFS(AN_TME_PY[[#All],[Count of Members with Claims Truncated]], AN_TME_PY[[#All],[Insurance Category Code]],3, AN_TME_PY[[#All],[Advanced Network/Insurance Carrier Org ID]],Q230),0), "TRUE", ROUND(T230-SUMIFS(AN_TME_PY[[#All],[Count of Members with Claims Truncated]], AN_TME_PY[[#All],[Insurance Category Code]],3, AN_TME_PY[[#All],[Advanced Network/Insurance Carrier Org ID]],Q230),2))</f>
        <v>TRUE</v>
      </c>
      <c r="Z230" s="528" t="str">
        <f>IF(ROUND(U230,0)=ROUND(SUMIFS(AN_TME_PY[[#All],[TOTAL Non-Truncated Unadjusted Claims Expenses]], AN_TME_PY[[#All],[Insurance Category Code]],3, AN_TME_PY[[#All],[Advanced Network/Insurance Carrier Org ID]],Q230),0), "TRUE", ROUND(U230-SUMIFS(AN_TME_PY[[#All],[TOTAL Non-Truncated Unadjusted Claims Expenses]], AN_TME_PY[[#All],[Insurance Category Code]],3, AN_TME_PY[[#All],[Advanced Network/Insurance Carrier Org ID]],Q230),2))</f>
        <v>TRUE</v>
      </c>
      <c r="AA230" s="529" t="str">
        <f>IF(ROUND(V230,0)=ROUND(SUMIFS(AN_TME_PY[[#All],[TOTAL Truncated Unadjusted Claims Expenses (A21 -A19)]], AN_TME_PY[[#All],[Insurance Category Code]],3, AN_TME_PY[[#All],[Advanced Network/Insurance Carrier Org ID]],Q230),0), "TRUE", ROUND(V230-SUMIFS(AN_TME_PY[[#All],[TOTAL Truncated Unadjusted Claims Expenses (A21 -A19)]], AN_TME_PY[[#All],[Insurance Category Code]],3, AN_TME_PY[[#All],[Advanced Network/Insurance Carrier Org ID]],Q230),2))</f>
        <v>TRUE</v>
      </c>
      <c r="AB230" s="525" t="str">
        <f t="shared" si="26"/>
        <v>TRUE</v>
      </c>
      <c r="AC230" s="528" t="b">
        <f>ROUND(SUMIFS(AN_TME_PY[[#All],[TOTAL Non-Truncated Unadjusted Claims Expenses]], AN_TME_PY[[#All],[Insurance Category Code]],3, AN_TME_PY[[#All],[Advanced Network/Insurance Carrier Org ID]],Q230),2)&gt;=ROUND(SUMIFS(AN_TME_PY[[#All],[TOTAL Truncated Unadjusted Claims Expenses (A21 -A19)]], AN_TME_PY[[#All],[Insurance Category Code]],3, AN_TME_PY[[#All],[Advanced Network/Insurance Carrier Org ID]],Q230), 2)</f>
        <v>1</v>
      </c>
      <c r="AD230" s="529" t="b">
        <f>ROUND(SUMIFS(AN_TME_PY[[#All],[TOTAL Truncated Unadjusted Claims Expenses (A21 -A19)]], AN_TME_PY[[#All],[Insurance Category Code]],3, AN_TME_PY[[#All],[Advanced Network/Insurance Carrier Org ID]],Q230)+SUMIFS(AN_TME_PY[[#All],[Total Claims Excluded because of Truncation]], AN_TME_PY[[#All],[Insurance Category Code]],3, AN_TME_PY[[#All],[Advanced Network/Insurance Carrier Org ID]],Q230),2)=ROUND(SUMIFS(AN_TME_PY[[#All],[TOTAL Non-Truncated Unadjusted Claims Expenses]], AN_TME_PY[[#All],[Insurance Category Code]],3, AN_TME_PY[[#All],[Advanced Network/Insurance Carrier Org ID]],Q230),2)</f>
        <v>1</v>
      </c>
      <c r="AF230" s="283" t="str">
        <f t="shared" si="27"/>
        <v>NA</v>
      </c>
    </row>
    <row r="231" spans="2:32" outlineLevel="1" x14ac:dyDescent="0.25">
      <c r="B231" s="216">
        <v>134</v>
      </c>
      <c r="C231" s="404">
        <f>ROUND(SUMIFS(Age_Sex_BY[[#All],[Total Member Months by Age/Sex Band]], Age_Sex_BY[[#All],[Advanced Network ID]], $B231, Age_Sex_BY[[#All],[Insurance Category Code]],3),2)</f>
        <v>0</v>
      </c>
      <c r="D231" s="238">
        <f>ROUND(SUMIFS(Age_Sex_BY[[#All],[Total Dollars Excluded from Spending After Applying Truncation at the Member Level]], Age_Sex_BY[[#All],[Advanced Network ID]], $B231, Age_Sex_BY[[#All],[Insurance Category Code]],3),2)</f>
        <v>0</v>
      </c>
      <c r="E231" s="209">
        <f>ROUND(SUMIFS(Age_Sex_BY[[#All],[Count of Members whose Spending was Truncated]], Age_Sex_BY[[#All],[Advanced Network ID]], $B231, Age_Sex_BY[[#All],[Insurance Category Code]],3),2)</f>
        <v>0</v>
      </c>
      <c r="F231" s="210">
        <f>ROUND(SUMIFS(Age_Sex_BY[[#All],[Total Spending before Truncation is Applied]], Age_Sex_BY[[#All],[Advanced Network ID]], $B231, Age_Sex_BY[[#All],[Insurance Category Code]],3),2)</f>
        <v>0</v>
      </c>
      <c r="G231" s="212">
        <f>ROUND(SUMIFS(Age_Sex_BY[[#All],[Total Spending After Applying Truncation at the Member Level]], Age_Sex_BY[[#All],[Advanced Network ID]], $B231, Age_Sex_BY[[#All],[Insurance Category Code]],3), 2)</f>
        <v>0</v>
      </c>
      <c r="H231" s="525" t="str">
        <f>IF(ROUND(C231,0)=ROUND(SUMIFS(AN_TME_BY[[#All],[Member Months]], AN_TME_BY[[#All],[Insurance Category Code]],3, AN_TME_BY[[#All],[Advanced Network/Insurance Carrier Org ID]],B231),0), "TRUE", ROUND(C231-SUMIFS(AN_TME_BY[[#All],[Member Months]], AN_TME_BY[[#All],[Insurance Category Code]],3, AN_TME_BY[[#All],[Advanced Network/Insurance Carrier Org ID]],B231),2))</f>
        <v>TRUE</v>
      </c>
      <c r="I231" s="533" t="str">
        <f>IF(ROUND(D231,0)=ROUND(SUMIFS(AN_TME_BY[[#All],[Total Claims Excluded because of Truncation]], AN_TME_BY[[#All],[Insurance Category Code]],3, AN_TME_BY[[#All],[Advanced Network/Insurance Carrier Org ID]],B231),0), "TRUE", ROUND(D231-SUMIFS(AN_TME_BY[[#All],[Total Claims Excluded because of Truncation]], AN_TME_BY[[#All],[Insurance Category Code]],3, AN_TME_BY[[#All],[Advanced Network/Insurance Carrier Org ID]],B231),2))</f>
        <v>TRUE</v>
      </c>
      <c r="J231" s="537" t="str">
        <f>IF(ROUND(E231,0)=ROUND(SUMIFS(AN_TME_BY[[#All],[Count of Members with Claims Truncated]], AN_TME_BY[[#All],[Insurance Category Code]],3, AN_TME_BY[[#All],[Advanced Network/Insurance Carrier Org ID]],B231),0), "TRUE", ROUND(E231-SUMIFS(AN_TME_BY[[#All],[Count of Members with Claims Truncated]], AN_TME_BY[[#All],[Insurance Category Code]],3, AN_TME_BY[[#All],[Advanced Network/Insurance Carrier Org ID]],B231),2))</f>
        <v>TRUE</v>
      </c>
      <c r="K231" s="533" t="str">
        <f>IF(ROUND(F231,0)=ROUND(SUMIFS(AN_TME_BY[[#All],[TOTAL Non-Truncated Unadjusted Claims Expenses]], AN_TME_BY[[#All],[Insurance Category Code]],3, AN_TME_BY[[#All],[Advanced Network/Insurance Carrier Org ID]],B231),0), "TRUE", ROUND(F231-SUMIFS(AN_TME_BY[[#All],[TOTAL Non-Truncated Unadjusted Claims Expenses]], AN_TME_BY[[#All],[Insurance Category Code]],3, AN_TME_BY[[#All],[Advanced Network/Insurance Carrier Org ID]],B231),2))</f>
        <v>TRUE</v>
      </c>
      <c r="L231" s="534" t="str">
        <f>IF(ROUND(G231,0)=ROUND(SUMIFS(AN_TME_BY[[#All],[TOTAL Truncated Unadjusted Claims Expenses (A21 -A19)]], AN_TME_BY[[#All],[Insurance Category Code]],3, AN_TME_BY[[#All],[Advanced Network/Insurance Carrier Org ID]],B231),0), "TRUE", ROUND(G231-SUMIFS(AN_TME_BY[[#All],[TOTAL Truncated Unadjusted Claims Expenses (A21 -A19)]], AN_TME_BY[[#All],[Insurance Category Code]],3, AN_TME_BY[[#All],[Advanced Network/Insurance Carrier Org ID]],B231),2))</f>
        <v>TRUE</v>
      </c>
      <c r="M231" s="525" t="str">
        <f t="shared" si="25"/>
        <v>TRUE</v>
      </c>
      <c r="N231" s="533" t="b">
        <f>ROUND(SUMIFS(AN_TME_BY[[#All],[TOTAL Non-Truncated Unadjusted Claims Expenses]], AN_TME_BY[[#All],[Insurance Category Code]],3, AN_TME_BY[[#All],[Advanced Network/Insurance Carrier Org ID]],B231),2)&gt;=ROUND(SUMIFS(AN_TME_BY[[#All],[TOTAL Truncated Unadjusted Claims Expenses (A21 -A19)]], AN_TME_BY[[#All],[Insurance Category Code]],3, AN_TME_BY[[#All],[Advanced Network/Insurance Carrier Org ID]],B231),2)</f>
        <v>1</v>
      </c>
      <c r="O231" s="534" t="b">
        <f>ROUND(SUMIFS(AN_TME_BY[[#All],[TOTAL Truncated Unadjusted Claims Expenses (A21 -A19)]], AN_TME_BY[[#All],[Insurance Category Code]],3, AN_TME_BY[[#All],[Advanced Network/Insurance Carrier Org ID]],B231)+SUMIFS(AN_TME_BY[[#All],[Total Claims Excluded because of Truncation]], AN_TME_BY[[#All],[Insurance Category Code]],3, AN_TME_BY[[#All],[Advanced Network/Insurance Carrier Org ID]],B231),2)=ROUND(SUMIFS(AN_TME_BY[[#All],[TOTAL Non-Truncated Unadjusted Claims Expenses]], AN_TME_BY[[#All],[Insurance Category Code]],3, AN_TME_BY[[#All],[Advanced Network/Insurance Carrier Org ID]],B231), 2)</f>
        <v>1</v>
      </c>
      <c r="Q231" s="216">
        <v>134</v>
      </c>
      <c r="R231" s="404">
        <f>ROUND(SUMIFS(Age_Sex_PY[[#All],[Total Member Months by Age/Sex Band]], Age_Sex_PY[[#All],[Advanced Network ID]], $Q231, Age_Sex_PY[[#All],[Insurance Category Code]],3), 2)</f>
        <v>0</v>
      </c>
      <c r="S231" s="238">
        <f>ROUND(SUMIFS(Age_Sex_PY[[#All],[Total Dollars Excluded from Spending After Applying Truncation at the Member Level]], Age_Sex_PY[[#All],[Advanced Network ID]], $B231, Age_Sex_PY[[#All],[Insurance Category Code]],3), 2)</f>
        <v>0</v>
      </c>
      <c r="T231" s="209">
        <f>ROUND(SUMIFS(Age_Sex_PY[[#All],[Count of Members whose Spending was Truncated]], Age_Sex_PY[[#All],[Advanced Network ID]], $B231, Age_Sex_PY[[#All],[Insurance Category Code]],3),2)</f>
        <v>0</v>
      </c>
      <c r="U231" s="210">
        <f>ROUND(SUMIFS(Age_Sex_PY[[#All],[Total Spending before Truncation is Applied]], Age_Sex_PY[[#All],[Advanced Network ID]], $B231, Age_Sex_PY[[#All],[Insurance Category Code]],3),2)</f>
        <v>0</v>
      </c>
      <c r="V231" s="212">
        <f>ROUND(SUMIFS(Age_Sex_PY[[#All],[Total Spending After Applying Truncation at the Member Level]], Age_Sex_PY[[#All],[Advanced Network ID]], $B231, Age_Sex_PY[[#All],[Insurance Category Code]],3),2)</f>
        <v>0</v>
      </c>
      <c r="W231" s="525" t="str">
        <f>IF(ROUND(R231,0)=ROUND(SUMIFS(AN_TME_PY[[#All],[Member Months]], AN_TME_PY[[#All],[Insurance Category Code]],3, AN_TME_PY[[#All],[Advanced Network/Insurance Carrier Org ID]],Q231),0), "TRUE", ROUND(R231-SUMIFS(AN_TME_PY[[#All],[Member Months]], AN_TME_PY[[#All],[Insurance Category Code]],3, AN_TME_PY[[#All],[Advanced Network/Insurance Carrier Org ID]],Q231),2))</f>
        <v>TRUE</v>
      </c>
      <c r="X231" s="527" t="str">
        <f>IF(ROUND(S231,0)=ROUND(SUMIFS(AN_TME_PY[[#All],[Total Claims Excluded because of Truncation]], AN_TME_PY[[#All],[Insurance Category Code]],3, AN_TME_PY[[#All],[Advanced Network/Insurance Carrier Org ID]],Q231),0), "TRUE", ROUND(S231-SUMIFS(AN_TME_PY[[#All],[Total Claims Excluded because of Truncation]], AN_TME_PY[[#All],[Insurance Category Code]],3, AN_TME_PY[[#All],[Advanced Network/Insurance Carrier Org ID]],Q231),2))</f>
        <v>TRUE</v>
      </c>
      <c r="Y231" s="537" t="str">
        <f>IF(ROUND(T231,0)=ROUND(SUMIFS(AN_TME_PY[[#All],[Count of Members with Claims Truncated]], AN_TME_PY[[#All],[Insurance Category Code]],3, AN_TME_PY[[#All],[Advanced Network/Insurance Carrier Org ID]],Q231),0), "TRUE", ROUND(T231-SUMIFS(AN_TME_PY[[#All],[Count of Members with Claims Truncated]], AN_TME_PY[[#All],[Insurance Category Code]],3, AN_TME_PY[[#All],[Advanced Network/Insurance Carrier Org ID]],Q231),2))</f>
        <v>TRUE</v>
      </c>
      <c r="Z231" s="528" t="str">
        <f>IF(ROUND(U231,0)=ROUND(SUMIFS(AN_TME_PY[[#All],[TOTAL Non-Truncated Unadjusted Claims Expenses]], AN_TME_PY[[#All],[Insurance Category Code]],3, AN_TME_PY[[#All],[Advanced Network/Insurance Carrier Org ID]],Q231),0), "TRUE", ROUND(U231-SUMIFS(AN_TME_PY[[#All],[TOTAL Non-Truncated Unadjusted Claims Expenses]], AN_TME_PY[[#All],[Insurance Category Code]],3, AN_TME_PY[[#All],[Advanced Network/Insurance Carrier Org ID]],Q231),2))</f>
        <v>TRUE</v>
      </c>
      <c r="AA231" s="529" t="str">
        <f>IF(ROUND(V231,0)=ROUND(SUMIFS(AN_TME_PY[[#All],[TOTAL Truncated Unadjusted Claims Expenses (A21 -A19)]], AN_TME_PY[[#All],[Insurance Category Code]],3, AN_TME_PY[[#All],[Advanced Network/Insurance Carrier Org ID]],Q231),0), "TRUE", ROUND(V231-SUMIFS(AN_TME_PY[[#All],[TOTAL Truncated Unadjusted Claims Expenses (A21 -A19)]], AN_TME_PY[[#All],[Insurance Category Code]],3, AN_TME_PY[[#All],[Advanced Network/Insurance Carrier Org ID]],Q231),2))</f>
        <v>TRUE</v>
      </c>
      <c r="AB231" s="525" t="str">
        <f t="shared" si="26"/>
        <v>TRUE</v>
      </c>
      <c r="AC231" s="528" t="b">
        <f>ROUND(SUMIFS(AN_TME_PY[[#All],[TOTAL Non-Truncated Unadjusted Claims Expenses]], AN_TME_PY[[#All],[Insurance Category Code]],3, AN_TME_PY[[#All],[Advanced Network/Insurance Carrier Org ID]],Q231),2)&gt;=ROUND(SUMIFS(AN_TME_PY[[#All],[TOTAL Truncated Unadjusted Claims Expenses (A21 -A19)]], AN_TME_PY[[#All],[Insurance Category Code]],3, AN_TME_PY[[#All],[Advanced Network/Insurance Carrier Org ID]],Q231), 2)</f>
        <v>1</v>
      </c>
      <c r="AD231" s="529" t="b">
        <f>ROUND(SUMIFS(AN_TME_PY[[#All],[TOTAL Truncated Unadjusted Claims Expenses (A21 -A19)]], AN_TME_PY[[#All],[Insurance Category Code]],3, AN_TME_PY[[#All],[Advanced Network/Insurance Carrier Org ID]],Q231)+SUMIFS(AN_TME_PY[[#All],[Total Claims Excluded because of Truncation]], AN_TME_PY[[#All],[Insurance Category Code]],3, AN_TME_PY[[#All],[Advanced Network/Insurance Carrier Org ID]],Q231),2)=ROUND(SUMIFS(AN_TME_PY[[#All],[TOTAL Non-Truncated Unadjusted Claims Expenses]], AN_TME_PY[[#All],[Insurance Category Code]],3, AN_TME_PY[[#All],[Advanced Network/Insurance Carrier Org ID]],Q231),2)</f>
        <v>1</v>
      </c>
      <c r="AF231" s="283" t="str">
        <f t="shared" si="27"/>
        <v>NA</v>
      </c>
    </row>
    <row r="232" spans="2:32" ht="15.75" outlineLevel="1" thickBot="1" x14ac:dyDescent="0.3">
      <c r="B232" s="217">
        <v>999</v>
      </c>
      <c r="C232" s="405">
        <f>ROUND(SUMIFS(Age_Sex_BY[[#All],[Total Member Months by Age/Sex Band]], Age_Sex_BY[[#All],[Advanced Network ID]], $B232, Age_Sex_BY[[#All],[Insurance Category Code]],3),2)</f>
        <v>0</v>
      </c>
      <c r="D232" s="240">
        <f>ROUND(SUMIFS(Age_Sex_BY[[#All],[Total Dollars Excluded from Spending After Applying Truncation at the Member Level]], Age_Sex_BY[[#All],[Advanced Network ID]], $B232, Age_Sex_BY[[#All],[Insurance Category Code]],3),2)</f>
        <v>0</v>
      </c>
      <c r="E232" s="213">
        <f>ROUND(SUMIFS(Age_Sex_BY[[#All],[Count of Members whose Spending was Truncated]], Age_Sex_BY[[#All],[Advanced Network ID]], $B232, Age_Sex_BY[[#All],[Insurance Category Code]],3),2)</f>
        <v>0</v>
      </c>
      <c r="F232" s="214">
        <f>ROUND(SUMIFS(Age_Sex_BY[[#All],[Total Spending before Truncation is Applied]], Age_Sex_BY[[#All],[Advanced Network ID]], $B232, Age_Sex_BY[[#All],[Insurance Category Code]],3),2)</f>
        <v>0</v>
      </c>
      <c r="G232" s="215">
        <f>ROUND(SUMIFS(Age_Sex_BY[[#All],[Total Spending After Applying Truncation at the Member Level]], Age_Sex_BY[[#All],[Advanced Network ID]], $B232, Age_Sex_BY[[#All],[Insurance Category Code]],3), 2)</f>
        <v>0</v>
      </c>
      <c r="H232" s="526" t="str">
        <f>IF(ROUND(C232,0)=ROUND(SUMIFS(AN_TME_BY[[#All],[Member Months]], AN_TME_BY[[#All],[Insurance Category Code]],3, AN_TME_BY[[#All],[Advanced Network/Insurance Carrier Org ID]],B232),0), "TRUE", ROUND(C232-SUMIFS(AN_TME_BY[[#All],[Member Months]], AN_TME_BY[[#All],[Insurance Category Code]],3, AN_TME_BY[[#All],[Advanced Network/Insurance Carrier Org ID]],B232),2))</f>
        <v>TRUE</v>
      </c>
      <c r="I232" s="535" t="str">
        <f>IF(ROUND(D232,0)=ROUND(SUMIFS(AN_TME_BY[[#All],[Total Claims Excluded because of Truncation]], AN_TME_BY[[#All],[Insurance Category Code]],3, AN_TME_BY[[#All],[Advanced Network/Insurance Carrier Org ID]],B232),0), "TRUE", ROUND(D232-SUMIFS(AN_TME_BY[[#All],[Total Claims Excluded because of Truncation]], AN_TME_BY[[#All],[Insurance Category Code]],3, AN_TME_BY[[#All],[Advanced Network/Insurance Carrier Org ID]],B232),2))</f>
        <v>TRUE</v>
      </c>
      <c r="J232" s="538" t="str">
        <f>IF(ROUND(E232,0)=ROUND(SUMIFS(AN_TME_BY[[#All],[Count of Members with Claims Truncated]], AN_TME_BY[[#All],[Insurance Category Code]],3, AN_TME_BY[[#All],[Advanced Network/Insurance Carrier Org ID]],B232),0), "TRUE", ROUND(E232-SUMIFS(AN_TME_BY[[#All],[Count of Members with Claims Truncated]], AN_TME_BY[[#All],[Insurance Category Code]],3, AN_TME_BY[[#All],[Advanced Network/Insurance Carrier Org ID]],B232),2))</f>
        <v>TRUE</v>
      </c>
      <c r="K232" s="535" t="str">
        <f>IF(ROUND(F232,0)=ROUND(SUMIFS(AN_TME_BY[[#All],[TOTAL Non-Truncated Unadjusted Claims Expenses]], AN_TME_BY[[#All],[Insurance Category Code]],3, AN_TME_BY[[#All],[Advanced Network/Insurance Carrier Org ID]],B232),0), "TRUE", ROUND(F232-SUMIFS(AN_TME_BY[[#All],[TOTAL Non-Truncated Unadjusted Claims Expenses]], AN_TME_BY[[#All],[Insurance Category Code]],3, AN_TME_BY[[#All],[Advanced Network/Insurance Carrier Org ID]],B232),2))</f>
        <v>TRUE</v>
      </c>
      <c r="L232" s="536" t="str">
        <f>IF(ROUND(G232,0)=ROUND(SUMIFS(AN_TME_BY[[#All],[TOTAL Truncated Unadjusted Claims Expenses (A21 -A19)]], AN_TME_BY[[#All],[Insurance Category Code]],3, AN_TME_BY[[#All],[Advanced Network/Insurance Carrier Org ID]],B232),0), "TRUE", ROUND(G232-SUMIFS(AN_TME_BY[[#All],[TOTAL Truncated Unadjusted Claims Expenses (A21 -A19)]], AN_TME_BY[[#All],[Insurance Category Code]],3, AN_TME_BY[[#All],[Advanced Network/Insurance Carrier Org ID]],B232),2))</f>
        <v>TRUE</v>
      </c>
      <c r="M232" s="526" t="str">
        <f t="shared" si="21"/>
        <v>TRUE</v>
      </c>
      <c r="N232" s="535" t="b">
        <f>ROUND(SUMIFS(AN_TME_BY[[#All],[TOTAL Non-Truncated Unadjusted Claims Expenses]], AN_TME_BY[[#All],[Insurance Category Code]],3, AN_TME_BY[[#All],[Advanced Network/Insurance Carrier Org ID]],B232),2)&gt;=ROUND(SUMIFS(AN_TME_BY[[#All],[TOTAL Truncated Unadjusted Claims Expenses (A21 -A19)]], AN_TME_BY[[#All],[Insurance Category Code]],3, AN_TME_BY[[#All],[Advanced Network/Insurance Carrier Org ID]],B232),2)</f>
        <v>1</v>
      </c>
      <c r="O232" s="536" t="b">
        <f>ROUND(SUMIFS(AN_TME_BY[[#All],[TOTAL Truncated Unadjusted Claims Expenses (A21 -A19)]], AN_TME_BY[[#All],[Insurance Category Code]],3, AN_TME_BY[[#All],[Advanced Network/Insurance Carrier Org ID]],B232)+SUMIFS(AN_TME_BY[[#All],[Total Claims Excluded because of Truncation]], AN_TME_BY[[#All],[Insurance Category Code]],3, AN_TME_BY[[#All],[Advanced Network/Insurance Carrier Org ID]],B232),2)=ROUND(SUMIFS(AN_TME_BY[[#All],[TOTAL Non-Truncated Unadjusted Claims Expenses]], AN_TME_BY[[#All],[Insurance Category Code]],3, AN_TME_BY[[#All],[Advanced Network/Insurance Carrier Org ID]],B232), 2)</f>
        <v>1</v>
      </c>
      <c r="Q232" s="217">
        <v>999</v>
      </c>
      <c r="R232" s="405">
        <f>ROUND(SUMIFS(Age_Sex_PY[[#All],[Total Member Months by Age/Sex Band]], Age_Sex_PY[[#All],[Advanced Network ID]], $Q232, Age_Sex_PY[[#All],[Insurance Category Code]],3), 2)</f>
        <v>0</v>
      </c>
      <c r="S232" s="240">
        <f>ROUND(SUMIFS(Age_Sex_PY[[#All],[Total Dollars Excluded from Spending After Applying Truncation at the Member Level]], Age_Sex_PY[[#All],[Advanced Network ID]], $B232, Age_Sex_PY[[#All],[Insurance Category Code]],3), 2)</f>
        <v>0</v>
      </c>
      <c r="T232" s="213">
        <f>ROUND(SUMIFS(Age_Sex_PY[[#All],[Count of Members whose Spending was Truncated]], Age_Sex_PY[[#All],[Advanced Network ID]], $B232, Age_Sex_PY[[#All],[Insurance Category Code]],3),2)</f>
        <v>0</v>
      </c>
      <c r="U232" s="214">
        <f>ROUND(SUMIFS(Age_Sex_PY[[#All],[Total Spending before Truncation is Applied]], Age_Sex_PY[[#All],[Advanced Network ID]], $B232, Age_Sex_PY[[#All],[Insurance Category Code]],3),2)</f>
        <v>0</v>
      </c>
      <c r="V232" s="215">
        <f>ROUND(SUMIFS(Age_Sex_PY[[#All],[Total Spending After Applying Truncation at the Member Level]], Age_Sex_PY[[#All],[Advanced Network ID]], $B232, Age_Sex_PY[[#All],[Insurance Category Code]],3),2)</f>
        <v>0</v>
      </c>
      <c r="W232" s="526" t="str">
        <f>IF(ROUND(R232,0)=ROUND(SUMIFS(AN_TME_PY[[#All],[Member Months]], AN_TME_PY[[#All],[Insurance Category Code]],3, AN_TME_PY[[#All],[Advanced Network/Insurance Carrier Org ID]],Q232),0), "TRUE", ROUND(R232-SUMIFS(AN_TME_PY[[#All],[Member Months]], AN_TME_PY[[#All],[Insurance Category Code]],3, AN_TME_PY[[#All],[Advanced Network/Insurance Carrier Org ID]],Q232),2))</f>
        <v>TRUE</v>
      </c>
      <c r="X232" s="530" t="str">
        <f>IF(ROUND(S232,0)=ROUND(SUMIFS(AN_TME_PY[[#All],[Total Claims Excluded because of Truncation]], AN_TME_PY[[#All],[Insurance Category Code]],3, AN_TME_PY[[#All],[Advanced Network/Insurance Carrier Org ID]],Q232),0), "TRUE", ROUND(S232-SUMIFS(AN_TME_PY[[#All],[Total Claims Excluded because of Truncation]], AN_TME_PY[[#All],[Insurance Category Code]],3, AN_TME_PY[[#All],[Advanced Network/Insurance Carrier Org ID]],Q232),2))</f>
        <v>TRUE</v>
      </c>
      <c r="Y232" s="538" t="str">
        <f>IF(ROUND(T232,0)=ROUND(SUMIFS(AN_TME_PY[[#All],[Count of Members with Claims Truncated]], AN_TME_PY[[#All],[Insurance Category Code]],3, AN_TME_PY[[#All],[Advanced Network/Insurance Carrier Org ID]],Q232),0), "TRUE", ROUND(T232-SUMIFS(AN_TME_PY[[#All],[Count of Members with Claims Truncated]], AN_TME_PY[[#All],[Insurance Category Code]],3, AN_TME_PY[[#All],[Advanced Network/Insurance Carrier Org ID]],Q232),2))</f>
        <v>TRUE</v>
      </c>
      <c r="Z232" s="531" t="str">
        <f>IF(ROUND(U232,0)=ROUND(SUMIFS(AN_TME_PY[[#All],[TOTAL Non-Truncated Unadjusted Claims Expenses]], AN_TME_PY[[#All],[Insurance Category Code]],3, AN_TME_PY[[#All],[Advanced Network/Insurance Carrier Org ID]],Q232),0), "TRUE", ROUND(U232-SUMIFS(AN_TME_PY[[#All],[TOTAL Non-Truncated Unadjusted Claims Expenses]], AN_TME_PY[[#All],[Insurance Category Code]],3, AN_TME_PY[[#All],[Advanced Network/Insurance Carrier Org ID]],Q232),2))</f>
        <v>TRUE</v>
      </c>
      <c r="AA232" s="532" t="str">
        <f>IF(ROUND(V232,0)=ROUND(SUMIFS(AN_TME_PY[[#All],[TOTAL Truncated Unadjusted Claims Expenses (A21 -A19)]], AN_TME_PY[[#All],[Insurance Category Code]],3, AN_TME_PY[[#All],[Advanced Network/Insurance Carrier Org ID]],Q232),0), "TRUE", ROUND(V232-SUMIFS(AN_TME_PY[[#All],[TOTAL Truncated Unadjusted Claims Expenses (A21 -A19)]], AN_TME_PY[[#All],[Insurance Category Code]],3, AN_TME_PY[[#All],[Advanced Network/Insurance Carrier Org ID]],Q232),2))</f>
        <v>TRUE</v>
      </c>
      <c r="AB232" s="526" t="str">
        <f t="shared" si="24"/>
        <v>TRUE</v>
      </c>
      <c r="AC232" s="531" t="b">
        <f>ROUND(SUMIFS(AN_TME_PY[[#All],[TOTAL Non-Truncated Unadjusted Claims Expenses]], AN_TME_PY[[#All],[Insurance Category Code]],3, AN_TME_PY[[#All],[Advanced Network/Insurance Carrier Org ID]],Q232),2)&gt;=ROUND(SUMIFS(AN_TME_PY[[#All],[TOTAL Truncated Unadjusted Claims Expenses (A21 -A19)]], AN_TME_PY[[#All],[Insurance Category Code]],3, AN_TME_PY[[#All],[Advanced Network/Insurance Carrier Org ID]],Q232), 2)</f>
        <v>1</v>
      </c>
      <c r="AD232" s="532" t="b">
        <f>ROUND(SUMIFS(AN_TME_PY[[#All],[TOTAL Truncated Unadjusted Claims Expenses (A21 -A19)]], AN_TME_PY[[#All],[Insurance Category Code]],3, AN_TME_PY[[#All],[Advanced Network/Insurance Carrier Org ID]],Q232)+SUMIFS(AN_TME_PY[[#All],[Total Claims Excluded because of Truncation]], AN_TME_PY[[#All],[Insurance Category Code]],3, AN_TME_PY[[#All],[Advanced Network/Insurance Carrier Org ID]],Q232),2)=ROUND(SUMIFS(AN_TME_PY[[#All],[TOTAL Non-Truncated Unadjusted Claims Expenses]], AN_TME_PY[[#All],[Insurance Category Code]],3, AN_TME_PY[[#All],[Advanced Network/Insurance Carrier Org ID]],Q232),2)</f>
        <v>1</v>
      </c>
      <c r="AF232" s="284" t="str">
        <f t="shared" si="23"/>
        <v>NA</v>
      </c>
    </row>
    <row r="233" spans="2:32" outlineLevel="1" x14ac:dyDescent="0.25">
      <c r="B233" s="30"/>
      <c r="C233" s="30"/>
      <c r="D233" s="14"/>
      <c r="E233" s="113"/>
    </row>
    <row r="234" spans="2:32" outlineLevel="1" x14ac:dyDescent="0.25">
      <c r="B234" s="318" t="s">
        <v>384</v>
      </c>
      <c r="C234" s="14"/>
      <c r="D234" s="113"/>
      <c r="L234" s="211"/>
      <c r="M234" s="211"/>
      <c r="N234" s="211"/>
      <c r="O234" s="211"/>
      <c r="Q234" s="318" t="s">
        <v>384</v>
      </c>
    </row>
    <row r="235" spans="2:32" ht="19.5" outlineLevel="1" thickBot="1" x14ac:dyDescent="0.35">
      <c r="B235" s="249"/>
      <c r="C235" s="211"/>
      <c r="D235" s="14"/>
      <c r="E235" s="113"/>
      <c r="Q235" s="249"/>
      <c r="R235" s="211"/>
      <c r="S235" s="14"/>
      <c r="T235" s="113"/>
    </row>
    <row r="236" spans="2:32" ht="24" outlineLevel="1" thickBot="1" x14ac:dyDescent="0.4">
      <c r="B236" s="269" t="s">
        <v>418</v>
      </c>
      <c r="C236" s="640" t="s">
        <v>402</v>
      </c>
      <c r="D236" s="641"/>
      <c r="E236" s="641"/>
      <c r="F236" s="641"/>
      <c r="G236" s="642"/>
      <c r="H236" s="643" t="s">
        <v>403</v>
      </c>
      <c r="I236" s="644"/>
      <c r="J236" s="644"/>
      <c r="K236" s="644"/>
      <c r="L236" s="645"/>
      <c r="M236" s="637" t="s">
        <v>404</v>
      </c>
      <c r="N236" s="638"/>
      <c r="O236" s="639"/>
      <c r="Q236" s="269"/>
      <c r="R236" s="640" t="s">
        <v>405</v>
      </c>
      <c r="S236" s="641"/>
      <c r="T236" s="641"/>
      <c r="U236" s="641"/>
      <c r="V236" s="642"/>
      <c r="W236" s="643" t="s">
        <v>406</v>
      </c>
      <c r="X236" s="644"/>
      <c r="Y236" s="644"/>
      <c r="Z236" s="644"/>
      <c r="AA236" s="645"/>
      <c r="AB236" s="637" t="s">
        <v>404</v>
      </c>
      <c r="AC236" s="638"/>
      <c r="AD236" s="639"/>
    </row>
    <row r="237" spans="2:32" ht="94.5" customHeight="1" outlineLevel="1" thickBot="1" x14ac:dyDescent="0.3">
      <c r="B237" s="259" t="s">
        <v>247</v>
      </c>
      <c r="C237" s="260" t="s">
        <v>156</v>
      </c>
      <c r="D237" s="261" t="s">
        <v>248</v>
      </c>
      <c r="E237" s="261" t="s">
        <v>407</v>
      </c>
      <c r="F237" s="261" t="s">
        <v>157</v>
      </c>
      <c r="G237" s="262" t="s">
        <v>159</v>
      </c>
      <c r="H237" s="263" t="s">
        <v>212</v>
      </c>
      <c r="I237" s="264" t="s">
        <v>408</v>
      </c>
      <c r="J237" s="264" t="s">
        <v>409</v>
      </c>
      <c r="K237" s="264" t="s">
        <v>410</v>
      </c>
      <c r="L237" s="265" t="s">
        <v>411</v>
      </c>
      <c r="M237" s="266" t="s">
        <v>412</v>
      </c>
      <c r="N237" s="267" t="s">
        <v>413</v>
      </c>
      <c r="O237" s="268" t="s">
        <v>414</v>
      </c>
      <c r="Q237" s="259" t="s">
        <v>247</v>
      </c>
      <c r="R237" s="260" t="s">
        <v>156</v>
      </c>
      <c r="S237" s="261" t="s">
        <v>248</v>
      </c>
      <c r="T237" s="261" t="s">
        <v>407</v>
      </c>
      <c r="U237" s="261" t="s">
        <v>157</v>
      </c>
      <c r="V237" s="262" t="s">
        <v>159</v>
      </c>
      <c r="W237" s="263" t="s">
        <v>212</v>
      </c>
      <c r="X237" s="264" t="s">
        <v>408</v>
      </c>
      <c r="Y237" s="264" t="s">
        <v>409</v>
      </c>
      <c r="Z237" s="264" t="s">
        <v>410</v>
      </c>
      <c r="AA237" s="265" t="s">
        <v>411</v>
      </c>
      <c r="AB237" s="266" t="s">
        <v>412</v>
      </c>
      <c r="AC237" s="267" t="s">
        <v>413</v>
      </c>
      <c r="AD237" s="268" t="s">
        <v>414</v>
      </c>
      <c r="AF237" s="274" t="s">
        <v>415</v>
      </c>
    </row>
    <row r="238" spans="2:32" outlineLevel="1" x14ac:dyDescent="0.25">
      <c r="B238" s="216">
        <v>100</v>
      </c>
      <c r="C238" s="404">
        <f>ROUND(SUMIFS(Age_Sex_BY[[#All],[Total Member Months by Age/Sex Band]], Age_Sex_BY[[#All],[Advanced Network ID]], $B238, Age_Sex_BY[[#All],[Insurance Category Code]],4),2)</f>
        <v>0</v>
      </c>
      <c r="D238" s="238">
        <f>ROUND(SUMIFS(Age_Sex_BY[[#All],[Total Dollars Excluded from Spending After Applying Truncation at the Member Level]], Age_Sex_BY[[#All],[Advanced Network ID]], $B238, Age_Sex_BY[[#All],[Insurance Category Code]],4),2)</f>
        <v>0</v>
      </c>
      <c r="E238" s="209">
        <f>ROUND(SUMIFS(Age_Sex_BY[[#All],[Count of Members whose Spending was Truncated]], Age_Sex_BY[[#All],[Advanced Network ID]], $B238, Age_Sex_BY[[#All],[Insurance Category Code]],4),2)</f>
        <v>0</v>
      </c>
      <c r="F238" s="210">
        <f>ROUND(SUMIFS(Age_Sex_BY[[#All],[Total Spending before Truncation is Applied]], Age_Sex_BY[[#All],[Advanced Network ID]], $B238, Age_Sex_BY[[#All],[Insurance Category Code]],4),2)</f>
        <v>0</v>
      </c>
      <c r="G238" s="212">
        <f>ROUND(SUMIFS(Age_Sex_BY[[#All],[Total Spending After Applying Truncation at the Member Level]], Age_Sex_BY[[#All],[Advanced Network ID]], $B238, Age_Sex_BY[[#All],[Insurance Category Code]],4),2)</f>
        <v>0</v>
      </c>
      <c r="H238" s="525" t="str">
        <f>IF(ROUND(C238,0)=ROUND(SUMIFS(AN_TME_BY[[#All],[Member Months]], AN_TME_BY[[#All],[Insurance Category Code]],4, AN_TME_BY[[#All],[Advanced Network/Insurance Carrier Org ID]],B238),0), "TRUE", ROUND(C238-SUMIFS(AN_TME_BY[[#All],[Member Months]], AN_TME_BY[[#All],[Insurance Category Code]],4, AN_TME_BY[[#All],[Advanced Network/Insurance Carrier Org ID]],B238),2))</f>
        <v>TRUE</v>
      </c>
      <c r="I238" s="533" t="str">
        <f>IF(ROUND(D238,0)=ROUND(SUMIFS(AN_TME_BY[[#All],[Total Claims Excluded because of Truncation]], AN_TME_BY[[#All],[Insurance Category Code]],4, AN_TME_BY[[#All],[Advanced Network/Insurance Carrier Org ID]],B238),0), "TRUE", ROUND(D238-SUMIFS(AN_TME_BY[[#All],[Total Claims Excluded because of Truncation]], AN_TME_BY[[#All],[Insurance Category Code]],4, AN_TME_BY[[#All],[Advanced Network/Insurance Carrier Org ID]],B238),2))</f>
        <v>TRUE</v>
      </c>
      <c r="J238" s="537" t="str">
        <f>IF(ROUND(E238,0)=ROUND(SUMIFS(AN_TME_BY[[#All],[Count of Members with Claims Truncated]], AN_TME_BY[[#All],[Insurance Category Code]],4, AN_TME_BY[[#All],[Advanced Network/Insurance Carrier Org ID]],B238),0), "TRUE", ROUND(E238-SUMIFS(AN_TME_BY[[#All],[Count of Members with Claims Truncated]], AN_TME_BY[[#All],[Insurance Category Code]],4, AN_TME_BY[[#All],[Advanced Network/Insurance Carrier Org ID]],B238),2))</f>
        <v>TRUE</v>
      </c>
      <c r="K238" s="533" t="str">
        <f>IF(ROUND(F238,0)=ROUND(SUMIFS(AN_TME_BY[[#All],[TOTAL Non-Truncated Unadjusted Claims Expenses]], AN_TME_BY[[#All],[Insurance Category Code]],4, AN_TME_BY[[#All],[Advanced Network/Insurance Carrier Org ID]],B238),0), "TRUE", ROUND(F238-SUMIFS(AN_TME_BY[[#All],[TOTAL Non-Truncated Unadjusted Claims Expenses]], AN_TME_BY[[#All],[Insurance Category Code]],4, AN_TME_BY[[#All],[Advanced Network/Insurance Carrier Org ID]],B238),2))</f>
        <v>TRUE</v>
      </c>
      <c r="L238" s="534" t="str">
        <f>IF(ROUND(G238,0)=ROUND(SUMIFS(AN_TME_BY[[#All],[TOTAL Truncated Unadjusted Claims Expenses (A21 -A19)]], AN_TME_BY[[#All],[Insurance Category Code]],4, AN_TME_BY[[#All],[Advanced Network/Insurance Carrier Org ID]],B238),0), "TRUE", ROUND(G238-SUMIFS(AN_TME_BY[[#All],[TOTAL Truncated Unadjusted Claims Expenses (A21 -A19)]], AN_TME_BY[[#All],[Insurance Category Code]],4, AN_TME_BY[[#All],[Advanced Network/Insurance Carrier Org ID]],B238),2))</f>
        <v>TRUE</v>
      </c>
      <c r="M238" s="525" t="str">
        <f t="shared" ref="M238:M273" si="28">IF(E238=0, "TRUE",IF((C238/12)&gt;E238,"TRUE",(C238/12)-E238))</f>
        <v>TRUE</v>
      </c>
      <c r="N238" s="533" t="b">
        <f>ROUND(SUMIFS(AN_TME_BY[[#All],[TOTAL Non-Truncated Unadjusted Claims Expenses]], AN_TME_BY[[#All],[Insurance Category Code]],4, AN_TME_BY[[#All],[Advanced Network/Insurance Carrier Org ID]],B238),2)&gt;=ROUND(SUMIFS(AN_TME_BY[[#All],[TOTAL Truncated Unadjusted Claims Expenses (A21 -A19)]], AN_TME_BY[[#All],[Insurance Category Code]],4, AN_TME_BY[[#All],[Advanced Network/Insurance Carrier Org ID]],B238),2)</f>
        <v>1</v>
      </c>
      <c r="O238" s="534" t="b">
        <f>ROUND(SUMIFS(AN_TME_BY[[#All],[TOTAL Truncated Unadjusted Claims Expenses (A21 -A19)]], AN_TME_BY[[#All],[Insurance Category Code]],4, AN_TME_BY[[#All],[Advanced Network/Insurance Carrier Org ID]],B238)+SUMIFS(AN_TME_BY[[#All],[Total Claims Excluded because of Truncation]], AN_TME_BY[[#All],[Insurance Category Code]],4, AN_TME_BY[[#All],[Advanced Network/Insurance Carrier Org ID]],B238),2)=ROUND(SUMIFS(AN_TME_BY[[#All],[TOTAL Non-Truncated Unadjusted Claims Expenses]], AN_TME_BY[[#All],[Insurance Category Code]],4, AN_TME_BY[[#All],[Advanced Network/Insurance Carrier Org ID]],B238),2)</f>
        <v>1</v>
      </c>
      <c r="Q238" s="216">
        <v>100</v>
      </c>
      <c r="R238" s="404">
        <f>ROUND(SUMIFS(Age_Sex_PY[[#All],[Total Member Months by Age/Sex Band]], Age_Sex_PY[[#All],[Advanced Network ID]], $Q238, Age_Sex_PY[[#All],[Insurance Category Code]],4),2)</f>
        <v>0</v>
      </c>
      <c r="S238" s="238">
        <f>ROUND(SUMIFS(Age_Sex_PY[[#All],[Total Dollars Excluded from Spending After Applying Truncation at the Member Level]], Age_Sex_PY[[#All],[Advanced Network ID]], $B238, Age_Sex_PY[[#All],[Insurance Category Code]],4),2)</f>
        <v>0</v>
      </c>
      <c r="T238" s="209">
        <f>ROUND(SUMIFS(Age_Sex_PY[[#All],[Count of Members whose Spending was Truncated]], Age_Sex_PY[[#All],[Advanced Network ID]], $B238, Age_Sex_PY[[#All],[Insurance Category Code]],4),2)</f>
        <v>0</v>
      </c>
      <c r="U238" s="210">
        <f>ROUND(SUMIFS(Age_Sex_PY[[#All],[Total Spending before Truncation is Applied]], Age_Sex_PY[[#All],[Advanced Network ID]], $B238, Age_Sex_PY[[#All],[Insurance Category Code]],4),2)</f>
        <v>0</v>
      </c>
      <c r="V238" s="212">
        <f>ROUND(SUMIFS(Age_Sex_PY[[#All],[Total Spending After Applying Truncation at the Member Level]], Age_Sex_PY[[#All],[Advanced Network ID]], $B238, Age_Sex_PY[[#All],[Insurance Category Code]],4),2)</f>
        <v>0</v>
      </c>
      <c r="W238" s="525" t="str">
        <f>IF(ROUND(R238,0)=ROUND(SUMIFS(AN_TME_PY[[#All],[Member Months]], AN_TME_PY[[#All],[Insurance Category Code]],4, AN_TME_PY[[#All],[Advanced Network/Insurance Carrier Org ID]],Q238),0), "TRUE", ROUND(R238-SUMIFS(AN_TME_PY[[#All],[Member Months]], AN_TME_PY[[#All],[Insurance Category Code]],4, AN_TME_PY[[#All],[Advanced Network/Insurance Carrier Org ID]],Q238),2))</f>
        <v>TRUE</v>
      </c>
      <c r="X238" s="527" t="str">
        <f>IF(ROUND(S238,0)=ROUND(SUMIFS(AN_TME_PY[[#All],[Total Claims Excluded because of Truncation]], AN_TME_PY[[#All],[Insurance Category Code]],4, AN_TME_PY[[#All],[Advanced Network/Insurance Carrier Org ID]],Q238),0), "TRUE", ROUND(S238-SUMIFS(AN_TME_PY[[#All],[Total Claims Excluded because of Truncation]], AN_TME_PY[[#All],[Insurance Category Code]],4, AN_TME_PY[[#All],[Advanced Network/Insurance Carrier Org ID]],Q238),2))</f>
        <v>TRUE</v>
      </c>
      <c r="Y238" s="537" t="str">
        <f>IF(ROUND(T238,0)=ROUND(SUMIFS(AN_TME_PY[[#All],[Count of Members with Claims Truncated]], AN_TME_PY[[#All],[Insurance Category Code]],4, AN_TME_PY[[#All],[Advanced Network/Insurance Carrier Org ID]],Q238),0), "TRUE", ROUND(T238-SUMIFS(AN_TME_PY[[#All],[Count of Members with Claims Truncated]], AN_TME_PY[[#All],[Insurance Category Code]],4, AN_TME_PY[[#All],[Advanced Network/Insurance Carrier Org ID]],Q238),2))</f>
        <v>TRUE</v>
      </c>
      <c r="Z238" s="528" t="str">
        <f>IF(ROUND(U238,0)=ROUND(SUMIFS(AN_TME_PY[[#All],[TOTAL Non-Truncated Unadjusted Claims Expenses]], AN_TME_PY[[#All],[Insurance Category Code]],4, AN_TME_PY[[#All],[Advanced Network/Insurance Carrier Org ID]],Q238),0), "TRUE", ROUND(U238-SUMIFS(AN_TME_PY[[#All],[TOTAL Non-Truncated Unadjusted Claims Expenses]], AN_TME_PY[[#All],[Insurance Category Code]],4, AN_TME_PY[[#All],[Advanced Network/Insurance Carrier Org ID]],Q238),2))</f>
        <v>TRUE</v>
      </c>
      <c r="AA238" s="529" t="str">
        <f>IF(ROUND(V238,0)=ROUND(SUMIFS(AN_TME_PY[[#All],[TOTAL Truncated Unadjusted Claims Expenses (A21 -A19)]], AN_TME_PY[[#All],[Insurance Category Code]],4, AN_TME_PY[[#All],[Advanced Network/Insurance Carrier Org ID]],Q238),0), "TRUE", ROUND(V238-SUMIFS(AN_TME_PY[[#All],[TOTAL Truncated Unadjusted Claims Expenses (A21 -A19)]], AN_TME_PY[[#All],[Insurance Category Code]],4, AN_TME_PY[[#All],[Advanced Network/Insurance Carrier Org ID]],Q238),2))</f>
        <v>TRUE</v>
      </c>
      <c r="AB238" s="525" t="str">
        <f t="shared" ref="AB238" si="29">IF(T238=0, "TRUE",IF((R238/12)&gt;T238,"TRUE",(R238/12)-T238))</f>
        <v>TRUE</v>
      </c>
      <c r="AC238" s="528" t="b">
        <f>ROUND(SUMIFS(AN_TME_PY[[#All],[TOTAL Non-Truncated Unadjusted Claims Expenses]], AN_TME_PY[[#All],[Insurance Category Code]],4, AN_TME_PY[[#All],[Advanced Network/Insurance Carrier Org ID]],Q238),2)&gt;=ROUND(SUMIFS(AN_TME_PY[[#All],[TOTAL Truncated Unadjusted Claims Expenses (A21 -A19)]], AN_TME_PY[[#All],[Insurance Category Code]],4, AN_TME_PY[[#All],[Advanced Network/Insurance Carrier Org ID]],Q238),2)</f>
        <v>1</v>
      </c>
      <c r="AD238" s="529" t="b">
        <f>ROUND(SUMIFS(AN_TME_PY[[#All],[TOTAL Truncated Unadjusted Claims Expenses (A21 -A19)]], AN_TME_PY[[#All],[Insurance Category Code]],4, AN_TME_PY[[#All],[Advanced Network/Insurance Carrier Org ID]],Q238)+SUMIFS(AN_TME_PY[[#All],[Total Claims Excluded because of Truncation]], AN_TME_PY[[#All],[Insurance Category Code]],4, AN_TME_PY[[#All],[Advanced Network/Insurance Carrier Org ID]],Q238),2)=ROUND(SUMIFS(AN_TME_PY[[#All],[TOTAL Non-Truncated Unadjusted Claims Expenses]], AN_TME_PY[[#All],[Insurance Category Code]],4, AN_TME_PY[[#All],[Advanced Network/Insurance Carrier Org ID]],Q238),2)</f>
        <v>1</v>
      </c>
      <c r="AF238" s="282" t="str">
        <f t="shared" ref="AF238:AF273" si="30">IFERROR(R238/C238-1, "NA")</f>
        <v>NA</v>
      </c>
    </row>
    <row r="239" spans="2:32" outlineLevel="1" x14ac:dyDescent="0.25">
      <c r="B239" s="216">
        <v>101</v>
      </c>
      <c r="C239" s="404">
        <f>ROUND(SUMIFS(Age_Sex_BY[[#All],[Total Member Months by Age/Sex Band]], Age_Sex_BY[[#All],[Advanced Network ID]], $B239, Age_Sex_BY[[#All],[Insurance Category Code]],4),2)</f>
        <v>0</v>
      </c>
      <c r="D239" s="238">
        <f>ROUND(SUMIFS(Age_Sex_BY[[#All],[Total Dollars Excluded from Spending After Applying Truncation at the Member Level]], Age_Sex_BY[[#All],[Advanced Network ID]], $B239, Age_Sex_BY[[#All],[Insurance Category Code]],4),2)</f>
        <v>0</v>
      </c>
      <c r="E239" s="209">
        <f>ROUND(SUMIFS(Age_Sex_BY[[#All],[Count of Members whose Spending was Truncated]], Age_Sex_BY[[#All],[Advanced Network ID]], $B239, Age_Sex_BY[[#All],[Insurance Category Code]],4),2)</f>
        <v>0</v>
      </c>
      <c r="F239" s="210">
        <f>ROUND(SUMIFS(Age_Sex_BY[[#All],[Total Spending before Truncation is Applied]], Age_Sex_BY[[#All],[Advanced Network ID]], $B239, Age_Sex_BY[[#All],[Insurance Category Code]],4),2)</f>
        <v>0</v>
      </c>
      <c r="G239" s="212">
        <f>ROUND(SUMIFS(Age_Sex_BY[[#All],[Total Spending After Applying Truncation at the Member Level]], Age_Sex_BY[[#All],[Advanced Network ID]], $B239, Age_Sex_BY[[#All],[Insurance Category Code]],4),2)</f>
        <v>0</v>
      </c>
      <c r="H239" s="525" t="str">
        <f>IF(ROUND(C239,0)=ROUND(SUMIFS(AN_TME_BY[[#All],[Member Months]], AN_TME_BY[[#All],[Insurance Category Code]],4, AN_TME_BY[[#All],[Advanced Network/Insurance Carrier Org ID]],B239),0), "TRUE", ROUND(C239-SUMIFS(AN_TME_BY[[#All],[Member Months]], AN_TME_BY[[#All],[Insurance Category Code]],4, AN_TME_BY[[#All],[Advanced Network/Insurance Carrier Org ID]],B239),2))</f>
        <v>TRUE</v>
      </c>
      <c r="I239" s="533" t="str">
        <f>IF(ROUND(D239,0)=ROUND(SUMIFS(AN_TME_BY[[#All],[Total Claims Excluded because of Truncation]], AN_TME_BY[[#All],[Insurance Category Code]],4, AN_TME_BY[[#All],[Advanced Network/Insurance Carrier Org ID]],B239),0), "TRUE", ROUND(D239-SUMIFS(AN_TME_BY[[#All],[Total Claims Excluded because of Truncation]], AN_TME_BY[[#All],[Insurance Category Code]],4, AN_TME_BY[[#All],[Advanced Network/Insurance Carrier Org ID]],B239),2))</f>
        <v>TRUE</v>
      </c>
      <c r="J239" s="537" t="str">
        <f>IF(ROUND(E239,0)=ROUND(SUMIFS(AN_TME_BY[[#All],[Count of Members with Claims Truncated]], AN_TME_BY[[#All],[Insurance Category Code]],4, AN_TME_BY[[#All],[Advanced Network/Insurance Carrier Org ID]],B239),0), "TRUE", ROUND(E239-SUMIFS(AN_TME_BY[[#All],[Count of Members with Claims Truncated]], AN_TME_BY[[#All],[Insurance Category Code]],4, AN_TME_BY[[#All],[Advanced Network/Insurance Carrier Org ID]],B239),2))</f>
        <v>TRUE</v>
      </c>
      <c r="K239" s="533" t="str">
        <f>IF(ROUND(F239,0)=ROUND(SUMIFS(AN_TME_BY[[#All],[TOTAL Non-Truncated Unadjusted Claims Expenses]], AN_TME_BY[[#All],[Insurance Category Code]],4, AN_TME_BY[[#All],[Advanced Network/Insurance Carrier Org ID]],B239),0), "TRUE", ROUND(F239-SUMIFS(AN_TME_BY[[#All],[TOTAL Non-Truncated Unadjusted Claims Expenses]], AN_TME_BY[[#All],[Insurance Category Code]],4, AN_TME_BY[[#All],[Advanced Network/Insurance Carrier Org ID]],B239),2))</f>
        <v>TRUE</v>
      </c>
      <c r="L239" s="534" t="str">
        <f>IF(ROUND(G239,0)=ROUND(SUMIFS(AN_TME_BY[[#All],[TOTAL Truncated Unadjusted Claims Expenses (A21 -A19)]], AN_TME_BY[[#All],[Insurance Category Code]],4, AN_TME_BY[[#All],[Advanced Network/Insurance Carrier Org ID]],B239),0), "TRUE", ROUND(G239-SUMIFS(AN_TME_BY[[#All],[TOTAL Truncated Unadjusted Claims Expenses (A21 -A19)]], AN_TME_BY[[#All],[Insurance Category Code]],4, AN_TME_BY[[#All],[Advanced Network/Insurance Carrier Org ID]],B239),2))</f>
        <v>TRUE</v>
      </c>
      <c r="M239" s="525" t="str">
        <f t="shared" si="28"/>
        <v>TRUE</v>
      </c>
      <c r="N239" s="533" t="b">
        <f>ROUND(SUMIFS(AN_TME_BY[[#All],[TOTAL Non-Truncated Unadjusted Claims Expenses]], AN_TME_BY[[#All],[Insurance Category Code]],4, AN_TME_BY[[#All],[Advanced Network/Insurance Carrier Org ID]],B239),2)&gt;=ROUND(SUMIFS(AN_TME_BY[[#All],[TOTAL Truncated Unadjusted Claims Expenses (A21 -A19)]], AN_TME_BY[[#All],[Insurance Category Code]],4, AN_TME_BY[[#All],[Advanced Network/Insurance Carrier Org ID]],B239),2)</f>
        <v>1</v>
      </c>
      <c r="O239" s="534" t="b">
        <f>ROUND(SUMIFS(AN_TME_BY[[#All],[TOTAL Truncated Unadjusted Claims Expenses (A21 -A19)]], AN_TME_BY[[#All],[Insurance Category Code]],4, AN_TME_BY[[#All],[Advanced Network/Insurance Carrier Org ID]],B239)+SUMIFS(AN_TME_BY[[#All],[Total Claims Excluded because of Truncation]], AN_TME_BY[[#All],[Insurance Category Code]],4, AN_TME_BY[[#All],[Advanced Network/Insurance Carrier Org ID]],B239),2)=ROUND(SUMIFS(AN_TME_BY[[#All],[TOTAL Non-Truncated Unadjusted Claims Expenses]], AN_TME_BY[[#All],[Insurance Category Code]],4, AN_TME_BY[[#All],[Advanced Network/Insurance Carrier Org ID]],B239),2)</f>
        <v>1</v>
      </c>
      <c r="Q239" s="216">
        <v>101</v>
      </c>
      <c r="R239" s="404">
        <f>ROUND(SUMIFS(Age_Sex_PY[[#All],[Total Member Months by Age/Sex Band]], Age_Sex_PY[[#All],[Advanced Network ID]], $Q239, Age_Sex_PY[[#All],[Insurance Category Code]],4),2)</f>
        <v>0</v>
      </c>
      <c r="S239" s="238">
        <f>ROUND(SUMIFS(Age_Sex_PY[[#All],[Total Dollars Excluded from Spending After Applying Truncation at the Member Level]], Age_Sex_PY[[#All],[Advanced Network ID]], $B239, Age_Sex_PY[[#All],[Insurance Category Code]],4),2)</f>
        <v>0</v>
      </c>
      <c r="T239" s="209">
        <f>ROUND(SUMIFS(Age_Sex_PY[[#All],[Count of Members whose Spending was Truncated]], Age_Sex_PY[[#All],[Advanced Network ID]], $B239, Age_Sex_PY[[#All],[Insurance Category Code]],4),2)</f>
        <v>0</v>
      </c>
      <c r="U239" s="210">
        <f>ROUND(SUMIFS(Age_Sex_PY[[#All],[Total Spending before Truncation is Applied]], Age_Sex_PY[[#All],[Advanced Network ID]], $B239, Age_Sex_PY[[#All],[Insurance Category Code]],4),2)</f>
        <v>0</v>
      </c>
      <c r="V239" s="212">
        <f>ROUND(SUMIFS(Age_Sex_PY[[#All],[Total Spending After Applying Truncation at the Member Level]], Age_Sex_PY[[#All],[Advanced Network ID]], $B239, Age_Sex_PY[[#All],[Insurance Category Code]],4),2)</f>
        <v>0</v>
      </c>
      <c r="W239" s="525" t="str">
        <f>IF(ROUND(R239,0)=ROUND(SUMIFS(AN_TME_PY[[#All],[Member Months]], AN_TME_PY[[#All],[Insurance Category Code]],4, AN_TME_PY[[#All],[Advanced Network/Insurance Carrier Org ID]],Q239),0), "TRUE", ROUND(R239-SUMIFS(AN_TME_PY[[#All],[Member Months]], AN_TME_PY[[#All],[Insurance Category Code]],4, AN_TME_PY[[#All],[Advanced Network/Insurance Carrier Org ID]],Q239),2))</f>
        <v>TRUE</v>
      </c>
      <c r="X239" s="527" t="str">
        <f>IF(ROUND(S239,0)=ROUND(SUMIFS(AN_TME_PY[[#All],[Total Claims Excluded because of Truncation]], AN_TME_PY[[#All],[Insurance Category Code]],4, AN_TME_PY[[#All],[Advanced Network/Insurance Carrier Org ID]],Q239),0), "TRUE", ROUND(S239-SUMIFS(AN_TME_PY[[#All],[Total Claims Excluded because of Truncation]], AN_TME_PY[[#All],[Insurance Category Code]],4, AN_TME_PY[[#All],[Advanced Network/Insurance Carrier Org ID]],Q239),2))</f>
        <v>TRUE</v>
      </c>
      <c r="Y239" s="537" t="str">
        <f>IF(ROUND(T239,0)=ROUND(SUMIFS(AN_TME_PY[[#All],[Count of Members with Claims Truncated]], AN_TME_PY[[#All],[Insurance Category Code]],4, AN_TME_PY[[#All],[Advanced Network/Insurance Carrier Org ID]],Q239),0), "TRUE", ROUND(T239-SUMIFS(AN_TME_PY[[#All],[Count of Members with Claims Truncated]], AN_TME_PY[[#All],[Insurance Category Code]],4, AN_TME_PY[[#All],[Advanced Network/Insurance Carrier Org ID]],Q239),2))</f>
        <v>TRUE</v>
      </c>
      <c r="Z239" s="528" t="str">
        <f>IF(ROUND(U239,0)=ROUND(SUMIFS(AN_TME_PY[[#All],[TOTAL Non-Truncated Unadjusted Claims Expenses]], AN_TME_PY[[#All],[Insurance Category Code]],4, AN_TME_PY[[#All],[Advanced Network/Insurance Carrier Org ID]],Q239),0), "TRUE", ROUND(U239-SUMIFS(AN_TME_PY[[#All],[TOTAL Non-Truncated Unadjusted Claims Expenses]], AN_TME_PY[[#All],[Insurance Category Code]],4, AN_TME_PY[[#All],[Advanced Network/Insurance Carrier Org ID]],Q239),2))</f>
        <v>TRUE</v>
      </c>
      <c r="AA239" s="529" t="str">
        <f>IF(ROUND(V239,0)=ROUND(SUMIFS(AN_TME_PY[[#All],[TOTAL Truncated Unadjusted Claims Expenses (A21 -A19)]], AN_TME_PY[[#All],[Insurance Category Code]],4, AN_TME_PY[[#All],[Advanced Network/Insurance Carrier Org ID]],Q239),0), "TRUE", ROUND(V239-SUMIFS(AN_TME_PY[[#All],[TOTAL Truncated Unadjusted Claims Expenses (A21 -A19)]], AN_TME_PY[[#All],[Insurance Category Code]],4, AN_TME_PY[[#All],[Advanced Network/Insurance Carrier Org ID]],Q239),2))</f>
        <v>TRUE</v>
      </c>
      <c r="AB239" s="525" t="str">
        <f t="shared" ref="AB239:AB273" si="31">IF(T239=0, "TRUE",IF((R239/12)&gt;T239,"TRUE",(R239/12)-T239))</f>
        <v>TRUE</v>
      </c>
      <c r="AC239" s="528" t="b">
        <f>ROUND(SUMIFS(AN_TME_PY[[#All],[TOTAL Non-Truncated Unadjusted Claims Expenses]], AN_TME_PY[[#All],[Insurance Category Code]],4, AN_TME_PY[[#All],[Advanced Network/Insurance Carrier Org ID]],Q239),2)&gt;=ROUND(SUMIFS(AN_TME_PY[[#All],[TOTAL Truncated Unadjusted Claims Expenses (A21 -A19)]], AN_TME_PY[[#All],[Insurance Category Code]],4, AN_TME_PY[[#All],[Advanced Network/Insurance Carrier Org ID]],Q239),2)</f>
        <v>1</v>
      </c>
      <c r="AD239" s="529" t="b">
        <f>ROUND(SUMIFS(AN_TME_PY[[#All],[TOTAL Truncated Unadjusted Claims Expenses (A21 -A19)]], AN_TME_PY[[#All],[Insurance Category Code]],4, AN_TME_PY[[#All],[Advanced Network/Insurance Carrier Org ID]],Q239)+SUMIFS(AN_TME_PY[[#All],[Total Claims Excluded because of Truncation]], AN_TME_PY[[#All],[Insurance Category Code]],4, AN_TME_PY[[#All],[Advanced Network/Insurance Carrier Org ID]],Q239),2)=ROUND(SUMIFS(AN_TME_PY[[#All],[TOTAL Non-Truncated Unadjusted Claims Expenses]], AN_TME_PY[[#All],[Insurance Category Code]],4, AN_TME_PY[[#All],[Advanced Network/Insurance Carrier Org ID]],Q239),2)</f>
        <v>1</v>
      </c>
      <c r="AF239" s="283" t="str">
        <f t="shared" si="30"/>
        <v>NA</v>
      </c>
    </row>
    <row r="240" spans="2:32" outlineLevel="1" x14ac:dyDescent="0.25">
      <c r="B240" s="216">
        <v>102</v>
      </c>
      <c r="C240" s="404">
        <f>ROUND(SUMIFS(Age_Sex_BY[[#All],[Total Member Months by Age/Sex Band]], Age_Sex_BY[[#All],[Advanced Network ID]], $B240, Age_Sex_BY[[#All],[Insurance Category Code]],4),2)</f>
        <v>0</v>
      </c>
      <c r="D240" s="238">
        <f>ROUND(SUMIFS(Age_Sex_BY[[#All],[Total Dollars Excluded from Spending After Applying Truncation at the Member Level]], Age_Sex_BY[[#All],[Advanced Network ID]], $B240, Age_Sex_BY[[#All],[Insurance Category Code]],4),2)</f>
        <v>0</v>
      </c>
      <c r="E240" s="209">
        <f>ROUND(SUMIFS(Age_Sex_BY[[#All],[Count of Members whose Spending was Truncated]], Age_Sex_BY[[#All],[Advanced Network ID]], $B240, Age_Sex_BY[[#All],[Insurance Category Code]],4),2)</f>
        <v>0</v>
      </c>
      <c r="F240" s="210">
        <f>ROUND(SUMIFS(Age_Sex_BY[[#All],[Total Spending before Truncation is Applied]], Age_Sex_BY[[#All],[Advanced Network ID]], $B240, Age_Sex_BY[[#All],[Insurance Category Code]],4),2)</f>
        <v>0</v>
      </c>
      <c r="G240" s="212">
        <f>ROUND(SUMIFS(Age_Sex_BY[[#All],[Total Spending After Applying Truncation at the Member Level]], Age_Sex_BY[[#All],[Advanced Network ID]], $B240, Age_Sex_BY[[#All],[Insurance Category Code]],4),2)</f>
        <v>0</v>
      </c>
      <c r="H240" s="525" t="str">
        <f>IF(ROUND(C240,0)=ROUND(SUMIFS(AN_TME_BY[[#All],[Member Months]], AN_TME_BY[[#All],[Insurance Category Code]],4, AN_TME_BY[[#All],[Advanced Network/Insurance Carrier Org ID]],B240),0), "TRUE", ROUND(C240-SUMIFS(AN_TME_BY[[#All],[Member Months]], AN_TME_BY[[#All],[Insurance Category Code]],4, AN_TME_BY[[#All],[Advanced Network/Insurance Carrier Org ID]],B240),2))</f>
        <v>TRUE</v>
      </c>
      <c r="I240" s="533" t="str">
        <f>IF(ROUND(D240,0)=ROUND(SUMIFS(AN_TME_BY[[#All],[Total Claims Excluded because of Truncation]], AN_TME_BY[[#All],[Insurance Category Code]],4, AN_TME_BY[[#All],[Advanced Network/Insurance Carrier Org ID]],B240),0), "TRUE", ROUND(D240-SUMIFS(AN_TME_BY[[#All],[Total Claims Excluded because of Truncation]], AN_TME_BY[[#All],[Insurance Category Code]],4, AN_TME_BY[[#All],[Advanced Network/Insurance Carrier Org ID]],B240),2))</f>
        <v>TRUE</v>
      </c>
      <c r="J240" s="537" t="str">
        <f>IF(ROUND(E240,0)=ROUND(SUMIFS(AN_TME_BY[[#All],[Count of Members with Claims Truncated]], AN_TME_BY[[#All],[Insurance Category Code]],4, AN_TME_BY[[#All],[Advanced Network/Insurance Carrier Org ID]],B240),0), "TRUE", ROUND(E240-SUMIFS(AN_TME_BY[[#All],[Count of Members with Claims Truncated]], AN_TME_BY[[#All],[Insurance Category Code]],4, AN_TME_BY[[#All],[Advanced Network/Insurance Carrier Org ID]],B240),2))</f>
        <v>TRUE</v>
      </c>
      <c r="K240" s="533" t="str">
        <f>IF(ROUND(F240,0)=ROUND(SUMIFS(AN_TME_BY[[#All],[TOTAL Non-Truncated Unadjusted Claims Expenses]], AN_TME_BY[[#All],[Insurance Category Code]],4, AN_TME_BY[[#All],[Advanced Network/Insurance Carrier Org ID]],B240),0), "TRUE", ROUND(F240-SUMIFS(AN_TME_BY[[#All],[TOTAL Non-Truncated Unadjusted Claims Expenses]], AN_TME_BY[[#All],[Insurance Category Code]],4, AN_TME_BY[[#All],[Advanced Network/Insurance Carrier Org ID]],B240),2))</f>
        <v>TRUE</v>
      </c>
      <c r="L240" s="534" t="str">
        <f>IF(ROUND(G240,0)=ROUND(SUMIFS(AN_TME_BY[[#All],[TOTAL Truncated Unadjusted Claims Expenses (A21 -A19)]], AN_TME_BY[[#All],[Insurance Category Code]],4, AN_TME_BY[[#All],[Advanced Network/Insurance Carrier Org ID]],B240),0), "TRUE", ROUND(G240-SUMIFS(AN_TME_BY[[#All],[TOTAL Truncated Unadjusted Claims Expenses (A21 -A19)]], AN_TME_BY[[#All],[Insurance Category Code]],4, AN_TME_BY[[#All],[Advanced Network/Insurance Carrier Org ID]],B240),2))</f>
        <v>TRUE</v>
      </c>
      <c r="M240" s="525" t="str">
        <f t="shared" si="28"/>
        <v>TRUE</v>
      </c>
      <c r="N240" s="533" t="b">
        <f>ROUND(SUMIFS(AN_TME_BY[[#All],[TOTAL Non-Truncated Unadjusted Claims Expenses]], AN_TME_BY[[#All],[Insurance Category Code]],4, AN_TME_BY[[#All],[Advanced Network/Insurance Carrier Org ID]],B240),2)&gt;=ROUND(SUMIFS(AN_TME_BY[[#All],[TOTAL Truncated Unadjusted Claims Expenses (A21 -A19)]], AN_TME_BY[[#All],[Insurance Category Code]],4, AN_TME_BY[[#All],[Advanced Network/Insurance Carrier Org ID]],B240),2)</f>
        <v>1</v>
      </c>
      <c r="O240" s="534" t="b">
        <f>ROUND(SUMIFS(AN_TME_BY[[#All],[TOTAL Truncated Unadjusted Claims Expenses (A21 -A19)]], AN_TME_BY[[#All],[Insurance Category Code]],4, AN_TME_BY[[#All],[Advanced Network/Insurance Carrier Org ID]],B240)+SUMIFS(AN_TME_BY[[#All],[Total Claims Excluded because of Truncation]], AN_TME_BY[[#All],[Insurance Category Code]],4, AN_TME_BY[[#All],[Advanced Network/Insurance Carrier Org ID]],B240),2)=ROUND(SUMIFS(AN_TME_BY[[#All],[TOTAL Non-Truncated Unadjusted Claims Expenses]], AN_TME_BY[[#All],[Insurance Category Code]],4, AN_TME_BY[[#All],[Advanced Network/Insurance Carrier Org ID]],B240),2)</f>
        <v>1</v>
      </c>
      <c r="Q240" s="216">
        <v>102</v>
      </c>
      <c r="R240" s="404">
        <f>ROUND(SUMIFS(Age_Sex_PY[[#All],[Total Member Months by Age/Sex Band]], Age_Sex_PY[[#All],[Advanced Network ID]], $Q240, Age_Sex_PY[[#All],[Insurance Category Code]],4),2)</f>
        <v>0</v>
      </c>
      <c r="S240" s="238">
        <f>ROUND(SUMIFS(Age_Sex_PY[[#All],[Total Dollars Excluded from Spending After Applying Truncation at the Member Level]], Age_Sex_PY[[#All],[Advanced Network ID]], $B240, Age_Sex_PY[[#All],[Insurance Category Code]],4),2)</f>
        <v>0</v>
      </c>
      <c r="T240" s="209">
        <f>ROUND(SUMIFS(Age_Sex_PY[[#All],[Count of Members whose Spending was Truncated]], Age_Sex_PY[[#All],[Advanced Network ID]], $B240, Age_Sex_PY[[#All],[Insurance Category Code]],4),2)</f>
        <v>0</v>
      </c>
      <c r="U240" s="210">
        <f>ROUND(SUMIFS(Age_Sex_PY[[#All],[Total Spending before Truncation is Applied]], Age_Sex_PY[[#All],[Advanced Network ID]], $B240, Age_Sex_PY[[#All],[Insurance Category Code]],4),2)</f>
        <v>0</v>
      </c>
      <c r="V240" s="212">
        <f>ROUND(SUMIFS(Age_Sex_PY[[#All],[Total Spending After Applying Truncation at the Member Level]], Age_Sex_PY[[#All],[Advanced Network ID]], $B240, Age_Sex_PY[[#All],[Insurance Category Code]],4),2)</f>
        <v>0</v>
      </c>
      <c r="W240" s="525" t="str">
        <f>IF(ROUND(R240,0)=ROUND(SUMIFS(AN_TME_PY[[#All],[Member Months]], AN_TME_PY[[#All],[Insurance Category Code]],4, AN_TME_PY[[#All],[Advanced Network/Insurance Carrier Org ID]],Q240),0), "TRUE", ROUND(R240-SUMIFS(AN_TME_PY[[#All],[Member Months]], AN_TME_PY[[#All],[Insurance Category Code]],4, AN_TME_PY[[#All],[Advanced Network/Insurance Carrier Org ID]],Q240),2))</f>
        <v>TRUE</v>
      </c>
      <c r="X240" s="527" t="str">
        <f>IF(ROUND(S240,0)=ROUND(SUMIFS(AN_TME_PY[[#All],[Total Claims Excluded because of Truncation]], AN_TME_PY[[#All],[Insurance Category Code]],4, AN_TME_PY[[#All],[Advanced Network/Insurance Carrier Org ID]],Q240),0), "TRUE", ROUND(S240-SUMIFS(AN_TME_PY[[#All],[Total Claims Excluded because of Truncation]], AN_TME_PY[[#All],[Insurance Category Code]],4, AN_TME_PY[[#All],[Advanced Network/Insurance Carrier Org ID]],Q240),2))</f>
        <v>TRUE</v>
      </c>
      <c r="Y240" s="537" t="str">
        <f>IF(ROUND(T240,0)=ROUND(SUMIFS(AN_TME_PY[[#All],[Count of Members with Claims Truncated]], AN_TME_PY[[#All],[Insurance Category Code]],4, AN_TME_PY[[#All],[Advanced Network/Insurance Carrier Org ID]],Q240),0), "TRUE", ROUND(T240-SUMIFS(AN_TME_PY[[#All],[Count of Members with Claims Truncated]], AN_TME_PY[[#All],[Insurance Category Code]],4, AN_TME_PY[[#All],[Advanced Network/Insurance Carrier Org ID]],Q240),2))</f>
        <v>TRUE</v>
      </c>
      <c r="Z240" s="528" t="str">
        <f>IF(ROUND(U240,0)=ROUND(SUMIFS(AN_TME_PY[[#All],[TOTAL Non-Truncated Unadjusted Claims Expenses]], AN_TME_PY[[#All],[Insurance Category Code]],4, AN_TME_PY[[#All],[Advanced Network/Insurance Carrier Org ID]],Q240),0), "TRUE", ROUND(U240-SUMIFS(AN_TME_PY[[#All],[TOTAL Non-Truncated Unadjusted Claims Expenses]], AN_TME_PY[[#All],[Insurance Category Code]],4, AN_TME_PY[[#All],[Advanced Network/Insurance Carrier Org ID]],Q240),2))</f>
        <v>TRUE</v>
      </c>
      <c r="AA240" s="529" t="str">
        <f>IF(ROUND(V240,0)=ROUND(SUMIFS(AN_TME_PY[[#All],[TOTAL Truncated Unadjusted Claims Expenses (A21 -A19)]], AN_TME_PY[[#All],[Insurance Category Code]],4, AN_TME_PY[[#All],[Advanced Network/Insurance Carrier Org ID]],Q240),0), "TRUE", ROUND(V240-SUMIFS(AN_TME_PY[[#All],[TOTAL Truncated Unadjusted Claims Expenses (A21 -A19)]], AN_TME_PY[[#All],[Insurance Category Code]],4, AN_TME_PY[[#All],[Advanced Network/Insurance Carrier Org ID]],Q240),2))</f>
        <v>TRUE</v>
      </c>
      <c r="AB240" s="525" t="str">
        <f t="shared" si="31"/>
        <v>TRUE</v>
      </c>
      <c r="AC240" s="528" t="b">
        <f>ROUND(SUMIFS(AN_TME_PY[[#All],[TOTAL Non-Truncated Unadjusted Claims Expenses]], AN_TME_PY[[#All],[Insurance Category Code]],4, AN_TME_PY[[#All],[Advanced Network/Insurance Carrier Org ID]],Q240),2)&gt;=ROUND(SUMIFS(AN_TME_PY[[#All],[TOTAL Truncated Unadjusted Claims Expenses (A21 -A19)]], AN_TME_PY[[#All],[Insurance Category Code]],4, AN_TME_PY[[#All],[Advanced Network/Insurance Carrier Org ID]],Q240),2)</f>
        <v>1</v>
      </c>
      <c r="AD240" s="529" t="b">
        <f>ROUND(SUMIFS(AN_TME_PY[[#All],[TOTAL Truncated Unadjusted Claims Expenses (A21 -A19)]], AN_TME_PY[[#All],[Insurance Category Code]],4, AN_TME_PY[[#All],[Advanced Network/Insurance Carrier Org ID]],Q240)+SUMIFS(AN_TME_PY[[#All],[Total Claims Excluded because of Truncation]], AN_TME_PY[[#All],[Insurance Category Code]],4, AN_TME_PY[[#All],[Advanced Network/Insurance Carrier Org ID]],Q240),2)=ROUND(SUMIFS(AN_TME_PY[[#All],[TOTAL Non-Truncated Unadjusted Claims Expenses]], AN_TME_PY[[#All],[Insurance Category Code]],4, AN_TME_PY[[#All],[Advanced Network/Insurance Carrier Org ID]],Q240),2)</f>
        <v>1</v>
      </c>
      <c r="AF240" s="283" t="str">
        <f t="shared" si="30"/>
        <v>NA</v>
      </c>
    </row>
    <row r="241" spans="2:32" outlineLevel="1" x14ac:dyDescent="0.25">
      <c r="B241" s="216">
        <v>103</v>
      </c>
      <c r="C241" s="404">
        <f>ROUND(SUMIFS(Age_Sex_BY[[#All],[Total Member Months by Age/Sex Band]], Age_Sex_BY[[#All],[Advanced Network ID]], $B241, Age_Sex_BY[[#All],[Insurance Category Code]],4),2)</f>
        <v>0</v>
      </c>
      <c r="D241" s="238">
        <f>ROUND(SUMIFS(Age_Sex_BY[[#All],[Total Dollars Excluded from Spending After Applying Truncation at the Member Level]], Age_Sex_BY[[#All],[Advanced Network ID]], $B241, Age_Sex_BY[[#All],[Insurance Category Code]],4),2)</f>
        <v>0</v>
      </c>
      <c r="E241" s="209">
        <f>ROUND(SUMIFS(Age_Sex_BY[[#All],[Count of Members whose Spending was Truncated]], Age_Sex_BY[[#All],[Advanced Network ID]], $B241, Age_Sex_BY[[#All],[Insurance Category Code]],4),2)</f>
        <v>0</v>
      </c>
      <c r="F241" s="210">
        <f>ROUND(SUMIFS(Age_Sex_BY[[#All],[Total Spending before Truncation is Applied]], Age_Sex_BY[[#All],[Advanced Network ID]], $B241, Age_Sex_BY[[#All],[Insurance Category Code]],4),2)</f>
        <v>0</v>
      </c>
      <c r="G241" s="212">
        <f>ROUND(SUMIFS(Age_Sex_BY[[#All],[Total Spending After Applying Truncation at the Member Level]], Age_Sex_BY[[#All],[Advanced Network ID]], $B241, Age_Sex_BY[[#All],[Insurance Category Code]],4),2)</f>
        <v>0</v>
      </c>
      <c r="H241" s="525" t="str">
        <f>IF(ROUND(C241,0)=ROUND(SUMIFS(AN_TME_BY[[#All],[Member Months]], AN_TME_BY[[#All],[Insurance Category Code]],4, AN_TME_BY[[#All],[Advanced Network/Insurance Carrier Org ID]],B241),0), "TRUE", ROUND(C241-SUMIFS(AN_TME_BY[[#All],[Member Months]], AN_TME_BY[[#All],[Insurance Category Code]],4, AN_TME_BY[[#All],[Advanced Network/Insurance Carrier Org ID]],B241),2))</f>
        <v>TRUE</v>
      </c>
      <c r="I241" s="533" t="str">
        <f>IF(ROUND(D241,0)=ROUND(SUMIFS(AN_TME_BY[[#All],[Total Claims Excluded because of Truncation]], AN_TME_BY[[#All],[Insurance Category Code]],4, AN_TME_BY[[#All],[Advanced Network/Insurance Carrier Org ID]],B241),0), "TRUE", ROUND(D241-SUMIFS(AN_TME_BY[[#All],[Total Claims Excluded because of Truncation]], AN_TME_BY[[#All],[Insurance Category Code]],4, AN_TME_BY[[#All],[Advanced Network/Insurance Carrier Org ID]],B241),2))</f>
        <v>TRUE</v>
      </c>
      <c r="J241" s="537" t="str">
        <f>IF(ROUND(E241,0)=ROUND(SUMIFS(AN_TME_BY[[#All],[Count of Members with Claims Truncated]], AN_TME_BY[[#All],[Insurance Category Code]],4, AN_TME_BY[[#All],[Advanced Network/Insurance Carrier Org ID]],B241),0), "TRUE", ROUND(E241-SUMIFS(AN_TME_BY[[#All],[Count of Members with Claims Truncated]], AN_TME_BY[[#All],[Insurance Category Code]],4, AN_TME_BY[[#All],[Advanced Network/Insurance Carrier Org ID]],B241),2))</f>
        <v>TRUE</v>
      </c>
      <c r="K241" s="533" t="str">
        <f>IF(ROUND(F241,0)=ROUND(SUMIFS(AN_TME_BY[[#All],[TOTAL Non-Truncated Unadjusted Claims Expenses]], AN_TME_BY[[#All],[Insurance Category Code]],4, AN_TME_BY[[#All],[Advanced Network/Insurance Carrier Org ID]],B241),0), "TRUE", ROUND(F241-SUMIFS(AN_TME_BY[[#All],[TOTAL Non-Truncated Unadjusted Claims Expenses]], AN_TME_BY[[#All],[Insurance Category Code]],4, AN_TME_BY[[#All],[Advanced Network/Insurance Carrier Org ID]],B241),2))</f>
        <v>TRUE</v>
      </c>
      <c r="L241" s="534" t="str">
        <f>IF(ROUND(G241,0)=ROUND(SUMIFS(AN_TME_BY[[#All],[TOTAL Truncated Unadjusted Claims Expenses (A21 -A19)]], AN_TME_BY[[#All],[Insurance Category Code]],4, AN_TME_BY[[#All],[Advanced Network/Insurance Carrier Org ID]],B241),0), "TRUE", ROUND(G241-SUMIFS(AN_TME_BY[[#All],[TOTAL Truncated Unadjusted Claims Expenses (A21 -A19)]], AN_TME_BY[[#All],[Insurance Category Code]],4, AN_TME_BY[[#All],[Advanced Network/Insurance Carrier Org ID]],B241),2))</f>
        <v>TRUE</v>
      </c>
      <c r="M241" s="525" t="str">
        <f t="shared" si="28"/>
        <v>TRUE</v>
      </c>
      <c r="N241" s="533" t="b">
        <f>ROUND(SUMIFS(AN_TME_BY[[#All],[TOTAL Non-Truncated Unadjusted Claims Expenses]], AN_TME_BY[[#All],[Insurance Category Code]],4, AN_TME_BY[[#All],[Advanced Network/Insurance Carrier Org ID]],B241),2)&gt;=ROUND(SUMIFS(AN_TME_BY[[#All],[TOTAL Truncated Unadjusted Claims Expenses (A21 -A19)]], AN_TME_BY[[#All],[Insurance Category Code]],4, AN_TME_BY[[#All],[Advanced Network/Insurance Carrier Org ID]],B241),2)</f>
        <v>1</v>
      </c>
      <c r="O241" s="534" t="b">
        <f>ROUND(SUMIFS(AN_TME_BY[[#All],[TOTAL Truncated Unadjusted Claims Expenses (A21 -A19)]], AN_TME_BY[[#All],[Insurance Category Code]],4, AN_TME_BY[[#All],[Advanced Network/Insurance Carrier Org ID]],B241)+SUMIFS(AN_TME_BY[[#All],[Total Claims Excluded because of Truncation]], AN_TME_BY[[#All],[Insurance Category Code]],4, AN_TME_BY[[#All],[Advanced Network/Insurance Carrier Org ID]],B241),2)=ROUND(SUMIFS(AN_TME_BY[[#All],[TOTAL Non-Truncated Unadjusted Claims Expenses]], AN_TME_BY[[#All],[Insurance Category Code]],4, AN_TME_BY[[#All],[Advanced Network/Insurance Carrier Org ID]],B241),2)</f>
        <v>1</v>
      </c>
      <c r="Q241" s="216">
        <v>103</v>
      </c>
      <c r="R241" s="404">
        <f>ROUND(SUMIFS(Age_Sex_PY[[#All],[Total Member Months by Age/Sex Band]], Age_Sex_PY[[#All],[Advanced Network ID]], $Q241, Age_Sex_PY[[#All],[Insurance Category Code]],4),2)</f>
        <v>0</v>
      </c>
      <c r="S241" s="238">
        <f>ROUND(SUMIFS(Age_Sex_PY[[#All],[Total Dollars Excluded from Spending After Applying Truncation at the Member Level]], Age_Sex_PY[[#All],[Advanced Network ID]], $B241, Age_Sex_PY[[#All],[Insurance Category Code]],4),2)</f>
        <v>0</v>
      </c>
      <c r="T241" s="209">
        <f>ROUND(SUMIFS(Age_Sex_PY[[#All],[Count of Members whose Spending was Truncated]], Age_Sex_PY[[#All],[Advanced Network ID]], $B241, Age_Sex_PY[[#All],[Insurance Category Code]],4),2)</f>
        <v>0</v>
      </c>
      <c r="U241" s="210">
        <f>ROUND(SUMIFS(Age_Sex_PY[[#All],[Total Spending before Truncation is Applied]], Age_Sex_PY[[#All],[Advanced Network ID]], $B241, Age_Sex_PY[[#All],[Insurance Category Code]],4),2)</f>
        <v>0</v>
      </c>
      <c r="V241" s="212">
        <f>ROUND(SUMIFS(Age_Sex_PY[[#All],[Total Spending After Applying Truncation at the Member Level]], Age_Sex_PY[[#All],[Advanced Network ID]], $B241, Age_Sex_PY[[#All],[Insurance Category Code]],4),2)</f>
        <v>0</v>
      </c>
      <c r="W241" s="525" t="str">
        <f>IF(ROUND(R241,0)=ROUND(SUMIFS(AN_TME_PY[[#All],[Member Months]], AN_TME_PY[[#All],[Insurance Category Code]],4, AN_TME_PY[[#All],[Advanced Network/Insurance Carrier Org ID]],Q241),0), "TRUE", ROUND(R241-SUMIFS(AN_TME_PY[[#All],[Member Months]], AN_TME_PY[[#All],[Insurance Category Code]],4, AN_TME_PY[[#All],[Advanced Network/Insurance Carrier Org ID]],Q241),2))</f>
        <v>TRUE</v>
      </c>
      <c r="X241" s="527" t="str">
        <f>IF(ROUND(S241,0)=ROUND(SUMIFS(AN_TME_PY[[#All],[Total Claims Excluded because of Truncation]], AN_TME_PY[[#All],[Insurance Category Code]],4, AN_TME_PY[[#All],[Advanced Network/Insurance Carrier Org ID]],Q241),0), "TRUE", ROUND(S241-SUMIFS(AN_TME_PY[[#All],[Total Claims Excluded because of Truncation]], AN_TME_PY[[#All],[Insurance Category Code]],4, AN_TME_PY[[#All],[Advanced Network/Insurance Carrier Org ID]],Q241),2))</f>
        <v>TRUE</v>
      </c>
      <c r="Y241" s="537" t="str">
        <f>IF(ROUND(T241,0)=ROUND(SUMIFS(AN_TME_PY[[#All],[Count of Members with Claims Truncated]], AN_TME_PY[[#All],[Insurance Category Code]],4, AN_TME_PY[[#All],[Advanced Network/Insurance Carrier Org ID]],Q241),0), "TRUE", ROUND(T241-SUMIFS(AN_TME_PY[[#All],[Count of Members with Claims Truncated]], AN_TME_PY[[#All],[Insurance Category Code]],4, AN_TME_PY[[#All],[Advanced Network/Insurance Carrier Org ID]],Q241),2))</f>
        <v>TRUE</v>
      </c>
      <c r="Z241" s="528" t="str">
        <f>IF(ROUND(U241,0)=ROUND(SUMIFS(AN_TME_PY[[#All],[TOTAL Non-Truncated Unadjusted Claims Expenses]], AN_TME_PY[[#All],[Insurance Category Code]],4, AN_TME_PY[[#All],[Advanced Network/Insurance Carrier Org ID]],Q241),0), "TRUE", ROUND(U241-SUMIFS(AN_TME_PY[[#All],[TOTAL Non-Truncated Unadjusted Claims Expenses]], AN_TME_PY[[#All],[Insurance Category Code]],4, AN_TME_PY[[#All],[Advanced Network/Insurance Carrier Org ID]],Q241),2))</f>
        <v>TRUE</v>
      </c>
      <c r="AA241" s="529" t="str">
        <f>IF(ROUND(V241,0)=ROUND(SUMIFS(AN_TME_PY[[#All],[TOTAL Truncated Unadjusted Claims Expenses (A21 -A19)]], AN_TME_PY[[#All],[Insurance Category Code]],4, AN_TME_PY[[#All],[Advanced Network/Insurance Carrier Org ID]],Q241),0), "TRUE", ROUND(V241-SUMIFS(AN_TME_PY[[#All],[TOTAL Truncated Unadjusted Claims Expenses (A21 -A19)]], AN_TME_PY[[#All],[Insurance Category Code]],4, AN_TME_PY[[#All],[Advanced Network/Insurance Carrier Org ID]],Q241),2))</f>
        <v>TRUE</v>
      </c>
      <c r="AB241" s="525" t="str">
        <f t="shared" si="31"/>
        <v>TRUE</v>
      </c>
      <c r="AC241" s="528" t="b">
        <f>ROUND(SUMIFS(AN_TME_PY[[#All],[TOTAL Non-Truncated Unadjusted Claims Expenses]], AN_TME_PY[[#All],[Insurance Category Code]],4, AN_TME_PY[[#All],[Advanced Network/Insurance Carrier Org ID]],Q241),2)&gt;=ROUND(SUMIFS(AN_TME_PY[[#All],[TOTAL Truncated Unadjusted Claims Expenses (A21 -A19)]], AN_TME_PY[[#All],[Insurance Category Code]],4, AN_TME_PY[[#All],[Advanced Network/Insurance Carrier Org ID]],Q241),2)</f>
        <v>1</v>
      </c>
      <c r="AD241" s="529" t="b">
        <f>ROUND(SUMIFS(AN_TME_PY[[#All],[TOTAL Truncated Unadjusted Claims Expenses (A21 -A19)]], AN_TME_PY[[#All],[Insurance Category Code]],4, AN_TME_PY[[#All],[Advanced Network/Insurance Carrier Org ID]],Q241)+SUMIFS(AN_TME_PY[[#All],[Total Claims Excluded because of Truncation]], AN_TME_PY[[#All],[Insurance Category Code]],4, AN_TME_PY[[#All],[Advanced Network/Insurance Carrier Org ID]],Q241),2)=ROUND(SUMIFS(AN_TME_PY[[#All],[TOTAL Non-Truncated Unadjusted Claims Expenses]], AN_TME_PY[[#All],[Insurance Category Code]],4, AN_TME_PY[[#All],[Advanced Network/Insurance Carrier Org ID]],Q241),2)</f>
        <v>1</v>
      </c>
      <c r="AF241" s="283" t="str">
        <f t="shared" si="30"/>
        <v>NA</v>
      </c>
    </row>
    <row r="242" spans="2:32" outlineLevel="1" x14ac:dyDescent="0.25">
      <c r="B242" s="216">
        <v>104</v>
      </c>
      <c r="C242" s="404">
        <f>ROUND(SUMIFS(Age_Sex_BY[[#All],[Total Member Months by Age/Sex Band]], Age_Sex_BY[[#All],[Advanced Network ID]], $B242, Age_Sex_BY[[#All],[Insurance Category Code]],4),2)</f>
        <v>0</v>
      </c>
      <c r="D242" s="238">
        <f>ROUND(SUMIFS(Age_Sex_BY[[#All],[Total Dollars Excluded from Spending After Applying Truncation at the Member Level]], Age_Sex_BY[[#All],[Advanced Network ID]], $B242, Age_Sex_BY[[#All],[Insurance Category Code]],4),2)</f>
        <v>0</v>
      </c>
      <c r="E242" s="209">
        <f>ROUND(SUMIFS(Age_Sex_BY[[#All],[Count of Members whose Spending was Truncated]], Age_Sex_BY[[#All],[Advanced Network ID]], $B242, Age_Sex_BY[[#All],[Insurance Category Code]],4),2)</f>
        <v>0</v>
      </c>
      <c r="F242" s="210">
        <f>ROUND(SUMIFS(Age_Sex_BY[[#All],[Total Spending before Truncation is Applied]], Age_Sex_BY[[#All],[Advanced Network ID]], $B242, Age_Sex_BY[[#All],[Insurance Category Code]],4),2)</f>
        <v>0</v>
      </c>
      <c r="G242" s="212">
        <f>ROUND(SUMIFS(Age_Sex_BY[[#All],[Total Spending After Applying Truncation at the Member Level]], Age_Sex_BY[[#All],[Advanced Network ID]], $B242, Age_Sex_BY[[#All],[Insurance Category Code]],4),2)</f>
        <v>0</v>
      </c>
      <c r="H242" s="525" t="str">
        <f>IF(ROUND(C242,0)=ROUND(SUMIFS(AN_TME_BY[[#All],[Member Months]], AN_TME_BY[[#All],[Insurance Category Code]],4, AN_TME_BY[[#All],[Advanced Network/Insurance Carrier Org ID]],B242),0), "TRUE", ROUND(C242-SUMIFS(AN_TME_BY[[#All],[Member Months]], AN_TME_BY[[#All],[Insurance Category Code]],4, AN_TME_BY[[#All],[Advanced Network/Insurance Carrier Org ID]],B242),2))</f>
        <v>TRUE</v>
      </c>
      <c r="I242" s="533" t="str">
        <f>IF(ROUND(D242,0)=ROUND(SUMIFS(AN_TME_BY[[#All],[Total Claims Excluded because of Truncation]], AN_TME_BY[[#All],[Insurance Category Code]],4, AN_TME_BY[[#All],[Advanced Network/Insurance Carrier Org ID]],B242),0), "TRUE", ROUND(D242-SUMIFS(AN_TME_BY[[#All],[Total Claims Excluded because of Truncation]], AN_TME_BY[[#All],[Insurance Category Code]],4, AN_TME_BY[[#All],[Advanced Network/Insurance Carrier Org ID]],B242),2))</f>
        <v>TRUE</v>
      </c>
      <c r="J242" s="537" t="str">
        <f>IF(ROUND(E242,0)=ROUND(SUMIFS(AN_TME_BY[[#All],[Count of Members with Claims Truncated]], AN_TME_BY[[#All],[Insurance Category Code]],4, AN_TME_BY[[#All],[Advanced Network/Insurance Carrier Org ID]],B242),0), "TRUE", ROUND(E242-SUMIFS(AN_TME_BY[[#All],[Count of Members with Claims Truncated]], AN_TME_BY[[#All],[Insurance Category Code]],4, AN_TME_BY[[#All],[Advanced Network/Insurance Carrier Org ID]],B242),2))</f>
        <v>TRUE</v>
      </c>
      <c r="K242" s="533" t="str">
        <f>IF(ROUND(F242,0)=ROUND(SUMIFS(AN_TME_BY[[#All],[TOTAL Non-Truncated Unadjusted Claims Expenses]], AN_TME_BY[[#All],[Insurance Category Code]],4, AN_TME_BY[[#All],[Advanced Network/Insurance Carrier Org ID]],B242),0), "TRUE", ROUND(F242-SUMIFS(AN_TME_BY[[#All],[TOTAL Non-Truncated Unadjusted Claims Expenses]], AN_TME_BY[[#All],[Insurance Category Code]],4, AN_TME_BY[[#All],[Advanced Network/Insurance Carrier Org ID]],B242),2))</f>
        <v>TRUE</v>
      </c>
      <c r="L242" s="534" t="str">
        <f>IF(ROUND(G242,0)=ROUND(SUMIFS(AN_TME_BY[[#All],[TOTAL Truncated Unadjusted Claims Expenses (A21 -A19)]], AN_TME_BY[[#All],[Insurance Category Code]],4, AN_TME_BY[[#All],[Advanced Network/Insurance Carrier Org ID]],B242),0), "TRUE", ROUND(G242-SUMIFS(AN_TME_BY[[#All],[TOTAL Truncated Unadjusted Claims Expenses (A21 -A19)]], AN_TME_BY[[#All],[Insurance Category Code]],4, AN_TME_BY[[#All],[Advanced Network/Insurance Carrier Org ID]],B242),2))</f>
        <v>TRUE</v>
      </c>
      <c r="M242" s="525" t="str">
        <f t="shared" si="28"/>
        <v>TRUE</v>
      </c>
      <c r="N242" s="533" t="b">
        <f>ROUND(SUMIFS(AN_TME_BY[[#All],[TOTAL Non-Truncated Unadjusted Claims Expenses]], AN_TME_BY[[#All],[Insurance Category Code]],4, AN_TME_BY[[#All],[Advanced Network/Insurance Carrier Org ID]],B242),2)&gt;=ROUND(SUMIFS(AN_TME_BY[[#All],[TOTAL Truncated Unadjusted Claims Expenses (A21 -A19)]], AN_TME_BY[[#All],[Insurance Category Code]],4, AN_TME_BY[[#All],[Advanced Network/Insurance Carrier Org ID]],B242),2)</f>
        <v>1</v>
      </c>
      <c r="O242" s="534" t="b">
        <f>ROUND(SUMIFS(AN_TME_BY[[#All],[TOTAL Truncated Unadjusted Claims Expenses (A21 -A19)]], AN_TME_BY[[#All],[Insurance Category Code]],4, AN_TME_BY[[#All],[Advanced Network/Insurance Carrier Org ID]],B242)+SUMIFS(AN_TME_BY[[#All],[Total Claims Excluded because of Truncation]], AN_TME_BY[[#All],[Insurance Category Code]],4, AN_TME_BY[[#All],[Advanced Network/Insurance Carrier Org ID]],B242),2)=ROUND(SUMIFS(AN_TME_BY[[#All],[TOTAL Non-Truncated Unadjusted Claims Expenses]], AN_TME_BY[[#All],[Insurance Category Code]],4, AN_TME_BY[[#All],[Advanced Network/Insurance Carrier Org ID]],B242),2)</f>
        <v>1</v>
      </c>
      <c r="Q242" s="216">
        <v>104</v>
      </c>
      <c r="R242" s="404">
        <f>ROUND(SUMIFS(Age_Sex_PY[[#All],[Total Member Months by Age/Sex Band]], Age_Sex_PY[[#All],[Advanced Network ID]], $Q242, Age_Sex_PY[[#All],[Insurance Category Code]],4),2)</f>
        <v>0</v>
      </c>
      <c r="S242" s="238">
        <f>ROUND(SUMIFS(Age_Sex_PY[[#All],[Total Dollars Excluded from Spending After Applying Truncation at the Member Level]], Age_Sex_PY[[#All],[Advanced Network ID]], $B242, Age_Sex_PY[[#All],[Insurance Category Code]],4),2)</f>
        <v>0</v>
      </c>
      <c r="T242" s="209">
        <f>ROUND(SUMIFS(Age_Sex_PY[[#All],[Count of Members whose Spending was Truncated]], Age_Sex_PY[[#All],[Advanced Network ID]], $B242, Age_Sex_PY[[#All],[Insurance Category Code]],4),2)</f>
        <v>0</v>
      </c>
      <c r="U242" s="210">
        <f>ROUND(SUMIFS(Age_Sex_PY[[#All],[Total Spending before Truncation is Applied]], Age_Sex_PY[[#All],[Advanced Network ID]], $B242, Age_Sex_PY[[#All],[Insurance Category Code]],4),2)</f>
        <v>0</v>
      </c>
      <c r="V242" s="212">
        <f>ROUND(SUMIFS(Age_Sex_PY[[#All],[Total Spending After Applying Truncation at the Member Level]], Age_Sex_PY[[#All],[Advanced Network ID]], $B242, Age_Sex_PY[[#All],[Insurance Category Code]],4),2)</f>
        <v>0</v>
      </c>
      <c r="W242" s="525" t="str">
        <f>IF(ROUND(R242,0)=ROUND(SUMIFS(AN_TME_PY[[#All],[Member Months]], AN_TME_PY[[#All],[Insurance Category Code]],4, AN_TME_PY[[#All],[Advanced Network/Insurance Carrier Org ID]],Q242),0), "TRUE", ROUND(R242-SUMIFS(AN_TME_PY[[#All],[Member Months]], AN_TME_PY[[#All],[Insurance Category Code]],4, AN_TME_PY[[#All],[Advanced Network/Insurance Carrier Org ID]],Q242),2))</f>
        <v>TRUE</v>
      </c>
      <c r="X242" s="527" t="str">
        <f>IF(ROUND(S242,0)=ROUND(SUMIFS(AN_TME_PY[[#All],[Total Claims Excluded because of Truncation]], AN_TME_PY[[#All],[Insurance Category Code]],4, AN_TME_PY[[#All],[Advanced Network/Insurance Carrier Org ID]],Q242),0), "TRUE", ROUND(S242-SUMIFS(AN_TME_PY[[#All],[Total Claims Excluded because of Truncation]], AN_TME_PY[[#All],[Insurance Category Code]],4, AN_TME_PY[[#All],[Advanced Network/Insurance Carrier Org ID]],Q242),2))</f>
        <v>TRUE</v>
      </c>
      <c r="Y242" s="537" t="str">
        <f>IF(ROUND(T242,0)=ROUND(SUMIFS(AN_TME_PY[[#All],[Count of Members with Claims Truncated]], AN_TME_PY[[#All],[Insurance Category Code]],4, AN_TME_PY[[#All],[Advanced Network/Insurance Carrier Org ID]],Q242),0), "TRUE", ROUND(T242-SUMIFS(AN_TME_PY[[#All],[Count of Members with Claims Truncated]], AN_TME_PY[[#All],[Insurance Category Code]],4, AN_TME_PY[[#All],[Advanced Network/Insurance Carrier Org ID]],Q242),2))</f>
        <v>TRUE</v>
      </c>
      <c r="Z242" s="528" t="str">
        <f>IF(ROUND(U242,0)=ROUND(SUMIFS(AN_TME_PY[[#All],[TOTAL Non-Truncated Unadjusted Claims Expenses]], AN_TME_PY[[#All],[Insurance Category Code]],4, AN_TME_PY[[#All],[Advanced Network/Insurance Carrier Org ID]],Q242),0), "TRUE", ROUND(U242-SUMIFS(AN_TME_PY[[#All],[TOTAL Non-Truncated Unadjusted Claims Expenses]], AN_TME_PY[[#All],[Insurance Category Code]],4, AN_TME_PY[[#All],[Advanced Network/Insurance Carrier Org ID]],Q242),2))</f>
        <v>TRUE</v>
      </c>
      <c r="AA242" s="529" t="str">
        <f>IF(ROUND(V242,0)=ROUND(SUMIFS(AN_TME_PY[[#All],[TOTAL Truncated Unadjusted Claims Expenses (A21 -A19)]], AN_TME_PY[[#All],[Insurance Category Code]],4, AN_TME_PY[[#All],[Advanced Network/Insurance Carrier Org ID]],Q242),0), "TRUE", ROUND(V242-SUMIFS(AN_TME_PY[[#All],[TOTAL Truncated Unadjusted Claims Expenses (A21 -A19)]], AN_TME_PY[[#All],[Insurance Category Code]],4, AN_TME_PY[[#All],[Advanced Network/Insurance Carrier Org ID]],Q242),2))</f>
        <v>TRUE</v>
      </c>
      <c r="AB242" s="525" t="str">
        <f t="shared" si="31"/>
        <v>TRUE</v>
      </c>
      <c r="AC242" s="528" t="b">
        <f>ROUND(SUMIFS(AN_TME_PY[[#All],[TOTAL Non-Truncated Unadjusted Claims Expenses]], AN_TME_PY[[#All],[Insurance Category Code]],4, AN_TME_PY[[#All],[Advanced Network/Insurance Carrier Org ID]],Q242),2)&gt;=ROUND(SUMIFS(AN_TME_PY[[#All],[TOTAL Truncated Unadjusted Claims Expenses (A21 -A19)]], AN_TME_PY[[#All],[Insurance Category Code]],4, AN_TME_PY[[#All],[Advanced Network/Insurance Carrier Org ID]],Q242),2)</f>
        <v>1</v>
      </c>
      <c r="AD242" s="529" t="b">
        <f>ROUND(SUMIFS(AN_TME_PY[[#All],[TOTAL Truncated Unadjusted Claims Expenses (A21 -A19)]], AN_TME_PY[[#All],[Insurance Category Code]],4, AN_TME_PY[[#All],[Advanced Network/Insurance Carrier Org ID]],Q242)+SUMIFS(AN_TME_PY[[#All],[Total Claims Excluded because of Truncation]], AN_TME_PY[[#All],[Insurance Category Code]],4, AN_TME_PY[[#All],[Advanced Network/Insurance Carrier Org ID]],Q242),2)=ROUND(SUMIFS(AN_TME_PY[[#All],[TOTAL Non-Truncated Unadjusted Claims Expenses]], AN_TME_PY[[#All],[Insurance Category Code]],4, AN_TME_PY[[#All],[Advanced Network/Insurance Carrier Org ID]],Q242),2)</f>
        <v>1</v>
      </c>
      <c r="AF242" s="283" t="str">
        <f t="shared" si="30"/>
        <v>NA</v>
      </c>
    </row>
    <row r="243" spans="2:32" outlineLevel="1" x14ac:dyDescent="0.25">
      <c r="B243" s="216">
        <v>105</v>
      </c>
      <c r="C243" s="404">
        <f>ROUND(SUMIFS(Age_Sex_BY[[#All],[Total Member Months by Age/Sex Band]], Age_Sex_BY[[#All],[Advanced Network ID]], $B243, Age_Sex_BY[[#All],[Insurance Category Code]],4),2)</f>
        <v>0</v>
      </c>
      <c r="D243" s="238">
        <f>ROUND(SUMIFS(Age_Sex_BY[[#All],[Total Dollars Excluded from Spending After Applying Truncation at the Member Level]], Age_Sex_BY[[#All],[Advanced Network ID]], $B243, Age_Sex_BY[[#All],[Insurance Category Code]],4),2)</f>
        <v>0</v>
      </c>
      <c r="E243" s="209">
        <f>ROUND(SUMIFS(Age_Sex_BY[[#All],[Count of Members whose Spending was Truncated]], Age_Sex_BY[[#All],[Advanced Network ID]], $B243, Age_Sex_BY[[#All],[Insurance Category Code]],4),2)</f>
        <v>0</v>
      </c>
      <c r="F243" s="210">
        <f>ROUND(SUMIFS(Age_Sex_BY[[#All],[Total Spending before Truncation is Applied]], Age_Sex_BY[[#All],[Advanced Network ID]], $B243, Age_Sex_BY[[#All],[Insurance Category Code]],4),2)</f>
        <v>0</v>
      </c>
      <c r="G243" s="212">
        <f>ROUND(SUMIFS(Age_Sex_BY[[#All],[Total Spending After Applying Truncation at the Member Level]], Age_Sex_BY[[#All],[Advanced Network ID]], $B243, Age_Sex_BY[[#All],[Insurance Category Code]],4),2)</f>
        <v>0</v>
      </c>
      <c r="H243" s="525" t="str">
        <f>IF(ROUND(C243,0)=ROUND(SUMIFS(AN_TME_BY[[#All],[Member Months]], AN_TME_BY[[#All],[Insurance Category Code]],4, AN_TME_BY[[#All],[Advanced Network/Insurance Carrier Org ID]],B243),0), "TRUE", ROUND(C243-SUMIFS(AN_TME_BY[[#All],[Member Months]], AN_TME_BY[[#All],[Insurance Category Code]],4, AN_TME_BY[[#All],[Advanced Network/Insurance Carrier Org ID]],B243),2))</f>
        <v>TRUE</v>
      </c>
      <c r="I243" s="533" t="str">
        <f>IF(ROUND(D243,0)=ROUND(SUMIFS(AN_TME_BY[[#All],[Total Claims Excluded because of Truncation]], AN_TME_BY[[#All],[Insurance Category Code]],4, AN_TME_BY[[#All],[Advanced Network/Insurance Carrier Org ID]],B243),0), "TRUE", ROUND(D243-SUMIFS(AN_TME_BY[[#All],[Total Claims Excluded because of Truncation]], AN_TME_BY[[#All],[Insurance Category Code]],4, AN_TME_BY[[#All],[Advanced Network/Insurance Carrier Org ID]],B243),2))</f>
        <v>TRUE</v>
      </c>
      <c r="J243" s="537" t="str">
        <f>IF(ROUND(E243,0)=ROUND(SUMIFS(AN_TME_BY[[#All],[Count of Members with Claims Truncated]], AN_TME_BY[[#All],[Insurance Category Code]],4, AN_TME_BY[[#All],[Advanced Network/Insurance Carrier Org ID]],B243),0), "TRUE", ROUND(E243-SUMIFS(AN_TME_BY[[#All],[Count of Members with Claims Truncated]], AN_TME_BY[[#All],[Insurance Category Code]],4, AN_TME_BY[[#All],[Advanced Network/Insurance Carrier Org ID]],B243),2))</f>
        <v>TRUE</v>
      </c>
      <c r="K243" s="533" t="str">
        <f>IF(ROUND(F243,0)=ROUND(SUMIFS(AN_TME_BY[[#All],[TOTAL Non-Truncated Unadjusted Claims Expenses]], AN_TME_BY[[#All],[Insurance Category Code]],4, AN_TME_BY[[#All],[Advanced Network/Insurance Carrier Org ID]],B243),0), "TRUE", ROUND(F243-SUMIFS(AN_TME_BY[[#All],[TOTAL Non-Truncated Unadjusted Claims Expenses]], AN_TME_BY[[#All],[Insurance Category Code]],4, AN_TME_BY[[#All],[Advanced Network/Insurance Carrier Org ID]],B243),2))</f>
        <v>TRUE</v>
      </c>
      <c r="L243" s="534" t="str">
        <f>IF(ROUND(G243,0)=ROUND(SUMIFS(AN_TME_BY[[#All],[TOTAL Truncated Unadjusted Claims Expenses (A21 -A19)]], AN_TME_BY[[#All],[Insurance Category Code]],4, AN_TME_BY[[#All],[Advanced Network/Insurance Carrier Org ID]],B243),0), "TRUE", ROUND(G243-SUMIFS(AN_TME_BY[[#All],[TOTAL Truncated Unadjusted Claims Expenses (A21 -A19)]], AN_TME_BY[[#All],[Insurance Category Code]],4, AN_TME_BY[[#All],[Advanced Network/Insurance Carrier Org ID]],B243),2))</f>
        <v>TRUE</v>
      </c>
      <c r="M243" s="525" t="str">
        <f t="shared" si="28"/>
        <v>TRUE</v>
      </c>
      <c r="N243" s="533" t="b">
        <f>ROUND(SUMIFS(AN_TME_BY[[#All],[TOTAL Non-Truncated Unadjusted Claims Expenses]], AN_TME_BY[[#All],[Insurance Category Code]],4, AN_TME_BY[[#All],[Advanced Network/Insurance Carrier Org ID]],B243),2)&gt;=ROUND(SUMIFS(AN_TME_BY[[#All],[TOTAL Truncated Unadjusted Claims Expenses (A21 -A19)]], AN_TME_BY[[#All],[Insurance Category Code]],4, AN_TME_BY[[#All],[Advanced Network/Insurance Carrier Org ID]],B243),2)</f>
        <v>1</v>
      </c>
      <c r="O243" s="534" t="b">
        <f>ROUND(SUMIFS(AN_TME_BY[[#All],[TOTAL Truncated Unadjusted Claims Expenses (A21 -A19)]], AN_TME_BY[[#All],[Insurance Category Code]],4, AN_TME_BY[[#All],[Advanced Network/Insurance Carrier Org ID]],B243)+SUMIFS(AN_TME_BY[[#All],[Total Claims Excluded because of Truncation]], AN_TME_BY[[#All],[Insurance Category Code]],4, AN_TME_BY[[#All],[Advanced Network/Insurance Carrier Org ID]],B243),2)=ROUND(SUMIFS(AN_TME_BY[[#All],[TOTAL Non-Truncated Unadjusted Claims Expenses]], AN_TME_BY[[#All],[Insurance Category Code]],4, AN_TME_BY[[#All],[Advanced Network/Insurance Carrier Org ID]],B243),2)</f>
        <v>1</v>
      </c>
      <c r="Q243" s="216">
        <v>105</v>
      </c>
      <c r="R243" s="404">
        <f>ROUND(SUMIFS(Age_Sex_PY[[#All],[Total Member Months by Age/Sex Band]], Age_Sex_PY[[#All],[Advanced Network ID]], $Q243, Age_Sex_PY[[#All],[Insurance Category Code]],4),2)</f>
        <v>0</v>
      </c>
      <c r="S243" s="238">
        <f>ROUND(SUMIFS(Age_Sex_PY[[#All],[Total Dollars Excluded from Spending After Applying Truncation at the Member Level]], Age_Sex_PY[[#All],[Advanced Network ID]], $B243, Age_Sex_PY[[#All],[Insurance Category Code]],4),2)</f>
        <v>0</v>
      </c>
      <c r="T243" s="209">
        <f>ROUND(SUMIFS(Age_Sex_PY[[#All],[Count of Members whose Spending was Truncated]], Age_Sex_PY[[#All],[Advanced Network ID]], $B243, Age_Sex_PY[[#All],[Insurance Category Code]],4),2)</f>
        <v>0</v>
      </c>
      <c r="U243" s="210">
        <f>ROUND(SUMIFS(Age_Sex_PY[[#All],[Total Spending before Truncation is Applied]], Age_Sex_PY[[#All],[Advanced Network ID]], $B243, Age_Sex_PY[[#All],[Insurance Category Code]],4),2)</f>
        <v>0</v>
      </c>
      <c r="V243" s="212">
        <f>ROUND(SUMIFS(Age_Sex_PY[[#All],[Total Spending After Applying Truncation at the Member Level]], Age_Sex_PY[[#All],[Advanced Network ID]], $B243, Age_Sex_PY[[#All],[Insurance Category Code]],4),2)</f>
        <v>0</v>
      </c>
      <c r="W243" s="525" t="str">
        <f>IF(ROUND(R243,0)=ROUND(SUMIFS(AN_TME_PY[[#All],[Member Months]], AN_TME_PY[[#All],[Insurance Category Code]],4, AN_TME_PY[[#All],[Advanced Network/Insurance Carrier Org ID]],Q243),0), "TRUE", ROUND(R243-SUMIFS(AN_TME_PY[[#All],[Member Months]], AN_TME_PY[[#All],[Insurance Category Code]],4, AN_TME_PY[[#All],[Advanced Network/Insurance Carrier Org ID]],Q243),2))</f>
        <v>TRUE</v>
      </c>
      <c r="X243" s="527" t="str">
        <f>IF(ROUND(S243,0)=ROUND(SUMIFS(AN_TME_PY[[#All],[Total Claims Excluded because of Truncation]], AN_TME_PY[[#All],[Insurance Category Code]],4, AN_TME_PY[[#All],[Advanced Network/Insurance Carrier Org ID]],Q243),0), "TRUE", ROUND(S243-SUMIFS(AN_TME_PY[[#All],[Total Claims Excluded because of Truncation]], AN_TME_PY[[#All],[Insurance Category Code]],4, AN_TME_PY[[#All],[Advanced Network/Insurance Carrier Org ID]],Q243),2))</f>
        <v>TRUE</v>
      </c>
      <c r="Y243" s="537" t="str">
        <f>IF(ROUND(T243,0)=ROUND(SUMIFS(AN_TME_PY[[#All],[Count of Members with Claims Truncated]], AN_TME_PY[[#All],[Insurance Category Code]],4, AN_TME_PY[[#All],[Advanced Network/Insurance Carrier Org ID]],Q243),0), "TRUE", ROUND(T243-SUMIFS(AN_TME_PY[[#All],[Count of Members with Claims Truncated]], AN_TME_PY[[#All],[Insurance Category Code]],4, AN_TME_PY[[#All],[Advanced Network/Insurance Carrier Org ID]],Q243),2))</f>
        <v>TRUE</v>
      </c>
      <c r="Z243" s="528" t="str">
        <f>IF(ROUND(U243,0)=ROUND(SUMIFS(AN_TME_PY[[#All],[TOTAL Non-Truncated Unadjusted Claims Expenses]], AN_TME_PY[[#All],[Insurance Category Code]],4, AN_TME_PY[[#All],[Advanced Network/Insurance Carrier Org ID]],Q243),0), "TRUE", ROUND(U243-SUMIFS(AN_TME_PY[[#All],[TOTAL Non-Truncated Unadjusted Claims Expenses]], AN_TME_PY[[#All],[Insurance Category Code]],4, AN_TME_PY[[#All],[Advanced Network/Insurance Carrier Org ID]],Q243),2))</f>
        <v>TRUE</v>
      </c>
      <c r="AA243" s="529" t="str">
        <f>IF(ROUND(V243,0)=ROUND(SUMIFS(AN_TME_PY[[#All],[TOTAL Truncated Unadjusted Claims Expenses (A21 -A19)]], AN_TME_PY[[#All],[Insurance Category Code]],4, AN_TME_PY[[#All],[Advanced Network/Insurance Carrier Org ID]],Q243),0), "TRUE", ROUND(V243-SUMIFS(AN_TME_PY[[#All],[TOTAL Truncated Unadjusted Claims Expenses (A21 -A19)]], AN_TME_PY[[#All],[Insurance Category Code]],4, AN_TME_PY[[#All],[Advanced Network/Insurance Carrier Org ID]],Q243),2))</f>
        <v>TRUE</v>
      </c>
      <c r="AB243" s="525" t="str">
        <f t="shared" si="31"/>
        <v>TRUE</v>
      </c>
      <c r="AC243" s="528" t="b">
        <f>ROUND(SUMIFS(AN_TME_PY[[#All],[TOTAL Non-Truncated Unadjusted Claims Expenses]], AN_TME_PY[[#All],[Insurance Category Code]],4, AN_TME_PY[[#All],[Advanced Network/Insurance Carrier Org ID]],Q243),2)&gt;=ROUND(SUMIFS(AN_TME_PY[[#All],[TOTAL Truncated Unadjusted Claims Expenses (A21 -A19)]], AN_TME_PY[[#All],[Insurance Category Code]],4, AN_TME_PY[[#All],[Advanced Network/Insurance Carrier Org ID]],Q243),2)</f>
        <v>1</v>
      </c>
      <c r="AD243" s="529" t="b">
        <f>ROUND(SUMIFS(AN_TME_PY[[#All],[TOTAL Truncated Unadjusted Claims Expenses (A21 -A19)]], AN_TME_PY[[#All],[Insurance Category Code]],4, AN_TME_PY[[#All],[Advanced Network/Insurance Carrier Org ID]],Q243)+SUMIFS(AN_TME_PY[[#All],[Total Claims Excluded because of Truncation]], AN_TME_PY[[#All],[Insurance Category Code]],4, AN_TME_PY[[#All],[Advanced Network/Insurance Carrier Org ID]],Q243),2)=ROUND(SUMIFS(AN_TME_PY[[#All],[TOTAL Non-Truncated Unadjusted Claims Expenses]], AN_TME_PY[[#All],[Insurance Category Code]],4, AN_TME_PY[[#All],[Advanced Network/Insurance Carrier Org ID]],Q243),2)</f>
        <v>1</v>
      </c>
      <c r="AF243" s="283" t="str">
        <f t="shared" si="30"/>
        <v>NA</v>
      </c>
    </row>
    <row r="244" spans="2:32" outlineLevel="1" x14ac:dyDescent="0.25">
      <c r="B244" s="216">
        <v>106</v>
      </c>
      <c r="C244" s="404">
        <f>ROUND(SUMIFS(Age_Sex_BY[[#All],[Total Member Months by Age/Sex Band]], Age_Sex_BY[[#All],[Advanced Network ID]], $B244, Age_Sex_BY[[#All],[Insurance Category Code]],4),2)</f>
        <v>0</v>
      </c>
      <c r="D244" s="238">
        <f>ROUND(SUMIFS(Age_Sex_BY[[#All],[Total Dollars Excluded from Spending After Applying Truncation at the Member Level]], Age_Sex_BY[[#All],[Advanced Network ID]], $B244, Age_Sex_BY[[#All],[Insurance Category Code]],4),2)</f>
        <v>0</v>
      </c>
      <c r="E244" s="209">
        <f>ROUND(SUMIFS(Age_Sex_BY[[#All],[Count of Members whose Spending was Truncated]], Age_Sex_BY[[#All],[Advanced Network ID]], $B244, Age_Sex_BY[[#All],[Insurance Category Code]],4),2)</f>
        <v>0</v>
      </c>
      <c r="F244" s="210">
        <f>ROUND(SUMIFS(Age_Sex_BY[[#All],[Total Spending before Truncation is Applied]], Age_Sex_BY[[#All],[Advanced Network ID]], $B244, Age_Sex_BY[[#All],[Insurance Category Code]],4),2)</f>
        <v>0</v>
      </c>
      <c r="G244" s="212">
        <f>ROUND(SUMIFS(Age_Sex_BY[[#All],[Total Spending After Applying Truncation at the Member Level]], Age_Sex_BY[[#All],[Advanced Network ID]], $B244, Age_Sex_BY[[#All],[Insurance Category Code]],4),2)</f>
        <v>0</v>
      </c>
      <c r="H244" s="525" t="str">
        <f>IF(ROUND(C244,0)=ROUND(SUMIFS(AN_TME_BY[[#All],[Member Months]], AN_TME_BY[[#All],[Insurance Category Code]],4, AN_TME_BY[[#All],[Advanced Network/Insurance Carrier Org ID]],B244),0), "TRUE", ROUND(C244-SUMIFS(AN_TME_BY[[#All],[Member Months]], AN_TME_BY[[#All],[Insurance Category Code]],4, AN_TME_BY[[#All],[Advanced Network/Insurance Carrier Org ID]],B244),2))</f>
        <v>TRUE</v>
      </c>
      <c r="I244" s="533" t="str">
        <f>IF(ROUND(D244,0)=ROUND(SUMIFS(AN_TME_BY[[#All],[Total Claims Excluded because of Truncation]], AN_TME_BY[[#All],[Insurance Category Code]],4, AN_TME_BY[[#All],[Advanced Network/Insurance Carrier Org ID]],B244),0), "TRUE", ROUND(D244-SUMIFS(AN_TME_BY[[#All],[Total Claims Excluded because of Truncation]], AN_TME_BY[[#All],[Insurance Category Code]],4, AN_TME_BY[[#All],[Advanced Network/Insurance Carrier Org ID]],B244),2))</f>
        <v>TRUE</v>
      </c>
      <c r="J244" s="537" t="str">
        <f>IF(ROUND(E244,0)=ROUND(SUMIFS(AN_TME_BY[[#All],[Count of Members with Claims Truncated]], AN_TME_BY[[#All],[Insurance Category Code]],4, AN_TME_BY[[#All],[Advanced Network/Insurance Carrier Org ID]],B244),0), "TRUE", ROUND(E244-SUMIFS(AN_TME_BY[[#All],[Count of Members with Claims Truncated]], AN_TME_BY[[#All],[Insurance Category Code]],4, AN_TME_BY[[#All],[Advanced Network/Insurance Carrier Org ID]],B244),2))</f>
        <v>TRUE</v>
      </c>
      <c r="K244" s="533" t="str">
        <f>IF(ROUND(F244,0)=ROUND(SUMIFS(AN_TME_BY[[#All],[TOTAL Non-Truncated Unadjusted Claims Expenses]], AN_TME_BY[[#All],[Insurance Category Code]],4, AN_TME_BY[[#All],[Advanced Network/Insurance Carrier Org ID]],B244),0), "TRUE", ROUND(F244-SUMIFS(AN_TME_BY[[#All],[TOTAL Non-Truncated Unadjusted Claims Expenses]], AN_TME_BY[[#All],[Insurance Category Code]],4, AN_TME_BY[[#All],[Advanced Network/Insurance Carrier Org ID]],B244),2))</f>
        <v>TRUE</v>
      </c>
      <c r="L244" s="534" t="str">
        <f>IF(ROUND(G244,0)=ROUND(SUMIFS(AN_TME_BY[[#All],[TOTAL Truncated Unadjusted Claims Expenses (A21 -A19)]], AN_TME_BY[[#All],[Insurance Category Code]],4, AN_TME_BY[[#All],[Advanced Network/Insurance Carrier Org ID]],B244),0), "TRUE", ROUND(G244-SUMIFS(AN_TME_BY[[#All],[TOTAL Truncated Unadjusted Claims Expenses (A21 -A19)]], AN_TME_BY[[#All],[Insurance Category Code]],4, AN_TME_BY[[#All],[Advanced Network/Insurance Carrier Org ID]],B244),2))</f>
        <v>TRUE</v>
      </c>
      <c r="M244" s="525" t="str">
        <f t="shared" si="28"/>
        <v>TRUE</v>
      </c>
      <c r="N244" s="533" t="b">
        <f>ROUND(SUMIFS(AN_TME_BY[[#All],[TOTAL Non-Truncated Unadjusted Claims Expenses]], AN_TME_BY[[#All],[Insurance Category Code]],4, AN_TME_BY[[#All],[Advanced Network/Insurance Carrier Org ID]],B244),2)&gt;=ROUND(SUMIFS(AN_TME_BY[[#All],[TOTAL Truncated Unadjusted Claims Expenses (A21 -A19)]], AN_TME_BY[[#All],[Insurance Category Code]],4, AN_TME_BY[[#All],[Advanced Network/Insurance Carrier Org ID]],B244),2)</f>
        <v>1</v>
      </c>
      <c r="O244" s="534" t="b">
        <f>ROUND(SUMIFS(AN_TME_BY[[#All],[TOTAL Truncated Unadjusted Claims Expenses (A21 -A19)]], AN_TME_BY[[#All],[Insurance Category Code]],4, AN_TME_BY[[#All],[Advanced Network/Insurance Carrier Org ID]],B244)+SUMIFS(AN_TME_BY[[#All],[Total Claims Excluded because of Truncation]], AN_TME_BY[[#All],[Insurance Category Code]],4, AN_TME_BY[[#All],[Advanced Network/Insurance Carrier Org ID]],B244),2)=ROUND(SUMIFS(AN_TME_BY[[#All],[TOTAL Non-Truncated Unadjusted Claims Expenses]], AN_TME_BY[[#All],[Insurance Category Code]],4, AN_TME_BY[[#All],[Advanced Network/Insurance Carrier Org ID]],B244),2)</f>
        <v>1</v>
      </c>
      <c r="Q244" s="216">
        <v>106</v>
      </c>
      <c r="R244" s="404">
        <f>ROUND(SUMIFS(Age_Sex_PY[[#All],[Total Member Months by Age/Sex Band]], Age_Sex_PY[[#All],[Advanced Network ID]], $Q244, Age_Sex_PY[[#All],[Insurance Category Code]],4),2)</f>
        <v>0</v>
      </c>
      <c r="S244" s="238">
        <f>ROUND(SUMIFS(Age_Sex_PY[[#All],[Total Dollars Excluded from Spending After Applying Truncation at the Member Level]], Age_Sex_PY[[#All],[Advanced Network ID]], $B244, Age_Sex_PY[[#All],[Insurance Category Code]],4),2)</f>
        <v>0</v>
      </c>
      <c r="T244" s="209">
        <f>ROUND(SUMIFS(Age_Sex_PY[[#All],[Count of Members whose Spending was Truncated]], Age_Sex_PY[[#All],[Advanced Network ID]], $B244, Age_Sex_PY[[#All],[Insurance Category Code]],4),2)</f>
        <v>0</v>
      </c>
      <c r="U244" s="210">
        <f>ROUND(SUMIFS(Age_Sex_PY[[#All],[Total Spending before Truncation is Applied]], Age_Sex_PY[[#All],[Advanced Network ID]], $B244, Age_Sex_PY[[#All],[Insurance Category Code]],4),2)</f>
        <v>0</v>
      </c>
      <c r="V244" s="212">
        <f>ROUND(SUMIFS(Age_Sex_PY[[#All],[Total Spending After Applying Truncation at the Member Level]], Age_Sex_PY[[#All],[Advanced Network ID]], $B244, Age_Sex_PY[[#All],[Insurance Category Code]],4),2)</f>
        <v>0</v>
      </c>
      <c r="W244" s="525" t="str">
        <f>IF(ROUND(R244,0)=ROUND(SUMIFS(AN_TME_PY[[#All],[Member Months]], AN_TME_PY[[#All],[Insurance Category Code]],4, AN_TME_PY[[#All],[Advanced Network/Insurance Carrier Org ID]],Q244),0), "TRUE", ROUND(R244-SUMIFS(AN_TME_PY[[#All],[Member Months]], AN_TME_PY[[#All],[Insurance Category Code]],4, AN_TME_PY[[#All],[Advanced Network/Insurance Carrier Org ID]],Q244),2))</f>
        <v>TRUE</v>
      </c>
      <c r="X244" s="527" t="str">
        <f>IF(ROUND(S244,0)=ROUND(SUMIFS(AN_TME_PY[[#All],[Total Claims Excluded because of Truncation]], AN_TME_PY[[#All],[Insurance Category Code]],4, AN_TME_PY[[#All],[Advanced Network/Insurance Carrier Org ID]],Q244),0), "TRUE", ROUND(S244-SUMIFS(AN_TME_PY[[#All],[Total Claims Excluded because of Truncation]], AN_TME_PY[[#All],[Insurance Category Code]],4, AN_TME_PY[[#All],[Advanced Network/Insurance Carrier Org ID]],Q244),2))</f>
        <v>TRUE</v>
      </c>
      <c r="Y244" s="537" t="str">
        <f>IF(ROUND(T244,0)=ROUND(SUMIFS(AN_TME_PY[[#All],[Count of Members with Claims Truncated]], AN_TME_PY[[#All],[Insurance Category Code]],4, AN_TME_PY[[#All],[Advanced Network/Insurance Carrier Org ID]],Q244),0), "TRUE", ROUND(T244-SUMIFS(AN_TME_PY[[#All],[Count of Members with Claims Truncated]], AN_TME_PY[[#All],[Insurance Category Code]],4, AN_TME_PY[[#All],[Advanced Network/Insurance Carrier Org ID]],Q244),2))</f>
        <v>TRUE</v>
      </c>
      <c r="Z244" s="528" t="str">
        <f>IF(ROUND(U244,0)=ROUND(SUMIFS(AN_TME_PY[[#All],[TOTAL Non-Truncated Unadjusted Claims Expenses]], AN_TME_PY[[#All],[Insurance Category Code]],4, AN_TME_PY[[#All],[Advanced Network/Insurance Carrier Org ID]],Q244),0), "TRUE", ROUND(U244-SUMIFS(AN_TME_PY[[#All],[TOTAL Non-Truncated Unadjusted Claims Expenses]], AN_TME_PY[[#All],[Insurance Category Code]],4, AN_TME_PY[[#All],[Advanced Network/Insurance Carrier Org ID]],Q244),2))</f>
        <v>TRUE</v>
      </c>
      <c r="AA244" s="529" t="str">
        <f>IF(ROUND(V244,0)=ROUND(SUMIFS(AN_TME_PY[[#All],[TOTAL Truncated Unadjusted Claims Expenses (A21 -A19)]], AN_TME_PY[[#All],[Insurance Category Code]],4, AN_TME_PY[[#All],[Advanced Network/Insurance Carrier Org ID]],Q244),0), "TRUE", ROUND(V244-SUMIFS(AN_TME_PY[[#All],[TOTAL Truncated Unadjusted Claims Expenses (A21 -A19)]], AN_TME_PY[[#All],[Insurance Category Code]],4, AN_TME_PY[[#All],[Advanced Network/Insurance Carrier Org ID]],Q244),2))</f>
        <v>TRUE</v>
      </c>
      <c r="AB244" s="525" t="str">
        <f t="shared" si="31"/>
        <v>TRUE</v>
      </c>
      <c r="AC244" s="528" t="b">
        <f>ROUND(SUMIFS(AN_TME_PY[[#All],[TOTAL Non-Truncated Unadjusted Claims Expenses]], AN_TME_PY[[#All],[Insurance Category Code]],4, AN_TME_PY[[#All],[Advanced Network/Insurance Carrier Org ID]],Q244),2)&gt;=ROUND(SUMIFS(AN_TME_PY[[#All],[TOTAL Truncated Unadjusted Claims Expenses (A21 -A19)]], AN_TME_PY[[#All],[Insurance Category Code]],4, AN_TME_PY[[#All],[Advanced Network/Insurance Carrier Org ID]],Q244),2)</f>
        <v>1</v>
      </c>
      <c r="AD244" s="529" t="b">
        <f>ROUND(SUMIFS(AN_TME_PY[[#All],[TOTAL Truncated Unadjusted Claims Expenses (A21 -A19)]], AN_TME_PY[[#All],[Insurance Category Code]],4, AN_TME_PY[[#All],[Advanced Network/Insurance Carrier Org ID]],Q244)+SUMIFS(AN_TME_PY[[#All],[Total Claims Excluded because of Truncation]], AN_TME_PY[[#All],[Insurance Category Code]],4, AN_TME_PY[[#All],[Advanced Network/Insurance Carrier Org ID]],Q244),2)=ROUND(SUMIFS(AN_TME_PY[[#All],[TOTAL Non-Truncated Unadjusted Claims Expenses]], AN_TME_PY[[#All],[Insurance Category Code]],4, AN_TME_PY[[#All],[Advanced Network/Insurance Carrier Org ID]],Q244),2)</f>
        <v>1</v>
      </c>
      <c r="AF244" s="283" t="str">
        <f t="shared" si="30"/>
        <v>NA</v>
      </c>
    </row>
    <row r="245" spans="2:32" outlineLevel="1" x14ac:dyDescent="0.25">
      <c r="B245" s="216">
        <v>107</v>
      </c>
      <c r="C245" s="404">
        <f>ROUND(SUMIFS(Age_Sex_BY[[#All],[Total Member Months by Age/Sex Band]], Age_Sex_BY[[#All],[Advanced Network ID]], $B245, Age_Sex_BY[[#All],[Insurance Category Code]],4),2)</f>
        <v>0</v>
      </c>
      <c r="D245" s="238">
        <f>ROUND(SUMIFS(Age_Sex_BY[[#All],[Total Dollars Excluded from Spending After Applying Truncation at the Member Level]], Age_Sex_BY[[#All],[Advanced Network ID]], $B245, Age_Sex_BY[[#All],[Insurance Category Code]],4),2)</f>
        <v>0</v>
      </c>
      <c r="E245" s="209">
        <f>ROUND(SUMIFS(Age_Sex_BY[[#All],[Count of Members whose Spending was Truncated]], Age_Sex_BY[[#All],[Advanced Network ID]], $B245, Age_Sex_BY[[#All],[Insurance Category Code]],4),2)</f>
        <v>0</v>
      </c>
      <c r="F245" s="210">
        <f>ROUND(SUMIFS(Age_Sex_BY[[#All],[Total Spending before Truncation is Applied]], Age_Sex_BY[[#All],[Advanced Network ID]], $B245, Age_Sex_BY[[#All],[Insurance Category Code]],4),2)</f>
        <v>0</v>
      </c>
      <c r="G245" s="212">
        <f>ROUND(SUMIFS(Age_Sex_BY[[#All],[Total Spending After Applying Truncation at the Member Level]], Age_Sex_BY[[#All],[Advanced Network ID]], $B245, Age_Sex_BY[[#All],[Insurance Category Code]],4),2)</f>
        <v>0</v>
      </c>
      <c r="H245" s="525" t="str">
        <f>IF(ROUND(C245,0)=ROUND(SUMIFS(AN_TME_BY[[#All],[Member Months]], AN_TME_BY[[#All],[Insurance Category Code]],4, AN_TME_BY[[#All],[Advanced Network/Insurance Carrier Org ID]],B245),0), "TRUE", ROUND(C245-SUMIFS(AN_TME_BY[[#All],[Member Months]], AN_TME_BY[[#All],[Insurance Category Code]],4, AN_TME_BY[[#All],[Advanced Network/Insurance Carrier Org ID]],B245),2))</f>
        <v>TRUE</v>
      </c>
      <c r="I245" s="533" t="str">
        <f>IF(ROUND(D245,0)=ROUND(SUMIFS(AN_TME_BY[[#All],[Total Claims Excluded because of Truncation]], AN_TME_BY[[#All],[Insurance Category Code]],4, AN_TME_BY[[#All],[Advanced Network/Insurance Carrier Org ID]],B245),0), "TRUE", ROUND(D245-SUMIFS(AN_TME_BY[[#All],[Total Claims Excluded because of Truncation]], AN_TME_BY[[#All],[Insurance Category Code]],4, AN_TME_BY[[#All],[Advanced Network/Insurance Carrier Org ID]],B245),2))</f>
        <v>TRUE</v>
      </c>
      <c r="J245" s="537" t="str">
        <f>IF(ROUND(E245,0)=ROUND(SUMIFS(AN_TME_BY[[#All],[Count of Members with Claims Truncated]], AN_TME_BY[[#All],[Insurance Category Code]],4, AN_TME_BY[[#All],[Advanced Network/Insurance Carrier Org ID]],B245),0), "TRUE", ROUND(E245-SUMIFS(AN_TME_BY[[#All],[Count of Members with Claims Truncated]], AN_TME_BY[[#All],[Insurance Category Code]],4, AN_TME_BY[[#All],[Advanced Network/Insurance Carrier Org ID]],B245),2))</f>
        <v>TRUE</v>
      </c>
      <c r="K245" s="533" t="str">
        <f>IF(ROUND(F245,0)=ROUND(SUMIFS(AN_TME_BY[[#All],[TOTAL Non-Truncated Unadjusted Claims Expenses]], AN_TME_BY[[#All],[Insurance Category Code]],4, AN_TME_BY[[#All],[Advanced Network/Insurance Carrier Org ID]],B245),0), "TRUE", ROUND(F245-SUMIFS(AN_TME_BY[[#All],[TOTAL Non-Truncated Unadjusted Claims Expenses]], AN_TME_BY[[#All],[Insurance Category Code]],4, AN_TME_BY[[#All],[Advanced Network/Insurance Carrier Org ID]],B245),2))</f>
        <v>TRUE</v>
      </c>
      <c r="L245" s="534" t="str">
        <f>IF(ROUND(G245,0)=ROUND(SUMIFS(AN_TME_BY[[#All],[TOTAL Truncated Unadjusted Claims Expenses (A21 -A19)]], AN_TME_BY[[#All],[Insurance Category Code]],4, AN_TME_BY[[#All],[Advanced Network/Insurance Carrier Org ID]],B245),0), "TRUE", ROUND(G245-SUMIFS(AN_TME_BY[[#All],[TOTAL Truncated Unadjusted Claims Expenses (A21 -A19)]], AN_TME_BY[[#All],[Insurance Category Code]],4, AN_TME_BY[[#All],[Advanced Network/Insurance Carrier Org ID]],B245),2))</f>
        <v>TRUE</v>
      </c>
      <c r="M245" s="525" t="str">
        <f t="shared" si="28"/>
        <v>TRUE</v>
      </c>
      <c r="N245" s="533" t="b">
        <f>ROUND(SUMIFS(AN_TME_BY[[#All],[TOTAL Non-Truncated Unadjusted Claims Expenses]], AN_TME_BY[[#All],[Insurance Category Code]],4, AN_TME_BY[[#All],[Advanced Network/Insurance Carrier Org ID]],B245),2)&gt;=ROUND(SUMIFS(AN_TME_BY[[#All],[TOTAL Truncated Unadjusted Claims Expenses (A21 -A19)]], AN_TME_BY[[#All],[Insurance Category Code]],4, AN_TME_BY[[#All],[Advanced Network/Insurance Carrier Org ID]],B245),2)</f>
        <v>1</v>
      </c>
      <c r="O245" s="534" t="b">
        <f>ROUND(SUMIFS(AN_TME_BY[[#All],[TOTAL Truncated Unadjusted Claims Expenses (A21 -A19)]], AN_TME_BY[[#All],[Insurance Category Code]],4, AN_TME_BY[[#All],[Advanced Network/Insurance Carrier Org ID]],B245)+SUMIFS(AN_TME_BY[[#All],[Total Claims Excluded because of Truncation]], AN_TME_BY[[#All],[Insurance Category Code]],4, AN_TME_BY[[#All],[Advanced Network/Insurance Carrier Org ID]],B245),2)=ROUND(SUMIFS(AN_TME_BY[[#All],[TOTAL Non-Truncated Unadjusted Claims Expenses]], AN_TME_BY[[#All],[Insurance Category Code]],4, AN_TME_BY[[#All],[Advanced Network/Insurance Carrier Org ID]],B245),2)</f>
        <v>1</v>
      </c>
      <c r="Q245" s="216">
        <v>107</v>
      </c>
      <c r="R245" s="404">
        <f>ROUND(SUMIFS(Age_Sex_PY[[#All],[Total Member Months by Age/Sex Band]], Age_Sex_PY[[#All],[Advanced Network ID]], $Q245, Age_Sex_PY[[#All],[Insurance Category Code]],4),2)</f>
        <v>0</v>
      </c>
      <c r="S245" s="238">
        <f>ROUND(SUMIFS(Age_Sex_PY[[#All],[Total Dollars Excluded from Spending After Applying Truncation at the Member Level]], Age_Sex_PY[[#All],[Advanced Network ID]], $B245, Age_Sex_PY[[#All],[Insurance Category Code]],4),2)</f>
        <v>0</v>
      </c>
      <c r="T245" s="209">
        <f>ROUND(SUMIFS(Age_Sex_PY[[#All],[Count of Members whose Spending was Truncated]], Age_Sex_PY[[#All],[Advanced Network ID]], $B245, Age_Sex_PY[[#All],[Insurance Category Code]],4),2)</f>
        <v>0</v>
      </c>
      <c r="U245" s="210">
        <f>ROUND(SUMIFS(Age_Sex_PY[[#All],[Total Spending before Truncation is Applied]], Age_Sex_PY[[#All],[Advanced Network ID]], $B245, Age_Sex_PY[[#All],[Insurance Category Code]],4),2)</f>
        <v>0</v>
      </c>
      <c r="V245" s="212">
        <f>ROUND(SUMIFS(Age_Sex_PY[[#All],[Total Spending After Applying Truncation at the Member Level]], Age_Sex_PY[[#All],[Advanced Network ID]], $B245, Age_Sex_PY[[#All],[Insurance Category Code]],4),2)</f>
        <v>0</v>
      </c>
      <c r="W245" s="525" t="str">
        <f>IF(ROUND(R245,0)=ROUND(SUMIFS(AN_TME_PY[[#All],[Member Months]], AN_TME_PY[[#All],[Insurance Category Code]],4, AN_TME_PY[[#All],[Advanced Network/Insurance Carrier Org ID]],Q245),0), "TRUE", ROUND(R245-SUMIFS(AN_TME_PY[[#All],[Member Months]], AN_TME_PY[[#All],[Insurance Category Code]],4, AN_TME_PY[[#All],[Advanced Network/Insurance Carrier Org ID]],Q245),2))</f>
        <v>TRUE</v>
      </c>
      <c r="X245" s="527" t="str">
        <f>IF(ROUND(S245,0)=ROUND(SUMIFS(AN_TME_PY[[#All],[Total Claims Excluded because of Truncation]], AN_TME_PY[[#All],[Insurance Category Code]],4, AN_TME_PY[[#All],[Advanced Network/Insurance Carrier Org ID]],Q245),0), "TRUE", ROUND(S245-SUMIFS(AN_TME_PY[[#All],[Total Claims Excluded because of Truncation]], AN_TME_PY[[#All],[Insurance Category Code]],4, AN_TME_PY[[#All],[Advanced Network/Insurance Carrier Org ID]],Q245),2))</f>
        <v>TRUE</v>
      </c>
      <c r="Y245" s="537" t="str">
        <f>IF(ROUND(T245,0)=ROUND(SUMIFS(AN_TME_PY[[#All],[Count of Members with Claims Truncated]], AN_TME_PY[[#All],[Insurance Category Code]],4, AN_TME_PY[[#All],[Advanced Network/Insurance Carrier Org ID]],Q245),0), "TRUE", ROUND(T245-SUMIFS(AN_TME_PY[[#All],[Count of Members with Claims Truncated]], AN_TME_PY[[#All],[Insurance Category Code]],4, AN_TME_PY[[#All],[Advanced Network/Insurance Carrier Org ID]],Q245),2))</f>
        <v>TRUE</v>
      </c>
      <c r="Z245" s="528" t="str">
        <f>IF(ROUND(U245,0)=ROUND(SUMIFS(AN_TME_PY[[#All],[TOTAL Non-Truncated Unadjusted Claims Expenses]], AN_TME_PY[[#All],[Insurance Category Code]],4, AN_TME_PY[[#All],[Advanced Network/Insurance Carrier Org ID]],Q245),0), "TRUE", ROUND(U245-SUMIFS(AN_TME_PY[[#All],[TOTAL Non-Truncated Unadjusted Claims Expenses]], AN_TME_PY[[#All],[Insurance Category Code]],4, AN_TME_PY[[#All],[Advanced Network/Insurance Carrier Org ID]],Q245),2))</f>
        <v>TRUE</v>
      </c>
      <c r="AA245" s="529" t="str">
        <f>IF(ROUND(V245,0)=ROUND(SUMIFS(AN_TME_PY[[#All],[TOTAL Truncated Unadjusted Claims Expenses (A21 -A19)]], AN_TME_PY[[#All],[Insurance Category Code]],4, AN_TME_PY[[#All],[Advanced Network/Insurance Carrier Org ID]],Q245),0), "TRUE", ROUND(V245-SUMIFS(AN_TME_PY[[#All],[TOTAL Truncated Unadjusted Claims Expenses (A21 -A19)]], AN_TME_PY[[#All],[Insurance Category Code]],4, AN_TME_PY[[#All],[Advanced Network/Insurance Carrier Org ID]],Q245),2))</f>
        <v>TRUE</v>
      </c>
      <c r="AB245" s="525" t="str">
        <f t="shared" si="31"/>
        <v>TRUE</v>
      </c>
      <c r="AC245" s="528" t="b">
        <f>ROUND(SUMIFS(AN_TME_PY[[#All],[TOTAL Non-Truncated Unadjusted Claims Expenses]], AN_TME_PY[[#All],[Insurance Category Code]],4, AN_TME_PY[[#All],[Advanced Network/Insurance Carrier Org ID]],Q245),2)&gt;=ROUND(SUMIFS(AN_TME_PY[[#All],[TOTAL Truncated Unadjusted Claims Expenses (A21 -A19)]], AN_TME_PY[[#All],[Insurance Category Code]],4, AN_TME_PY[[#All],[Advanced Network/Insurance Carrier Org ID]],Q245),2)</f>
        <v>1</v>
      </c>
      <c r="AD245" s="529" t="b">
        <f>ROUND(SUMIFS(AN_TME_PY[[#All],[TOTAL Truncated Unadjusted Claims Expenses (A21 -A19)]], AN_TME_PY[[#All],[Insurance Category Code]],4, AN_TME_PY[[#All],[Advanced Network/Insurance Carrier Org ID]],Q245)+SUMIFS(AN_TME_PY[[#All],[Total Claims Excluded because of Truncation]], AN_TME_PY[[#All],[Insurance Category Code]],4, AN_TME_PY[[#All],[Advanced Network/Insurance Carrier Org ID]],Q245),2)=ROUND(SUMIFS(AN_TME_PY[[#All],[TOTAL Non-Truncated Unadjusted Claims Expenses]], AN_TME_PY[[#All],[Insurance Category Code]],4, AN_TME_PY[[#All],[Advanced Network/Insurance Carrier Org ID]],Q245),2)</f>
        <v>1</v>
      </c>
      <c r="AF245" s="283" t="str">
        <f t="shared" si="30"/>
        <v>NA</v>
      </c>
    </row>
    <row r="246" spans="2:32" outlineLevel="1" x14ac:dyDescent="0.25">
      <c r="B246" s="216">
        <v>108</v>
      </c>
      <c r="C246" s="404">
        <f>ROUND(SUMIFS(Age_Sex_BY[[#All],[Total Member Months by Age/Sex Band]], Age_Sex_BY[[#All],[Advanced Network ID]], $B246, Age_Sex_BY[[#All],[Insurance Category Code]],4),2)</f>
        <v>0</v>
      </c>
      <c r="D246" s="238">
        <f>ROUND(SUMIFS(Age_Sex_BY[[#All],[Total Dollars Excluded from Spending After Applying Truncation at the Member Level]], Age_Sex_BY[[#All],[Advanced Network ID]], $B246, Age_Sex_BY[[#All],[Insurance Category Code]],4),2)</f>
        <v>0</v>
      </c>
      <c r="E246" s="209">
        <f>ROUND(SUMIFS(Age_Sex_BY[[#All],[Count of Members whose Spending was Truncated]], Age_Sex_BY[[#All],[Advanced Network ID]], $B246, Age_Sex_BY[[#All],[Insurance Category Code]],4),2)</f>
        <v>0</v>
      </c>
      <c r="F246" s="210">
        <f>ROUND(SUMIFS(Age_Sex_BY[[#All],[Total Spending before Truncation is Applied]], Age_Sex_BY[[#All],[Advanced Network ID]], $B246, Age_Sex_BY[[#All],[Insurance Category Code]],4),2)</f>
        <v>0</v>
      </c>
      <c r="G246" s="212">
        <f>ROUND(SUMIFS(Age_Sex_BY[[#All],[Total Spending After Applying Truncation at the Member Level]], Age_Sex_BY[[#All],[Advanced Network ID]], $B246, Age_Sex_BY[[#All],[Insurance Category Code]],4),2)</f>
        <v>0</v>
      </c>
      <c r="H246" s="525" t="str">
        <f>IF(ROUND(C246,0)=ROUND(SUMIFS(AN_TME_BY[[#All],[Member Months]], AN_TME_BY[[#All],[Insurance Category Code]],4, AN_TME_BY[[#All],[Advanced Network/Insurance Carrier Org ID]],B246),0), "TRUE", ROUND(C246-SUMIFS(AN_TME_BY[[#All],[Member Months]], AN_TME_BY[[#All],[Insurance Category Code]],4, AN_TME_BY[[#All],[Advanced Network/Insurance Carrier Org ID]],B246),2))</f>
        <v>TRUE</v>
      </c>
      <c r="I246" s="533" t="str">
        <f>IF(ROUND(D246,0)=ROUND(SUMIFS(AN_TME_BY[[#All],[Total Claims Excluded because of Truncation]], AN_TME_BY[[#All],[Insurance Category Code]],4, AN_TME_BY[[#All],[Advanced Network/Insurance Carrier Org ID]],B246),0), "TRUE", ROUND(D246-SUMIFS(AN_TME_BY[[#All],[Total Claims Excluded because of Truncation]], AN_TME_BY[[#All],[Insurance Category Code]],4, AN_TME_BY[[#All],[Advanced Network/Insurance Carrier Org ID]],B246),2))</f>
        <v>TRUE</v>
      </c>
      <c r="J246" s="537" t="str">
        <f>IF(ROUND(E246,0)=ROUND(SUMIFS(AN_TME_BY[[#All],[Count of Members with Claims Truncated]], AN_TME_BY[[#All],[Insurance Category Code]],4, AN_TME_BY[[#All],[Advanced Network/Insurance Carrier Org ID]],B246),0), "TRUE", ROUND(E246-SUMIFS(AN_TME_BY[[#All],[Count of Members with Claims Truncated]], AN_TME_BY[[#All],[Insurance Category Code]],4, AN_TME_BY[[#All],[Advanced Network/Insurance Carrier Org ID]],B246),2))</f>
        <v>TRUE</v>
      </c>
      <c r="K246" s="533" t="str">
        <f>IF(ROUND(F246,0)=ROUND(SUMIFS(AN_TME_BY[[#All],[TOTAL Non-Truncated Unadjusted Claims Expenses]], AN_TME_BY[[#All],[Insurance Category Code]],4, AN_TME_BY[[#All],[Advanced Network/Insurance Carrier Org ID]],B246),0), "TRUE", ROUND(F246-SUMIFS(AN_TME_BY[[#All],[TOTAL Non-Truncated Unadjusted Claims Expenses]], AN_TME_BY[[#All],[Insurance Category Code]],4, AN_TME_BY[[#All],[Advanced Network/Insurance Carrier Org ID]],B246),2))</f>
        <v>TRUE</v>
      </c>
      <c r="L246" s="534" t="str">
        <f>IF(ROUND(G246,0)=ROUND(SUMIFS(AN_TME_BY[[#All],[TOTAL Truncated Unadjusted Claims Expenses (A21 -A19)]], AN_TME_BY[[#All],[Insurance Category Code]],4, AN_TME_BY[[#All],[Advanced Network/Insurance Carrier Org ID]],B246),0), "TRUE", ROUND(G246-SUMIFS(AN_TME_BY[[#All],[TOTAL Truncated Unadjusted Claims Expenses (A21 -A19)]], AN_TME_BY[[#All],[Insurance Category Code]],4, AN_TME_BY[[#All],[Advanced Network/Insurance Carrier Org ID]],B246),2))</f>
        <v>TRUE</v>
      </c>
      <c r="M246" s="525" t="str">
        <f t="shared" si="28"/>
        <v>TRUE</v>
      </c>
      <c r="N246" s="533" t="b">
        <f>ROUND(SUMIFS(AN_TME_BY[[#All],[TOTAL Non-Truncated Unadjusted Claims Expenses]], AN_TME_BY[[#All],[Insurance Category Code]],4, AN_TME_BY[[#All],[Advanced Network/Insurance Carrier Org ID]],B246),2)&gt;=ROUND(SUMIFS(AN_TME_BY[[#All],[TOTAL Truncated Unadjusted Claims Expenses (A21 -A19)]], AN_TME_BY[[#All],[Insurance Category Code]],4, AN_TME_BY[[#All],[Advanced Network/Insurance Carrier Org ID]],B246),2)</f>
        <v>1</v>
      </c>
      <c r="O246" s="534" t="b">
        <f>ROUND(SUMIFS(AN_TME_BY[[#All],[TOTAL Truncated Unadjusted Claims Expenses (A21 -A19)]], AN_TME_BY[[#All],[Insurance Category Code]],4, AN_TME_BY[[#All],[Advanced Network/Insurance Carrier Org ID]],B246)+SUMIFS(AN_TME_BY[[#All],[Total Claims Excluded because of Truncation]], AN_TME_BY[[#All],[Insurance Category Code]],4, AN_TME_BY[[#All],[Advanced Network/Insurance Carrier Org ID]],B246),2)=ROUND(SUMIFS(AN_TME_BY[[#All],[TOTAL Non-Truncated Unadjusted Claims Expenses]], AN_TME_BY[[#All],[Insurance Category Code]],4, AN_TME_BY[[#All],[Advanced Network/Insurance Carrier Org ID]],B246),2)</f>
        <v>1</v>
      </c>
      <c r="Q246" s="216">
        <v>108</v>
      </c>
      <c r="R246" s="404">
        <f>ROUND(SUMIFS(Age_Sex_PY[[#All],[Total Member Months by Age/Sex Band]], Age_Sex_PY[[#All],[Advanced Network ID]], $Q246, Age_Sex_PY[[#All],[Insurance Category Code]],4),2)</f>
        <v>0</v>
      </c>
      <c r="S246" s="238">
        <f>ROUND(SUMIFS(Age_Sex_PY[[#All],[Total Dollars Excluded from Spending After Applying Truncation at the Member Level]], Age_Sex_PY[[#All],[Advanced Network ID]], $B246, Age_Sex_PY[[#All],[Insurance Category Code]],4),2)</f>
        <v>0</v>
      </c>
      <c r="T246" s="209">
        <f>ROUND(SUMIFS(Age_Sex_PY[[#All],[Count of Members whose Spending was Truncated]], Age_Sex_PY[[#All],[Advanced Network ID]], $B246, Age_Sex_PY[[#All],[Insurance Category Code]],4),2)</f>
        <v>0</v>
      </c>
      <c r="U246" s="210">
        <f>ROUND(SUMIFS(Age_Sex_PY[[#All],[Total Spending before Truncation is Applied]], Age_Sex_PY[[#All],[Advanced Network ID]], $B246, Age_Sex_PY[[#All],[Insurance Category Code]],4),2)</f>
        <v>0</v>
      </c>
      <c r="V246" s="212">
        <f>ROUND(SUMIFS(Age_Sex_PY[[#All],[Total Spending After Applying Truncation at the Member Level]], Age_Sex_PY[[#All],[Advanced Network ID]], $B246, Age_Sex_PY[[#All],[Insurance Category Code]],4),2)</f>
        <v>0</v>
      </c>
      <c r="W246" s="525" t="str">
        <f>IF(ROUND(R246,0)=ROUND(SUMIFS(AN_TME_PY[[#All],[Member Months]], AN_TME_PY[[#All],[Insurance Category Code]],4, AN_TME_PY[[#All],[Advanced Network/Insurance Carrier Org ID]],Q246),0), "TRUE", ROUND(R246-SUMIFS(AN_TME_PY[[#All],[Member Months]], AN_TME_PY[[#All],[Insurance Category Code]],4, AN_TME_PY[[#All],[Advanced Network/Insurance Carrier Org ID]],Q246),2))</f>
        <v>TRUE</v>
      </c>
      <c r="X246" s="527" t="str">
        <f>IF(ROUND(S246,0)=ROUND(SUMIFS(AN_TME_PY[[#All],[Total Claims Excluded because of Truncation]], AN_TME_PY[[#All],[Insurance Category Code]],4, AN_TME_PY[[#All],[Advanced Network/Insurance Carrier Org ID]],Q246),0), "TRUE", ROUND(S246-SUMIFS(AN_TME_PY[[#All],[Total Claims Excluded because of Truncation]], AN_TME_PY[[#All],[Insurance Category Code]],4, AN_TME_PY[[#All],[Advanced Network/Insurance Carrier Org ID]],Q246),2))</f>
        <v>TRUE</v>
      </c>
      <c r="Y246" s="537" t="str">
        <f>IF(ROUND(T246,0)=ROUND(SUMIFS(AN_TME_PY[[#All],[Count of Members with Claims Truncated]], AN_TME_PY[[#All],[Insurance Category Code]],4, AN_TME_PY[[#All],[Advanced Network/Insurance Carrier Org ID]],Q246),0), "TRUE", ROUND(T246-SUMIFS(AN_TME_PY[[#All],[Count of Members with Claims Truncated]], AN_TME_PY[[#All],[Insurance Category Code]],4, AN_TME_PY[[#All],[Advanced Network/Insurance Carrier Org ID]],Q246),2))</f>
        <v>TRUE</v>
      </c>
      <c r="Z246" s="528" t="str">
        <f>IF(ROUND(U246,0)=ROUND(SUMIFS(AN_TME_PY[[#All],[TOTAL Non-Truncated Unadjusted Claims Expenses]], AN_TME_PY[[#All],[Insurance Category Code]],4, AN_TME_PY[[#All],[Advanced Network/Insurance Carrier Org ID]],Q246),0), "TRUE", ROUND(U246-SUMIFS(AN_TME_PY[[#All],[TOTAL Non-Truncated Unadjusted Claims Expenses]], AN_TME_PY[[#All],[Insurance Category Code]],4, AN_TME_PY[[#All],[Advanced Network/Insurance Carrier Org ID]],Q246),2))</f>
        <v>TRUE</v>
      </c>
      <c r="AA246" s="529" t="str">
        <f>IF(ROUND(V246,0)=ROUND(SUMIFS(AN_TME_PY[[#All],[TOTAL Truncated Unadjusted Claims Expenses (A21 -A19)]], AN_TME_PY[[#All],[Insurance Category Code]],4, AN_TME_PY[[#All],[Advanced Network/Insurance Carrier Org ID]],Q246),0), "TRUE", ROUND(V246-SUMIFS(AN_TME_PY[[#All],[TOTAL Truncated Unadjusted Claims Expenses (A21 -A19)]], AN_TME_PY[[#All],[Insurance Category Code]],4, AN_TME_PY[[#All],[Advanced Network/Insurance Carrier Org ID]],Q246),2))</f>
        <v>TRUE</v>
      </c>
      <c r="AB246" s="525" t="str">
        <f t="shared" si="31"/>
        <v>TRUE</v>
      </c>
      <c r="AC246" s="528" t="b">
        <f>ROUND(SUMIFS(AN_TME_PY[[#All],[TOTAL Non-Truncated Unadjusted Claims Expenses]], AN_TME_PY[[#All],[Insurance Category Code]],4, AN_TME_PY[[#All],[Advanced Network/Insurance Carrier Org ID]],Q246),2)&gt;=ROUND(SUMIFS(AN_TME_PY[[#All],[TOTAL Truncated Unadjusted Claims Expenses (A21 -A19)]], AN_TME_PY[[#All],[Insurance Category Code]],4, AN_TME_PY[[#All],[Advanced Network/Insurance Carrier Org ID]],Q246),2)</f>
        <v>1</v>
      </c>
      <c r="AD246" s="529" t="b">
        <f>ROUND(SUMIFS(AN_TME_PY[[#All],[TOTAL Truncated Unadjusted Claims Expenses (A21 -A19)]], AN_TME_PY[[#All],[Insurance Category Code]],4, AN_TME_PY[[#All],[Advanced Network/Insurance Carrier Org ID]],Q246)+SUMIFS(AN_TME_PY[[#All],[Total Claims Excluded because of Truncation]], AN_TME_PY[[#All],[Insurance Category Code]],4, AN_TME_PY[[#All],[Advanced Network/Insurance Carrier Org ID]],Q246),2)=ROUND(SUMIFS(AN_TME_PY[[#All],[TOTAL Non-Truncated Unadjusted Claims Expenses]], AN_TME_PY[[#All],[Insurance Category Code]],4, AN_TME_PY[[#All],[Advanced Network/Insurance Carrier Org ID]],Q246),2)</f>
        <v>1</v>
      </c>
      <c r="AF246" s="283" t="str">
        <f t="shared" si="30"/>
        <v>NA</v>
      </c>
    </row>
    <row r="247" spans="2:32" outlineLevel="1" x14ac:dyDescent="0.25">
      <c r="B247" s="216">
        <v>109</v>
      </c>
      <c r="C247" s="404">
        <f>ROUND(SUMIFS(Age_Sex_BY[[#All],[Total Member Months by Age/Sex Band]], Age_Sex_BY[[#All],[Advanced Network ID]], $B247, Age_Sex_BY[[#All],[Insurance Category Code]],4),2)</f>
        <v>0</v>
      </c>
      <c r="D247" s="238">
        <f>ROUND(SUMIFS(Age_Sex_BY[[#All],[Total Dollars Excluded from Spending After Applying Truncation at the Member Level]], Age_Sex_BY[[#All],[Advanced Network ID]], $B247, Age_Sex_BY[[#All],[Insurance Category Code]],4),2)</f>
        <v>0</v>
      </c>
      <c r="E247" s="209">
        <f>ROUND(SUMIFS(Age_Sex_BY[[#All],[Count of Members whose Spending was Truncated]], Age_Sex_BY[[#All],[Advanced Network ID]], $B247, Age_Sex_BY[[#All],[Insurance Category Code]],4),2)</f>
        <v>0</v>
      </c>
      <c r="F247" s="210">
        <f>ROUND(SUMIFS(Age_Sex_BY[[#All],[Total Spending before Truncation is Applied]], Age_Sex_BY[[#All],[Advanced Network ID]], $B247, Age_Sex_BY[[#All],[Insurance Category Code]],4),2)</f>
        <v>0</v>
      </c>
      <c r="G247" s="212">
        <f>ROUND(SUMIFS(Age_Sex_BY[[#All],[Total Spending After Applying Truncation at the Member Level]], Age_Sex_BY[[#All],[Advanced Network ID]], $B247, Age_Sex_BY[[#All],[Insurance Category Code]],4),2)</f>
        <v>0</v>
      </c>
      <c r="H247" s="525" t="str">
        <f>IF(ROUND(C247,0)=ROUND(SUMIFS(AN_TME_BY[[#All],[Member Months]], AN_TME_BY[[#All],[Insurance Category Code]],4, AN_TME_BY[[#All],[Advanced Network/Insurance Carrier Org ID]],B247),0), "TRUE", ROUND(C247-SUMIFS(AN_TME_BY[[#All],[Member Months]], AN_TME_BY[[#All],[Insurance Category Code]],4, AN_TME_BY[[#All],[Advanced Network/Insurance Carrier Org ID]],B247),2))</f>
        <v>TRUE</v>
      </c>
      <c r="I247" s="533" t="str">
        <f>IF(ROUND(D247,0)=ROUND(SUMIFS(AN_TME_BY[[#All],[Total Claims Excluded because of Truncation]], AN_TME_BY[[#All],[Insurance Category Code]],4, AN_TME_BY[[#All],[Advanced Network/Insurance Carrier Org ID]],B247),0), "TRUE", ROUND(D247-SUMIFS(AN_TME_BY[[#All],[Total Claims Excluded because of Truncation]], AN_TME_BY[[#All],[Insurance Category Code]],4, AN_TME_BY[[#All],[Advanced Network/Insurance Carrier Org ID]],B247),2))</f>
        <v>TRUE</v>
      </c>
      <c r="J247" s="537" t="str">
        <f>IF(ROUND(E247,0)=ROUND(SUMIFS(AN_TME_BY[[#All],[Count of Members with Claims Truncated]], AN_TME_BY[[#All],[Insurance Category Code]],4, AN_TME_BY[[#All],[Advanced Network/Insurance Carrier Org ID]],B247),0), "TRUE", ROUND(E247-SUMIFS(AN_TME_BY[[#All],[Count of Members with Claims Truncated]], AN_TME_BY[[#All],[Insurance Category Code]],4, AN_TME_BY[[#All],[Advanced Network/Insurance Carrier Org ID]],B247),2))</f>
        <v>TRUE</v>
      </c>
      <c r="K247" s="533" t="str">
        <f>IF(ROUND(F247,0)=ROUND(SUMIFS(AN_TME_BY[[#All],[TOTAL Non-Truncated Unadjusted Claims Expenses]], AN_TME_BY[[#All],[Insurance Category Code]],4, AN_TME_BY[[#All],[Advanced Network/Insurance Carrier Org ID]],B247),0), "TRUE", ROUND(F247-SUMIFS(AN_TME_BY[[#All],[TOTAL Non-Truncated Unadjusted Claims Expenses]], AN_TME_BY[[#All],[Insurance Category Code]],4, AN_TME_BY[[#All],[Advanced Network/Insurance Carrier Org ID]],B247),2))</f>
        <v>TRUE</v>
      </c>
      <c r="L247" s="534" t="str">
        <f>IF(ROUND(G247,0)=ROUND(SUMIFS(AN_TME_BY[[#All],[TOTAL Truncated Unadjusted Claims Expenses (A21 -A19)]], AN_TME_BY[[#All],[Insurance Category Code]],4, AN_TME_BY[[#All],[Advanced Network/Insurance Carrier Org ID]],B247),0), "TRUE", ROUND(G247-SUMIFS(AN_TME_BY[[#All],[TOTAL Truncated Unadjusted Claims Expenses (A21 -A19)]], AN_TME_BY[[#All],[Insurance Category Code]],4, AN_TME_BY[[#All],[Advanced Network/Insurance Carrier Org ID]],B247),2))</f>
        <v>TRUE</v>
      </c>
      <c r="M247" s="525" t="str">
        <f t="shared" si="28"/>
        <v>TRUE</v>
      </c>
      <c r="N247" s="533" t="b">
        <f>ROUND(SUMIFS(AN_TME_BY[[#All],[TOTAL Non-Truncated Unadjusted Claims Expenses]], AN_TME_BY[[#All],[Insurance Category Code]],4, AN_TME_BY[[#All],[Advanced Network/Insurance Carrier Org ID]],B247),2)&gt;=ROUND(SUMIFS(AN_TME_BY[[#All],[TOTAL Truncated Unadjusted Claims Expenses (A21 -A19)]], AN_TME_BY[[#All],[Insurance Category Code]],4, AN_TME_BY[[#All],[Advanced Network/Insurance Carrier Org ID]],B247),2)</f>
        <v>1</v>
      </c>
      <c r="O247" s="534" t="b">
        <f>ROUND(SUMIFS(AN_TME_BY[[#All],[TOTAL Truncated Unadjusted Claims Expenses (A21 -A19)]], AN_TME_BY[[#All],[Insurance Category Code]],4, AN_TME_BY[[#All],[Advanced Network/Insurance Carrier Org ID]],B247)+SUMIFS(AN_TME_BY[[#All],[Total Claims Excluded because of Truncation]], AN_TME_BY[[#All],[Insurance Category Code]],4, AN_TME_BY[[#All],[Advanced Network/Insurance Carrier Org ID]],B247),2)=ROUND(SUMIFS(AN_TME_BY[[#All],[TOTAL Non-Truncated Unadjusted Claims Expenses]], AN_TME_BY[[#All],[Insurance Category Code]],4, AN_TME_BY[[#All],[Advanced Network/Insurance Carrier Org ID]],B247),2)</f>
        <v>1</v>
      </c>
      <c r="Q247" s="216">
        <v>109</v>
      </c>
      <c r="R247" s="404">
        <f>ROUND(SUMIFS(Age_Sex_PY[[#All],[Total Member Months by Age/Sex Band]], Age_Sex_PY[[#All],[Advanced Network ID]], $Q247, Age_Sex_PY[[#All],[Insurance Category Code]],4),2)</f>
        <v>0</v>
      </c>
      <c r="S247" s="238">
        <f>ROUND(SUMIFS(Age_Sex_PY[[#All],[Total Dollars Excluded from Spending After Applying Truncation at the Member Level]], Age_Sex_PY[[#All],[Advanced Network ID]], $B247, Age_Sex_PY[[#All],[Insurance Category Code]],4),2)</f>
        <v>0</v>
      </c>
      <c r="T247" s="209">
        <f>ROUND(SUMIFS(Age_Sex_PY[[#All],[Count of Members whose Spending was Truncated]], Age_Sex_PY[[#All],[Advanced Network ID]], $B247, Age_Sex_PY[[#All],[Insurance Category Code]],4),2)</f>
        <v>0</v>
      </c>
      <c r="U247" s="210">
        <f>ROUND(SUMIFS(Age_Sex_PY[[#All],[Total Spending before Truncation is Applied]], Age_Sex_PY[[#All],[Advanced Network ID]], $B247, Age_Sex_PY[[#All],[Insurance Category Code]],4),2)</f>
        <v>0</v>
      </c>
      <c r="V247" s="212">
        <f>ROUND(SUMIFS(Age_Sex_PY[[#All],[Total Spending After Applying Truncation at the Member Level]], Age_Sex_PY[[#All],[Advanced Network ID]], $B247, Age_Sex_PY[[#All],[Insurance Category Code]],4),2)</f>
        <v>0</v>
      </c>
      <c r="W247" s="525" t="str">
        <f>IF(ROUND(R247,0)=ROUND(SUMIFS(AN_TME_PY[[#All],[Member Months]], AN_TME_PY[[#All],[Insurance Category Code]],4, AN_TME_PY[[#All],[Advanced Network/Insurance Carrier Org ID]],Q247),0), "TRUE", ROUND(R247-SUMIFS(AN_TME_PY[[#All],[Member Months]], AN_TME_PY[[#All],[Insurance Category Code]],4, AN_TME_PY[[#All],[Advanced Network/Insurance Carrier Org ID]],Q247),2))</f>
        <v>TRUE</v>
      </c>
      <c r="X247" s="527" t="str">
        <f>IF(ROUND(S247,0)=ROUND(SUMIFS(AN_TME_PY[[#All],[Total Claims Excluded because of Truncation]], AN_TME_PY[[#All],[Insurance Category Code]],4, AN_TME_PY[[#All],[Advanced Network/Insurance Carrier Org ID]],Q247),0), "TRUE", ROUND(S247-SUMIFS(AN_TME_PY[[#All],[Total Claims Excluded because of Truncation]], AN_TME_PY[[#All],[Insurance Category Code]],4, AN_TME_PY[[#All],[Advanced Network/Insurance Carrier Org ID]],Q247),2))</f>
        <v>TRUE</v>
      </c>
      <c r="Y247" s="537" t="str">
        <f>IF(ROUND(T247,0)=ROUND(SUMIFS(AN_TME_PY[[#All],[Count of Members with Claims Truncated]], AN_TME_PY[[#All],[Insurance Category Code]],4, AN_TME_PY[[#All],[Advanced Network/Insurance Carrier Org ID]],Q247),0), "TRUE", ROUND(T247-SUMIFS(AN_TME_PY[[#All],[Count of Members with Claims Truncated]], AN_TME_PY[[#All],[Insurance Category Code]],4, AN_TME_PY[[#All],[Advanced Network/Insurance Carrier Org ID]],Q247),2))</f>
        <v>TRUE</v>
      </c>
      <c r="Z247" s="528" t="str">
        <f>IF(ROUND(U247,0)=ROUND(SUMIFS(AN_TME_PY[[#All],[TOTAL Non-Truncated Unadjusted Claims Expenses]], AN_TME_PY[[#All],[Insurance Category Code]],4, AN_TME_PY[[#All],[Advanced Network/Insurance Carrier Org ID]],Q247),0), "TRUE", ROUND(U247-SUMIFS(AN_TME_PY[[#All],[TOTAL Non-Truncated Unadjusted Claims Expenses]], AN_TME_PY[[#All],[Insurance Category Code]],4, AN_TME_PY[[#All],[Advanced Network/Insurance Carrier Org ID]],Q247),2))</f>
        <v>TRUE</v>
      </c>
      <c r="AA247" s="529" t="str">
        <f>IF(ROUND(V247,0)=ROUND(SUMIFS(AN_TME_PY[[#All],[TOTAL Truncated Unadjusted Claims Expenses (A21 -A19)]], AN_TME_PY[[#All],[Insurance Category Code]],4, AN_TME_PY[[#All],[Advanced Network/Insurance Carrier Org ID]],Q247),0), "TRUE", ROUND(V247-SUMIFS(AN_TME_PY[[#All],[TOTAL Truncated Unadjusted Claims Expenses (A21 -A19)]], AN_TME_PY[[#All],[Insurance Category Code]],4, AN_TME_PY[[#All],[Advanced Network/Insurance Carrier Org ID]],Q247),2))</f>
        <v>TRUE</v>
      </c>
      <c r="AB247" s="525" t="str">
        <f t="shared" si="31"/>
        <v>TRUE</v>
      </c>
      <c r="AC247" s="528" t="b">
        <f>ROUND(SUMIFS(AN_TME_PY[[#All],[TOTAL Non-Truncated Unadjusted Claims Expenses]], AN_TME_PY[[#All],[Insurance Category Code]],4, AN_TME_PY[[#All],[Advanced Network/Insurance Carrier Org ID]],Q247),2)&gt;=ROUND(SUMIFS(AN_TME_PY[[#All],[TOTAL Truncated Unadjusted Claims Expenses (A21 -A19)]], AN_TME_PY[[#All],[Insurance Category Code]],4, AN_TME_PY[[#All],[Advanced Network/Insurance Carrier Org ID]],Q247),2)</f>
        <v>1</v>
      </c>
      <c r="AD247" s="529" t="b">
        <f>ROUND(SUMIFS(AN_TME_PY[[#All],[TOTAL Truncated Unadjusted Claims Expenses (A21 -A19)]], AN_TME_PY[[#All],[Insurance Category Code]],4, AN_TME_PY[[#All],[Advanced Network/Insurance Carrier Org ID]],Q247)+SUMIFS(AN_TME_PY[[#All],[Total Claims Excluded because of Truncation]], AN_TME_PY[[#All],[Insurance Category Code]],4, AN_TME_PY[[#All],[Advanced Network/Insurance Carrier Org ID]],Q247),2)=ROUND(SUMIFS(AN_TME_PY[[#All],[TOTAL Non-Truncated Unadjusted Claims Expenses]], AN_TME_PY[[#All],[Insurance Category Code]],4, AN_TME_PY[[#All],[Advanced Network/Insurance Carrier Org ID]],Q247),2)</f>
        <v>1</v>
      </c>
      <c r="AF247" s="283" t="str">
        <f t="shared" si="30"/>
        <v>NA</v>
      </c>
    </row>
    <row r="248" spans="2:32" outlineLevel="1" x14ac:dyDescent="0.25">
      <c r="B248" s="216">
        <v>110</v>
      </c>
      <c r="C248" s="404">
        <f>ROUND(SUMIFS(Age_Sex_BY[[#All],[Total Member Months by Age/Sex Band]], Age_Sex_BY[[#All],[Advanced Network ID]], $B248, Age_Sex_BY[[#All],[Insurance Category Code]],4),2)</f>
        <v>0</v>
      </c>
      <c r="D248" s="238">
        <f>ROUND(SUMIFS(Age_Sex_BY[[#All],[Total Dollars Excluded from Spending After Applying Truncation at the Member Level]], Age_Sex_BY[[#All],[Advanced Network ID]], $B248, Age_Sex_BY[[#All],[Insurance Category Code]],4),2)</f>
        <v>0</v>
      </c>
      <c r="E248" s="209">
        <f>ROUND(SUMIFS(Age_Sex_BY[[#All],[Count of Members whose Spending was Truncated]], Age_Sex_BY[[#All],[Advanced Network ID]], $B248, Age_Sex_BY[[#All],[Insurance Category Code]],4),2)</f>
        <v>0</v>
      </c>
      <c r="F248" s="210">
        <f>ROUND(SUMIFS(Age_Sex_BY[[#All],[Total Spending before Truncation is Applied]], Age_Sex_BY[[#All],[Advanced Network ID]], $B248, Age_Sex_BY[[#All],[Insurance Category Code]],4),2)</f>
        <v>0</v>
      </c>
      <c r="G248" s="212">
        <f>ROUND(SUMIFS(Age_Sex_BY[[#All],[Total Spending After Applying Truncation at the Member Level]], Age_Sex_BY[[#All],[Advanced Network ID]], $B248, Age_Sex_BY[[#All],[Insurance Category Code]],4),2)</f>
        <v>0</v>
      </c>
      <c r="H248" s="525" t="str">
        <f>IF(ROUND(C248,0)=ROUND(SUMIFS(AN_TME_BY[[#All],[Member Months]], AN_TME_BY[[#All],[Insurance Category Code]],4, AN_TME_BY[[#All],[Advanced Network/Insurance Carrier Org ID]],B248),0), "TRUE", ROUND(C248-SUMIFS(AN_TME_BY[[#All],[Member Months]], AN_TME_BY[[#All],[Insurance Category Code]],4, AN_TME_BY[[#All],[Advanced Network/Insurance Carrier Org ID]],B248),2))</f>
        <v>TRUE</v>
      </c>
      <c r="I248" s="533" t="str">
        <f>IF(ROUND(D248,0)=ROUND(SUMIFS(AN_TME_BY[[#All],[Total Claims Excluded because of Truncation]], AN_TME_BY[[#All],[Insurance Category Code]],4, AN_TME_BY[[#All],[Advanced Network/Insurance Carrier Org ID]],B248),0), "TRUE", ROUND(D248-SUMIFS(AN_TME_BY[[#All],[Total Claims Excluded because of Truncation]], AN_TME_BY[[#All],[Insurance Category Code]],4, AN_TME_BY[[#All],[Advanced Network/Insurance Carrier Org ID]],B248),2))</f>
        <v>TRUE</v>
      </c>
      <c r="J248" s="537" t="str">
        <f>IF(ROUND(E248,0)=ROUND(SUMIFS(AN_TME_BY[[#All],[Count of Members with Claims Truncated]], AN_TME_BY[[#All],[Insurance Category Code]],4, AN_TME_BY[[#All],[Advanced Network/Insurance Carrier Org ID]],B248),0), "TRUE", ROUND(E248-SUMIFS(AN_TME_BY[[#All],[Count of Members with Claims Truncated]], AN_TME_BY[[#All],[Insurance Category Code]],4, AN_TME_BY[[#All],[Advanced Network/Insurance Carrier Org ID]],B248),2))</f>
        <v>TRUE</v>
      </c>
      <c r="K248" s="533" t="str">
        <f>IF(ROUND(F248,0)=ROUND(SUMIFS(AN_TME_BY[[#All],[TOTAL Non-Truncated Unadjusted Claims Expenses]], AN_TME_BY[[#All],[Insurance Category Code]],4, AN_TME_BY[[#All],[Advanced Network/Insurance Carrier Org ID]],B248),0), "TRUE", ROUND(F248-SUMIFS(AN_TME_BY[[#All],[TOTAL Non-Truncated Unadjusted Claims Expenses]], AN_TME_BY[[#All],[Insurance Category Code]],4, AN_TME_BY[[#All],[Advanced Network/Insurance Carrier Org ID]],B248),2))</f>
        <v>TRUE</v>
      </c>
      <c r="L248" s="534" t="str">
        <f>IF(ROUND(G248,0)=ROUND(SUMIFS(AN_TME_BY[[#All],[TOTAL Truncated Unadjusted Claims Expenses (A21 -A19)]], AN_TME_BY[[#All],[Insurance Category Code]],4, AN_TME_BY[[#All],[Advanced Network/Insurance Carrier Org ID]],B248),0), "TRUE", ROUND(G248-SUMIFS(AN_TME_BY[[#All],[TOTAL Truncated Unadjusted Claims Expenses (A21 -A19)]], AN_TME_BY[[#All],[Insurance Category Code]],4, AN_TME_BY[[#All],[Advanced Network/Insurance Carrier Org ID]],B248),2))</f>
        <v>TRUE</v>
      </c>
      <c r="M248" s="525" t="str">
        <f t="shared" si="28"/>
        <v>TRUE</v>
      </c>
      <c r="N248" s="533" t="b">
        <f>ROUND(SUMIFS(AN_TME_BY[[#All],[TOTAL Non-Truncated Unadjusted Claims Expenses]], AN_TME_BY[[#All],[Insurance Category Code]],4, AN_TME_BY[[#All],[Advanced Network/Insurance Carrier Org ID]],B248),2)&gt;=ROUND(SUMIFS(AN_TME_BY[[#All],[TOTAL Truncated Unadjusted Claims Expenses (A21 -A19)]], AN_TME_BY[[#All],[Insurance Category Code]],4, AN_TME_BY[[#All],[Advanced Network/Insurance Carrier Org ID]],B248),2)</f>
        <v>1</v>
      </c>
      <c r="O248" s="534" t="b">
        <f>ROUND(SUMIFS(AN_TME_BY[[#All],[TOTAL Truncated Unadjusted Claims Expenses (A21 -A19)]], AN_TME_BY[[#All],[Insurance Category Code]],4, AN_TME_BY[[#All],[Advanced Network/Insurance Carrier Org ID]],B248)+SUMIFS(AN_TME_BY[[#All],[Total Claims Excluded because of Truncation]], AN_TME_BY[[#All],[Insurance Category Code]],4, AN_TME_BY[[#All],[Advanced Network/Insurance Carrier Org ID]],B248),2)=ROUND(SUMIFS(AN_TME_BY[[#All],[TOTAL Non-Truncated Unadjusted Claims Expenses]], AN_TME_BY[[#All],[Insurance Category Code]],4, AN_TME_BY[[#All],[Advanced Network/Insurance Carrier Org ID]],B248),2)</f>
        <v>1</v>
      </c>
      <c r="Q248" s="216">
        <v>110</v>
      </c>
      <c r="R248" s="404">
        <f>ROUND(SUMIFS(Age_Sex_PY[[#All],[Total Member Months by Age/Sex Band]], Age_Sex_PY[[#All],[Advanced Network ID]], $Q248, Age_Sex_PY[[#All],[Insurance Category Code]],4),2)</f>
        <v>0</v>
      </c>
      <c r="S248" s="238">
        <f>ROUND(SUMIFS(Age_Sex_PY[[#All],[Total Dollars Excluded from Spending After Applying Truncation at the Member Level]], Age_Sex_PY[[#All],[Advanced Network ID]], $B248, Age_Sex_PY[[#All],[Insurance Category Code]],4),2)</f>
        <v>0</v>
      </c>
      <c r="T248" s="209">
        <f>ROUND(SUMIFS(Age_Sex_PY[[#All],[Count of Members whose Spending was Truncated]], Age_Sex_PY[[#All],[Advanced Network ID]], $B248, Age_Sex_PY[[#All],[Insurance Category Code]],4),2)</f>
        <v>0</v>
      </c>
      <c r="U248" s="210">
        <f>ROUND(SUMIFS(Age_Sex_PY[[#All],[Total Spending before Truncation is Applied]], Age_Sex_PY[[#All],[Advanced Network ID]], $B248, Age_Sex_PY[[#All],[Insurance Category Code]],4),2)</f>
        <v>0</v>
      </c>
      <c r="V248" s="212">
        <f>ROUND(SUMIFS(Age_Sex_PY[[#All],[Total Spending After Applying Truncation at the Member Level]], Age_Sex_PY[[#All],[Advanced Network ID]], $B248, Age_Sex_PY[[#All],[Insurance Category Code]],4),2)</f>
        <v>0</v>
      </c>
      <c r="W248" s="525" t="str">
        <f>IF(ROUND(R248,0)=ROUND(SUMIFS(AN_TME_PY[[#All],[Member Months]], AN_TME_PY[[#All],[Insurance Category Code]],4, AN_TME_PY[[#All],[Advanced Network/Insurance Carrier Org ID]],Q248),0), "TRUE", ROUND(R248-SUMIFS(AN_TME_PY[[#All],[Member Months]], AN_TME_PY[[#All],[Insurance Category Code]],4, AN_TME_PY[[#All],[Advanced Network/Insurance Carrier Org ID]],Q248),2))</f>
        <v>TRUE</v>
      </c>
      <c r="X248" s="527" t="str">
        <f>IF(ROUND(S248,0)=ROUND(SUMIFS(AN_TME_PY[[#All],[Total Claims Excluded because of Truncation]], AN_TME_PY[[#All],[Insurance Category Code]],4, AN_TME_PY[[#All],[Advanced Network/Insurance Carrier Org ID]],Q248),0), "TRUE", ROUND(S248-SUMIFS(AN_TME_PY[[#All],[Total Claims Excluded because of Truncation]], AN_TME_PY[[#All],[Insurance Category Code]],4, AN_TME_PY[[#All],[Advanced Network/Insurance Carrier Org ID]],Q248),2))</f>
        <v>TRUE</v>
      </c>
      <c r="Y248" s="537" t="str">
        <f>IF(ROUND(T248,0)=ROUND(SUMIFS(AN_TME_PY[[#All],[Count of Members with Claims Truncated]], AN_TME_PY[[#All],[Insurance Category Code]],4, AN_TME_PY[[#All],[Advanced Network/Insurance Carrier Org ID]],Q248),0), "TRUE", ROUND(T248-SUMIFS(AN_TME_PY[[#All],[Count of Members with Claims Truncated]], AN_TME_PY[[#All],[Insurance Category Code]],4, AN_TME_PY[[#All],[Advanced Network/Insurance Carrier Org ID]],Q248),2))</f>
        <v>TRUE</v>
      </c>
      <c r="Z248" s="528" t="str">
        <f>IF(ROUND(U248,0)=ROUND(SUMIFS(AN_TME_PY[[#All],[TOTAL Non-Truncated Unadjusted Claims Expenses]], AN_TME_PY[[#All],[Insurance Category Code]],4, AN_TME_PY[[#All],[Advanced Network/Insurance Carrier Org ID]],Q248),0), "TRUE", ROUND(U248-SUMIFS(AN_TME_PY[[#All],[TOTAL Non-Truncated Unadjusted Claims Expenses]], AN_TME_PY[[#All],[Insurance Category Code]],4, AN_TME_PY[[#All],[Advanced Network/Insurance Carrier Org ID]],Q248),2))</f>
        <v>TRUE</v>
      </c>
      <c r="AA248" s="529" t="str">
        <f>IF(ROUND(V248,0)=ROUND(SUMIFS(AN_TME_PY[[#All],[TOTAL Truncated Unadjusted Claims Expenses (A21 -A19)]], AN_TME_PY[[#All],[Insurance Category Code]],4, AN_TME_PY[[#All],[Advanced Network/Insurance Carrier Org ID]],Q248),0), "TRUE", ROUND(V248-SUMIFS(AN_TME_PY[[#All],[TOTAL Truncated Unadjusted Claims Expenses (A21 -A19)]], AN_TME_PY[[#All],[Insurance Category Code]],4, AN_TME_PY[[#All],[Advanced Network/Insurance Carrier Org ID]],Q248),2))</f>
        <v>TRUE</v>
      </c>
      <c r="AB248" s="525" t="str">
        <f t="shared" si="31"/>
        <v>TRUE</v>
      </c>
      <c r="AC248" s="528" t="b">
        <f>ROUND(SUMIFS(AN_TME_PY[[#All],[TOTAL Non-Truncated Unadjusted Claims Expenses]], AN_TME_PY[[#All],[Insurance Category Code]],4, AN_TME_PY[[#All],[Advanced Network/Insurance Carrier Org ID]],Q248),2)&gt;=ROUND(SUMIFS(AN_TME_PY[[#All],[TOTAL Truncated Unadjusted Claims Expenses (A21 -A19)]], AN_TME_PY[[#All],[Insurance Category Code]],4, AN_TME_PY[[#All],[Advanced Network/Insurance Carrier Org ID]],Q248),2)</f>
        <v>1</v>
      </c>
      <c r="AD248" s="529" t="b">
        <f>ROUND(SUMIFS(AN_TME_PY[[#All],[TOTAL Truncated Unadjusted Claims Expenses (A21 -A19)]], AN_TME_PY[[#All],[Insurance Category Code]],4, AN_TME_PY[[#All],[Advanced Network/Insurance Carrier Org ID]],Q248)+SUMIFS(AN_TME_PY[[#All],[Total Claims Excluded because of Truncation]], AN_TME_PY[[#All],[Insurance Category Code]],4, AN_TME_PY[[#All],[Advanced Network/Insurance Carrier Org ID]],Q248),2)=ROUND(SUMIFS(AN_TME_PY[[#All],[TOTAL Non-Truncated Unadjusted Claims Expenses]], AN_TME_PY[[#All],[Insurance Category Code]],4, AN_TME_PY[[#All],[Advanced Network/Insurance Carrier Org ID]],Q248),2)</f>
        <v>1</v>
      </c>
      <c r="AF248" s="283" t="str">
        <f t="shared" si="30"/>
        <v>NA</v>
      </c>
    </row>
    <row r="249" spans="2:32" outlineLevel="1" x14ac:dyDescent="0.25">
      <c r="B249" s="216">
        <v>111</v>
      </c>
      <c r="C249" s="404">
        <f>ROUND(SUMIFS(Age_Sex_BY[[#All],[Total Member Months by Age/Sex Band]], Age_Sex_BY[[#All],[Advanced Network ID]], $B249, Age_Sex_BY[[#All],[Insurance Category Code]],4),2)</f>
        <v>0</v>
      </c>
      <c r="D249" s="238">
        <f>ROUND(SUMIFS(Age_Sex_BY[[#All],[Total Dollars Excluded from Spending After Applying Truncation at the Member Level]], Age_Sex_BY[[#All],[Advanced Network ID]], $B249, Age_Sex_BY[[#All],[Insurance Category Code]],4),2)</f>
        <v>0</v>
      </c>
      <c r="E249" s="209">
        <f>ROUND(SUMIFS(Age_Sex_BY[[#All],[Count of Members whose Spending was Truncated]], Age_Sex_BY[[#All],[Advanced Network ID]], $B249, Age_Sex_BY[[#All],[Insurance Category Code]],4),2)</f>
        <v>0</v>
      </c>
      <c r="F249" s="210">
        <f>ROUND(SUMIFS(Age_Sex_BY[[#All],[Total Spending before Truncation is Applied]], Age_Sex_BY[[#All],[Advanced Network ID]], $B249, Age_Sex_BY[[#All],[Insurance Category Code]],4),2)</f>
        <v>0</v>
      </c>
      <c r="G249" s="212">
        <f>ROUND(SUMIFS(Age_Sex_BY[[#All],[Total Spending After Applying Truncation at the Member Level]], Age_Sex_BY[[#All],[Advanced Network ID]], $B249, Age_Sex_BY[[#All],[Insurance Category Code]],4),2)</f>
        <v>0</v>
      </c>
      <c r="H249" s="525" t="str">
        <f>IF(ROUND(C249,0)=ROUND(SUMIFS(AN_TME_BY[[#All],[Member Months]], AN_TME_BY[[#All],[Insurance Category Code]],4, AN_TME_BY[[#All],[Advanced Network/Insurance Carrier Org ID]],B249),0), "TRUE", ROUND(C249-SUMIFS(AN_TME_BY[[#All],[Member Months]], AN_TME_BY[[#All],[Insurance Category Code]],4, AN_TME_BY[[#All],[Advanced Network/Insurance Carrier Org ID]],B249),2))</f>
        <v>TRUE</v>
      </c>
      <c r="I249" s="533" t="str">
        <f>IF(ROUND(D249,0)=ROUND(SUMIFS(AN_TME_BY[[#All],[Total Claims Excluded because of Truncation]], AN_TME_BY[[#All],[Insurance Category Code]],4, AN_TME_BY[[#All],[Advanced Network/Insurance Carrier Org ID]],B249),0), "TRUE", ROUND(D249-SUMIFS(AN_TME_BY[[#All],[Total Claims Excluded because of Truncation]], AN_TME_BY[[#All],[Insurance Category Code]],4, AN_TME_BY[[#All],[Advanced Network/Insurance Carrier Org ID]],B249),2))</f>
        <v>TRUE</v>
      </c>
      <c r="J249" s="537" t="str">
        <f>IF(ROUND(E249,0)=ROUND(SUMIFS(AN_TME_BY[[#All],[Count of Members with Claims Truncated]], AN_TME_BY[[#All],[Insurance Category Code]],4, AN_TME_BY[[#All],[Advanced Network/Insurance Carrier Org ID]],B249),0), "TRUE", ROUND(E249-SUMIFS(AN_TME_BY[[#All],[Count of Members with Claims Truncated]], AN_TME_BY[[#All],[Insurance Category Code]],4, AN_TME_BY[[#All],[Advanced Network/Insurance Carrier Org ID]],B249),2))</f>
        <v>TRUE</v>
      </c>
      <c r="K249" s="533" t="str">
        <f>IF(ROUND(F249,0)=ROUND(SUMIFS(AN_TME_BY[[#All],[TOTAL Non-Truncated Unadjusted Claims Expenses]], AN_TME_BY[[#All],[Insurance Category Code]],4, AN_TME_BY[[#All],[Advanced Network/Insurance Carrier Org ID]],B249),0), "TRUE", ROUND(F249-SUMIFS(AN_TME_BY[[#All],[TOTAL Non-Truncated Unadjusted Claims Expenses]], AN_TME_BY[[#All],[Insurance Category Code]],4, AN_TME_BY[[#All],[Advanced Network/Insurance Carrier Org ID]],B249),2))</f>
        <v>TRUE</v>
      </c>
      <c r="L249" s="534" t="str">
        <f>IF(ROUND(G249,0)=ROUND(SUMIFS(AN_TME_BY[[#All],[TOTAL Truncated Unadjusted Claims Expenses (A21 -A19)]], AN_TME_BY[[#All],[Insurance Category Code]],4, AN_TME_BY[[#All],[Advanced Network/Insurance Carrier Org ID]],B249),0), "TRUE", ROUND(G249-SUMIFS(AN_TME_BY[[#All],[TOTAL Truncated Unadjusted Claims Expenses (A21 -A19)]], AN_TME_BY[[#All],[Insurance Category Code]],4, AN_TME_BY[[#All],[Advanced Network/Insurance Carrier Org ID]],B249),2))</f>
        <v>TRUE</v>
      </c>
      <c r="M249" s="525" t="str">
        <f t="shared" si="28"/>
        <v>TRUE</v>
      </c>
      <c r="N249" s="533" t="b">
        <f>ROUND(SUMIFS(AN_TME_BY[[#All],[TOTAL Non-Truncated Unadjusted Claims Expenses]], AN_TME_BY[[#All],[Insurance Category Code]],4, AN_TME_BY[[#All],[Advanced Network/Insurance Carrier Org ID]],B249),2)&gt;=ROUND(SUMIFS(AN_TME_BY[[#All],[TOTAL Truncated Unadjusted Claims Expenses (A21 -A19)]], AN_TME_BY[[#All],[Insurance Category Code]],4, AN_TME_BY[[#All],[Advanced Network/Insurance Carrier Org ID]],B249),2)</f>
        <v>1</v>
      </c>
      <c r="O249" s="534" t="b">
        <f>ROUND(SUMIFS(AN_TME_BY[[#All],[TOTAL Truncated Unadjusted Claims Expenses (A21 -A19)]], AN_TME_BY[[#All],[Insurance Category Code]],4, AN_TME_BY[[#All],[Advanced Network/Insurance Carrier Org ID]],B249)+SUMIFS(AN_TME_BY[[#All],[Total Claims Excluded because of Truncation]], AN_TME_BY[[#All],[Insurance Category Code]],4, AN_TME_BY[[#All],[Advanced Network/Insurance Carrier Org ID]],B249),2)=ROUND(SUMIFS(AN_TME_BY[[#All],[TOTAL Non-Truncated Unadjusted Claims Expenses]], AN_TME_BY[[#All],[Insurance Category Code]],4, AN_TME_BY[[#All],[Advanced Network/Insurance Carrier Org ID]],B249),2)</f>
        <v>1</v>
      </c>
      <c r="Q249" s="216">
        <v>111</v>
      </c>
      <c r="R249" s="404">
        <f>ROUND(SUMIFS(Age_Sex_PY[[#All],[Total Member Months by Age/Sex Band]], Age_Sex_PY[[#All],[Advanced Network ID]], $Q249, Age_Sex_PY[[#All],[Insurance Category Code]],4),2)</f>
        <v>0</v>
      </c>
      <c r="S249" s="238">
        <f>ROUND(SUMIFS(Age_Sex_PY[[#All],[Total Dollars Excluded from Spending After Applying Truncation at the Member Level]], Age_Sex_PY[[#All],[Advanced Network ID]], $B249, Age_Sex_PY[[#All],[Insurance Category Code]],4),2)</f>
        <v>0</v>
      </c>
      <c r="T249" s="209">
        <f>ROUND(SUMIFS(Age_Sex_PY[[#All],[Count of Members whose Spending was Truncated]], Age_Sex_PY[[#All],[Advanced Network ID]], $B249, Age_Sex_PY[[#All],[Insurance Category Code]],4),2)</f>
        <v>0</v>
      </c>
      <c r="U249" s="210">
        <f>ROUND(SUMIFS(Age_Sex_PY[[#All],[Total Spending before Truncation is Applied]], Age_Sex_PY[[#All],[Advanced Network ID]], $B249, Age_Sex_PY[[#All],[Insurance Category Code]],4),2)</f>
        <v>0</v>
      </c>
      <c r="V249" s="212">
        <f>ROUND(SUMIFS(Age_Sex_PY[[#All],[Total Spending After Applying Truncation at the Member Level]], Age_Sex_PY[[#All],[Advanced Network ID]], $B249, Age_Sex_PY[[#All],[Insurance Category Code]],4),2)</f>
        <v>0</v>
      </c>
      <c r="W249" s="525" t="str">
        <f>IF(ROUND(R249,0)=ROUND(SUMIFS(AN_TME_PY[[#All],[Member Months]], AN_TME_PY[[#All],[Insurance Category Code]],4, AN_TME_PY[[#All],[Advanced Network/Insurance Carrier Org ID]],Q249),0), "TRUE", ROUND(R249-SUMIFS(AN_TME_PY[[#All],[Member Months]], AN_TME_PY[[#All],[Insurance Category Code]],4, AN_TME_PY[[#All],[Advanced Network/Insurance Carrier Org ID]],Q249),2))</f>
        <v>TRUE</v>
      </c>
      <c r="X249" s="527" t="str">
        <f>IF(ROUND(S249,0)=ROUND(SUMIFS(AN_TME_PY[[#All],[Total Claims Excluded because of Truncation]], AN_TME_PY[[#All],[Insurance Category Code]],4, AN_TME_PY[[#All],[Advanced Network/Insurance Carrier Org ID]],Q249),0), "TRUE", ROUND(S249-SUMIFS(AN_TME_PY[[#All],[Total Claims Excluded because of Truncation]], AN_TME_PY[[#All],[Insurance Category Code]],4, AN_TME_PY[[#All],[Advanced Network/Insurance Carrier Org ID]],Q249),2))</f>
        <v>TRUE</v>
      </c>
      <c r="Y249" s="537" t="str">
        <f>IF(ROUND(T249,0)=ROUND(SUMIFS(AN_TME_PY[[#All],[Count of Members with Claims Truncated]], AN_TME_PY[[#All],[Insurance Category Code]],4, AN_TME_PY[[#All],[Advanced Network/Insurance Carrier Org ID]],Q249),0), "TRUE", ROUND(T249-SUMIFS(AN_TME_PY[[#All],[Count of Members with Claims Truncated]], AN_TME_PY[[#All],[Insurance Category Code]],4, AN_TME_PY[[#All],[Advanced Network/Insurance Carrier Org ID]],Q249),2))</f>
        <v>TRUE</v>
      </c>
      <c r="Z249" s="528" t="str">
        <f>IF(ROUND(U249,0)=ROUND(SUMIFS(AN_TME_PY[[#All],[TOTAL Non-Truncated Unadjusted Claims Expenses]], AN_TME_PY[[#All],[Insurance Category Code]],4, AN_TME_PY[[#All],[Advanced Network/Insurance Carrier Org ID]],Q249),0), "TRUE", ROUND(U249-SUMIFS(AN_TME_PY[[#All],[TOTAL Non-Truncated Unadjusted Claims Expenses]], AN_TME_PY[[#All],[Insurance Category Code]],4, AN_TME_PY[[#All],[Advanced Network/Insurance Carrier Org ID]],Q249),2))</f>
        <v>TRUE</v>
      </c>
      <c r="AA249" s="529" t="str">
        <f>IF(ROUND(V249,0)=ROUND(SUMIFS(AN_TME_PY[[#All],[TOTAL Truncated Unadjusted Claims Expenses (A21 -A19)]], AN_TME_PY[[#All],[Insurance Category Code]],4, AN_TME_PY[[#All],[Advanced Network/Insurance Carrier Org ID]],Q249),0), "TRUE", ROUND(V249-SUMIFS(AN_TME_PY[[#All],[TOTAL Truncated Unadjusted Claims Expenses (A21 -A19)]], AN_TME_PY[[#All],[Insurance Category Code]],4, AN_TME_PY[[#All],[Advanced Network/Insurance Carrier Org ID]],Q249),2))</f>
        <v>TRUE</v>
      </c>
      <c r="AB249" s="525" t="str">
        <f t="shared" si="31"/>
        <v>TRUE</v>
      </c>
      <c r="AC249" s="528" t="b">
        <f>ROUND(SUMIFS(AN_TME_PY[[#All],[TOTAL Non-Truncated Unadjusted Claims Expenses]], AN_TME_PY[[#All],[Insurance Category Code]],4, AN_TME_PY[[#All],[Advanced Network/Insurance Carrier Org ID]],Q249),2)&gt;=ROUND(SUMIFS(AN_TME_PY[[#All],[TOTAL Truncated Unadjusted Claims Expenses (A21 -A19)]], AN_TME_PY[[#All],[Insurance Category Code]],4, AN_TME_PY[[#All],[Advanced Network/Insurance Carrier Org ID]],Q249),2)</f>
        <v>1</v>
      </c>
      <c r="AD249" s="529" t="b">
        <f>ROUND(SUMIFS(AN_TME_PY[[#All],[TOTAL Truncated Unadjusted Claims Expenses (A21 -A19)]], AN_TME_PY[[#All],[Insurance Category Code]],4, AN_TME_PY[[#All],[Advanced Network/Insurance Carrier Org ID]],Q249)+SUMIFS(AN_TME_PY[[#All],[Total Claims Excluded because of Truncation]], AN_TME_PY[[#All],[Insurance Category Code]],4, AN_TME_PY[[#All],[Advanced Network/Insurance Carrier Org ID]],Q249),2)=ROUND(SUMIFS(AN_TME_PY[[#All],[TOTAL Non-Truncated Unadjusted Claims Expenses]], AN_TME_PY[[#All],[Insurance Category Code]],4, AN_TME_PY[[#All],[Advanced Network/Insurance Carrier Org ID]],Q249),2)</f>
        <v>1</v>
      </c>
      <c r="AF249" s="283" t="str">
        <f t="shared" si="30"/>
        <v>NA</v>
      </c>
    </row>
    <row r="250" spans="2:32" outlineLevel="1" x14ac:dyDescent="0.25">
      <c r="B250" s="216">
        <v>112</v>
      </c>
      <c r="C250" s="404">
        <f>ROUND(SUMIFS(Age_Sex_BY[[#All],[Total Member Months by Age/Sex Band]], Age_Sex_BY[[#All],[Advanced Network ID]], $B250, Age_Sex_BY[[#All],[Insurance Category Code]],4),2)</f>
        <v>0</v>
      </c>
      <c r="D250" s="238">
        <f>ROUND(SUMIFS(Age_Sex_BY[[#All],[Total Dollars Excluded from Spending After Applying Truncation at the Member Level]], Age_Sex_BY[[#All],[Advanced Network ID]], $B250, Age_Sex_BY[[#All],[Insurance Category Code]],4),2)</f>
        <v>0</v>
      </c>
      <c r="E250" s="209">
        <f>ROUND(SUMIFS(Age_Sex_BY[[#All],[Count of Members whose Spending was Truncated]], Age_Sex_BY[[#All],[Advanced Network ID]], $B250, Age_Sex_BY[[#All],[Insurance Category Code]],4),2)</f>
        <v>0</v>
      </c>
      <c r="F250" s="210">
        <f>ROUND(SUMIFS(Age_Sex_BY[[#All],[Total Spending before Truncation is Applied]], Age_Sex_BY[[#All],[Advanced Network ID]], $B250, Age_Sex_BY[[#All],[Insurance Category Code]],4),2)</f>
        <v>0</v>
      </c>
      <c r="G250" s="212">
        <f>ROUND(SUMIFS(Age_Sex_BY[[#All],[Total Spending After Applying Truncation at the Member Level]], Age_Sex_BY[[#All],[Advanced Network ID]], $B250, Age_Sex_BY[[#All],[Insurance Category Code]],4),2)</f>
        <v>0</v>
      </c>
      <c r="H250" s="525" t="str">
        <f>IF(ROUND(C250,0)=ROUND(SUMIFS(AN_TME_BY[[#All],[Member Months]], AN_TME_BY[[#All],[Insurance Category Code]],4, AN_TME_BY[[#All],[Advanced Network/Insurance Carrier Org ID]],B250),0), "TRUE", ROUND(C250-SUMIFS(AN_TME_BY[[#All],[Member Months]], AN_TME_BY[[#All],[Insurance Category Code]],4, AN_TME_BY[[#All],[Advanced Network/Insurance Carrier Org ID]],B250),2))</f>
        <v>TRUE</v>
      </c>
      <c r="I250" s="533" t="str">
        <f>IF(ROUND(D250,0)=ROUND(SUMIFS(AN_TME_BY[[#All],[Total Claims Excluded because of Truncation]], AN_TME_BY[[#All],[Insurance Category Code]],4, AN_TME_BY[[#All],[Advanced Network/Insurance Carrier Org ID]],B250),0), "TRUE", ROUND(D250-SUMIFS(AN_TME_BY[[#All],[Total Claims Excluded because of Truncation]], AN_TME_BY[[#All],[Insurance Category Code]],4, AN_TME_BY[[#All],[Advanced Network/Insurance Carrier Org ID]],B250),2))</f>
        <v>TRUE</v>
      </c>
      <c r="J250" s="537" t="str">
        <f>IF(ROUND(E250,0)=ROUND(SUMIFS(AN_TME_BY[[#All],[Count of Members with Claims Truncated]], AN_TME_BY[[#All],[Insurance Category Code]],4, AN_TME_BY[[#All],[Advanced Network/Insurance Carrier Org ID]],B250),0), "TRUE", ROUND(E250-SUMIFS(AN_TME_BY[[#All],[Count of Members with Claims Truncated]], AN_TME_BY[[#All],[Insurance Category Code]],4, AN_TME_BY[[#All],[Advanced Network/Insurance Carrier Org ID]],B250),2))</f>
        <v>TRUE</v>
      </c>
      <c r="K250" s="533" t="str">
        <f>IF(ROUND(F250,0)=ROUND(SUMIFS(AN_TME_BY[[#All],[TOTAL Non-Truncated Unadjusted Claims Expenses]], AN_TME_BY[[#All],[Insurance Category Code]],4, AN_TME_BY[[#All],[Advanced Network/Insurance Carrier Org ID]],B250),0), "TRUE", ROUND(F250-SUMIFS(AN_TME_BY[[#All],[TOTAL Non-Truncated Unadjusted Claims Expenses]], AN_TME_BY[[#All],[Insurance Category Code]],4, AN_TME_BY[[#All],[Advanced Network/Insurance Carrier Org ID]],B250),2))</f>
        <v>TRUE</v>
      </c>
      <c r="L250" s="534" t="str">
        <f>IF(ROUND(G250,0)=ROUND(SUMIFS(AN_TME_BY[[#All],[TOTAL Truncated Unadjusted Claims Expenses (A21 -A19)]], AN_TME_BY[[#All],[Insurance Category Code]],4, AN_TME_BY[[#All],[Advanced Network/Insurance Carrier Org ID]],B250),0), "TRUE", ROUND(G250-SUMIFS(AN_TME_BY[[#All],[TOTAL Truncated Unadjusted Claims Expenses (A21 -A19)]], AN_TME_BY[[#All],[Insurance Category Code]],4, AN_TME_BY[[#All],[Advanced Network/Insurance Carrier Org ID]],B250),2))</f>
        <v>TRUE</v>
      </c>
      <c r="M250" s="525" t="str">
        <f t="shared" si="28"/>
        <v>TRUE</v>
      </c>
      <c r="N250" s="533" t="b">
        <f>ROUND(SUMIFS(AN_TME_BY[[#All],[TOTAL Non-Truncated Unadjusted Claims Expenses]], AN_TME_BY[[#All],[Insurance Category Code]],4, AN_TME_BY[[#All],[Advanced Network/Insurance Carrier Org ID]],B250),2)&gt;=ROUND(SUMIFS(AN_TME_BY[[#All],[TOTAL Truncated Unadjusted Claims Expenses (A21 -A19)]], AN_TME_BY[[#All],[Insurance Category Code]],4, AN_TME_BY[[#All],[Advanced Network/Insurance Carrier Org ID]],B250),2)</f>
        <v>1</v>
      </c>
      <c r="O250" s="534" t="b">
        <f>ROUND(SUMIFS(AN_TME_BY[[#All],[TOTAL Truncated Unadjusted Claims Expenses (A21 -A19)]], AN_TME_BY[[#All],[Insurance Category Code]],4, AN_TME_BY[[#All],[Advanced Network/Insurance Carrier Org ID]],B250)+SUMIFS(AN_TME_BY[[#All],[Total Claims Excluded because of Truncation]], AN_TME_BY[[#All],[Insurance Category Code]],4, AN_TME_BY[[#All],[Advanced Network/Insurance Carrier Org ID]],B250),2)=ROUND(SUMIFS(AN_TME_BY[[#All],[TOTAL Non-Truncated Unadjusted Claims Expenses]], AN_TME_BY[[#All],[Insurance Category Code]],4, AN_TME_BY[[#All],[Advanced Network/Insurance Carrier Org ID]],B250),2)</f>
        <v>1</v>
      </c>
      <c r="Q250" s="216">
        <v>112</v>
      </c>
      <c r="R250" s="404">
        <f>ROUND(SUMIFS(Age_Sex_PY[[#All],[Total Member Months by Age/Sex Band]], Age_Sex_PY[[#All],[Advanced Network ID]], $Q250, Age_Sex_PY[[#All],[Insurance Category Code]],4),2)</f>
        <v>0</v>
      </c>
      <c r="S250" s="238">
        <f>ROUND(SUMIFS(Age_Sex_PY[[#All],[Total Dollars Excluded from Spending After Applying Truncation at the Member Level]], Age_Sex_PY[[#All],[Advanced Network ID]], $B250, Age_Sex_PY[[#All],[Insurance Category Code]],4),2)</f>
        <v>0</v>
      </c>
      <c r="T250" s="209">
        <f>ROUND(SUMIFS(Age_Sex_PY[[#All],[Count of Members whose Spending was Truncated]], Age_Sex_PY[[#All],[Advanced Network ID]], $B250, Age_Sex_PY[[#All],[Insurance Category Code]],4),2)</f>
        <v>0</v>
      </c>
      <c r="U250" s="210">
        <f>ROUND(SUMIFS(Age_Sex_PY[[#All],[Total Spending before Truncation is Applied]], Age_Sex_PY[[#All],[Advanced Network ID]], $B250, Age_Sex_PY[[#All],[Insurance Category Code]],4),2)</f>
        <v>0</v>
      </c>
      <c r="V250" s="212">
        <f>ROUND(SUMIFS(Age_Sex_PY[[#All],[Total Spending After Applying Truncation at the Member Level]], Age_Sex_PY[[#All],[Advanced Network ID]], $B250, Age_Sex_PY[[#All],[Insurance Category Code]],4),2)</f>
        <v>0</v>
      </c>
      <c r="W250" s="525" t="str">
        <f>IF(ROUND(R250,0)=ROUND(SUMIFS(AN_TME_PY[[#All],[Member Months]], AN_TME_PY[[#All],[Insurance Category Code]],4, AN_TME_PY[[#All],[Advanced Network/Insurance Carrier Org ID]],Q250),0), "TRUE", ROUND(R250-SUMIFS(AN_TME_PY[[#All],[Member Months]], AN_TME_PY[[#All],[Insurance Category Code]],4, AN_TME_PY[[#All],[Advanced Network/Insurance Carrier Org ID]],Q250),2))</f>
        <v>TRUE</v>
      </c>
      <c r="X250" s="527" t="str">
        <f>IF(ROUND(S250,0)=ROUND(SUMIFS(AN_TME_PY[[#All],[Total Claims Excluded because of Truncation]], AN_TME_PY[[#All],[Insurance Category Code]],4, AN_TME_PY[[#All],[Advanced Network/Insurance Carrier Org ID]],Q250),0), "TRUE", ROUND(S250-SUMIFS(AN_TME_PY[[#All],[Total Claims Excluded because of Truncation]], AN_TME_PY[[#All],[Insurance Category Code]],4, AN_TME_PY[[#All],[Advanced Network/Insurance Carrier Org ID]],Q250),2))</f>
        <v>TRUE</v>
      </c>
      <c r="Y250" s="537" t="str">
        <f>IF(ROUND(T250,0)=ROUND(SUMIFS(AN_TME_PY[[#All],[Count of Members with Claims Truncated]], AN_TME_PY[[#All],[Insurance Category Code]],4, AN_TME_PY[[#All],[Advanced Network/Insurance Carrier Org ID]],Q250),0), "TRUE", ROUND(T250-SUMIFS(AN_TME_PY[[#All],[Count of Members with Claims Truncated]], AN_TME_PY[[#All],[Insurance Category Code]],4, AN_TME_PY[[#All],[Advanced Network/Insurance Carrier Org ID]],Q250),2))</f>
        <v>TRUE</v>
      </c>
      <c r="Z250" s="528" t="str">
        <f>IF(ROUND(U250,0)=ROUND(SUMIFS(AN_TME_PY[[#All],[TOTAL Non-Truncated Unadjusted Claims Expenses]], AN_TME_PY[[#All],[Insurance Category Code]],4, AN_TME_PY[[#All],[Advanced Network/Insurance Carrier Org ID]],Q250),0), "TRUE", ROUND(U250-SUMIFS(AN_TME_PY[[#All],[TOTAL Non-Truncated Unadjusted Claims Expenses]], AN_TME_PY[[#All],[Insurance Category Code]],4, AN_TME_PY[[#All],[Advanced Network/Insurance Carrier Org ID]],Q250),2))</f>
        <v>TRUE</v>
      </c>
      <c r="AA250" s="529" t="str">
        <f>IF(ROUND(V250,0)=ROUND(SUMIFS(AN_TME_PY[[#All],[TOTAL Truncated Unadjusted Claims Expenses (A21 -A19)]], AN_TME_PY[[#All],[Insurance Category Code]],4, AN_TME_PY[[#All],[Advanced Network/Insurance Carrier Org ID]],Q250),0), "TRUE", ROUND(V250-SUMIFS(AN_TME_PY[[#All],[TOTAL Truncated Unadjusted Claims Expenses (A21 -A19)]], AN_TME_PY[[#All],[Insurance Category Code]],4, AN_TME_PY[[#All],[Advanced Network/Insurance Carrier Org ID]],Q250),2))</f>
        <v>TRUE</v>
      </c>
      <c r="AB250" s="525" t="str">
        <f t="shared" si="31"/>
        <v>TRUE</v>
      </c>
      <c r="AC250" s="528" t="b">
        <f>ROUND(SUMIFS(AN_TME_PY[[#All],[TOTAL Non-Truncated Unadjusted Claims Expenses]], AN_TME_PY[[#All],[Insurance Category Code]],4, AN_TME_PY[[#All],[Advanced Network/Insurance Carrier Org ID]],Q250),2)&gt;=ROUND(SUMIFS(AN_TME_PY[[#All],[TOTAL Truncated Unadjusted Claims Expenses (A21 -A19)]], AN_TME_PY[[#All],[Insurance Category Code]],4, AN_TME_PY[[#All],[Advanced Network/Insurance Carrier Org ID]],Q250),2)</f>
        <v>1</v>
      </c>
      <c r="AD250" s="529" t="b">
        <f>ROUND(SUMIFS(AN_TME_PY[[#All],[TOTAL Truncated Unadjusted Claims Expenses (A21 -A19)]], AN_TME_PY[[#All],[Insurance Category Code]],4, AN_TME_PY[[#All],[Advanced Network/Insurance Carrier Org ID]],Q250)+SUMIFS(AN_TME_PY[[#All],[Total Claims Excluded because of Truncation]], AN_TME_PY[[#All],[Insurance Category Code]],4, AN_TME_PY[[#All],[Advanced Network/Insurance Carrier Org ID]],Q250),2)=ROUND(SUMIFS(AN_TME_PY[[#All],[TOTAL Non-Truncated Unadjusted Claims Expenses]], AN_TME_PY[[#All],[Insurance Category Code]],4, AN_TME_PY[[#All],[Advanced Network/Insurance Carrier Org ID]],Q250),2)</f>
        <v>1</v>
      </c>
      <c r="AF250" s="283" t="str">
        <f t="shared" si="30"/>
        <v>NA</v>
      </c>
    </row>
    <row r="251" spans="2:32" outlineLevel="1" x14ac:dyDescent="0.25">
      <c r="B251" s="216">
        <v>113</v>
      </c>
      <c r="C251" s="404">
        <f>ROUND(SUMIFS(Age_Sex_BY[[#All],[Total Member Months by Age/Sex Band]], Age_Sex_BY[[#All],[Advanced Network ID]], $B251, Age_Sex_BY[[#All],[Insurance Category Code]],4),2)</f>
        <v>0</v>
      </c>
      <c r="D251" s="238">
        <f>ROUND(SUMIFS(Age_Sex_BY[[#All],[Total Dollars Excluded from Spending After Applying Truncation at the Member Level]], Age_Sex_BY[[#All],[Advanced Network ID]], $B251, Age_Sex_BY[[#All],[Insurance Category Code]],4),2)</f>
        <v>0</v>
      </c>
      <c r="E251" s="209">
        <f>ROUND(SUMIFS(Age_Sex_BY[[#All],[Count of Members whose Spending was Truncated]], Age_Sex_BY[[#All],[Advanced Network ID]], $B251, Age_Sex_BY[[#All],[Insurance Category Code]],4),2)</f>
        <v>0</v>
      </c>
      <c r="F251" s="210">
        <f>ROUND(SUMIFS(Age_Sex_BY[[#All],[Total Spending before Truncation is Applied]], Age_Sex_BY[[#All],[Advanced Network ID]], $B251, Age_Sex_BY[[#All],[Insurance Category Code]],4),2)</f>
        <v>0</v>
      </c>
      <c r="G251" s="212">
        <f>ROUND(SUMIFS(Age_Sex_BY[[#All],[Total Spending After Applying Truncation at the Member Level]], Age_Sex_BY[[#All],[Advanced Network ID]], $B251, Age_Sex_BY[[#All],[Insurance Category Code]],4),2)</f>
        <v>0</v>
      </c>
      <c r="H251" s="525" t="str">
        <f>IF(ROUND(C251,0)=ROUND(SUMIFS(AN_TME_BY[[#All],[Member Months]], AN_TME_BY[[#All],[Insurance Category Code]],4, AN_TME_BY[[#All],[Advanced Network/Insurance Carrier Org ID]],B251),0), "TRUE", ROUND(C251-SUMIFS(AN_TME_BY[[#All],[Member Months]], AN_TME_BY[[#All],[Insurance Category Code]],4, AN_TME_BY[[#All],[Advanced Network/Insurance Carrier Org ID]],B251),2))</f>
        <v>TRUE</v>
      </c>
      <c r="I251" s="533" t="str">
        <f>IF(ROUND(D251,0)=ROUND(SUMIFS(AN_TME_BY[[#All],[Total Claims Excluded because of Truncation]], AN_TME_BY[[#All],[Insurance Category Code]],4, AN_TME_BY[[#All],[Advanced Network/Insurance Carrier Org ID]],B251),0), "TRUE", ROUND(D251-SUMIFS(AN_TME_BY[[#All],[Total Claims Excluded because of Truncation]], AN_TME_BY[[#All],[Insurance Category Code]],4, AN_TME_BY[[#All],[Advanced Network/Insurance Carrier Org ID]],B251),2))</f>
        <v>TRUE</v>
      </c>
      <c r="J251" s="537" t="str">
        <f>IF(ROUND(E251,0)=ROUND(SUMIFS(AN_TME_BY[[#All],[Count of Members with Claims Truncated]], AN_TME_BY[[#All],[Insurance Category Code]],4, AN_TME_BY[[#All],[Advanced Network/Insurance Carrier Org ID]],B251),0), "TRUE", ROUND(E251-SUMIFS(AN_TME_BY[[#All],[Count of Members with Claims Truncated]], AN_TME_BY[[#All],[Insurance Category Code]],4, AN_TME_BY[[#All],[Advanced Network/Insurance Carrier Org ID]],B251),2))</f>
        <v>TRUE</v>
      </c>
      <c r="K251" s="533" t="str">
        <f>IF(ROUND(F251,0)=ROUND(SUMIFS(AN_TME_BY[[#All],[TOTAL Non-Truncated Unadjusted Claims Expenses]], AN_TME_BY[[#All],[Insurance Category Code]],4, AN_TME_BY[[#All],[Advanced Network/Insurance Carrier Org ID]],B251),0), "TRUE", ROUND(F251-SUMIFS(AN_TME_BY[[#All],[TOTAL Non-Truncated Unadjusted Claims Expenses]], AN_TME_BY[[#All],[Insurance Category Code]],4, AN_TME_BY[[#All],[Advanced Network/Insurance Carrier Org ID]],B251),2))</f>
        <v>TRUE</v>
      </c>
      <c r="L251" s="534" t="str">
        <f>IF(ROUND(G251,0)=ROUND(SUMIFS(AN_TME_BY[[#All],[TOTAL Truncated Unadjusted Claims Expenses (A21 -A19)]], AN_TME_BY[[#All],[Insurance Category Code]],4, AN_TME_BY[[#All],[Advanced Network/Insurance Carrier Org ID]],B251),0), "TRUE", ROUND(G251-SUMIFS(AN_TME_BY[[#All],[TOTAL Truncated Unadjusted Claims Expenses (A21 -A19)]], AN_TME_BY[[#All],[Insurance Category Code]],4, AN_TME_BY[[#All],[Advanced Network/Insurance Carrier Org ID]],B251),2))</f>
        <v>TRUE</v>
      </c>
      <c r="M251" s="525" t="str">
        <f t="shared" si="28"/>
        <v>TRUE</v>
      </c>
      <c r="N251" s="533" t="b">
        <f>ROUND(SUMIFS(AN_TME_BY[[#All],[TOTAL Non-Truncated Unadjusted Claims Expenses]], AN_TME_BY[[#All],[Insurance Category Code]],4, AN_TME_BY[[#All],[Advanced Network/Insurance Carrier Org ID]],B251),2)&gt;=ROUND(SUMIFS(AN_TME_BY[[#All],[TOTAL Truncated Unadjusted Claims Expenses (A21 -A19)]], AN_TME_BY[[#All],[Insurance Category Code]],4, AN_TME_BY[[#All],[Advanced Network/Insurance Carrier Org ID]],B251),2)</f>
        <v>1</v>
      </c>
      <c r="O251" s="534" t="b">
        <f>ROUND(SUMIFS(AN_TME_BY[[#All],[TOTAL Truncated Unadjusted Claims Expenses (A21 -A19)]], AN_TME_BY[[#All],[Insurance Category Code]],4, AN_TME_BY[[#All],[Advanced Network/Insurance Carrier Org ID]],B251)+SUMIFS(AN_TME_BY[[#All],[Total Claims Excluded because of Truncation]], AN_TME_BY[[#All],[Insurance Category Code]],4, AN_TME_BY[[#All],[Advanced Network/Insurance Carrier Org ID]],B251),2)=ROUND(SUMIFS(AN_TME_BY[[#All],[TOTAL Non-Truncated Unadjusted Claims Expenses]], AN_TME_BY[[#All],[Insurance Category Code]],4, AN_TME_BY[[#All],[Advanced Network/Insurance Carrier Org ID]],B251),2)</f>
        <v>1</v>
      </c>
      <c r="Q251" s="216">
        <v>113</v>
      </c>
      <c r="R251" s="404">
        <f>ROUND(SUMIFS(Age_Sex_PY[[#All],[Total Member Months by Age/Sex Band]], Age_Sex_PY[[#All],[Advanced Network ID]], $Q251, Age_Sex_PY[[#All],[Insurance Category Code]],4),2)</f>
        <v>0</v>
      </c>
      <c r="S251" s="238">
        <f>ROUND(SUMIFS(Age_Sex_PY[[#All],[Total Dollars Excluded from Spending After Applying Truncation at the Member Level]], Age_Sex_PY[[#All],[Advanced Network ID]], $B251, Age_Sex_PY[[#All],[Insurance Category Code]],4),2)</f>
        <v>0</v>
      </c>
      <c r="T251" s="209">
        <f>ROUND(SUMIFS(Age_Sex_PY[[#All],[Count of Members whose Spending was Truncated]], Age_Sex_PY[[#All],[Advanced Network ID]], $B251, Age_Sex_PY[[#All],[Insurance Category Code]],4),2)</f>
        <v>0</v>
      </c>
      <c r="U251" s="210">
        <f>ROUND(SUMIFS(Age_Sex_PY[[#All],[Total Spending before Truncation is Applied]], Age_Sex_PY[[#All],[Advanced Network ID]], $B251, Age_Sex_PY[[#All],[Insurance Category Code]],4),2)</f>
        <v>0</v>
      </c>
      <c r="V251" s="212">
        <f>ROUND(SUMIFS(Age_Sex_PY[[#All],[Total Spending After Applying Truncation at the Member Level]], Age_Sex_PY[[#All],[Advanced Network ID]], $B251, Age_Sex_PY[[#All],[Insurance Category Code]],4),2)</f>
        <v>0</v>
      </c>
      <c r="W251" s="525" t="str">
        <f>IF(ROUND(R251,0)=ROUND(SUMIFS(AN_TME_PY[[#All],[Member Months]], AN_TME_PY[[#All],[Insurance Category Code]],4, AN_TME_PY[[#All],[Advanced Network/Insurance Carrier Org ID]],Q251),0), "TRUE", ROUND(R251-SUMIFS(AN_TME_PY[[#All],[Member Months]], AN_TME_PY[[#All],[Insurance Category Code]],4, AN_TME_PY[[#All],[Advanced Network/Insurance Carrier Org ID]],Q251),2))</f>
        <v>TRUE</v>
      </c>
      <c r="X251" s="527" t="str">
        <f>IF(ROUND(S251,0)=ROUND(SUMIFS(AN_TME_PY[[#All],[Total Claims Excluded because of Truncation]], AN_TME_PY[[#All],[Insurance Category Code]],4, AN_TME_PY[[#All],[Advanced Network/Insurance Carrier Org ID]],Q251),0), "TRUE", ROUND(S251-SUMIFS(AN_TME_PY[[#All],[Total Claims Excluded because of Truncation]], AN_TME_PY[[#All],[Insurance Category Code]],4, AN_TME_PY[[#All],[Advanced Network/Insurance Carrier Org ID]],Q251),2))</f>
        <v>TRUE</v>
      </c>
      <c r="Y251" s="537" t="str">
        <f>IF(ROUND(T251,0)=ROUND(SUMIFS(AN_TME_PY[[#All],[Count of Members with Claims Truncated]], AN_TME_PY[[#All],[Insurance Category Code]],4, AN_TME_PY[[#All],[Advanced Network/Insurance Carrier Org ID]],Q251),0), "TRUE", ROUND(T251-SUMIFS(AN_TME_PY[[#All],[Count of Members with Claims Truncated]], AN_TME_PY[[#All],[Insurance Category Code]],4, AN_TME_PY[[#All],[Advanced Network/Insurance Carrier Org ID]],Q251),2))</f>
        <v>TRUE</v>
      </c>
      <c r="Z251" s="528" t="str">
        <f>IF(ROUND(U251,0)=ROUND(SUMIFS(AN_TME_PY[[#All],[TOTAL Non-Truncated Unadjusted Claims Expenses]], AN_TME_PY[[#All],[Insurance Category Code]],4, AN_TME_PY[[#All],[Advanced Network/Insurance Carrier Org ID]],Q251),0), "TRUE", ROUND(U251-SUMIFS(AN_TME_PY[[#All],[TOTAL Non-Truncated Unadjusted Claims Expenses]], AN_TME_PY[[#All],[Insurance Category Code]],4, AN_TME_PY[[#All],[Advanced Network/Insurance Carrier Org ID]],Q251),2))</f>
        <v>TRUE</v>
      </c>
      <c r="AA251" s="529" t="str">
        <f>IF(ROUND(V251,0)=ROUND(SUMIFS(AN_TME_PY[[#All],[TOTAL Truncated Unadjusted Claims Expenses (A21 -A19)]], AN_TME_PY[[#All],[Insurance Category Code]],4, AN_TME_PY[[#All],[Advanced Network/Insurance Carrier Org ID]],Q251),0), "TRUE", ROUND(V251-SUMIFS(AN_TME_PY[[#All],[TOTAL Truncated Unadjusted Claims Expenses (A21 -A19)]], AN_TME_PY[[#All],[Insurance Category Code]],4, AN_TME_PY[[#All],[Advanced Network/Insurance Carrier Org ID]],Q251),2))</f>
        <v>TRUE</v>
      </c>
      <c r="AB251" s="525" t="str">
        <f t="shared" si="31"/>
        <v>TRUE</v>
      </c>
      <c r="AC251" s="528" t="b">
        <f>ROUND(SUMIFS(AN_TME_PY[[#All],[TOTAL Non-Truncated Unadjusted Claims Expenses]], AN_TME_PY[[#All],[Insurance Category Code]],4, AN_TME_PY[[#All],[Advanced Network/Insurance Carrier Org ID]],Q251),2)&gt;=ROUND(SUMIFS(AN_TME_PY[[#All],[TOTAL Truncated Unadjusted Claims Expenses (A21 -A19)]], AN_TME_PY[[#All],[Insurance Category Code]],4, AN_TME_PY[[#All],[Advanced Network/Insurance Carrier Org ID]],Q251),2)</f>
        <v>1</v>
      </c>
      <c r="AD251" s="529" t="b">
        <f>ROUND(SUMIFS(AN_TME_PY[[#All],[TOTAL Truncated Unadjusted Claims Expenses (A21 -A19)]], AN_TME_PY[[#All],[Insurance Category Code]],4, AN_TME_PY[[#All],[Advanced Network/Insurance Carrier Org ID]],Q251)+SUMIFS(AN_TME_PY[[#All],[Total Claims Excluded because of Truncation]], AN_TME_PY[[#All],[Insurance Category Code]],4, AN_TME_PY[[#All],[Advanced Network/Insurance Carrier Org ID]],Q251),2)=ROUND(SUMIFS(AN_TME_PY[[#All],[TOTAL Non-Truncated Unadjusted Claims Expenses]], AN_TME_PY[[#All],[Insurance Category Code]],4, AN_TME_PY[[#All],[Advanced Network/Insurance Carrier Org ID]],Q251),2)</f>
        <v>1</v>
      </c>
      <c r="AF251" s="283" t="str">
        <f t="shared" si="30"/>
        <v>NA</v>
      </c>
    </row>
    <row r="252" spans="2:32" outlineLevel="1" x14ac:dyDescent="0.25">
      <c r="B252" s="216">
        <v>114</v>
      </c>
      <c r="C252" s="404">
        <f>ROUND(SUMIFS(Age_Sex_BY[[#All],[Total Member Months by Age/Sex Band]], Age_Sex_BY[[#All],[Advanced Network ID]], $B252, Age_Sex_BY[[#All],[Insurance Category Code]],4),2)</f>
        <v>0</v>
      </c>
      <c r="D252" s="238">
        <f>ROUND(SUMIFS(Age_Sex_BY[[#All],[Total Dollars Excluded from Spending After Applying Truncation at the Member Level]], Age_Sex_BY[[#All],[Advanced Network ID]], $B252, Age_Sex_BY[[#All],[Insurance Category Code]],4),2)</f>
        <v>0</v>
      </c>
      <c r="E252" s="209">
        <f>ROUND(SUMIFS(Age_Sex_BY[[#All],[Count of Members whose Spending was Truncated]], Age_Sex_BY[[#All],[Advanced Network ID]], $B252, Age_Sex_BY[[#All],[Insurance Category Code]],4),2)</f>
        <v>0</v>
      </c>
      <c r="F252" s="210">
        <f>ROUND(SUMIFS(Age_Sex_BY[[#All],[Total Spending before Truncation is Applied]], Age_Sex_BY[[#All],[Advanced Network ID]], $B252, Age_Sex_BY[[#All],[Insurance Category Code]],4),2)</f>
        <v>0</v>
      </c>
      <c r="G252" s="212">
        <f>ROUND(SUMIFS(Age_Sex_BY[[#All],[Total Spending After Applying Truncation at the Member Level]], Age_Sex_BY[[#All],[Advanced Network ID]], $B252, Age_Sex_BY[[#All],[Insurance Category Code]],4),2)</f>
        <v>0</v>
      </c>
      <c r="H252" s="525" t="str">
        <f>IF(ROUND(C252,0)=ROUND(SUMIFS(AN_TME_BY[[#All],[Member Months]], AN_TME_BY[[#All],[Insurance Category Code]],4, AN_TME_BY[[#All],[Advanced Network/Insurance Carrier Org ID]],B252),0), "TRUE", ROUND(C252-SUMIFS(AN_TME_BY[[#All],[Member Months]], AN_TME_BY[[#All],[Insurance Category Code]],4, AN_TME_BY[[#All],[Advanced Network/Insurance Carrier Org ID]],B252),2))</f>
        <v>TRUE</v>
      </c>
      <c r="I252" s="533" t="str">
        <f>IF(ROUND(D252,0)=ROUND(SUMIFS(AN_TME_BY[[#All],[Total Claims Excluded because of Truncation]], AN_TME_BY[[#All],[Insurance Category Code]],4, AN_TME_BY[[#All],[Advanced Network/Insurance Carrier Org ID]],B252),0), "TRUE", ROUND(D252-SUMIFS(AN_TME_BY[[#All],[Total Claims Excluded because of Truncation]], AN_TME_BY[[#All],[Insurance Category Code]],4, AN_TME_BY[[#All],[Advanced Network/Insurance Carrier Org ID]],B252),2))</f>
        <v>TRUE</v>
      </c>
      <c r="J252" s="537" t="str">
        <f>IF(ROUND(E252,0)=ROUND(SUMIFS(AN_TME_BY[[#All],[Count of Members with Claims Truncated]], AN_TME_BY[[#All],[Insurance Category Code]],4, AN_TME_BY[[#All],[Advanced Network/Insurance Carrier Org ID]],B252),0), "TRUE", ROUND(E252-SUMIFS(AN_TME_BY[[#All],[Count of Members with Claims Truncated]], AN_TME_BY[[#All],[Insurance Category Code]],4, AN_TME_BY[[#All],[Advanced Network/Insurance Carrier Org ID]],B252),2))</f>
        <v>TRUE</v>
      </c>
      <c r="K252" s="533" t="str">
        <f>IF(ROUND(F252,0)=ROUND(SUMIFS(AN_TME_BY[[#All],[TOTAL Non-Truncated Unadjusted Claims Expenses]], AN_TME_BY[[#All],[Insurance Category Code]],4, AN_TME_BY[[#All],[Advanced Network/Insurance Carrier Org ID]],B252),0), "TRUE", ROUND(F252-SUMIFS(AN_TME_BY[[#All],[TOTAL Non-Truncated Unadjusted Claims Expenses]], AN_TME_BY[[#All],[Insurance Category Code]],4, AN_TME_BY[[#All],[Advanced Network/Insurance Carrier Org ID]],B252),2))</f>
        <v>TRUE</v>
      </c>
      <c r="L252" s="534" t="str">
        <f>IF(ROUND(G252,0)=ROUND(SUMIFS(AN_TME_BY[[#All],[TOTAL Truncated Unadjusted Claims Expenses (A21 -A19)]], AN_TME_BY[[#All],[Insurance Category Code]],4, AN_TME_BY[[#All],[Advanced Network/Insurance Carrier Org ID]],B252),0), "TRUE", ROUND(G252-SUMIFS(AN_TME_BY[[#All],[TOTAL Truncated Unadjusted Claims Expenses (A21 -A19)]], AN_TME_BY[[#All],[Insurance Category Code]],4, AN_TME_BY[[#All],[Advanced Network/Insurance Carrier Org ID]],B252),2))</f>
        <v>TRUE</v>
      </c>
      <c r="M252" s="525" t="str">
        <f t="shared" si="28"/>
        <v>TRUE</v>
      </c>
      <c r="N252" s="533" t="b">
        <f>ROUND(SUMIFS(AN_TME_BY[[#All],[TOTAL Non-Truncated Unadjusted Claims Expenses]], AN_TME_BY[[#All],[Insurance Category Code]],4, AN_TME_BY[[#All],[Advanced Network/Insurance Carrier Org ID]],B252),2)&gt;=ROUND(SUMIFS(AN_TME_BY[[#All],[TOTAL Truncated Unadjusted Claims Expenses (A21 -A19)]], AN_TME_BY[[#All],[Insurance Category Code]],4, AN_TME_BY[[#All],[Advanced Network/Insurance Carrier Org ID]],B252),2)</f>
        <v>1</v>
      </c>
      <c r="O252" s="534" t="b">
        <f>ROUND(SUMIFS(AN_TME_BY[[#All],[TOTAL Truncated Unadjusted Claims Expenses (A21 -A19)]], AN_TME_BY[[#All],[Insurance Category Code]],4, AN_TME_BY[[#All],[Advanced Network/Insurance Carrier Org ID]],B252)+SUMIFS(AN_TME_BY[[#All],[Total Claims Excluded because of Truncation]], AN_TME_BY[[#All],[Insurance Category Code]],4, AN_TME_BY[[#All],[Advanced Network/Insurance Carrier Org ID]],B252),2)=ROUND(SUMIFS(AN_TME_BY[[#All],[TOTAL Non-Truncated Unadjusted Claims Expenses]], AN_TME_BY[[#All],[Insurance Category Code]],4, AN_TME_BY[[#All],[Advanced Network/Insurance Carrier Org ID]],B252),2)</f>
        <v>1</v>
      </c>
      <c r="Q252" s="216">
        <v>114</v>
      </c>
      <c r="R252" s="404">
        <f>ROUND(SUMIFS(Age_Sex_PY[[#All],[Total Member Months by Age/Sex Band]], Age_Sex_PY[[#All],[Advanced Network ID]], $Q252, Age_Sex_PY[[#All],[Insurance Category Code]],4),2)</f>
        <v>0</v>
      </c>
      <c r="S252" s="238">
        <f>ROUND(SUMIFS(Age_Sex_PY[[#All],[Total Dollars Excluded from Spending After Applying Truncation at the Member Level]], Age_Sex_PY[[#All],[Advanced Network ID]], $B252, Age_Sex_PY[[#All],[Insurance Category Code]],4),2)</f>
        <v>0</v>
      </c>
      <c r="T252" s="209">
        <f>ROUND(SUMIFS(Age_Sex_PY[[#All],[Count of Members whose Spending was Truncated]], Age_Sex_PY[[#All],[Advanced Network ID]], $B252, Age_Sex_PY[[#All],[Insurance Category Code]],4),2)</f>
        <v>0</v>
      </c>
      <c r="U252" s="210">
        <f>ROUND(SUMIFS(Age_Sex_PY[[#All],[Total Spending before Truncation is Applied]], Age_Sex_PY[[#All],[Advanced Network ID]], $B252, Age_Sex_PY[[#All],[Insurance Category Code]],4),2)</f>
        <v>0</v>
      </c>
      <c r="V252" s="212">
        <f>ROUND(SUMIFS(Age_Sex_PY[[#All],[Total Spending After Applying Truncation at the Member Level]], Age_Sex_PY[[#All],[Advanced Network ID]], $B252, Age_Sex_PY[[#All],[Insurance Category Code]],4),2)</f>
        <v>0</v>
      </c>
      <c r="W252" s="525" t="str">
        <f>IF(ROUND(R252,0)=ROUND(SUMIFS(AN_TME_PY[[#All],[Member Months]], AN_TME_PY[[#All],[Insurance Category Code]],4, AN_TME_PY[[#All],[Advanced Network/Insurance Carrier Org ID]],Q252),0), "TRUE", ROUND(R252-SUMIFS(AN_TME_PY[[#All],[Member Months]], AN_TME_PY[[#All],[Insurance Category Code]],4, AN_TME_PY[[#All],[Advanced Network/Insurance Carrier Org ID]],Q252),2))</f>
        <v>TRUE</v>
      </c>
      <c r="X252" s="527" t="str">
        <f>IF(ROUND(S252,0)=ROUND(SUMIFS(AN_TME_PY[[#All],[Total Claims Excluded because of Truncation]], AN_TME_PY[[#All],[Insurance Category Code]],4, AN_TME_PY[[#All],[Advanced Network/Insurance Carrier Org ID]],Q252),0), "TRUE", ROUND(S252-SUMIFS(AN_TME_PY[[#All],[Total Claims Excluded because of Truncation]], AN_TME_PY[[#All],[Insurance Category Code]],4, AN_TME_PY[[#All],[Advanced Network/Insurance Carrier Org ID]],Q252),2))</f>
        <v>TRUE</v>
      </c>
      <c r="Y252" s="537" t="str">
        <f>IF(ROUND(T252,0)=ROUND(SUMIFS(AN_TME_PY[[#All],[Count of Members with Claims Truncated]], AN_TME_PY[[#All],[Insurance Category Code]],4, AN_TME_PY[[#All],[Advanced Network/Insurance Carrier Org ID]],Q252),0), "TRUE", ROUND(T252-SUMIFS(AN_TME_PY[[#All],[Count of Members with Claims Truncated]], AN_TME_PY[[#All],[Insurance Category Code]],4, AN_TME_PY[[#All],[Advanced Network/Insurance Carrier Org ID]],Q252),2))</f>
        <v>TRUE</v>
      </c>
      <c r="Z252" s="528" t="str">
        <f>IF(ROUND(U252,0)=ROUND(SUMIFS(AN_TME_PY[[#All],[TOTAL Non-Truncated Unadjusted Claims Expenses]], AN_TME_PY[[#All],[Insurance Category Code]],4, AN_TME_PY[[#All],[Advanced Network/Insurance Carrier Org ID]],Q252),0), "TRUE", ROUND(U252-SUMIFS(AN_TME_PY[[#All],[TOTAL Non-Truncated Unadjusted Claims Expenses]], AN_TME_PY[[#All],[Insurance Category Code]],4, AN_TME_PY[[#All],[Advanced Network/Insurance Carrier Org ID]],Q252),2))</f>
        <v>TRUE</v>
      </c>
      <c r="AA252" s="529" t="str">
        <f>IF(ROUND(V252,0)=ROUND(SUMIFS(AN_TME_PY[[#All],[TOTAL Truncated Unadjusted Claims Expenses (A21 -A19)]], AN_TME_PY[[#All],[Insurance Category Code]],4, AN_TME_PY[[#All],[Advanced Network/Insurance Carrier Org ID]],Q252),0), "TRUE", ROUND(V252-SUMIFS(AN_TME_PY[[#All],[TOTAL Truncated Unadjusted Claims Expenses (A21 -A19)]], AN_TME_PY[[#All],[Insurance Category Code]],4, AN_TME_PY[[#All],[Advanced Network/Insurance Carrier Org ID]],Q252),2))</f>
        <v>TRUE</v>
      </c>
      <c r="AB252" s="525" t="str">
        <f t="shared" si="31"/>
        <v>TRUE</v>
      </c>
      <c r="AC252" s="528" t="b">
        <f>ROUND(SUMIFS(AN_TME_PY[[#All],[TOTAL Non-Truncated Unadjusted Claims Expenses]], AN_TME_PY[[#All],[Insurance Category Code]],4, AN_TME_PY[[#All],[Advanced Network/Insurance Carrier Org ID]],Q252),2)&gt;=ROUND(SUMIFS(AN_TME_PY[[#All],[TOTAL Truncated Unadjusted Claims Expenses (A21 -A19)]], AN_TME_PY[[#All],[Insurance Category Code]],4, AN_TME_PY[[#All],[Advanced Network/Insurance Carrier Org ID]],Q252),2)</f>
        <v>1</v>
      </c>
      <c r="AD252" s="529" t="b">
        <f>ROUND(SUMIFS(AN_TME_PY[[#All],[TOTAL Truncated Unadjusted Claims Expenses (A21 -A19)]], AN_TME_PY[[#All],[Insurance Category Code]],4, AN_TME_PY[[#All],[Advanced Network/Insurance Carrier Org ID]],Q252)+SUMIFS(AN_TME_PY[[#All],[Total Claims Excluded because of Truncation]], AN_TME_PY[[#All],[Insurance Category Code]],4, AN_TME_PY[[#All],[Advanced Network/Insurance Carrier Org ID]],Q252),2)=ROUND(SUMIFS(AN_TME_PY[[#All],[TOTAL Non-Truncated Unadjusted Claims Expenses]], AN_TME_PY[[#All],[Insurance Category Code]],4, AN_TME_PY[[#All],[Advanced Network/Insurance Carrier Org ID]],Q252),2)</f>
        <v>1</v>
      </c>
      <c r="AF252" s="283" t="str">
        <f t="shared" si="30"/>
        <v>NA</v>
      </c>
    </row>
    <row r="253" spans="2:32" outlineLevel="1" x14ac:dyDescent="0.25">
      <c r="B253" s="216">
        <v>115</v>
      </c>
      <c r="C253" s="404">
        <f>ROUND(SUMIFS(Age_Sex_BY[[#All],[Total Member Months by Age/Sex Band]], Age_Sex_BY[[#All],[Advanced Network ID]], $B253, Age_Sex_BY[[#All],[Insurance Category Code]],4),2)</f>
        <v>0</v>
      </c>
      <c r="D253" s="238">
        <f>ROUND(SUMIFS(Age_Sex_BY[[#All],[Total Dollars Excluded from Spending After Applying Truncation at the Member Level]], Age_Sex_BY[[#All],[Advanced Network ID]], $B253, Age_Sex_BY[[#All],[Insurance Category Code]],4),2)</f>
        <v>0</v>
      </c>
      <c r="E253" s="209">
        <f>ROUND(SUMIFS(Age_Sex_BY[[#All],[Count of Members whose Spending was Truncated]], Age_Sex_BY[[#All],[Advanced Network ID]], $B253, Age_Sex_BY[[#All],[Insurance Category Code]],4),2)</f>
        <v>0</v>
      </c>
      <c r="F253" s="210">
        <f>ROUND(SUMIFS(Age_Sex_BY[[#All],[Total Spending before Truncation is Applied]], Age_Sex_BY[[#All],[Advanced Network ID]], $B253, Age_Sex_BY[[#All],[Insurance Category Code]],4),2)</f>
        <v>0</v>
      </c>
      <c r="G253" s="212">
        <f>ROUND(SUMIFS(Age_Sex_BY[[#All],[Total Spending After Applying Truncation at the Member Level]], Age_Sex_BY[[#All],[Advanced Network ID]], $B253, Age_Sex_BY[[#All],[Insurance Category Code]],4),2)</f>
        <v>0</v>
      </c>
      <c r="H253" s="525" t="str">
        <f>IF(ROUND(C253,0)=ROUND(SUMIFS(AN_TME_BY[[#All],[Member Months]], AN_TME_BY[[#All],[Insurance Category Code]],4, AN_TME_BY[[#All],[Advanced Network/Insurance Carrier Org ID]],B253),0), "TRUE", ROUND(C253-SUMIFS(AN_TME_BY[[#All],[Member Months]], AN_TME_BY[[#All],[Insurance Category Code]],4, AN_TME_BY[[#All],[Advanced Network/Insurance Carrier Org ID]],B253),2))</f>
        <v>TRUE</v>
      </c>
      <c r="I253" s="533" t="str">
        <f>IF(ROUND(D253,0)=ROUND(SUMIFS(AN_TME_BY[[#All],[Total Claims Excluded because of Truncation]], AN_TME_BY[[#All],[Insurance Category Code]],4, AN_TME_BY[[#All],[Advanced Network/Insurance Carrier Org ID]],B253),0), "TRUE", ROUND(D253-SUMIFS(AN_TME_BY[[#All],[Total Claims Excluded because of Truncation]], AN_TME_BY[[#All],[Insurance Category Code]],4, AN_TME_BY[[#All],[Advanced Network/Insurance Carrier Org ID]],B253),2))</f>
        <v>TRUE</v>
      </c>
      <c r="J253" s="537" t="str">
        <f>IF(ROUND(E253,0)=ROUND(SUMIFS(AN_TME_BY[[#All],[Count of Members with Claims Truncated]], AN_TME_BY[[#All],[Insurance Category Code]],4, AN_TME_BY[[#All],[Advanced Network/Insurance Carrier Org ID]],B253),0), "TRUE", ROUND(E253-SUMIFS(AN_TME_BY[[#All],[Count of Members with Claims Truncated]], AN_TME_BY[[#All],[Insurance Category Code]],4, AN_TME_BY[[#All],[Advanced Network/Insurance Carrier Org ID]],B253),2))</f>
        <v>TRUE</v>
      </c>
      <c r="K253" s="533" t="str">
        <f>IF(ROUND(F253,0)=ROUND(SUMIFS(AN_TME_BY[[#All],[TOTAL Non-Truncated Unadjusted Claims Expenses]], AN_TME_BY[[#All],[Insurance Category Code]],4, AN_TME_BY[[#All],[Advanced Network/Insurance Carrier Org ID]],B253),0), "TRUE", ROUND(F253-SUMIFS(AN_TME_BY[[#All],[TOTAL Non-Truncated Unadjusted Claims Expenses]], AN_TME_BY[[#All],[Insurance Category Code]],4, AN_TME_BY[[#All],[Advanced Network/Insurance Carrier Org ID]],B253),2))</f>
        <v>TRUE</v>
      </c>
      <c r="L253" s="534" t="str">
        <f>IF(ROUND(G253,0)=ROUND(SUMIFS(AN_TME_BY[[#All],[TOTAL Truncated Unadjusted Claims Expenses (A21 -A19)]], AN_TME_BY[[#All],[Insurance Category Code]],4, AN_TME_BY[[#All],[Advanced Network/Insurance Carrier Org ID]],B253),0), "TRUE", ROUND(G253-SUMIFS(AN_TME_BY[[#All],[TOTAL Truncated Unadjusted Claims Expenses (A21 -A19)]], AN_TME_BY[[#All],[Insurance Category Code]],4, AN_TME_BY[[#All],[Advanced Network/Insurance Carrier Org ID]],B253),2))</f>
        <v>TRUE</v>
      </c>
      <c r="M253" s="525" t="str">
        <f t="shared" si="28"/>
        <v>TRUE</v>
      </c>
      <c r="N253" s="533" t="b">
        <f>ROUND(SUMIFS(AN_TME_BY[[#All],[TOTAL Non-Truncated Unadjusted Claims Expenses]], AN_TME_BY[[#All],[Insurance Category Code]],4, AN_TME_BY[[#All],[Advanced Network/Insurance Carrier Org ID]],B253),2)&gt;=ROUND(SUMIFS(AN_TME_BY[[#All],[TOTAL Truncated Unadjusted Claims Expenses (A21 -A19)]], AN_TME_BY[[#All],[Insurance Category Code]],4, AN_TME_BY[[#All],[Advanced Network/Insurance Carrier Org ID]],B253),2)</f>
        <v>1</v>
      </c>
      <c r="O253" s="534" t="b">
        <f>ROUND(SUMIFS(AN_TME_BY[[#All],[TOTAL Truncated Unadjusted Claims Expenses (A21 -A19)]], AN_TME_BY[[#All],[Insurance Category Code]],4, AN_TME_BY[[#All],[Advanced Network/Insurance Carrier Org ID]],B253)+SUMIFS(AN_TME_BY[[#All],[Total Claims Excluded because of Truncation]], AN_TME_BY[[#All],[Insurance Category Code]],4, AN_TME_BY[[#All],[Advanced Network/Insurance Carrier Org ID]],B253),2)=ROUND(SUMIFS(AN_TME_BY[[#All],[TOTAL Non-Truncated Unadjusted Claims Expenses]], AN_TME_BY[[#All],[Insurance Category Code]],4, AN_TME_BY[[#All],[Advanced Network/Insurance Carrier Org ID]],B253),2)</f>
        <v>1</v>
      </c>
      <c r="Q253" s="216">
        <v>115</v>
      </c>
      <c r="R253" s="404">
        <f>ROUND(SUMIFS(Age_Sex_PY[[#All],[Total Member Months by Age/Sex Band]], Age_Sex_PY[[#All],[Advanced Network ID]], $Q253, Age_Sex_PY[[#All],[Insurance Category Code]],4),2)</f>
        <v>0</v>
      </c>
      <c r="S253" s="238">
        <f>ROUND(SUMIFS(Age_Sex_PY[[#All],[Total Dollars Excluded from Spending After Applying Truncation at the Member Level]], Age_Sex_PY[[#All],[Advanced Network ID]], $B253, Age_Sex_PY[[#All],[Insurance Category Code]],4),2)</f>
        <v>0</v>
      </c>
      <c r="T253" s="209">
        <f>ROUND(SUMIFS(Age_Sex_PY[[#All],[Count of Members whose Spending was Truncated]], Age_Sex_PY[[#All],[Advanced Network ID]], $B253, Age_Sex_PY[[#All],[Insurance Category Code]],4),2)</f>
        <v>0</v>
      </c>
      <c r="U253" s="210">
        <f>ROUND(SUMIFS(Age_Sex_PY[[#All],[Total Spending before Truncation is Applied]], Age_Sex_PY[[#All],[Advanced Network ID]], $B253, Age_Sex_PY[[#All],[Insurance Category Code]],4),2)</f>
        <v>0</v>
      </c>
      <c r="V253" s="212">
        <f>ROUND(SUMIFS(Age_Sex_PY[[#All],[Total Spending After Applying Truncation at the Member Level]], Age_Sex_PY[[#All],[Advanced Network ID]], $B253, Age_Sex_PY[[#All],[Insurance Category Code]],4),2)</f>
        <v>0</v>
      </c>
      <c r="W253" s="525" t="str">
        <f>IF(ROUND(R253,0)=ROUND(SUMIFS(AN_TME_PY[[#All],[Member Months]], AN_TME_PY[[#All],[Insurance Category Code]],4, AN_TME_PY[[#All],[Advanced Network/Insurance Carrier Org ID]],Q253),0), "TRUE", ROUND(R253-SUMIFS(AN_TME_PY[[#All],[Member Months]], AN_TME_PY[[#All],[Insurance Category Code]],4, AN_TME_PY[[#All],[Advanced Network/Insurance Carrier Org ID]],Q253),2))</f>
        <v>TRUE</v>
      </c>
      <c r="X253" s="527" t="str">
        <f>IF(ROUND(S253,0)=ROUND(SUMIFS(AN_TME_PY[[#All],[Total Claims Excluded because of Truncation]], AN_TME_PY[[#All],[Insurance Category Code]],4, AN_TME_PY[[#All],[Advanced Network/Insurance Carrier Org ID]],Q253),0), "TRUE", ROUND(S253-SUMIFS(AN_TME_PY[[#All],[Total Claims Excluded because of Truncation]], AN_TME_PY[[#All],[Insurance Category Code]],4, AN_TME_PY[[#All],[Advanced Network/Insurance Carrier Org ID]],Q253),2))</f>
        <v>TRUE</v>
      </c>
      <c r="Y253" s="537" t="str">
        <f>IF(ROUND(T253,0)=ROUND(SUMIFS(AN_TME_PY[[#All],[Count of Members with Claims Truncated]], AN_TME_PY[[#All],[Insurance Category Code]],4, AN_TME_PY[[#All],[Advanced Network/Insurance Carrier Org ID]],Q253),0), "TRUE", ROUND(T253-SUMIFS(AN_TME_PY[[#All],[Count of Members with Claims Truncated]], AN_TME_PY[[#All],[Insurance Category Code]],4, AN_TME_PY[[#All],[Advanced Network/Insurance Carrier Org ID]],Q253),2))</f>
        <v>TRUE</v>
      </c>
      <c r="Z253" s="528" t="str">
        <f>IF(ROUND(U253,0)=ROUND(SUMIFS(AN_TME_PY[[#All],[TOTAL Non-Truncated Unadjusted Claims Expenses]], AN_TME_PY[[#All],[Insurance Category Code]],4, AN_TME_PY[[#All],[Advanced Network/Insurance Carrier Org ID]],Q253),0), "TRUE", ROUND(U253-SUMIFS(AN_TME_PY[[#All],[TOTAL Non-Truncated Unadjusted Claims Expenses]], AN_TME_PY[[#All],[Insurance Category Code]],4, AN_TME_PY[[#All],[Advanced Network/Insurance Carrier Org ID]],Q253),2))</f>
        <v>TRUE</v>
      </c>
      <c r="AA253" s="529" t="str">
        <f>IF(ROUND(V253,0)=ROUND(SUMIFS(AN_TME_PY[[#All],[TOTAL Truncated Unadjusted Claims Expenses (A21 -A19)]], AN_TME_PY[[#All],[Insurance Category Code]],4, AN_TME_PY[[#All],[Advanced Network/Insurance Carrier Org ID]],Q253),0), "TRUE", ROUND(V253-SUMIFS(AN_TME_PY[[#All],[TOTAL Truncated Unadjusted Claims Expenses (A21 -A19)]], AN_TME_PY[[#All],[Insurance Category Code]],4, AN_TME_PY[[#All],[Advanced Network/Insurance Carrier Org ID]],Q253),2))</f>
        <v>TRUE</v>
      </c>
      <c r="AB253" s="525" t="str">
        <f t="shared" si="31"/>
        <v>TRUE</v>
      </c>
      <c r="AC253" s="528" t="b">
        <f>ROUND(SUMIFS(AN_TME_PY[[#All],[TOTAL Non-Truncated Unadjusted Claims Expenses]], AN_TME_PY[[#All],[Insurance Category Code]],4, AN_TME_PY[[#All],[Advanced Network/Insurance Carrier Org ID]],Q253),2)&gt;=ROUND(SUMIFS(AN_TME_PY[[#All],[TOTAL Truncated Unadjusted Claims Expenses (A21 -A19)]], AN_TME_PY[[#All],[Insurance Category Code]],4, AN_TME_PY[[#All],[Advanced Network/Insurance Carrier Org ID]],Q253),2)</f>
        <v>1</v>
      </c>
      <c r="AD253" s="529" t="b">
        <f>ROUND(SUMIFS(AN_TME_PY[[#All],[TOTAL Truncated Unadjusted Claims Expenses (A21 -A19)]], AN_TME_PY[[#All],[Insurance Category Code]],4, AN_TME_PY[[#All],[Advanced Network/Insurance Carrier Org ID]],Q253)+SUMIFS(AN_TME_PY[[#All],[Total Claims Excluded because of Truncation]], AN_TME_PY[[#All],[Insurance Category Code]],4, AN_TME_PY[[#All],[Advanced Network/Insurance Carrier Org ID]],Q253),2)=ROUND(SUMIFS(AN_TME_PY[[#All],[TOTAL Non-Truncated Unadjusted Claims Expenses]], AN_TME_PY[[#All],[Insurance Category Code]],4, AN_TME_PY[[#All],[Advanced Network/Insurance Carrier Org ID]],Q253),2)</f>
        <v>1</v>
      </c>
      <c r="AF253" s="283" t="str">
        <f t="shared" si="30"/>
        <v>NA</v>
      </c>
    </row>
    <row r="254" spans="2:32" outlineLevel="1" x14ac:dyDescent="0.25">
      <c r="B254" s="216">
        <v>116</v>
      </c>
      <c r="C254" s="404">
        <f>ROUND(SUMIFS(Age_Sex_BY[[#All],[Total Member Months by Age/Sex Band]], Age_Sex_BY[[#All],[Advanced Network ID]], $B254, Age_Sex_BY[[#All],[Insurance Category Code]],4),2)</f>
        <v>0</v>
      </c>
      <c r="D254" s="238">
        <f>ROUND(SUMIFS(Age_Sex_BY[[#All],[Total Dollars Excluded from Spending After Applying Truncation at the Member Level]], Age_Sex_BY[[#All],[Advanced Network ID]], $B254, Age_Sex_BY[[#All],[Insurance Category Code]],4),2)</f>
        <v>0</v>
      </c>
      <c r="E254" s="209">
        <f>ROUND(SUMIFS(Age_Sex_BY[[#All],[Count of Members whose Spending was Truncated]], Age_Sex_BY[[#All],[Advanced Network ID]], $B254, Age_Sex_BY[[#All],[Insurance Category Code]],4),2)</f>
        <v>0</v>
      </c>
      <c r="F254" s="210">
        <f>ROUND(SUMIFS(Age_Sex_BY[[#All],[Total Spending before Truncation is Applied]], Age_Sex_BY[[#All],[Advanced Network ID]], $B254, Age_Sex_BY[[#All],[Insurance Category Code]],4),2)</f>
        <v>0</v>
      </c>
      <c r="G254" s="212">
        <f>ROUND(SUMIFS(Age_Sex_BY[[#All],[Total Spending After Applying Truncation at the Member Level]], Age_Sex_BY[[#All],[Advanced Network ID]], $B254, Age_Sex_BY[[#All],[Insurance Category Code]],4),2)</f>
        <v>0</v>
      </c>
      <c r="H254" s="525" t="str">
        <f>IF(ROUND(C254,0)=ROUND(SUMIFS(AN_TME_BY[[#All],[Member Months]], AN_TME_BY[[#All],[Insurance Category Code]],4, AN_TME_BY[[#All],[Advanced Network/Insurance Carrier Org ID]],B254),0), "TRUE", ROUND(C254-SUMIFS(AN_TME_BY[[#All],[Member Months]], AN_TME_BY[[#All],[Insurance Category Code]],4, AN_TME_BY[[#All],[Advanced Network/Insurance Carrier Org ID]],B254),2))</f>
        <v>TRUE</v>
      </c>
      <c r="I254" s="533" t="str">
        <f>IF(ROUND(D254,0)=ROUND(SUMIFS(AN_TME_BY[[#All],[Total Claims Excluded because of Truncation]], AN_TME_BY[[#All],[Insurance Category Code]],4, AN_TME_BY[[#All],[Advanced Network/Insurance Carrier Org ID]],B254),0), "TRUE", ROUND(D254-SUMIFS(AN_TME_BY[[#All],[Total Claims Excluded because of Truncation]], AN_TME_BY[[#All],[Insurance Category Code]],4, AN_TME_BY[[#All],[Advanced Network/Insurance Carrier Org ID]],B254),2))</f>
        <v>TRUE</v>
      </c>
      <c r="J254" s="537" t="str">
        <f>IF(ROUND(E254,0)=ROUND(SUMIFS(AN_TME_BY[[#All],[Count of Members with Claims Truncated]], AN_TME_BY[[#All],[Insurance Category Code]],4, AN_TME_BY[[#All],[Advanced Network/Insurance Carrier Org ID]],B254),0), "TRUE", ROUND(E254-SUMIFS(AN_TME_BY[[#All],[Count of Members with Claims Truncated]], AN_TME_BY[[#All],[Insurance Category Code]],4, AN_TME_BY[[#All],[Advanced Network/Insurance Carrier Org ID]],B254),2))</f>
        <v>TRUE</v>
      </c>
      <c r="K254" s="533" t="str">
        <f>IF(ROUND(F254,0)=ROUND(SUMIFS(AN_TME_BY[[#All],[TOTAL Non-Truncated Unadjusted Claims Expenses]], AN_TME_BY[[#All],[Insurance Category Code]],4, AN_TME_BY[[#All],[Advanced Network/Insurance Carrier Org ID]],B254),0), "TRUE", ROUND(F254-SUMIFS(AN_TME_BY[[#All],[TOTAL Non-Truncated Unadjusted Claims Expenses]], AN_TME_BY[[#All],[Insurance Category Code]],4, AN_TME_BY[[#All],[Advanced Network/Insurance Carrier Org ID]],B254),2))</f>
        <v>TRUE</v>
      </c>
      <c r="L254" s="534" t="str">
        <f>IF(ROUND(G254,0)=ROUND(SUMIFS(AN_TME_BY[[#All],[TOTAL Truncated Unadjusted Claims Expenses (A21 -A19)]], AN_TME_BY[[#All],[Insurance Category Code]],4, AN_TME_BY[[#All],[Advanced Network/Insurance Carrier Org ID]],B254),0), "TRUE", ROUND(G254-SUMIFS(AN_TME_BY[[#All],[TOTAL Truncated Unadjusted Claims Expenses (A21 -A19)]], AN_TME_BY[[#All],[Insurance Category Code]],4, AN_TME_BY[[#All],[Advanced Network/Insurance Carrier Org ID]],B254),2))</f>
        <v>TRUE</v>
      </c>
      <c r="M254" s="525" t="str">
        <f t="shared" si="28"/>
        <v>TRUE</v>
      </c>
      <c r="N254" s="533" t="b">
        <f>ROUND(SUMIFS(AN_TME_BY[[#All],[TOTAL Non-Truncated Unadjusted Claims Expenses]], AN_TME_BY[[#All],[Insurance Category Code]],4, AN_TME_BY[[#All],[Advanced Network/Insurance Carrier Org ID]],B254),2)&gt;=ROUND(SUMIFS(AN_TME_BY[[#All],[TOTAL Truncated Unadjusted Claims Expenses (A21 -A19)]], AN_TME_BY[[#All],[Insurance Category Code]],4, AN_TME_BY[[#All],[Advanced Network/Insurance Carrier Org ID]],B254),2)</f>
        <v>1</v>
      </c>
      <c r="O254" s="534" t="b">
        <f>ROUND(SUMIFS(AN_TME_BY[[#All],[TOTAL Truncated Unadjusted Claims Expenses (A21 -A19)]], AN_TME_BY[[#All],[Insurance Category Code]],4, AN_TME_BY[[#All],[Advanced Network/Insurance Carrier Org ID]],B254)+SUMIFS(AN_TME_BY[[#All],[Total Claims Excluded because of Truncation]], AN_TME_BY[[#All],[Insurance Category Code]],4, AN_TME_BY[[#All],[Advanced Network/Insurance Carrier Org ID]],B254),2)=ROUND(SUMIFS(AN_TME_BY[[#All],[TOTAL Non-Truncated Unadjusted Claims Expenses]], AN_TME_BY[[#All],[Insurance Category Code]],4, AN_TME_BY[[#All],[Advanced Network/Insurance Carrier Org ID]],B254),2)</f>
        <v>1</v>
      </c>
      <c r="Q254" s="216">
        <v>116</v>
      </c>
      <c r="R254" s="404">
        <f>ROUND(SUMIFS(Age_Sex_PY[[#All],[Total Member Months by Age/Sex Band]], Age_Sex_PY[[#All],[Advanced Network ID]], $Q254, Age_Sex_PY[[#All],[Insurance Category Code]],4),2)</f>
        <v>0</v>
      </c>
      <c r="S254" s="238">
        <f>ROUND(SUMIFS(Age_Sex_PY[[#All],[Total Dollars Excluded from Spending After Applying Truncation at the Member Level]], Age_Sex_PY[[#All],[Advanced Network ID]], $B254, Age_Sex_PY[[#All],[Insurance Category Code]],4),2)</f>
        <v>0</v>
      </c>
      <c r="T254" s="209">
        <f>ROUND(SUMIFS(Age_Sex_PY[[#All],[Count of Members whose Spending was Truncated]], Age_Sex_PY[[#All],[Advanced Network ID]], $B254, Age_Sex_PY[[#All],[Insurance Category Code]],4),2)</f>
        <v>0</v>
      </c>
      <c r="U254" s="210">
        <f>ROUND(SUMIFS(Age_Sex_PY[[#All],[Total Spending before Truncation is Applied]], Age_Sex_PY[[#All],[Advanced Network ID]], $B254, Age_Sex_PY[[#All],[Insurance Category Code]],4),2)</f>
        <v>0</v>
      </c>
      <c r="V254" s="212">
        <f>ROUND(SUMIFS(Age_Sex_PY[[#All],[Total Spending After Applying Truncation at the Member Level]], Age_Sex_PY[[#All],[Advanced Network ID]], $B254, Age_Sex_PY[[#All],[Insurance Category Code]],4),2)</f>
        <v>0</v>
      </c>
      <c r="W254" s="525" t="str">
        <f>IF(ROUND(R254,0)=ROUND(SUMIFS(AN_TME_PY[[#All],[Member Months]], AN_TME_PY[[#All],[Insurance Category Code]],4, AN_TME_PY[[#All],[Advanced Network/Insurance Carrier Org ID]],Q254),0), "TRUE", ROUND(R254-SUMIFS(AN_TME_PY[[#All],[Member Months]], AN_TME_PY[[#All],[Insurance Category Code]],4, AN_TME_PY[[#All],[Advanced Network/Insurance Carrier Org ID]],Q254),2))</f>
        <v>TRUE</v>
      </c>
      <c r="X254" s="527" t="str">
        <f>IF(ROUND(S254,0)=ROUND(SUMIFS(AN_TME_PY[[#All],[Total Claims Excluded because of Truncation]], AN_TME_PY[[#All],[Insurance Category Code]],4, AN_TME_PY[[#All],[Advanced Network/Insurance Carrier Org ID]],Q254),0), "TRUE", ROUND(S254-SUMIFS(AN_TME_PY[[#All],[Total Claims Excluded because of Truncation]], AN_TME_PY[[#All],[Insurance Category Code]],4, AN_TME_PY[[#All],[Advanced Network/Insurance Carrier Org ID]],Q254),2))</f>
        <v>TRUE</v>
      </c>
      <c r="Y254" s="537" t="str">
        <f>IF(ROUND(T254,0)=ROUND(SUMIFS(AN_TME_PY[[#All],[Count of Members with Claims Truncated]], AN_TME_PY[[#All],[Insurance Category Code]],4, AN_TME_PY[[#All],[Advanced Network/Insurance Carrier Org ID]],Q254),0), "TRUE", ROUND(T254-SUMIFS(AN_TME_PY[[#All],[Count of Members with Claims Truncated]], AN_TME_PY[[#All],[Insurance Category Code]],4, AN_TME_PY[[#All],[Advanced Network/Insurance Carrier Org ID]],Q254),2))</f>
        <v>TRUE</v>
      </c>
      <c r="Z254" s="528" t="str">
        <f>IF(ROUND(U254,0)=ROUND(SUMIFS(AN_TME_PY[[#All],[TOTAL Non-Truncated Unadjusted Claims Expenses]], AN_TME_PY[[#All],[Insurance Category Code]],4, AN_TME_PY[[#All],[Advanced Network/Insurance Carrier Org ID]],Q254),0), "TRUE", ROUND(U254-SUMIFS(AN_TME_PY[[#All],[TOTAL Non-Truncated Unadjusted Claims Expenses]], AN_TME_PY[[#All],[Insurance Category Code]],4, AN_TME_PY[[#All],[Advanced Network/Insurance Carrier Org ID]],Q254),2))</f>
        <v>TRUE</v>
      </c>
      <c r="AA254" s="529" t="str">
        <f>IF(ROUND(V254,0)=ROUND(SUMIFS(AN_TME_PY[[#All],[TOTAL Truncated Unadjusted Claims Expenses (A21 -A19)]], AN_TME_PY[[#All],[Insurance Category Code]],4, AN_TME_PY[[#All],[Advanced Network/Insurance Carrier Org ID]],Q254),0), "TRUE", ROUND(V254-SUMIFS(AN_TME_PY[[#All],[TOTAL Truncated Unadjusted Claims Expenses (A21 -A19)]], AN_TME_PY[[#All],[Insurance Category Code]],4, AN_TME_PY[[#All],[Advanced Network/Insurance Carrier Org ID]],Q254),2))</f>
        <v>TRUE</v>
      </c>
      <c r="AB254" s="525" t="str">
        <f t="shared" si="31"/>
        <v>TRUE</v>
      </c>
      <c r="AC254" s="528" t="b">
        <f>ROUND(SUMIFS(AN_TME_PY[[#All],[TOTAL Non-Truncated Unadjusted Claims Expenses]], AN_TME_PY[[#All],[Insurance Category Code]],4, AN_TME_PY[[#All],[Advanced Network/Insurance Carrier Org ID]],Q254),2)&gt;=ROUND(SUMIFS(AN_TME_PY[[#All],[TOTAL Truncated Unadjusted Claims Expenses (A21 -A19)]], AN_TME_PY[[#All],[Insurance Category Code]],4, AN_TME_PY[[#All],[Advanced Network/Insurance Carrier Org ID]],Q254),2)</f>
        <v>1</v>
      </c>
      <c r="AD254" s="529" t="b">
        <f>ROUND(SUMIFS(AN_TME_PY[[#All],[TOTAL Truncated Unadjusted Claims Expenses (A21 -A19)]], AN_TME_PY[[#All],[Insurance Category Code]],4, AN_TME_PY[[#All],[Advanced Network/Insurance Carrier Org ID]],Q254)+SUMIFS(AN_TME_PY[[#All],[Total Claims Excluded because of Truncation]], AN_TME_PY[[#All],[Insurance Category Code]],4, AN_TME_PY[[#All],[Advanced Network/Insurance Carrier Org ID]],Q254),2)=ROUND(SUMIFS(AN_TME_PY[[#All],[TOTAL Non-Truncated Unadjusted Claims Expenses]], AN_TME_PY[[#All],[Insurance Category Code]],4, AN_TME_PY[[#All],[Advanced Network/Insurance Carrier Org ID]],Q254),2)</f>
        <v>1</v>
      </c>
      <c r="AF254" s="283" t="str">
        <f t="shared" si="30"/>
        <v>NA</v>
      </c>
    </row>
    <row r="255" spans="2:32" outlineLevel="1" x14ac:dyDescent="0.25">
      <c r="B255" s="216">
        <v>117</v>
      </c>
      <c r="C255" s="404">
        <f>ROUND(SUMIFS(Age_Sex_BY[[#All],[Total Member Months by Age/Sex Band]], Age_Sex_BY[[#All],[Advanced Network ID]], $B255, Age_Sex_BY[[#All],[Insurance Category Code]],4),2)</f>
        <v>0</v>
      </c>
      <c r="D255" s="238">
        <f>ROUND(SUMIFS(Age_Sex_BY[[#All],[Total Dollars Excluded from Spending After Applying Truncation at the Member Level]], Age_Sex_BY[[#All],[Advanced Network ID]], $B255, Age_Sex_BY[[#All],[Insurance Category Code]],4),2)</f>
        <v>0</v>
      </c>
      <c r="E255" s="209">
        <f>ROUND(SUMIFS(Age_Sex_BY[[#All],[Count of Members whose Spending was Truncated]], Age_Sex_BY[[#All],[Advanced Network ID]], $B255, Age_Sex_BY[[#All],[Insurance Category Code]],4),2)</f>
        <v>0</v>
      </c>
      <c r="F255" s="210">
        <f>ROUND(SUMIFS(Age_Sex_BY[[#All],[Total Spending before Truncation is Applied]], Age_Sex_BY[[#All],[Advanced Network ID]], $B255, Age_Sex_BY[[#All],[Insurance Category Code]],4),2)</f>
        <v>0</v>
      </c>
      <c r="G255" s="212">
        <f>ROUND(SUMIFS(Age_Sex_BY[[#All],[Total Spending After Applying Truncation at the Member Level]], Age_Sex_BY[[#All],[Advanced Network ID]], $B255, Age_Sex_BY[[#All],[Insurance Category Code]],4),2)</f>
        <v>0</v>
      </c>
      <c r="H255" s="525" t="str">
        <f>IF(ROUND(C255,0)=ROUND(SUMIFS(AN_TME_BY[[#All],[Member Months]], AN_TME_BY[[#All],[Insurance Category Code]],4, AN_TME_BY[[#All],[Advanced Network/Insurance Carrier Org ID]],B255),0), "TRUE", ROUND(C255-SUMIFS(AN_TME_BY[[#All],[Member Months]], AN_TME_BY[[#All],[Insurance Category Code]],4, AN_TME_BY[[#All],[Advanced Network/Insurance Carrier Org ID]],B255),2))</f>
        <v>TRUE</v>
      </c>
      <c r="I255" s="533" t="str">
        <f>IF(ROUND(D255,0)=ROUND(SUMIFS(AN_TME_BY[[#All],[Total Claims Excluded because of Truncation]], AN_TME_BY[[#All],[Insurance Category Code]],4, AN_TME_BY[[#All],[Advanced Network/Insurance Carrier Org ID]],B255),0), "TRUE", ROUND(D255-SUMIFS(AN_TME_BY[[#All],[Total Claims Excluded because of Truncation]], AN_TME_BY[[#All],[Insurance Category Code]],4, AN_TME_BY[[#All],[Advanced Network/Insurance Carrier Org ID]],B255),2))</f>
        <v>TRUE</v>
      </c>
      <c r="J255" s="537" t="str">
        <f>IF(ROUND(E255,0)=ROUND(SUMIFS(AN_TME_BY[[#All],[Count of Members with Claims Truncated]], AN_TME_BY[[#All],[Insurance Category Code]],4, AN_TME_BY[[#All],[Advanced Network/Insurance Carrier Org ID]],B255),0), "TRUE", ROUND(E255-SUMIFS(AN_TME_BY[[#All],[Count of Members with Claims Truncated]], AN_TME_BY[[#All],[Insurance Category Code]],4, AN_TME_BY[[#All],[Advanced Network/Insurance Carrier Org ID]],B255),2))</f>
        <v>TRUE</v>
      </c>
      <c r="K255" s="533" t="str">
        <f>IF(ROUND(F255,0)=ROUND(SUMIFS(AN_TME_BY[[#All],[TOTAL Non-Truncated Unadjusted Claims Expenses]], AN_TME_BY[[#All],[Insurance Category Code]],4, AN_TME_BY[[#All],[Advanced Network/Insurance Carrier Org ID]],B255),0), "TRUE", ROUND(F255-SUMIFS(AN_TME_BY[[#All],[TOTAL Non-Truncated Unadjusted Claims Expenses]], AN_TME_BY[[#All],[Insurance Category Code]],4, AN_TME_BY[[#All],[Advanced Network/Insurance Carrier Org ID]],B255),2))</f>
        <v>TRUE</v>
      </c>
      <c r="L255" s="534" t="str">
        <f>IF(ROUND(G255,0)=ROUND(SUMIFS(AN_TME_BY[[#All],[TOTAL Truncated Unadjusted Claims Expenses (A21 -A19)]], AN_TME_BY[[#All],[Insurance Category Code]],4, AN_TME_BY[[#All],[Advanced Network/Insurance Carrier Org ID]],B255),0), "TRUE", ROUND(G255-SUMIFS(AN_TME_BY[[#All],[TOTAL Truncated Unadjusted Claims Expenses (A21 -A19)]], AN_TME_BY[[#All],[Insurance Category Code]],4, AN_TME_BY[[#All],[Advanced Network/Insurance Carrier Org ID]],B255),2))</f>
        <v>TRUE</v>
      </c>
      <c r="M255" s="525" t="str">
        <f t="shared" si="28"/>
        <v>TRUE</v>
      </c>
      <c r="N255" s="533" t="b">
        <f>ROUND(SUMIFS(AN_TME_BY[[#All],[TOTAL Non-Truncated Unadjusted Claims Expenses]], AN_TME_BY[[#All],[Insurance Category Code]],4, AN_TME_BY[[#All],[Advanced Network/Insurance Carrier Org ID]],B255),2)&gt;=ROUND(SUMIFS(AN_TME_BY[[#All],[TOTAL Truncated Unadjusted Claims Expenses (A21 -A19)]], AN_TME_BY[[#All],[Insurance Category Code]],4, AN_TME_BY[[#All],[Advanced Network/Insurance Carrier Org ID]],B255),2)</f>
        <v>1</v>
      </c>
      <c r="O255" s="534" t="b">
        <f>ROUND(SUMIFS(AN_TME_BY[[#All],[TOTAL Truncated Unadjusted Claims Expenses (A21 -A19)]], AN_TME_BY[[#All],[Insurance Category Code]],4, AN_TME_BY[[#All],[Advanced Network/Insurance Carrier Org ID]],B255)+SUMIFS(AN_TME_BY[[#All],[Total Claims Excluded because of Truncation]], AN_TME_BY[[#All],[Insurance Category Code]],4, AN_TME_BY[[#All],[Advanced Network/Insurance Carrier Org ID]],B255),2)=ROUND(SUMIFS(AN_TME_BY[[#All],[TOTAL Non-Truncated Unadjusted Claims Expenses]], AN_TME_BY[[#All],[Insurance Category Code]],4, AN_TME_BY[[#All],[Advanced Network/Insurance Carrier Org ID]],B255),2)</f>
        <v>1</v>
      </c>
      <c r="Q255" s="216">
        <v>117</v>
      </c>
      <c r="R255" s="404">
        <f>ROUND(SUMIFS(Age_Sex_PY[[#All],[Total Member Months by Age/Sex Band]], Age_Sex_PY[[#All],[Advanced Network ID]], $Q255, Age_Sex_PY[[#All],[Insurance Category Code]],4),2)</f>
        <v>0</v>
      </c>
      <c r="S255" s="238">
        <f>ROUND(SUMIFS(Age_Sex_PY[[#All],[Total Dollars Excluded from Spending After Applying Truncation at the Member Level]], Age_Sex_PY[[#All],[Advanced Network ID]], $B255, Age_Sex_PY[[#All],[Insurance Category Code]],4),2)</f>
        <v>0</v>
      </c>
      <c r="T255" s="209">
        <f>ROUND(SUMIFS(Age_Sex_PY[[#All],[Count of Members whose Spending was Truncated]], Age_Sex_PY[[#All],[Advanced Network ID]], $B255, Age_Sex_PY[[#All],[Insurance Category Code]],4),2)</f>
        <v>0</v>
      </c>
      <c r="U255" s="210">
        <f>ROUND(SUMIFS(Age_Sex_PY[[#All],[Total Spending before Truncation is Applied]], Age_Sex_PY[[#All],[Advanced Network ID]], $B255, Age_Sex_PY[[#All],[Insurance Category Code]],4),2)</f>
        <v>0</v>
      </c>
      <c r="V255" s="212">
        <f>ROUND(SUMIFS(Age_Sex_PY[[#All],[Total Spending After Applying Truncation at the Member Level]], Age_Sex_PY[[#All],[Advanced Network ID]], $B255, Age_Sex_PY[[#All],[Insurance Category Code]],4),2)</f>
        <v>0</v>
      </c>
      <c r="W255" s="525" t="str">
        <f>IF(ROUND(R255,0)=ROUND(SUMIFS(AN_TME_PY[[#All],[Member Months]], AN_TME_PY[[#All],[Insurance Category Code]],4, AN_TME_PY[[#All],[Advanced Network/Insurance Carrier Org ID]],Q255),0), "TRUE", ROUND(R255-SUMIFS(AN_TME_PY[[#All],[Member Months]], AN_TME_PY[[#All],[Insurance Category Code]],4, AN_TME_PY[[#All],[Advanced Network/Insurance Carrier Org ID]],Q255),2))</f>
        <v>TRUE</v>
      </c>
      <c r="X255" s="527" t="str">
        <f>IF(ROUND(S255,0)=ROUND(SUMIFS(AN_TME_PY[[#All],[Total Claims Excluded because of Truncation]], AN_TME_PY[[#All],[Insurance Category Code]],4, AN_TME_PY[[#All],[Advanced Network/Insurance Carrier Org ID]],Q255),0), "TRUE", ROUND(S255-SUMIFS(AN_TME_PY[[#All],[Total Claims Excluded because of Truncation]], AN_TME_PY[[#All],[Insurance Category Code]],4, AN_TME_PY[[#All],[Advanced Network/Insurance Carrier Org ID]],Q255),2))</f>
        <v>TRUE</v>
      </c>
      <c r="Y255" s="537" t="str">
        <f>IF(ROUND(T255,0)=ROUND(SUMIFS(AN_TME_PY[[#All],[Count of Members with Claims Truncated]], AN_TME_PY[[#All],[Insurance Category Code]],4, AN_TME_PY[[#All],[Advanced Network/Insurance Carrier Org ID]],Q255),0), "TRUE", ROUND(T255-SUMIFS(AN_TME_PY[[#All],[Count of Members with Claims Truncated]], AN_TME_PY[[#All],[Insurance Category Code]],4, AN_TME_PY[[#All],[Advanced Network/Insurance Carrier Org ID]],Q255),2))</f>
        <v>TRUE</v>
      </c>
      <c r="Z255" s="528" t="str">
        <f>IF(ROUND(U255,0)=ROUND(SUMIFS(AN_TME_PY[[#All],[TOTAL Non-Truncated Unadjusted Claims Expenses]], AN_TME_PY[[#All],[Insurance Category Code]],4, AN_TME_PY[[#All],[Advanced Network/Insurance Carrier Org ID]],Q255),0), "TRUE", ROUND(U255-SUMIFS(AN_TME_PY[[#All],[TOTAL Non-Truncated Unadjusted Claims Expenses]], AN_TME_PY[[#All],[Insurance Category Code]],4, AN_TME_PY[[#All],[Advanced Network/Insurance Carrier Org ID]],Q255),2))</f>
        <v>TRUE</v>
      </c>
      <c r="AA255" s="529" t="str">
        <f>IF(ROUND(V255,0)=ROUND(SUMIFS(AN_TME_PY[[#All],[TOTAL Truncated Unadjusted Claims Expenses (A21 -A19)]], AN_TME_PY[[#All],[Insurance Category Code]],4, AN_TME_PY[[#All],[Advanced Network/Insurance Carrier Org ID]],Q255),0), "TRUE", ROUND(V255-SUMIFS(AN_TME_PY[[#All],[TOTAL Truncated Unadjusted Claims Expenses (A21 -A19)]], AN_TME_PY[[#All],[Insurance Category Code]],4, AN_TME_PY[[#All],[Advanced Network/Insurance Carrier Org ID]],Q255),2))</f>
        <v>TRUE</v>
      </c>
      <c r="AB255" s="525" t="str">
        <f t="shared" si="31"/>
        <v>TRUE</v>
      </c>
      <c r="AC255" s="528" t="b">
        <f>ROUND(SUMIFS(AN_TME_PY[[#All],[TOTAL Non-Truncated Unadjusted Claims Expenses]], AN_TME_PY[[#All],[Insurance Category Code]],4, AN_TME_PY[[#All],[Advanced Network/Insurance Carrier Org ID]],Q255),2)&gt;=ROUND(SUMIFS(AN_TME_PY[[#All],[TOTAL Truncated Unadjusted Claims Expenses (A21 -A19)]], AN_TME_PY[[#All],[Insurance Category Code]],4, AN_TME_PY[[#All],[Advanced Network/Insurance Carrier Org ID]],Q255),2)</f>
        <v>1</v>
      </c>
      <c r="AD255" s="529" t="b">
        <f>ROUND(SUMIFS(AN_TME_PY[[#All],[TOTAL Truncated Unadjusted Claims Expenses (A21 -A19)]], AN_TME_PY[[#All],[Insurance Category Code]],4, AN_TME_PY[[#All],[Advanced Network/Insurance Carrier Org ID]],Q255)+SUMIFS(AN_TME_PY[[#All],[Total Claims Excluded because of Truncation]], AN_TME_PY[[#All],[Insurance Category Code]],4, AN_TME_PY[[#All],[Advanced Network/Insurance Carrier Org ID]],Q255),2)=ROUND(SUMIFS(AN_TME_PY[[#All],[TOTAL Non-Truncated Unadjusted Claims Expenses]], AN_TME_PY[[#All],[Insurance Category Code]],4, AN_TME_PY[[#All],[Advanced Network/Insurance Carrier Org ID]],Q255),2)</f>
        <v>1</v>
      </c>
      <c r="AF255" s="283" t="str">
        <f t="shared" si="30"/>
        <v>NA</v>
      </c>
    </row>
    <row r="256" spans="2:32" outlineLevel="1" x14ac:dyDescent="0.25">
      <c r="B256" s="216">
        <v>118</v>
      </c>
      <c r="C256" s="404">
        <f>ROUND(SUMIFS(Age_Sex_BY[[#All],[Total Member Months by Age/Sex Band]], Age_Sex_BY[[#All],[Advanced Network ID]], $B256, Age_Sex_BY[[#All],[Insurance Category Code]],4),2)</f>
        <v>0</v>
      </c>
      <c r="D256" s="238">
        <f>ROUND(SUMIFS(Age_Sex_BY[[#All],[Total Dollars Excluded from Spending After Applying Truncation at the Member Level]], Age_Sex_BY[[#All],[Advanced Network ID]], $B256, Age_Sex_BY[[#All],[Insurance Category Code]],4),2)</f>
        <v>0</v>
      </c>
      <c r="E256" s="209">
        <f>ROUND(SUMIFS(Age_Sex_BY[[#All],[Count of Members whose Spending was Truncated]], Age_Sex_BY[[#All],[Advanced Network ID]], $B256, Age_Sex_BY[[#All],[Insurance Category Code]],4),2)</f>
        <v>0</v>
      </c>
      <c r="F256" s="210">
        <f>ROUND(SUMIFS(Age_Sex_BY[[#All],[Total Spending before Truncation is Applied]], Age_Sex_BY[[#All],[Advanced Network ID]], $B256, Age_Sex_BY[[#All],[Insurance Category Code]],4),2)</f>
        <v>0</v>
      </c>
      <c r="G256" s="212">
        <f>ROUND(SUMIFS(Age_Sex_BY[[#All],[Total Spending After Applying Truncation at the Member Level]], Age_Sex_BY[[#All],[Advanced Network ID]], $B256, Age_Sex_BY[[#All],[Insurance Category Code]],4),2)</f>
        <v>0</v>
      </c>
      <c r="H256" s="525" t="str">
        <f>IF(ROUND(C256,0)=ROUND(SUMIFS(AN_TME_BY[[#All],[Member Months]], AN_TME_BY[[#All],[Insurance Category Code]],4, AN_TME_BY[[#All],[Advanced Network/Insurance Carrier Org ID]],B256),0), "TRUE", ROUND(C256-SUMIFS(AN_TME_BY[[#All],[Member Months]], AN_TME_BY[[#All],[Insurance Category Code]],4, AN_TME_BY[[#All],[Advanced Network/Insurance Carrier Org ID]],B256),2))</f>
        <v>TRUE</v>
      </c>
      <c r="I256" s="533" t="str">
        <f>IF(ROUND(D256,0)=ROUND(SUMIFS(AN_TME_BY[[#All],[Total Claims Excluded because of Truncation]], AN_TME_BY[[#All],[Insurance Category Code]],4, AN_TME_BY[[#All],[Advanced Network/Insurance Carrier Org ID]],B256),0), "TRUE", ROUND(D256-SUMIFS(AN_TME_BY[[#All],[Total Claims Excluded because of Truncation]], AN_TME_BY[[#All],[Insurance Category Code]],4, AN_TME_BY[[#All],[Advanced Network/Insurance Carrier Org ID]],B256),2))</f>
        <v>TRUE</v>
      </c>
      <c r="J256" s="537" t="str">
        <f>IF(ROUND(E256,0)=ROUND(SUMIFS(AN_TME_BY[[#All],[Count of Members with Claims Truncated]], AN_TME_BY[[#All],[Insurance Category Code]],4, AN_TME_BY[[#All],[Advanced Network/Insurance Carrier Org ID]],B256),0), "TRUE", ROUND(E256-SUMIFS(AN_TME_BY[[#All],[Count of Members with Claims Truncated]], AN_TME_BY[[#All],[Insurance Category Code]],4, AN_TME_BY[[#All],[Advanced Network/Insurance Carrier Org ID]],B256),2))</f>
        <v>TRUE</v>
      </c>
      <c r="K256" s="533" t="str">
        <f>IF(ROUND(F256,0)=ROUND(SUMIFS(AN_TME_BY[[#All],[TOTAL Non-Truncated Unadjusted Claims Expenses]], AN_TME_BY[[#All],[Insurance Category Code]],4, AN_TME_BY[[#All],[Advanced Network/Insurance Carrier Org ID]],B256),0), "TRUE", ROUND(F256-SUMIFS(AN_TME_BY[[#All],[TOTAL Non-Truncated Unadjusted Claims Expenses]], AN_TME_BY[[#All],[Insurance Category Code]],4, AN_TME_BY[[#All],[Advanced Network/Insurance Carrier Org ID]],B256),2))</f>
        <v>TRUE</v>
      </c>
      <c r="L256" s="534" t="str">
        <f>IF(ROUND(G256,0)=ROUND(SUMIFS(AN_TME_BY[[#All],[TOTAL Truncated Unadjusted Claims Expenses (A21 -A19)]], AN_TME_BY[[#All],[Insurance Category Code]],4, AN_TME_BY[[#All],[Advanced Network/Insurance Carrier Org ID]],B256),0), "TRUE", ROUND(G256-SUMIFS(AN_TME_BY[[#All],[TOTAL Truncated Unadjusted Claims Expenses (A21 -A19)]], AN_TME_BY[[#All],[Insurance Category Code]],4, AN_TME_BY[[#All],[Advanced Network/Insurance Carrier Org ID]],B256),2))</f>
        <v>TRUE</v>
      </c>
      <c r="M256" s="525" t="str">
        <f t="shared" si="28"/>
        <v>TRUE</v>
      </c>
      <c r="N256" s="533" t="b">
        <f>ROUND(SUMIFS(AN_TME_BY[[#All],[TOTAL Non-Truncated Unadjusted Claims Expenses]], AN_TME_BY[[#All],[Insurance Category Code]],4, AN_TME_BY[[#All],[Advanced Network/Insurance Carrier Org ID]],B256),2)&gt;=ROUND(SUMIFS(AN_TME_BY[[#All],[TOTAL Truncated Unadjusted Claims Expenses (A21 -A19)]], AN_TME_BY[[#All],[Insurance Category Code]],4, AN_TME_BY[[#All],[Advanced Network/Insurance Carrier Org ID]],B256),2)</f>
        <v>1</v>
      </c>
      <c r="O256" s="534" t="b">
        <f>ROUND(SUMIFS(AN_TME_BY[[#All],[TOTAL Truncated Unadjusted Claims Expenses (A21 -A19)]], AN_TME_BY[[#All],[Insurance Category Code]],4, AN_TME_BY[[#All],[Advanced Network/Insurance Carrier Org ID]],B256)+SUMIFS(AN_TME_BY[[#All],[Total Claims Excluded because of Truncation]], AN_TME_BY[[#All],[Insurance Category Code]],4, AN_TME_BY[[#All],[Advanced Network/Insurance Carrier Org ID]],B256),2)=ROUND(SUMIFS(AN_TME_BY[[#All],[TOTAL Non-Truncated Unadjusted Claims Expenses]], AN_TME_BY[[#All],[Insurance Category Code]],4, AN_TME_BY[[#All],[Advanced Network/Insurance Carrier Org ID]],B256),2)</f>
        <v>1</v>
      </c>
      <c r="Q256" s="216">
        <v>118</v>
      </c>
      <c r="R256" s="404">
        <f>ROUND(SUMIFS(Age_Sex_PY[[#All],[Total Member Months by Age/Sex Band]], Age_Sex_PY[[#All],[Advanced Network ID]], $Q256, Age_Sex_PY[[#All],[Insurance Category Code]],4),2)</f>
        <v>0</v>
      </c>
      <c r="S256" s="238">
        <f>ROUND(SUMIFS(Age_Sex_PY[[#All],[Total Dollars Excluded from Spending After Applying Truncation at the Member Level]], Age_Sex_PY[[#All],[Advanced Network ID]], $B256, Age_Sex_PY[[#All],[Insurance Category Code]],4),2)</f>
        <v>0</v>
      </c>
      <c r="T256" s="209">
        <f>ROUND(SUMIFS(Age_Sex_PY[[#All],[Count of Members whose Spending was Truncated]], Age_Sex_PY[[#All],[Advanced Network ID]], $B256, Age_Sex_PY[[#All],[Insurance Category Code]],4),2)</f>
        <v>0</v>
      </c>
      <c r="U256" s="210">
        <f>ROUND(SUMIFS(Age_Sex_PY[[#All],[Total Spending before Truncation is Applied]], Age_Sex_PY[[#All],[Advanced Network ID]], $B256, Age_Sex_PY[[#All],[Insurance Category Code]],4),2)</f>
        <v>0</v>
      </c>
      <c r="V256" s="212">
        <f>ROUND(SUMIFS(Age_Sex_PY[[#All],[Total Spending After Applying Truncation at the Member Level]], Age_Sex_PY[[#All],[Advanced Network ID]], $B256, Age_Sex_PY[[#All],[Insurance Category Code]],4),2)</f>
        <v>0</v>
      </c>
      <c r="W256" s="525" t="str">
        <f>IF(ROUND(R256,0)=ROUND(SUMIFS(AN_TME_PY[[#All],[Member Months]], AN_TME_PY[[#All],[Insurance Category Code]],4, AN_TME_PY[[#All],[Advanced Network/Insurance Carrier Org ID]],Q256),0), "TRUE", ROUND(R256-SUMIFS(AN_TME_PY[[#All],[Member Months]], AN_TME_PY[[#All],[Insurance Category Code]],4, AN_TME_PY[[#All],[Advanced Network/Insurance Carrier Org ID]],Q256),2))</f>
        <v>TRUE</v>
      </c>
      <c r="X256" s="527" t="str">
        <f>IF(ROUND(S256,0)=ROUND(SUMIFS(AN_TME_PY[[#All],[Total Claims Excluded because of Truncation]], AN_TME_PY[[#All],[Insurance Category Code]],4, AN_TME_PY[[#All],[Advanced Network/Insurance Carrier Org ID]],Q256),0), "TRUE", ROUND(S256-SUMIFS(AN_TME_PY[[#All],[Total Claims Excluded because of Truncation]], AN_TME_PY[[#All],[Insurance Category Code]],4, AN_TME_PY[[#All],[Advanced Network/Insurance Carrier Org ID]],Q256),2))</f>
        <v>TRUE</v>
      </c>
      <c r="Y256" s="537" t="str">
        <f>IF(ROUND(T256,0)=ROUND(SUMIFS(AN_TME_PY[[#All],[Count of Members with Claims Truncated]], AN_TME_PY[[#All],[Insurance Category Code]],4, AN_TME_PY[[#All],[Advanced Network/Insurance Carrier Org ID]],Q256),0), "TRUE", ROUND(T256-SUMIFS(AN_TME_PY[[#All],[Count of Members with Claims Truncated]], AN_TME_PY[[#All],[Insurance Category Code]],4, AN_TME_PY[[#All],[Advanced Network/Insurance Carrier Org ID]],Q256),2))</f>
        <v>TRUE</v>
      </c>
      <c r="Z256" s="528" t="str">
        <f>IF(ROUND(U256,0)=ROUND(SUMIFS(AN_TME_PY[[#All],[TOTAL Non-Truncated Unadjusted Claims Expenses]], AN_TME_PY[[#All],[Insurance Category Code]],4, AN_TME_PY[[#All],[Advanced Network/Insurance Carrier Org ID]],Q256),0), "TRUE", ROUND(U256-SUMIFS(AN_TME_PY[[#All],[TOTAL Non-Truncated Unadjusted Claims Expenses]], AN_TME_PY[[#All],[Insurance Category Code]],4, AN_TME_PY[[#All],[Advanced Network/Insurance Carrier Org ID]],Q256),2))</f>
        <v>TRUE</v>
      </c>
      <c r="AA256" s="529" t="str">
        <f>IF(ROUND(V256,0)=ROUND(SUMIFS(AN_TME_PY[[#All],[TOTAL Truncated Unadjusted Claims Expenses (A21 -A19)]], AN_TME_PY[[#All],[Insurance Category Code]],4, AN_TME_PY[[#All],[Advanced Network/Insurance Carrier Org ID]],Q256),0), "TRUE", ROUND(V256-SUMIFS(AN_TME_PY[[#All],[TOTAL Truncated Unadjusted Claims Expenses (A21 -A19)]], AN_TME_PY[[#All],[Insurance Category Code]],4, AN_TME_PY[[#All],[Advanced Network/Insurance Carrier Org ID]],Q256),2))</f>
        <v>TRUE</v>
      </c>
      <c r="AB256" s="525" t="str">
        <f t="shared" si="31"/>
        <v>TRUE</v>
      </c>
      <c r="AC256" s="528" t="b">
        <f>ROUND(SUMIFS(AN_TME_PY[[#All],[TOTAL Non-Truncated Unadjusted Claims Expenses]], AN_TME_PY[[#All],[Insurance Category Code]],4, AN_TME_PY[[#All],[Advanced Network/Insurance Carrier Org ID]],Q256),2)&gt;=ROUND(SUMIFS(AN_TME_PY[[#All],[TOTAL Truncated Unadjusted Claims Expenses (A21 -A19)]], AN_TME_PY[[#All],[Insurance Category Code]],4, AN_TME_PY[[#All],[Advanced Network/Insurance Carrier Org ID]],Q256),2)</f>
        <v>1</v>
      </c>
      <c r="AD256" s="529" t="b">
        <f>ROUND(SUMIFS(AN_TME_PY[[#All],[TOTAL Truncated Unadjusted Claims Expenses (A21 -A19)]], AN_TME_PY[[#All],[Insurance Category Code]],4, AN_TME_PY[[#All],[Advanced Network/Insurance Carrier Org ID]],Q256)+SUMIFS(AN_TME_PY[[#All],[Total Claims Excluded because of Truncation]], AN_TME_PY[[#All],[Insurance Category Code]],4, AN_TME_PY[[#All],[Advanced Network/Insurance Carrier Org ID]],Q256),2)=ROUND(SUMIFS(AN_TME_PY[[#All],[TOTAL Non-Truncated Unadjusted Claims Expenses]], AN_TME_PY[[#All],[Insurance Category Code]],4, AN_TME_PY[[#All],[Advanced Network/Insurance Carrier Org ID]],Q256),2)</f>
        <v>1</v>
      </c>
      <c r="AF256" s="283" t="str">
        <f t="shared" si="30"/>
        <v>NA</v>
      </c>
    </row>
    <row r="257" spans="2:32" outlineLevel="1" x14ac:dyDescent="0.25">
      <c r="B257" s="216">
        <v>119</v>
      </c>
      <c r="C257" s="404">
        <f>ROUND(SUMIFS(Age_Sex_BY[[#All],[Total Member Months by Age/Sex Band]], Age_Sex_BY[[#All],[Advanced Network ID]], $B257, Age_Sex_BY[[#All],[Insurance Category Code]],4),2)</f>
        <v>0</v>
      </c>
      <c r="D257" s="238">
        <f>ROUND(SUMIFS(Age_Sex_BY[[#All],[Total Dollars Excluded from Spending After Applying Truncation at the Member Level]], Age_Sex_BY[[#All],[Advanced Network ID]], $B257, Age_Sex_BY[[#All],[Insurance Category Code]],4),2)</f>
        <v>0</v>
      </c>
      <c r="E257" s="209">
        <f>ROUND(SUMIFS(Age_Sex_BY[[#All],[Count of Members whose Spending was Truncated]], Age_Sex_BY[[#All],[Advanced Network ID]], $B257, Age_Sex_BY[[#All],[Insurance Category Code]],4),2)</f>
        <v>0</v>
      </c>
      <c r="F257" s="210">
        <f>ROUND(SUMIFS(Age_Sex_BY[[#All],[Total Spending before Truncation is Applied]], Age_Sex_BY[[#All],[Advanced Network ID]], $B257, Age_Sex_BY[[#All],[Insurance Category Code]],4),2)</f>
        <v>0</v>
      </c>
      <c r="G257" s="212">
        <f>ROUND(SUMIFS(Age_Sex_BY[[#All],[Total Spending After Applying Truncation at the Member Level]], Age_Sex_BY[[#All],[Advanced Network ID]], $B257, Age_Sex_BY[[#All],[Insurance Category Code]],4),2)</f>
        <v>0</v>
      </c>
      <c r="H257" s="525" t="str">
        <f>IF(ROUND(C257,0)=ROUND(SUMIFS(AN_TME_BY[[#All],[Member Months]], AN_TME_BY[[#All],[Insurance Category Code]],4, AN_TME_BY[[#All],[Advanced Network/Insurance Carrier Org ID]],B257),0), "TRUE", ROUND(C257-SUMIFS(AN_TME_BY[[#All],[Member Months]], AN_TME_BY[[#All],[Insurance Category Code]],4, AN_TME_BY[[#All],[Advanced Network/Insurance Carrier Org ID]],B257),2))</f>
        <v>TRUE</v>
      </c>
      <c r="I257" s="533" t="str">
        <f>IF(ROUND(D257,0)=ROUND(SUMIFS(AN_TME_BY[[#All],[Total Claims Excluded because of Truncation]], AN_TME_BY[[#All],[Insurance Category Code]],4, AN_TME_BY[[#All],[Advanced Network/Insurance Carrier Org ID]],B257),0), "TRUE", ROUND(D257-SUMIFS(AN_TME_BY[[#All],[Total Claims Excluded because of Truncation]], AN_TME_BY[[#All],[Insurance Category Code]],4, AN_TME_BY[[#All],[Advanced Network/Insurance Carrier Org ID]],B257),2))</f>
        <v>TRUE</v>
      </c>
      <c r="J257" s="537" t="str">
        <f>IF(ROUND(E257,0)=ROUND(SUMIFS(AN_TME_BY[[#All],[Count of Members with Claims Truncated]], AN_TME_BY[[#All],[Insurance Category Code]],4, AN_TME_BY[[#All],[Advanced Network/Insurance Carrier Org ID]],B257),0), "TRUE", ROUND(E257-SUMIFS(AN_TME_BY[[#All],[Count of Members with Claims Truncated]], AN_TME_BY[[#All],[Insurance Category Code]],4, AN_TME_BY[[#All],[Advanced Network/Insurance Carrier Org ID]],B257),2))</f>
        <v>TRUE</v>
      </c>
      <c r="K257" s="533" t="str">
        <f>IF(ROUND(F257,0)=ROUND(SUMIFS(AN_TME_BY[[#All],[TOTAL Non-Truncated Unadjusted Claims Expenses]], AN_TME_BY[[#All],[Insurance Category Code]],4, AN_TME_BY[[#All],[Advanced Network/Insurance Carrier Org ID]],B257),0), "TRUE", ROUND(F257-SUMIFS(AN_TME_BY[[#All],[TOTAL Non-Truncated Unadjusted Claims Expenses]], AN_TME_BY[[#All],[Insurance Category Code]],4, AN_TME_BY[[#All],[Advanced Network/Insurance Carrier Org ID]],B257),2))</f>
        <v>TRUE</v>
      </c>
      <c r="L257" s="534" t="str">
        <f>IF(ROUND(G257,0)=ROUND(SUMIFS(AN_TME_BY[[#All],[TOTAL Truncated Unadjusted Claims Expenses (A21 -A19)]], AN_TME_BY[[#All],[Insurance Category Code]],4, AN_TME_BY[[#All],[Advanced Network/Insurance Carrier Org ID]],B257),0), "TRUE", ROUND(G257-SUMIFS(AN_TME_BY[[#All],[TOTAL Truncated Unadjusted Claims Expenses (A21 -A19)]], AN_TME_BY[[#All],[Insurance Category Code]],4, AN_TME_BY[[#All],[Advanced Network/Insurance Carrier Org ID]],B257),2))</f>
        <v>TRUE</v>
      </c>
      <c r="M257" s="525" t="str">
        <f t="shared" si="28"/>
        <v>TRUE</v>
      </c>
      <c r="N257" s="533" t="b">
        <f>ROUND(SUMIFS(AN_TME_BY[[#All],[TOTAL Non-Truncated Unadjusted Claims Expenses]], AN_TME_BY[[#All],[Insurance Category Code]],4, AN_TME_BY[[#All],[Advanced Network/Insurance Carrier Org ID]],B257),2)&gt;=ROUND(SUMIFS(AN_TME_BY[[#All],[TOTAL Truncated Unadjusted Claims Expenses (A21 -A19)]], AN_TME_BY[[#All],[Insurance Category Code]],4, AN_TME_BY[[#All],[Advanced Network/Insurance Carrier Org ID]],B257),2)</f>
        <v>1</v>
      </c>
      <c r="O257" s="534" t="b">
        <f>ROUND(SUMIFS(AN_TME_BY[[#All],[TOTAL Truncated Unadjusted Claims Expenses (A21 -A19)]], AN_TME_BY[[#All],[Insurance Category Code]],4, AN_TME_BY[[#All],[Advanced Network/Insurance Carrier Org ID]],B257)+SUMIFS(AN_TME_BY[[#All],[Total Claims Excluded because of Truncation]], AN_TME_BY[[#All],[Insurance Category Code]],4, AN_TME_BY[[#All],[Advanced Network/Insurance Carrier Org ID]],B257),2)=ROUND(SUMIFS(AN_TME_BY[[#All],[TOTAL Non-Truncated Unadjusted Claims Expenses]], AN_TME_BY[[#All],[Insurance Category Code]],4, AN_TME_BY[[#All],[Advanced Network/Insurance Carrier Org ID]],B257),2)</f>
        <v>1</v>
      </c>
      <c r="Q257" s="216">
        <v>119</v>
      </c>
      <c r="R257" s="404">
        <f>ROUND(SUMIFS(Age_Sex_PY[[#All],[Total Member Months by Age/Sex Band]], Age_Sex_PY[[#All],[Advanced Network ID]], $Q257, Age_Sex_PY[[#All],[Insurance Category Code]],4),2)</f>
        <v>0</v>
      </c>
      <c r="S257" s="238">
        <f>ROUND(SUMIFS(Age_Sex_PY[[#All],[Total Dollars Excluded from Spending After Applying Truncation at the Member Level]], Age_Sex_PY[[#All],[Advanced Network ID]], $B257, Age_Sex_PY[[#All],[Insurance Category Code]],4),2)</f>
        <v>0</v>
      </c>
      <c r="T257" s="209">
        <f>ROUND(SUMIFS(Age_Sex_PY[[#All],[Count of Members whose Spending was Truncated]], Age_Sex_PY[[#All],[Advanced Network ID]], $B257, Age_Sex_PY[[#All],[Insurance Category Code]],4),2)</f>
        <v>0</v>
      </c>
      <c r="U257" s="210">
        <f>ROUND(SUMIFS(Age_Sex_PY[[#All],[Total Spending before Truncation is Applied]], Age_Sex_PY[[#All],[Advanced Network ID]], $B257, Age_Sex_PY[[#All],[Insurance Category Code]],4),2)</f>
        <v>0</v>
      </c>
      <c r="V257" s="212">
        <f>ROUND(SUMIFS(Age_Sex_PY[[#All],[Total Spending After Applying Truncation at the Member Level]], Age_Sex_PY[[#All],[Advanced Network ID]], $B257, Age_Sex_PY[[#All],[Insurance Category Code]],4),2)</f>
        <v>0</v>
      </c>
      <c r="W257" s="525" t="str">
        <f>IF(ROUND(R257,0)=ROUND(SUMIFS(AN_TME_PY[[#All],[Member Months]], AN_TME_PY[[#All],[Insurance Category Code]],4, AN_TME_PY[[#All],[Advanced Network/Insurance Carrier Org ID]],Q257),0), "TRUE", ROUND(R257-SUMIFS(AN_TME_PY[[#All],[Member Months]], AN_TME_PY[[#All],[Insurance Category Code]],4, AN_TME_PY[[#All],[Advanced Network/Insurance Carrier Org ID]],Q257),2))</f>
        <v>TRUE</v>
      </c>
      <c r="X257" s="527" t="str">
        <f>IF(ROUND(S257,0)=ROUND(SUMIFS(AN_TME_PY[[#All],[Total Claims Excluded because of Truncation]], AN_TME_PY[[#All],[Insurance Category Code]],4, AN_TME_PY[[#All],[Advanced Network/Insurance Carrier Org ID]],Q257),0), "TRUE", ROUND(S257-SUMIFS(AN_TME_PY[[#All],[Total Claims Excluded because of Truncation]], AN_TME_PY[[#All],[Insurance Category Code]],4, AN_TME_PY[[#All],[Advanced Network/Insurance Carrier Org ID]],Q257),2))</f>
        <v>TRUE</v>
      </c>
      <c r="Y257" s="537" t="str">
        <f>IF(ROUND(T257,0)=ROUND(SUMIFS(AN_TME_PY[[#All],[Count of Members with Claims Truncated]], AN_TME_PY[[#All],[Insurance Category Code]],4, AN_TME_PY[[#All],[Advanced Network/Insurance Carrier Org ID]],Q257),0), "TRUE", ROUND(T257-SUMIFS(AN_TME_PY[[#All],[Count of Members with Claims Truncated]], AN_TME_PY[[#All],[Insurance Category Code]],4, AN_TME_PY[[#All],[Advanced Network/Insurance Carrier Org ID]],Q257),2))</f>
        <v>TRUE</v>
      </c>
      <c r="Z257" s="528" t="str">
        <f>IF(ROUND(U257,0)=ROUND(SUMIFS(AN_TME_PY[[#All],[TOTAL Non-Truncated Unadjusted Claims Expenses]], AN_TME_PY[[#All],[Insurance Category Code]],4, AN_TME_PY[[#All],[Advanced Network/Insurance Carrier Org ID]],Q257),0), "TRUE", ROUND(U257-SUMIFS(AN_TME_PY[[#All],[TOTAL Non-Truncated Unadjusted Claims Expenses]], AN_TME_PY[[#All],[Insurance Category Code]],4, AN_TME_PY[[#All],[Advanced Network/Insurance Carrier Org ID]],Q257),2))</f>
        <v>TRUE</v>
      </c>
      <c r="AA257" s="529" t="str">
        <f>IF(ROUND(V257,0)=ROUND(SUMIFS(AN_TME_PY[[#All],[TOTAL Truncated Unadjusted Claims Expenses (A21 -A19)]], AN_TME_PY[[#All],[Insurance Category Code]],4, AN_TME_PY[[#All],[Advanced Network/Insurance Carrier Org ID]],Q257),0), "TRUE", ROUND(V257-SUMIFS(AN_TME_PY[[#All],[TOTAL Truncated Unadjusted Claims Expenses (A21 -A19)]], AN_TME_PY[[#All],[Insurance Category Code]],4, AN_TME_PY[[#All],[Advanced Network/Insurance Carrier Org ID]],Q257),2))</f>
        <v>TRUE</v>
      </c>
      <c r="AB257" s="525" t="str">
        <f t="shared" si="31"/>
        <v>TRUE</v>
      </c>
      <c r="AC257" s="528" t="b">
        <f>ROUND(SUMIFS(AN_TME_PY[[#All],[TOTAL Non-Truncated Unadjusted Claims Expenses]], AN_TME_PY[[#All],[Insurance Category Code]],4, AN_TME_PY[[#All],[Advanced Network/Insurance Carrier Org ID]],Q257),2)&gt;=ROUND(SUMIFS(AN_TME_PY[[#All],[TOTAL Truncated Unadjusted Claims Expenses (A21 -A19)]], AN_TME_PY[[#All],[Insurance Category Code]],4, AN_TME_PY[[#All],[Advanced Network/Insurance Carrier Org ID]],Q257),2)</f>
        <v>1</v>
      </c>
      <c r="AD257" s="529" t="b">
        <f>ROUND(SUMIFS(AN_TME_PY[[#All],[TOTAL Truncated Unadjusted Claims Expenses (A21 -A19)]], AN_TME_PY[[#All],[Insurance Category Code]],4, AN_TME_PY[[#All],[Advanced Network/Insurance Carrier Org ID]],Q257)+SUMIFS(AN_TME_PY[[#All],[Total Claims Excluded because of Truncation]], AN_TME_PY[[#All],[Insurance Category Code]],4, AN_TME_PY[[#All],[Advanced Network/Insurance Carrier Org ID]],Q257),2)=ROUND(SUMIFS(AN_TME_PY[[#All],[TOTAL Non-Truncated Unadjusted Claims Expenses]], AN_TME_PY[[#All],[Insurance Category Code]],4, AN_TME_PY[[#All],[Advanced Network/Insurance Carrier Org ID]],Q257),2)</f>
        <v>1</v>
      </c>
      <c r="AF257" s="283" t="str">
        <f t="shared" si="30"/>
        <v>NA</v>
      </c>
    </row>
    <row r="258" spans="2:32" outlineLevel="1" x14ac:dyDescent="0.25">
      <c r="B258" s="216">
        <v>120</v>
      </c>
      <c r="C258" s="404">
        <f>ROUND(SUMIFS(Age_Sex_BY[[#All],[Total Member Months by Age/Sex Band]], Age_Sex_BY[[#All],[Advanced Network ID]], $B258, Age_Sex_BY[[#All],[Insurance Category Code]],4),2)</f>
        <v>0</v>
      </c>
      <c r="D258" s="238">
        <f>ROUND(SUMIFS(Age_Sex_BY[[#All],[Total Dollars Excluded from Spending After Applying Truncation at the Member Level]], Age_Sex_BY[[#All],[Advanced Network ID]], $B258, Age_Sex_BY[[#All],[Insurance Category Code]],4),2)</f>
        <v>0</v>
      </c>
      <c r="E258" s="209">
        <f>ROUND(SUMIFS(Age_Sex_BY[[#All],[Count of Members whose Spending was Truncated]], Age_Sex_BY[[#All],[Advanced Network ID]], $B258, Age_Sex_BY[[#All],[Insurance Category Code]],4),2)</f>
        <v>0</v>
      </c>
      <c r="F258" s="210">
        <f>ROUND(SUMIFS(Age_Sex_BY[[#All],[Total Spending before Truncation is Applied]], Age_Sex_BY[[#All],[Advanced Network ID]], $B258, Age_Sex_BY[[#All],[Insurance Category Code]],4),2)</f>
        <v>0</v>
      </c>
      <c r="G258" s="212">
        <f>ROUND(SUMIFS(Age_Sex_BY[[#All],[Total Spending After Applying Truncation at the Member Level]], Age_Sex_BY[[#All],[Advanced Network ID]], $B258, Age_Sex_BY[[#All],[Insurance Category Code]],4),2)</f>
        <v>0</v>
      </c>
      <c r="H258" s="525" t="str">
        <f>IF(ROUND(C258,0)=ROUND(SUMIFS(AN_TME_BY[[#All],[Member Months]], AN_TME_BY[[#All],[Insurance Category Code]],4, AN_TME_BY[[#All],[Advanced Network/Insurance Carrier Org ID]],B258),0), "TRUE", ROUND(C258-SUMIFS(AN_TME_BY[[#All],[Member Months]], AN_TME_BY[[#All],[Insurance Category Code]],4, AN_TME_BY[[#All],[Advanced Network/Insurance Carrier Org ID]],B258),2))</f>
        <v>TRUE</v>
      </c>
      <c r="I258" s="533" t="str">
        <f>IF(ROUND(D258,0)=ROUND(SUMIFS(AN_TME_BY[[#All],[Total Claims Excluded because of Truncation]], AN_TME_BY[[#All],[Insurance Category Code]],4, AN_TME_BY[[#All],[Advanced Network/Insurance Carrier Org ID]],B258),0), "TRUE", ROUND(D258-SUMIFS(AN_TME_BY[[#All],[Total Claims Excluded because of Truncation]], AN_TME_BY[[#All],[Insurance Category Code]],4, AN_TME_BY[[#All],[Advanced Network/Insurance Carrier Org ID]],B258),2))</f>
        <v>TRUE</v>
      </c>
      <c r="J258" s="537" t="str">
        <f>IF(ROUND(E258,0)=ROUND(SUMIFS(AN_TME_BY[[#All],[Count of Members with Claims Truncated]], AN_TME_BY[[#All],[Insurance Category Code]],4, AN_TME_BY[[#All],[Advanced Network/Insurance Carrier Org ID]],B258),0), "TRUE", ROUND(E258-SUMIFS(AN_TME_BY[[#All],[Count of Members with Claims Truncated]], AN_TME_BY[[#All],[Insurance Category Code]],4, AN_TME_BY[[#All],[Advanced Network/Insurance Carrier Org ID]],B258),2))</f>
        <v>TRUE</v>
      </c>
      <c r="K258" s="533" t="str">
        <f>IF(ROUND(F258,0)=ROUND(SUMIFS(AN_TME_BY[[#All],[TOTAL Non-Truncated Unadjusted Claims Expenses]], AN_TME_BY[[#All],[Insurance Category Code]],4, AN_TME_BY[[#All],[Advanced Network/Insurance Carrier Org ID]],B258),0), "TRUE", ROUND(F258-SUMIFS(AN_TME_BY[[#All],[TOTAL Non-Truncated Unadjusted Claims Expenses]], AN_TME_BY[[#All],[Insurance Category Code]],4, AN_TME_BY[[#All],[Advanced Network/Insurance Carrier Org ID]],B258),2))</f>
        <v>TRUE</v>
      </c>
      <c r="L258" s="534" t="str">
        <f>IF(ROUND(G258,0)=ROUND(SUMIFS(AN_TME_BY[[#All],[TOTAL Truncated Unadjusted Claims Expenses (A21 -A19)]], AN_TME_BY[[#All],[Insurance Category Code]],4, AN_TME_BY[[#All],[Advanced Network/Insurance Carrier Org ID]],B258),0), "TRUE", ROUND(G258-SUMIFS(AN_TME_BY[[#All],[TOTAL Truncated Unadjusted Claims Expenses (A21 -A19)]], AN_TME_BY[[#All],[Insurance Category Code]],4, AN_TME_BY[[#All],[Advanced Network/Insurance Carrier Org ID]],B258),2))</f>
        <v>TRUE</v>
      </c>
      <c r="M258" s="525" t="str">
        <f t="shared" si="28"/>
        <v>TRUE</v>
      </c>
      <c r="N258" s="533" t="b">
        <f>ROUND(SUMIFS(AN_TME_BY[[#All],[TOTAL Non-Truncated Unadjusted Claims Expenses]], AN_TME_BY[[#All],[Insurance Category Code]],4, AN_TME_BY[[#All],[Advanced Network/Insurance Carrier Org ID]],B258),2)&gt;=ROUND(SUMIFS(AN_TME_BY[[#All],[TOTAL Truncated Unadjusted Claims Expenses (A21 -A19)]], AN_TME_BY[[#All],[Insurance Category Code]],4, AN_TME_BY[[#All],[Advanced Network/Insurance Carrier Org ID]],B258),2)</f>
        <v>1</v>
      </c>
      <c r="O258" s="534" t="b">
        <f>ROUND(SUMIFS(AN_TME_BY[[#All],[TOTAL Truncated Unadjusted Claims Expenses (A21 -A19)]], AN_TME_BY[[#All],[Insurance Category Code]],4, AN_TME_BY[[#All],[Advanced Network/Insurance Carrier Org ID]],B258)+SUMIFS(AN_TME_BY[[#All],[Total Claims Excluded because of Truncation]], AN_TME_BY[[#All],[Insurance Category Code]],4, AN_TME_BY[[#All],[Advanced Network/Insurance Carrier Org ID]],B258),2)=ROUND(SUMIFS(AN_TME_BY[[#All],[TOTAL Non-Truncated Unadjusted Claims Expenses]], AN_TME_BY[[#All],[Insurance Category Code]],4, AN_TME_BY[[#All],[Advanced Network/Insurance Carrier Org ID]],B258),2)</f>
        <v>1</v>
      </c>
      <c r="Q258" s="216">
        <v>120</v>
      </c>
      <c r="R258" s="404">
        <f>ROUND(SUMIFS(Age_Sex_PY[[#All],[Total Member Months by Age/Sex Band]], Age_Sex_PY[[#All],[Advanced Network ID]], $Q258, Age_Sex_PY[[#All],[Insurance Category Code]],4),2)</f>
        <v>0</v>
      </c>
      <c r="S258" s="238">
        <f>ROUND(SUMIFS(Age_Sex_PY[[#All],[Total Dollars Excluded from Spending After Applying Truncation at the Member Level]], Age_Sex_PY[[#All],[Advanced Network ID]], $B258, Age_Sex_PY[[#All],[Insurance Category Code]],4),2)</f>
        <v>0</v>
      </c>
      <c r="T258" s="209">
        <f>ROUND(SUMIFS(Age_Sex_PY[[#All],[Count of Members whose Spending was Truncated]], Age_Sex_PY[[#All],[Advanced Network ID]], $B258, Age_Sex_PY[[#All],[Insurance Category Code]],4),2)</f>
        <v>0</v>
      </c>
      <c r="U258" s="210">
        <f>ROUND(SUMIFS(Age_Sex_PY[[#All],[Total Spending before Truncation is Applied]], Age_Sex_PY[[#All],[Advanced Network ID]], $B258, Age_Sex_PY[[#All],[Insurance Category Code]],4),2)</f>
        <v>0</v>
      </c>
      <c r="V258" s="212">
        <f>ROUND(SUMIFS(Age_Sex_PY[[#All],[Total Spending After Applying Truncation at the Member Level]], Age_Sex_PY[[#All],[Advanced Network ID]], $B258, Age_Sex_PY[[#All],[Insurance Category Code]],4),2)</f>
        <v>0</v>
      </c>
      <c r="W258" s="525" t="str">
        <f>IF(ROUND(R258,0)=ROUND(SUMIFS(AN_TME_PY[[#All],[Member Months]], AN_TME_PY[[#All],[Insurance Category Code]],4, AN_TME_PY[[#All],[Advanced Network/Insurance Carrier Org ID]],Q258),0), "TRUE", ROUND(R258-SUMIFS(AN_TME_PY[[#All],[Member Months]], AN_TME_PY[[#All],[Insurance Category Code]],4, AN_TME_PY[[#All],[Advanced Network/Insurance Carrier Org ID]],Q258),2))</f>
        <v>TRUE</v>
      </c>
      <c r="X258" s="527" t="str">
        <f>IF(ROUND(S258,0)=ROUND(SUMIFS(AN_TME_PY[[#All],[Total Claims Excluded because of Truncation]], AN_TME_PY[[#All],[Insurance Category Code]],4, AN_TME_PY[[#All],[Advanced Network/Insurance Carrier Org ID]],Q258),0), "TRUE", ROUND(S258-SUMIFS(AN_TME_PY[[#All],[Total Claims Excluded because of Truncation]], AN_TME_PY[[#All],[Insurance Category Code]],4, AN_TME_PY[[#All],[Advanced Network/Insurance Carrier Org ID]],Q258),2))</f>
        <v>TRUE</v>
      </c>
      <c r="Y258" s="537" t="str">
        <f>IF(ROUND(T258,0)=ROUND(SUMIFS(AN_TME_PY[[#All],[Count of Members with Claims Truncated]], AN_TME_PY[[#All],[Insurance Category Code]],4, AN_TME_PY[[#All],[Advanced Network/Insurance Carrier Org ID]],Q258),0), "TRUE", ROUND(T258-SUMIFS(AN_TME_PY[[#All],[Count of Members with Claims Truncated]], AN_TME_PY[[#All],[Insurance Category Code]],4, AN_TME_PY[[#All],[Advanced Network/Insurance Carrier Org ID]],Q258),2))</f>
        <v>TRUE</v>
      </c>
      <c r="Z258" s="528" t="str">
        <f>IF(ROUND(U258,0)=ROUND(SUMIFS(AN_TME_PY[[#All],[TOTAL Non-Truncated Unadjusted Claims Expenses]], AN_TME_PY[[#All],[Insurance Category Code]],4, AN_TME_PY[[#All],[Advanced Network/Insurance Carrier Org ID]],Q258),0), "TRUE", ROUND(U258-SUMIFS(AN_TME_PY[[#All],[TOTAL Non-Truncated Unadjusted Claims Expenses]], AN_TME_PY[[#All],[Insurance Category Code]],4, AN_TME_PY[[#All],[Advanced Network/Insurance Carrier Org ID]],Q258),2))</f>
        <v>TRUE</v>
      </c>
      <c r="AA258" s="529" t="str">
        <f>IF(ROUND(V258,0)=ROUND(SUMIFS(AN_TME_PY[[#All],[TOTAL Truncated Unadjusted Claims Expenses (A21 -A19)]], AN_TME_PY[[#All],[Insurance Category Code]],4, AN_TME_PY[[#All],[Advanced Network/Insurance Carrier Org ID]],Q258),0), "TRUE", ROUND(V258-SUMIFS(AN_TME_PY[[#All],[TOTAL Truncated Unadjusted Claims Expenses (A21 -A19)]], AN_TME_PY[[#All],[Insurance Category Code]],4, AN_TME_PY[[#All],[Advanced Network/Insurance Carrier Org ID]],Q258),2))</f>
        <v>TRUE</v>
      </c>
      <c r="AB258" s="525" t="str">
        <f t="shared" si="31"/>
        <v>TRUE</v>
      </c>
      <c r="AC258" s="528" t="b">
        <f>ROUND(SUMIFS(AN_TME_PY[[#All],[TOTAL Non-Truncated Unadjusted Claims Expenses]], AN_TME_PY[[#All],[Insurance Category Code]],4, AN_TME_PY[[#All],[Advanced Network/Insurance Carrier Org ID]],Q258),2)&gt;=ROUND(SUMIFS(AN_TME_PY[[#All],[TOTAL Truncated Unadjusted Claims Expenses (A21 -A19)]], AN_TME_PY[[#All],[Insurance Category Code]],4, AN_TME_PY[[#All],[Advanced Network/Insurance Carrier Org ID]],Q258),2)</f>
        <v>1</v>
      </c>
      <c r="AD258" s="529" t="b">
        <f>ROUND(SUMIFS(AN_TME_PY[[#All],[TOTAL Truncated Unadjusted Claims Expenses (A21 -A19)]], AN_TME_PY[[#All],[Insurance Category Code]],4, AN_TME_PY[[#All],[Advanced Network/Insurance Carrier Org ID]],Q258)+SUMIFS(AN_TME_PY[[#All],[Total Claims Excluded because of Truncation]], AN_TME_PY[[#All],[Insurance Category Code]],4, AN_TME_PY[[#All],[Advanced Network/Insurance Carrier Org ID]],Q258),2)=ROUND(SUMIFS(AN_TME_PY[[#All],[TOTAL Non-Truncated Unadjusted Claims Expenses]], AN_TME_PY[[#All],[Insurance Category Code]],4, AN_TME_PY[[#All],[Advanced Network/Insurance Carrier Org ID]],Q258),2)</f>
        <v>1</v>
      </c>
      <c r="AF258" s="283" t="str">
        <f t="shared" si="30"/>
        <v>NA</v>
      </c>
    </row>
    <row r="259" spans="2:32" outlineLevel="1" x14ac:dyDescent="0.25">
      <c r="B259" s="216">
        <v>121</v>
      </c>
      <c r="C259" s="404">
        <f>ROUND(SUMIFS(Age_Sex_BY[[#All],[Total Member Months by Age/Sex Band]], Age_Sex_BY[[#All],[Advanced Network ID]], $B259, Age_Sex_BY[[#All],[Insurance Category Code]],4),2)</f>
        <v>0</v>
      </c>
      <c r="D259" s="238">
        <f>ROUND(SUMIFS(Age_Sex_BY[[#All],[Total Dollars Excluded from Spending After Applying Truncation at the Member Level]], Age_Sex_BY[[#All],[Advanced Network ID]], $B259, Age_Sex_BY[[#All],[Insurance Category Code]],4),2)</f>
        <v>0</v>
      </c>
      <c r="E259" s="209">
        <f>ROUND(SUMIFS(Age_Sex_BY[[#All],[Count of Members whose Spending was Truncated]], Age_Sex_BY[[#All],[Advanced Network ID]], $B259, Age_Sex_BY[[#All],[Insurance Category Code]],4),2)</f>
        <v>0</v>
      </c>
      <c r="F259" s="210">
        <f>ROUND(SUMIFS(Age_Sex_BY[[#All],[Total Spending before Truncation is Applied]], Age_Sex_BY[[#All],[Advanced Network ID]], $B259, Age_Sex_BY[[#All],[Insurance Category Code]],4),2)</f>
        <v>0</v>
      </c>
      <c r="G259" s="212">
        <f>ROUND(SUMIFS(Age_Sex_BY[[#All],[Total Spending After Applying Truncation at the Member Level]], Age_Sex_BY[[#All],[Advanced Network ID]], $B259, Age_Sex_BY[[#All],[Insurance Category Code]],4),2)</f>
        <v>0</v>
      </c>
      <c r="H259" s="525" t="str">
        <f>IF(ROUND(C259,0)=ROUND(SUMIFS(AN_TME_BY[[#All],[Member Months]], AN_TME_BY[[#All],[Insurance Category Code]],4, AN_TME_BY[[#All],[Advanced Network/Insurance Carrier Org ID]],B259),0), "TRUE", ROUND(C259-SUMIFS(AN_TME_BY[[#All],[Member Months]], AN_TME_BY[[#All],[Insurance Category Code]],4, AN_TME_BY[[#All],[Advanced Network/Insurance Carrier Org ID]],B259),2))</f>
        <v>TRUE</v>
      </c>
      <c r="I259" s="533" t="str">
        <f>IF(ROUND(D259,0)=ROUND(SUMIFS(AN_TME_BY[[#All],[Total Claims Excluded because of Truncation]], AN_TME_BY[[#All],[Insurance Category Code]],4, AN_TME_BY[[#All],[Advanced Network/Insurance Carrier Org ID]],B259),0), "TRUE", ROUND(D259-SUMIFS(AN_TME_BY[[#All],[Total Claims Excluded because of Truncation]], AN_TME_BY[[#All],[Insurance Category Code]],4, AN_TME_BY[[#All],[Advanced Network/Insurance Carrier Org ID]],B259),2))</f>
        <v>TRUE</v>
      </c>
      <c r="J259" s="537" t="str">
        <f>IF(ROUND(E259,0)=ROUND(SUMIFS(AN_TME_BY[[#All],[Count of Members with Claims Truncated]], AN_TME_BY[[#All],[Insurance Category Code]],4, AN_TME_BY[[#All],[Advanced Network/Insurance Carrier Org ID]],B259),0), "TRUE", ROUND(E259-SUMIFS(AN_TME_BY[[#All],[Count of Members with Claims Truncated]], AN_TME_BY[[#All],[Insurance Category Code]],4, AN_TME_BY[[#All],[Advanced Network/Insurance Carrier Org ID]],B259),2))</f>
        <v>TRUE</v>
      </c>
      <c r="K259" s="533" t="str">
        <f>IF(ROUND(F259,0)=ROUND(SUMIFS(AN_TME_BY[[#All],[TOTAL Non-Truncated Unadjusted Claims Expenses]], AN_TME_BY[[#All],[Insurance Category Code]],4, AN_TME_BY[[#All],[Advanced Network/Insurance Carrier Org ID]],B259),0), "TRUE", ROUND(F259-SUMIFS(AN_TME_BY[[#All],[TOTAL Non-Truncated Unadjusted Claims Expenses]], AN_TME_BY[[#All],[Insurance Category Code]],4, AN_TME_BY[[#All],[Advanced Network/Insurance Carrier Org ID]],B259),2))</f>
        <v>TRUE</v>
      </c>
      <c r="L259" s="534" t="str">
        <f>IF(ROUND(G259,0)=ROUND(SUMIFS(AN_TME_BY[[#All],[TOTAL Truncated Unadjusted Claims Expenses (A21 -A19)]], AN_TME_BY[[#All],[Insurance Category Code]],4, AN_TME_BY[[#All],[Advanced Network/Insurance Carrier Org ID]],B259),0), "TRUE", ROUND(G259-SUMIFS(AN_TME_BY[[#All],[TOTAL Truncated Unadjusted Claims Expenses (A21 -A19)]], AN_TME_BY[[#All],[Insurance Category Code]],4, AN_TME_BY[[#All],[Advanced Network/Insurance Carrier Org ID]],B259),2))</f>
        <v>TRUE</v>
      </c>
      <c r="M259" s="525" t="str">
        <f t="shared" si="28"/>
        <v>TRUE</v>
      </c>
      <c r="N259" s="533" t="b">
        <f>ROUND(SUMIFS(AN_TME_BY[[#All],[TOTAL Non-Truncated Unadjusted Claims Expenses]], AN_TME_BY[[#All],[Insurance Category Code]],4, AN_TME_BY[[#All],[Advanced Network/Insurance Carrier Org ID]],B259),2)&gt;=ROUND(SUMIFS(AN_TME_BY[[#All],[TOTAL Truncated Unadjusted Claims Expenses (A21 -A19)]], AN_TME_BY[[#All],[Insurance Category Code]],4, AN_TME_BY[[#All],[Advanced Network/Insurance Carrier Org ID]],B259),2)</f>
        <v>1</v>
      </c>
      <c r="O259" s="534" t="b">
        <f>ROUND(SUMIFS(AN_TME_BY[[#All],[TOTAL Truncated Unadjusted Claims Expenses (A21 -A19)]], AN_TME_BY[[#All],[Insurance Category Code]],4, AN_TME_BY[[#All],[Advanced Network/Insurance Carrier Org ID]],B259)+SUMIFS(AN_TME_BY[[#All],[Total Claims Excluded because of Truncation]], AN_TME_BY[[#All],[Insurance Category Code]],4, AN_TME_BY[[#All],[Advanced Network/Insurance Carrier Org ID]],B259),2)=ROUND(SUMIFS(AN_TME_BY[[#All],[TOTAL Non-Truncated Unadjusted Claims Expenses]], AN_TME_BY[[#All],[Insurance Category Code]],4, AN_TME_BY[[#All],[Advanced Network/Insurance Carrier Org ID]],B259),2)</f>
        <v>1</v>
      </c>
      <c r="Q259" s="216">
        <v>121</v>
      </c>
      <c r="R259" s="404">
        <f>ROUND(SUMIFS(Age_Sex_PY[[#All],[Total Member Months by Age/Sex Band]], Age_Sex_PY[[#All],[Advanced Network ID]], $Q259, Age_Sex_PY[[#All],[Insurance Category Code]],4),2)</f>
        <v>0</v>
      </c>
      <c r="S259" s="238">
        <f>ROUND(SUMIFS(Age_Sex_PY[[#All],[Total Dollars Excluded from Spending After Applying Truncation at the Member Level]], Age_Sex_PY[[#All],[Advanced Network ID]], $B259, Age_Sex_PY[[#All],[Insurance Category Code]],4),2)</f>
        <v>0</v>
      </c>
      <c r="T259" s="209">
        <f>ROUND(SUMIFS(Age_Sex_PY[[#All],[Count of Members whose Spending was Truncated]], Age_Sex_PY[[#All],[Advanced Network ID]], $B259, Age_Sex_PY[[#All],[Insurance Category Code]],4),2)</f>
        <v>0</v>
      </c>
      <c r="U259" s="210">
        <f>ROUND(SUMIFS(Age_Sex_PY[[#All],[Total Spending before Truncation is Applied]], Age_Sex_PY[[#All],[Advanced Network ID]], $B259, Age_Sex_PY[[#All],[Insurance Category Code]],4),2)</f>
        <v>0</v>
      </c>
      <c r="V259" s="212">
        <f>ROUND(SUMIFS(Age_Sex_PY[[#All],[Total Spending After Applying Truncation at the Member Level]], Age_Sex_PY[[#All],[Advanced Network ID]], $B259, Age_Sex_PY[[#All],[Insurance Category Code]],4),2)</f>
        <v>0</v>
      </c>
      <c r="W259" s="525" t="str">
        <f>IF(ROUND(R259,0)=ROUND(SUMIFS(AN_TME_PY[[#All],[Member Months]], AN_TME_PY[[#All],[Insurance Category Code]],4, AN_TME_PY[[#All],[Advanced Network/Insurance Carrier Org ID]],Q259),0), "TRUE", ROUND(R259-SUMIFS(AN_TME_PY[[#All],[Member Months]], AN_TME_PY[[#All],[Insurance Category Code]],4, AN_TME_PY[[#All],[Advanced Network/Insurance Carrier Org ID]],Q259),2))</f>
        <v>TRUE</v>
      </c>
      <c r="X259" s="527" t="str">
        <f>IF(ROUND(S259,0)=ROUND(SUMIFS(AN_TME_PY[[#All],[Total Claims Excluded because of Truncation]], AN_TME_PY[[#All],[Insurance Category Code]],4, AN_TME_PY[[#All],[Advanced Network/Insurance Carrier Org ID]],Q259),0), "TRUE", ROUND(S259-SUMIFS(AN_TME_PY[[#All],[Total Claims Excluded because of Truncation]], AN_TME_PY[[#All],[Insurance Category Code]],4, AN_TME_PY[[#All],[Advanced Network/Insurance Carrier Org ID]],Q259),2))</f>
        <v>TRUE</v>
      </c>
      <c r="Y259" s="537" t="str">
        <f>IF(ROUND(T259,0)=ROUND(SUMIFS(AN_TME_PY[[#All],[Count of Members with Claims Truncated]], AN_TME_PY[[#All],[Insurance Category Code]],4, AN_TME_PY[[#All],[Advanced Network/Insurance Carrier Org ID]],Q259),0), "TRUE", ROUND(T259-SUMIFS(AN_TME_PY[[#All],[Count of Members with Claims Truncated]], AN_TME_PY[[#All],[Insurance Category Code]],4, AN_TME_PY[[#All],[Advanced Network/Insurance Carrier Org ID]],Q259),2))</f>
        <v>TRUE</v>
      </c>
      <c r="Z259" s="528" t="str">
        <f>IF(ROUND(U259,0)=ROUND(SUMIFS(AN_TME_PY[[#All],[TOTAL Non-Truncated Unadjusted Claims Expenses]], AN_TME_PY[[#All],[Insurance Category Code]],4, AN_TME_PY[[#All],[Advanced Network/Insurance Carrier Org ID]],Q259),0), "TRUE", ROUND(U259-SUMIFS(AN_TME_PY[[#All],[TOTAL Non-Truncated Unadjusted Claims Expenses]], AN_TME_PY[[#All],[Insurance Category Code]],4, AN_TME_PY[[#All],[Advanced Network/Insurance Carrier Org ID]],Q259),2))</f>
        <v>TRUE</v>
      </c>
      <c r="AA259" s="529" t="str">
        <f>IF(ROUND(V259,0)=ROUND(SUMIFS(AN_TME_PY[[#All],[TOTAL Truncated Unadjusted Claims Expenses (A21 -A19)]], AN_TME_PY[[#All],[Insurance Category Code]],4, AN_TME_PY[[#All],[Advanced Network/Insurance Carrier Org ID]],Q259),0), "TRUE", ROUND(V259-SUMIFS(AN_TME_PY[[#All],[TOTAL Truncated Unadjusted Claims Expenses (A21 -A19)]], AN_TME_PY[[#All],[Insurance Category Code]],4, AN_TME_PY[[#All],[Advanced Network/Insurance Carrier Org ID]],Q259),2))</f>
        <v>TRUE</v>
      </c>
      <c r="AB259" s="525" t="str">
        <f t="shared" si="31"/>
        <v>TRUE</v>
      </c>
      <c r="AC259" s="528" t="b">
        <f>ROUND(SUMIFS(AN_TME_PY[[#All],[TOTAL Non-Truncated Unadjusted Claims Expenses]], AN_TME_PY[[#All],[Insurance Category Code]],4, AN_TME_PY[[#All],[Advanced Network/Insurance Carrier Org ID]],Q259),2)&gt;=ROUND(SUMIFS(AN_TME_PY[[#All],[TOTAL Truncated Unadjusted Claims Expenses (A21 -A19)]], AN_TME_PY[[#All],[Insurance Category Code]],4, AN_TME_PY[[#All],[Advanced Network/Insurance Carrier Org ID]],Q259),2)</f>
        <v>1</v>
      </c>
      <c r="AD259" s="529" t="b">
        <f>ROUND(SUMIFS(AN_TME_PY[[#All],[TOTAL Truncated Unadjusted Claims Expenses (A21 -A19)]], AN_TME_PY[[#All],[Insurance Category Code]],4, AN_TME_PY[[#All],[Advanced Network/Insurance Carrier Org ID]],Q259)+SUMIFS(AN_TME_PY[[#All],[Total Claims Excluded because of Truncation]], AN_TME_PY[[#All],[Insurance Category Code]],4, AN_TME_PY[[#All],[Advanced Network/Insurance Carrier Org ID]],Q259),2)=ROUND(SUMIFS(AN_TME_PY[[#All],[TOTAL Non-Truncated Unadjusted Claims Expenses]], AN_TME_PY[[#All],[Insurance Category Code]],4, AN_TME_PY[[#All],[Advanced Network/Insurance Carrier Org ID]],Q259),2)</f>
        <v>1</v>
      </c>
      <c r="AF259" s="283" t="str">
        <f t="shared" si="30"/>
        <v>NA</v>
      </c>
    </row>
    <row r="260" spans="2:32" outlineLevel="1" x14ac:dyDescent="0.25">
      <c r="B260" s="216">
        <v>122</v>
      </c>
      <c r="C260" s="404">
        <f>ROUND(SUMIFS(Age_Sex_BY[[#All],[Total Member Months by Age/Sex Band]], Age_Sex_BY[[#All],[Advanced Network ID]], $B260, Age_Sex_BY[[#All],[Insurance Category Code]],4),2)</f>
        <v>0</v>
      </c>
      <c r="D260" s="238">
        <f>ROUND(SUMIFS(Age_Sex_BY[[#All],[Total Dollars Excluded from Spending After Applying Truncation at the Member Level]], Age_Sex_BY[[#All],[Advanced Network ID]], $B260, Age_Sex_BY[[#All],[Insurance Category Code]],4),2)</f>
        <v>0</v>
      </c>
      <c r="E260" s="209">
        <f>ROUND(SUMIFS(Age_Sex_BY[[#All],[Count of Members whose Spending was Truncated]], Age_Sex_BY[[#All],[Advanced Network ID]], $B260, Age_Sex_BY[[#All],[Insurance Category Code]],4),2)</f>
        <v>0</v>
      </c>
      <c r="F260" s="210">
        <f>ROUND(SUMIFS(Age_Sex_BY[[#All],[Total Spending before Truncation is Applied]], Age_Sex_BY[[#All],[Advanced Network ID]], $B260, Age_Sex_BY[[#All],[Insurance Category Code]],4),2)</f>
        <v>0</v>
      </c>
      <c r="G260" s="212">
        <f>ROUND(SUMIFS(Age_Sex_BY[[#All],[Total Spending After Applying Truncation at the Member Level]], Age_Sex_BY[[#All],[Advanced Network ID]], $B260, Age_Sex_BY[[#All],[Insurance Category Code]],4),2)</f>
        <v>0</v>
      </c>
      <c r="H260" s="525" t="str">
        <f>IF(ROUND(C260,0)=ROUND(SUMIFS(AN_TME_BY[[#All],[Member Months]], AN_TME_BY[[#All],[Insurance Category Code]],4, AN_TME_BY[[#All],[Advanced Network/Insurance Carrier Org ID]],B260),0), "TRUE", ROUND(C260-SUMIFS(AN_TME_BY[[#All],[Member Months]], AN_TME_BY[[#All],[Insurance Category Code]],4, AN_TME_BY[[#All],[Advanced Network/Insurance Carrier Org ID]],B260),2))</f>
        <v>TRUE</v>
      </c>
      <c r="I260" s="533" t="str">
        <f>IF(ROUND(D260,0)=ROUND(SUMIFS(AN_TME_BY[[#All],[Total Claims Excluded because of Truncation]], AN_TME_BY[[#All],[Insurance Category Code]],4, AN_TME_BY[[#All],[Advanced Network/Insurance Carrier Org ID]],B260),0), "TRUE", ROUND(D260-SUMIFS(AN_TME_BY[[#All],[Total Claims Excluded because of Truncation]], AN_TME_BY[[#All],[Insurance Category Code]],4, AN_TME_BY[[#All],[Advanced Network/Insurance Carrier Org ID]],B260),2))</f>
        <v>TRUE</v>
      </c>
      <c r="J260" s="537" t="str">
        <f>IF(ROUND(E260,0)=ROUND(SUMIFS(AN_TME_BY[[#All],[Count of Members with Claims Truncated]], AN_TME_BY[[#All],[Insurance Category Code]],4, AN_TME_BY[[#All],[Advanced Network/Insurance Carrier Org ID]],B260),0), "TRUE", ROUND(E260-SUMIFS(AN_TME_BY[[#All],[Count of Members with Claims Truncated]], AN_TME_BY[[#All],[Insurance Category Code]],4, AN_TME_BY[[#All],[Advanced Network/Insurance Carrier Org ID]],B260),2))</f>
        <v>TRUE</v>
      </c>
      <c r="K260" s="533" t="str">
        <f>IF(ROUND(F260,0)=ROUND(SUMIFS(AN_TME_BY[[#All],[TOTAL Non-Truncated Unadjusted Claims Expenses]], AN_TME_BY[[#All],[Insurance Category Code]],4, AN_TME_BY[[#All],[Advanced Network/Insurance Carrier Org ID]],B260),0), "TRUE", ROUND(F260-SUMIFS(AN_TME_BY[[#All],[TOTAL Non-Truncated Unadjusted Claims Expenses]], AN_TME_BY[[#All],[Insurance Category Code]],4, AN_TME_BY[[#All],[Advanced Network/Insurance Carrier Org ID]],B260),2))</f>
        <v>TRUE</v>
      </c>
      <c r="L260" s="534" t="str">
        <f>IF(ROUND(G260,0)=ROUND(SUMIFS(AN_TME_BY[[#All],[TOTAL Truncated Unadjusted Claims Expenses (A21 -A19)]], AN_TME_BY[[#All],[Insurance Category Code]],4, AN_TME_BY[[#All],[Advanced Network/Insurance Carrier Org ID]],B260),0), "TRUE", ROUND(G260-SUMIFS(AN_TME_BY[[#All],[TOTAL Truncated Unadjusted Claims Expenses (A21 -A19)]], AN_TME_BY[[#All],[Insurance Category Code]],4, AN_TME_BY[[#All],[Advanced Network/Insurance Carrier Org ID]],B260),2))</f>
        <v>TRUE</v>
      </c>
      <c r="M260" s="525" t="str">
        <f t="shared" si="28"/>
        <v>TRUE</v>
      </c>
      <c r="N260" s="533" t="b">
        <f>ROUND(SUMIFS(AN_TME_BY[[#All],[TOTAL Non-Truncated Unadjusted Claims Expenses]], AN_TME_BY[[#All],[Insurance Category Code]],4, AN_TME_BY[[#All],[Advanced Network/Insurance Carrier Org ID]],B260),2)&gt;=ROUND(SUMIFS(AN_TME_BY[[#All],[TOTAL Truncated Unadjusted Claims Expenses (A21 -A19)]], AN_TME_BY[[#All],[Insurance Category Code]],4, AN_TME_BY[[#All],[Advanced Network/Insurance Carrier Org ID]],B260),2)</f>
        <v>1</v>
      </c>
      <c r="O260" s="534" t="b">
        <f>ROUND(SUMIFS(AN_TME_BY[[#All],[TOTAL Truncated Unadjusted Claims Expenses (A21 -A19)]], AN_TME_BY[[#All],[Insurance Category Code]],4, AN_TME_BY[[#All],[Advanced Network/Insurance Carrier Org ID]],B260)+SUMIFS(AN_TME_BY[[#All],[Total Claims Excluded because of Truncation]], AN_TME_BY[[#All],[Insurance Category Code]],4, AN_TME_BY[[#All],[Advanced Network/Insurance Carrier Org ID]],B260),2)=ROUND(SUMIFS(AN_TME_BY[[#All],[TOTAL Non-Truncated Unadjusted Claims Expenses]], AN_TME_BY[[#All],[Insurance Category Code]],4, AN_TME_BY[[#All],[Advanced Network/Insurance Carrier Org ID]],B260),2)</f>
        <v>1</v>
      </c>
      <c r="Q260" s="216">
        <v>122</v>
      </c>
      <c r="R260" s="404">
        <f>ROUND(SUMIFS(Age_Sex_PY[[#All],[Total Member Months by Age/Sex Band]], Age_Sex_PY[[#All],[Advanced Network ID]], $Q260, Age_Sex_PY[[#All],[Insurance Category Code]],4),2)</f>
        <v>0</v>
      </c>
      <c r="S260" s="238">
        <f>ROUND(SUMIFS(Age_Sex_PY[[#All],[Total Dollars Excluded from Spending After Applying Truncation at the Member Level]], Age_Sex_PY[[#All],[Advanced Network ID]], $B260, Age_Sex_PY[[#All],[Insurance Category Code]],4),2)</f>
        <v>0</v>
      </c>
      <c r="T260" s="209">
        <f>ROUND(SUMIFS(Age_Sex_PY[[#All],[Count of Members whose Spending was Truncated]], Age_Sex_PY[[#All],[Advanced Network ID]], $B260, Age_Sex_PY[[#All],[Insurance Category Code]],4),2)</f>
        <v>0</v>
      </c>
      <c r="U260" s="210">
        <f>ROUND(SUMIFS(Age_Sex_PY[[#All],[Total Spending before Truncation is Applied]], Age_Sex_PY[[#All],[Advanced Network ID]], $B260, Age_Sex_PY[[#All],[Insurance Category Code]],4),2)</f>
        <v>0</v>
      </c>
      <c r="V260" s="212">
        <f>ROUND(SUMIFS(Age_Sex_PY[[#All],[Total Spending After Applying Truncation at the Member Level]], Age_Sex_PY[[#All],[Advanced Network ID]], $B260, Age_Sex_PY[[#All],[Insurance Category Code]],4),2)</f>
        <v>0</v>
      </c>
      <c r="W260" s="525" t="str">
        <f>IF(ROUND(R260,0)=ROUND(SUMIFS(AN_TME_PY[[#All],[Member Months]], AN_TME_PY[[#All],[Insurance Category Code]],4, AN_TME_PY[[#All],[Advanced Network/Insurance Carrier Org ID]],Q260),0), "TRUE", ROUND(R260-SUMIFS(AN_TME_PY[[#All],[Member Months]], AN_TME_PY[[#All],[Insurance Category Code]],4, AN_TME_PY[[#All],[Advanced Network/Insurance Carrier Org ID]],Q260),2))</f>
        <v>TRUE</v>
      </c>
      <c r="X260" s="527" t="str">
        <f>IF(ROUND(S260,0)=ROUND(SUMIFS(AN_TME_PY[[#All],[Total Claims Excluded because of Truncation]], AN_TME_PY[[#All],[Insurance Category Code]],4, AN_TME_PY[[#All],[Advanced Network/Insurance Carrier Org ID]],Q260),0), "TRUE", ROUND(S260-SUMIFS(AN_TME_PY[[#All],[Total Claims Excluded because of Truncation]], AN_TME_PY[[#All],[Insurance Category Code]],4, AN_TME_PY[[#All],[Advanced Network/Insurance Carrier Org ID]],Q260),2))</f>
        <v>TRUE</v>
      </c>
      <c r="Y260" s="537" t="str">
        <f>IF(ROUND(T260,0)=ROUND(SUMIFS(AN_TME_PY[[#All],[Count of Members with Claims Truncated]], AN_TME_PY[[#All],[Insurance Category Code]],4, AN_TME_PY[[#All],[Advanced Network/Insurance Carrier Org ID]],Q260),0), "TRUE", ROUND(T260-SUMIFS(AN_TME_PY[[#All],[Count of Members with Claims Truncated]], AN_TME_PY[[#All],[Insurance Category Code]],4, AN_TME_PY[[#All],[Advanced Network/Insurance Carrier Org ID]],Q260),2))</f>
        <v>TRUE</v>
      </c>
      <c r="Z260" s="528" t="str">
        <f>IF(ROUND(U260,0)=ROUND(SUMIFS(AN_TME_PY[[#All],[TOTAL Non-Truncated Unadjusted Claims Expenses]], AN_TME_PY[[#All],[Insurance Category Code]],4, AN_TME_PY[[#All],[Advanced Network/Insurance Carrier Org ID]],Q260),0), "TRUE", ROUND(U260-SUMIFS(AN_TME_PY[[#All],[TOTAL Non-Truncated Unadjusted Claims Expenses]], AN_TME_PY[[#All],[Insurance Category Code]],4, AN_TME_PY[[#All],[Advanced Network/Insurance Carrier Org ID]],Q260),2))</f>
        <v>TRUE</v>
      </c>
      <c r="AA260" s="529" t="str">
        <f>IF(ROUND(V260,0)=ROUND(SUMIFS(AN_TME_PY[[#All],[TOTAL Truncated Unadjusted Claims Expenses (A21 -A19)]], AN_TME_PY[[#All],[Insurance Category Code]],4, AN_TME_PY[[#All],[Advanced Network/Insurance Carrier Org ID]],Q260),0), "TRUE", ROUND(V260-SUMIFS(AN_TME_PY[[#All],[TOTAL Truncated Unadjusted Claims Expenses (A21 -A19)]], AN_TME_PY[[#All],[Insurance Category Code]],4, AN_TME_PY[[#All],[Advanced Network/Insurance Carrier Org ID]],Q260),2))</f>
        <v>TRUE</v>
      </c>
      <c r="AB260" s="525" t="str">
        <f t="shared" si="31"/>
        <v>TRUE</v>
      </c>
      <c r="AC260" s="528" t="b">
        <f>ROUND(SUMIFS(AN_TME_PY[[#All],[TOTAL Non-Truncated Unadjusted Claims Expenses]], AN_TME_PY[[#All],[Insurance Category Code]],4, AN_TME_PY[[#All],[Advanced Network/Insurance Carrier Org ID]],Q260),2)&gt;=ROUND(SUMIFS(AN_TME_PY[[#All],[TOTAL Truncated Unadjusted Claims Expenses (A21 -A19)]], AN_TME_PY[[#All],[Insurance Category Code]],4, AN_TME_PY[[#All],[Advanced Network/Insurance Carrier Org ID]],Q260),2)</f>
        <v>1</v>
      </c>
      <c r="AD260" s="529" t="b">
        <f>ROUND(SUMIFS(AN_TME_PY[[#All],[TOTAL Truncated Unadjusted Claims Expenses (A21 -A19)]], AN_TME_PY[[#All],[Insurance Category Code]],4, AN_TME_PY[[#All],[Advanced Network/Insurance Carrier Org ID]],Q260)+SUMIFS(AN_TME_PY[[#All],[Total Claims Excluded because of Truncation]], AN_TME_PY[[#All],[Insurance Category Code]],4, AN_TME_PY[[#All],[Advanced Network/Insurance Carrier Org ID]],Q260),2)=ROUND(SUMIFS(AN_TME_PY[[#All],[TOTAL Non-Truncated Unadjusted Claims Expenses]], AN_TME_PY[[#All],[Insurance Category Code]],4, AN_TME_PY[[#All],[Advanced Network/Insurance Carrier Org ID]],Q260),2)</f>
        <v>1</v>
      </c>
      <c r="AF260" s="283" t="str">
        <f t="shared" si="30"/>
        <v>NA</v>
      </c>
    </row>
    <row r="261" spans="2:32" outlineLevel="1" x14ac:dyDescent="0.25">
      <c r="B261" s="216">
        <v>123</v>
      </c>
      <c r="C261" s="404">
        <f>ROUND(SUMIFS(Age_Sex_BY[[#All],[Total Member Months by Age/Sex Band]], Age_Sex_BY[[#All],[Advanced Network ID]], $B261, Age_Sex_BY[[#All],[Insurance Category Code]],4),2)</f>
        <v>0</v>
      </c>
      <c r="D261" s="238">
        <f>ROUND(SUMIFS(Age_Sex_BY[[#All],[Total Dollars Excluded from Spending After Applying Truncation at the Member Level]], Age_Sex_BY[[#All],[Advanced Network ID]], $B261, Age_Sex_BY[[#All],[Insurance Category Code]],4),2)</f>
        <v>0</v>
      </c>
      <c r="E261" s="209">
        <f>ROUND(SUMIFS(Age_Sex_BY[[#All],[Count of Members whose Spending was Truncated]], Age_Sex_BY[[#All],[Advanced Network ID]], $B261, Age_Sex_BY[[#All],[Insurance Category Code]],4),2)</f>
        <v>0</v>
      </c>
      <c r="F261" s="210">
        <f>ROUND(SUMIFS(Age_Sex_BY[[#All],[Total Spending before Truncation is Applied]], Age_Sex_BY[[#All],[Advanced Network ID]], $B261, Age_Sex_BY[[#All],[Insurance Category Code]],4),2)</f>
        <v>0</v>
      </c>
      <c r="G261" s="212">
        <f>ROUND(SUMIFS(Age_Sex_BY[[#All],[Total Spending After Applying Truncation at the Member Level]], Age_Sex_BY[[#All],[Advanced Network ID]], $B261, Age_Sex_BY[[#All],[Insurance Category Code]],4),2)</f>
        <v>0</v>
      </c>
      <c r="H261" s="525" t="str">
        <f>IF(ROUND(C261,0)=ROUND(SUMIFS(AN_TME_BY[[#All],[Member Months]], AN_TME_BY[[#All],[Insurance Category Code]],4, AN_TME_BY[[#All],[Advanced Network/Insurance Carrier Org ID]],B261),0), "TRUE", ROUND(C261-SUMIFS(AN_TME_BY[[#All],[Member Months]], AN_TME_BY[[#All],[Insurance Category Code]],4, AN_TME_BY[[#All],[Advanced Network/Insurance Carrier Org ID]],B261),2))</f>
        <v>TRUE</v>
      </c>
      <c r="I261" s="533" t="str">
        <f>IF(ROUND(D261,0)=ROUND(SUMIFS(AN_TME_BY[[#All],[Total Claims Excluded because of Truncation]], AN_TME_BY[[#All],[Insurance Category Code]],4, AN_TME_BY[[#All],[Advanced Network/Insurance Carrier Org ID]],B261),0), "TRUE", ROUND(D261-SUMIFS(AN_TME_BY[[#All],[Total Claims Excluded because of Truncation]], AN_TME_BY[[#All],[Insurance Category Code]],4, AN_TME_BY[[#All],[Advanced Network/Insurance Carrier Org ID]],B261),2))</f>
        <v>TRUE</v>
      </c>
      <c r="J261" s="537" t="str">
        <f>IF(ROUND(E261,0)=ROUND(SUMIFS(AN_TME_BY[[#All],[Count of Members with Claims Truncated]], AN_TME_BY[[#All],[Insurance Category Code]],4, AN_TME_BY[[#All],[Advanced Network/Insurance Carrier Org ID]],B261),0), "TRUE", ROUND(E261-SUMIFS(AN_TME_BY[[#All],[Count of Members with Claims Truncated]], AN_TME_BY[[#All],[Insurance Category Code]],4, AN_TME_BY[[#All],[Advanced Network/Insurance Carrier Org ID]],B261),2))</f>
        <v>TRUE</v>
      </c>
      <c r="K261" s="533" t="str">
        <f>IF(ROUND(F261,0)=ROUND(SUMIFS(AN_TME_BY[[#All],[TOTAL Non-Truncated Unadjusted Claims Expenses]], AN_TME_BY[[#All],[Insurance Category Code]],4, AN_TME_BY[[#All],[Advanced Network/Insurance Carrier Org ID]],B261),0), "TRUE", ROUND(F261-SUMIFS(AN_TME_BY[[#All],[TOTAL Non-Truncated Unadjusted Claims Expenses]], AN_TME_BY[[#All],[Insurance Category Code]],4, AN_TME_BY[[#All],[Advanced Network/Insurance Carrier Org ID]],B261),2))</f>
        <v>TRUE</v>
      </c>
      <c r="L261" s="534" t="str">
        <f>IF(ROUND(G261,0)=ROUND(SUMIFS(AN_TME_BY[[#All],[TOTAL Truncated Unadjusted Claims Expenses (A21 -A19)]], AN_TME_BY[[#All],[Insurance Category Code]],4, AN_TME_BY[[#All],[Advanced Network/Insurance Carrier Org ID]],B261),0), "TRUE", ROUND(G261-SUMIFS(AN_TME_BY[[#All],[TOTAL Truncated Unadjusted Claims Expenses (A21 -A19)]], AN_TME_BY[[#All],[Insurance Category Code]],4, AN_TME_BY[[#All],[Advanced Network/Insurance Carrier Org ID]],B261),2))</f>
        <v>TRUE</v>
      </c>
      <c r="M261" s="525" t="str">
        <f t="shared" si="28"/>
        <v>TRUE</v>
      </c>
      <c r="N261" s="533" t="b">
        <f>ROUND(SUMIFS(AN_TME_BY[[#All],[TOTAL Non-Truncated Unadjusted Claims Expenses]], AN_TME_BY[[#All],[Insurance Category Code]],4, AN_TME_BY[[#All],[Advanced Network/Insurance Carrier Org ID]],B261),2)&gt;=ROUND(SUMIFS(AN_TME_BY[[#All],[TOTAL Truncated Unadjusted Claims Expenses (A21 -A19)]], AN_TME_BY[[#All],[Insurance Category Code]],4, AN_TME_BY[[#All],[Advanced Network/Insurance Carrier Org ID]],B261),2)</f>
        <v>1</v>
      </c>
      <c r="O261" s="534" t="b">
        <f>ROUND(SUMIFS(AN_TME_BY[[#All],[TOTAL Truncated Unadjusted Claims Expenses (A21 -A19)]], AN_TME_BY[[#All],[Insurance Category Code]],4, AN_TME_BY[[#All],[Advanced Network/Insurance Carrier Org ID]],B261)+SUMIFS(AN_TME_BY[[#All],[Total Claims Excluded because of Truncation]], AN_TME_BY[[#All],[Insurance Category Code]],4, AN_TME_BY[[#All],[Advanced Network/Insurance Carrier Org ID]],B261),2)=ROUND(SUMIFS(AN_TME_BY[[#All],[TOTAL Non-Truncated Unadjusted Claims Expenses]], AN_TME_BY[[#All],[Insurance Category Code]],4, AN_TME_BY[[#All],[Advanced Network/Insurance Carrier Org ID]],B261),2)</f>
        <v>1</v>
      </c>
      <c r="Q261" s="216">
        <v>123</v>
      </c>
      <c r="R261" s="404">
        <f>ROUND(SUMIFS(Age_Sex_PY[[#All],[Total Member Months by Age/Sex Band]], Age_Sex_PY[[#All],[Advanced Network ID]], $Q261, Age_Sex_PY[[#All],[Insurance Category Code]],4),2)</f>
        <v>0</v>
      </c>
      <c r="S261" s="238">
        <f>ROUND(SUMIFS(Age_Sex_PY[[#All],[Total Dollars Excluded from Spending After Applying Truncation at the Member Level]], Age_Sex_PY[[#All],[Advanced Network ID]], $B261, Age_Sex_PY[[#All],[Insurance Category Code]],4),2)</f>
        <v>0</v>
      </c>
      <c r="T261" s="209">
        <f>ROUND(SUMIFS(Age_Sex_PY[[#All],[Count of Members whose Spending was Truncated]], Age_Sex_PY[[#All],[Advanced Network ID]], $B261, Age_Sex_PY[[#All],[Insurance Category Code]],4),2)</f>
        <v>0</v>
      </c>
      <c r="U261" s="210">
        <f>ROUND(SUMIFS(Age_Sex_PY[[#All],[Total Spending before Truncation is Applied]], Age_Sex_PY[[#All],[Advanced Network ID]], $B261, Age_Sex_PY[[#All],[Insurance Category Code]],4),2)</f>
        <v>0</v>
      </c>
      <c r="V261" s="212">
        <f>ROUND(SUMIFS(Age_Sex_PY[[#All],[Total Spending After Applying Truncation at the Member Level]], Age_Sex_PY[[#All],[Advanced Network ID]], $B261, Age_Sex_PY[[#All],[Insurance Category Code]],4),2)</f>
        <v>0</v>
      </c>
      <c r="W261" s="525" t="str">
        <f>IF(ROUND(R261,0)=ROUND(SUMIFS(AN_TME_PY[[#All],[Member Months]], AN_TME_PY[[#All],[Insurance Category Code]],4, AN_TME_PY[[#All],[Advanced Network/Insurance Carrier Org ID]],Q261),0), "TRUE", ROUND(R261-SUMIFS(AN_TME_PY[[#All],[Member Months]], AN_TME_PY[[#All],[Insurance Category Code]],4, AN_TME_PY[[#All],[Advanced Network/Insurance Carrier Org ID]],Q261),2))</f>
        <v>TRUE</v>
      </c>
      <c r="X261" s="527" t="str">
        <f>IF(ROUND(S261,0)=ROUND(SUMIFS(AN_TME_PY[[#All],[Total Claims Excluded because of Truncation]], AN_TME_PY[[#All],[Insurance Category Code]],4, AN_TME_PY[[#All],[Advanced Network/Insurance Carrier Org ID]],Q261),0), "TRUE", ROUND(S261-SUMIFS(AN_TME_PY[[#All],[Total Claims Excluded because of Truncation]], AN_TME_PY[[#All],[Insurance Category Code]],4, AN_TME_PY[[#All],[Advanced Network/Insurance Carrier Org ID]],Q261),2))</f>
        <v>TRUE</v>
      </c>
      <c r="Y261" s="537" t="str">
        <f>IF(ROUND(T261,0)=ROUND(SUMIFS(AN_TME_PY[[#All],[Count of Members with Claims Truncated]], AN_TME_PY[[#All],[Insurance Category Code]],4, AN_TME_PY[[#All],[Advanced Network/Insurance Carrier Org ID]],Q261),0), "TRUE", ROUND(T261-SUMIFS(AN_TME_PY[[#All],[Count of Members with Claims Truncated]], AN_TME_PY[[#All],[Insurance Category Code]],4, AN_TME_PY[[#All],[Advanced Network/Insurance Carrier Org ID]],Q261),2))</f>
        <v>TRUE</v>
      </c>
      <c r="Z261" s="528" t="str">
        <f>IF(ROUND(U261,0)=ROUND(SUMIFS(AN_TME_PY[[#All],[TOTAL Non-Truncated Unadjusted Claims Expenses]], AN_TME_PY[[#All],[Insurance Category Code]],4, AN_TME_PY[[#All],[Advanced Network/Insurance Carrier Org ID]],Q261),0), "TRUE", ROUND(U261-SUMIFS(AN_TME_PY[[#All],[TOTAL Non-Truncated Unadjusted Claims Expenses]], AN_TME_PY[[#All],[Insurance Category Code]],4, AN_TME_PY[[#All],[Advanced Network/Insurance Carrier Org ID]],Q261),2))</f>
        <v>TRUE</v>
      </c>
      <c r="AA261" s="529" t="str">
        <f>IF(ROUND(V261,0)=ROUND(SUMIFS(AN_TME_PY[[#All],[TOTAL Truncated Unadjusted Claims Expenses (A21 -A19)]], AN_TME_PY[[#All],[Insurance Category Code]],4, AN_TME_PY[[#All],[Advanced Network/Insurance Carrier Org ID]],Q261),0), "TRUE", ROUND(V261-SUMIFS(AN_TME_PY[[#All],[TOTAL Truncated Unadjusted Claims Expenses (A21 -A19)]], AN_TME_PY[[#All],[Insurance Category Code]],4, AN_TME_PY[[#All],[Advanced Network/Insurance Carrier Org ID]],Q261),2))</f>
        <v>TRUE</v>
      </c>
      <c r="AB261" s="525" t="str">
        <f t="shared" si="31"/>
        <v>TRUE</v>
      </c>
      <c r="AC261" s="528" t="b">
        <f>ROUND(SUMIFS(AN_TME_PY[[#All],[TOTAL Non-Truncated Unadjusted Claims Expenses]], AN_TME_PY[[#All],[Insurance Category Code]],4, AN_TME_PY[[#All],[Advanced Network/Insurance Carrier Org ID]],Q261),2)&gt;=ROUND(SUMIFS(AN_TME_PY[[#All],[TOTAL Truncated Unadjusted Claims Expenses (A21 -A19)]], AN_TME_PY[[#All],[Insurance Category Code]],4, AN_TME_PY[[#All],[Advanced Network/Insurance Carrier Org ID]],Q261),2)</f>
        <v>1</v>
      </c>
      <c r="AD261" s="529" t="b">
        <f>ROUND(SUMIFS(AN_TME_PY[[#All],[TOTAL Truncated Unadjusted Claims Expenses (A21 -A19)]], AN_TME_PY[[#All],[Insurance Category Code]],4, AN_TME_PY[[#All],[Advanced Network/Insurance Carrier Org ID]],Q261)+SUMIFS(AN_TME_PY[[#All],[Total Claims Excluded because of Truncation]], AN_TME_PY[[#All],[Insurance Category Code]],4, AN_TME_PY[[#All],[Advanced Network/Insurance Carrier Org ID]],Q261),2)=ROUND(SUMIFS(AN_TME_PY[[#All],[TOTAL Non-Truncated Unadjusted Claims Expenses]], AN_TME_PY[[#All],[Insurance Category Code]],4, AN_TME_PY[[#All],[Advanced Network/Insurance Carrier Org ID]],Q261),2)</f>
        <v>1</v>
      </c>
      <c r="AF261" s="283" t="str">
        <f t="shared" si="30"/>
        <v>NA</v>
      </c>
    </row>
    <row r="262" spans="2:32" outlineLevel="1" x14ac:dyDescent="0.25">
      <c r="B262" s="216">
        <v>124</v>
      </c>
      <c r="C262" s="404">
        <f>ROUND(SUMIFS(Age_Sex_BY[[#All],[Total Member Months by Age/Sex Band]], Age_Sex_BY[[#All],[Advanced Network ID]], $B262, Age_Sex_BY[[#All],[Insurance Category Code]],4),2)</f>
        <v>0</v>
      </c>
      <c r="D262" s="238">
        <f>ROUND(SUMIFS(Age_Sex_BY[[#All],[Total Dollars Excluded from Spending After Applying Truncation at the Member Level]], Age_Sex_BY[[#All],[Advanced Network ID]], $B262, Age_Sex_BY[[#All],[Insurance Category Code]],4),2)</f>
        <v>0</v>
      </c>
      <c r="E262" s="209">
        <f>ROUND(SUMIFS(Age_Sex_BY[[#All],[Count of Members whose Spending was Truncated]], Age_Sex_BY[[#All],[Advanced Network ID]], $B262, Age_Sex_BY[[#All],[Insurance Category Code]],4),2)</f>
        <v>0</v>
      </c>
      <c r="F262" s="210">
        <f>ROUND(SUMIFS(Age_Sex_BY[[#All],[Total Spending before Truncation is Applied]], Age_Sex_BY[[#All],[Advanced Network ID]], $B262, Age_Sex_BY[[#All],[Insurance Category Code]],4),2)</f>
        <v>0</v>
      </c>
      <c r="G262" s="212">
        <f>ROUND(SUMIFS(Age_Sex_BY[[#All],[Total Spending After Applying Truncation at the Member Level]], Age_Sex_BY[[#All],[Advanced Network ID]], $B262, Age_Sex_BY[[#All],[Insurance Category Code]],4),2)</f>
        <v>0</v>
      </c>
      <c r="H262" s="525" t="str">
        <f>IF(ROUND(C262,0)=ROUND(SUMIFS(AN_TME_BY[[#All],[Member Months]], AN_TME_BY[[#All],[Insurance Category Code]],4, AN_TME_BY[[#All],[Advanced Network/Insurance Carrier Org ID]],B262),0), "TRUE", ROUND(C262-SUMIFS(AN_TME_BY[[#All],[Member Months]], AN_TME_BY[[#All],[Insurance Category Code]],4, AN_TME_BY[[#All],[Advanced Network/Insurance Carrier Org ID]],B262),2))</f>
        <v>TRUE</v>
      </c>
      <c r="I262" s="533" t="str">
        <f>IF(ROUND(D262,0)=ROUND(SUMIFS(AN_TME_BY[[#All],[Total Claims Excluded because of Truncation]], AN_TME_BY[[#All],[Insurance Category Code]],4, AN_TME_BY[[#All],[Advanced Network/Insurance Carrier Org ID]],B262),0), "TRUE", ROUND(D262-SUMIFS(AN_TME_BY[[#All],[Total Claims Excluded because of Truncation]], AN_TME_BY[[#All],[Insurance Category Code]],4, AN_TME_BY[[#All],[Advanced Network/Insurance Carrier Org ID]],B262),2))</f>
        <v>TRUE</v>
      </c>
      <c r="J262" s="537" t="str">
        <f>IF(ROUND(E262,0)=ROUND(SUMIFS(AN_TME_BY[[#All],[Count of Members with Claims Truncated]], AN_TME_BY[[#All],[Insurance Category Code]],4, AN_TME_BY[[#All],[Advanced Network/Insurance Carrier Org ID]],B262),0), "TRUE", ROUND(E262-SUMIFS(AN_TME_BY[[#All],[Count of Members with Claims Truncated]], AN_TME_BY[[#All],[Insurance Category Code]],4, AN_TME_BY[[#All],[Advanced Network/Insurance Carrier Org ID]],B262),2))</f>
        <v>TRUE</v>
      </c>
      <c r="K262" s="533" t="str">
        <f>IF(ROUND(F262,0)=ROUND(SUMIFS(AN_TME_BY[[#All],[TOTAL Non-Truncated Unadjusted Claims Expenses]], AN_TME_BY[[#All],[Insurance Category Code]],4, AN_TME_BY[[#All],[Advanced Network/Insurance Carrier Org ID]],B262),0), "TRUE", ROUND(F262-SUMIFS(AN_TME_BY[[#All],[TOTAL Non-Truncated Unadjusted Claims Expenses]], AN_TME_BY[[#All],[Insurance Category Code]],4, AN_TME_BY[[#All],[Advanced Network/Insurance Carrier Org ID]],B262),2))</f>
        <v>TRUE</v>
      </c>
      <c r="L262" s="534" t="str">
        <f>IF(ROUND(G262,0)=ROUND(SUMIFS(AN_TME_BY[[#All],[TOTAL Truncated Unadjusted Claims Expenses (A21 -A19)]], AN_TME_BY[[#All],[Insurance Category Code]],4, AN_TME_BY[[#All],[Advanced Network/Insurance Carrier Org ID]],B262),0), "TRUE", ROUND(G262-SUMIFS(AN_TME_BY[[#All],[TOTAL Truncated Unadjusted Claims Expenses (A21 -A19)]], AN_TME_BY[[#All],[Insurance Category Code]],4, AN_TME_BY[[#All],[Advanced Network/Insurance Carrier Org ID]],B262),2))</f>
        <v>TRUE</v>
      </c>
      <c r="M262" s="525" t="str">
        <f t="shared" si="28"/>
        <v>TRUE</v>
      </c>
      <c r="N262" s="533" t="b">
        <f>ROUND(SUMIFS(AN_TME_BY[[#All],[TOTAL Non-Truncated Unadjusted Claims Expenses]], AN_TME_BY[[#All],[Insurance Category Code]],4, AN_TME_BY[[#All],[Advanced Network/Insurance Carrier Org ID]],B262),2)&gt;=ROUND(SUMIFS(AN_TME_BY[[#All],[TOTAL Truncated Unadjusted Claims Expenses (A21 -A19)]], AN_TME_BY[[#All],[Insurance Category Code]],4, AN_TME_BY[[#All],[Advanced Network/Insurance Carrier Org ID]],B262),2)</f>
        <v>1</v>
      </c>
      <c r="O262" s="534" t="b">
        <f>ROUND(SUMIFS(AN_TME_BY[[#All],[TOTAL Truncated Unadjusted Claims Expenses (A21 -A19)]], AN_TME_BY[[#All],[Insurance Category Code]],4, AN_TME_BY[[#All],[Advanced Network/Insurance Carrier Org ID]],B262)+SUMIFS(AN_TME_BY[[#All],[Total Claims Excluded because of Truncation]], AN_TME_BY[[#All],[Insurance Category Code]],4, AN_TME_BY[[#All],[Advanced Network/Insurance Carrier Org ID]],B262),2)=ROUND(SUMIFS(AN_TME_BY[[#All],[TOTAL Non-Truncated Unadjusted Claims Expenses]], AN_TME_BY[[#All],[Insurance Category Code]],4, AN_TME_BY[[#All],[Advanced Network/Insurance Carrier Org ID]],B262),2)</f>
        <v>1</v>
      </c>
      <c r="Q262" s="216">
        <v>124</v>
      </c>
      <c r="R262" s="404">
        <f>ROUND(SUMIFS(Age_Sex_PY[[#All],[Total Member Months by Age/Sex Band]], Age_Sex_PY[[#All],[Advanced Network ID]], $Q262, Age_Sex_PY[[#All],[Insurance Category Code]],4),2)</f>
        <v>0</v>
      </c>
      <c r="S262" s="238">
        <f>ROUND(SUMIFS(Age_Sex_PY[[#All],[Total Dollars Excluded from Spending After Applying Truncation at the Member Level]], Age_Sex_PY[[#All],[Advanced Network ID]], $B262, Age_Sex_PY[[#All],[Insurance Category Code]],4),2)</f>
        <v>0</v>
      </c>
      <c r="T262" s="209">
        <f>ROUND(SUMIFS(Age_Sex_PY[[#All],[Count of Members whose Spending was Truncated]], Age_Sex_PY[[#All],[Advanced Network ID]], $B262, Age_Sex_PY[[#All],[Insurance Category Code]],4),2)</f>
        <v>0</v>
      </c>
      <c r="U262" s="210">
        <f>ROUND(SUMIFS(Age_Sex_PY[[#All],[Total Spending before Truncation is Applied]], Age_Sex_PY[[#All],[Advanced Network ID]], $B262, Age_Sex_PY[[#All],[Insurance Category Code]],4),2)</f>
        <v>0</v>
      </c>
      <c r="V262" s="212">
        <f>ROUND(SUMIFS(Age_Sex_PY[[#All],[Total Spending After Applying Truncation at the Member Level]], Age_Sex_PY[[#All],[Advanced Network ID]], $B262, Age_Sex_PY[[#All],[Insurance Category Code]],4),2)</f>
        <v>0</v>
      </c>
      <c r="W262" s="525" t="str">
        <f>IF(ROUND(R262,0)=ROUND(SUMIFS(AN_TME_PY[[#All],[Member Months]], AN_TME_PY[[#All],[Insurance Category Code]],4, AN_TME_PY[[#All],[Advanced Network/Insurance Carrier Org ID]],Q262),0), "TRUE", ROUND(R262-SUMIFS(AN_TME_PY[[#All],[Member Months]], AN_TME_PY[[#All],[Insurance Category Code]],4, AN_TME_PY[[#All],[Advanced Network/Insurance Carrier Org ID]],Q262),2))</f>
        <v>TRUE</v>
      </c>
      <c r="X262" s="527" t="str">
        <f>IF(ROUND(S262,0)=ROUND(SUMIFS(AN_TME_PY[[#All],[Total Claims Excluded because of Truncation]], AN_TME_PY[[#All],[Insurance Category Code]],4, AN_TME_PY[[#All],[Advanced Network/Insurance Carrier Org ID]],Q262),0), "TRUE", ROUND(S262-SUMIFS(AN_TME_PY[[#All],[Total Claims Excluded because of Truncation]], AN_TME_PY[[#All],[Insurance Category Code]],4, AN_TME_PY[[#All],[Advanced Network/Insurance Carrier Org ID]],Q262),2))</f>
        <v>TRUE</v>
      </c>
      <c r="Y262" s="537" t="str">
        <f>IF(ROUND(T262,0)=ROUND(SUMIFS(AN_TME_PY[[#All],[Count of Members with Claims Truncated]], AN_TME_PY[[#All],[Insurance Category Code]],4, AN_TME_PY[[#All],[Advanced Network/Insurance Carrier Org ID]],Q262),0), "TRUE", ROUND(T262-SUMIFS(AN_TME_PY[[#All],[Count of Members with Claims Truncated]], AN_TME_PY[[#All],[Insurance Category Code]],4, AN_TME_PY[[#All],[Advanced Network/Insurance Carrier Org ID]],Q262),2))</f>
        <v>TRUE</v>
      </c>
      <c r="Z262" s="528" t="str">
        <f>IF(ROUND(U262,0)=ROUND(SUMIFS(AN_TME_PY[[#All],[TOTAL Non-Truncated Unadjusted Claims Expenses]], AN_TME_PY[[#All],[Insurance Category Code]],4, AN_TME_PY[[#All],[Advanced Network/Insurance Carrier Org ID]],Q262),0), "TRUE", ROUND(U262-SUMIFS(AN_TME_PY[[#All],[TOTAL Non-Truncated Unadjusted Claims Expenses]], AN_TME_PY[[#All],[Insurance Category Code]],4, AN_TME_PY[[#All],[Advanced Network/Insurance Carrier Org ID]],Q262),2))</f>
        <v>TRUE</v>
      </c>
      <c r="AA262" s="529" t="str">
        <f>IF(ROUND(V262,0)=ROUND(SUMIFS(AN_TME_PY[[#All],[TOTAL Truncated Unadjusted Claims Expenses (A21 -A19)]], AN_TME_PY[[#All],[Insurance Category Code]],4, AN_TME_PY[[#All],[Advanced Network/Insurance Carrier Org ID]],Q262),0), "TRUE", ROUND(V262-SUMIFS(AN_TME_PY[[#All],[TOTAL Truncated Unadjusted Claims Expenses (A21 -A19)]], AN_TME_PY[[#All],[Insurance Category Code]],4, AN_TME_PY[[#All],[Advanced Network/Insurance Carrier Org ID]],Q262),2))</f>
        <v>TRUE</v>
      </c>
      <c r="AB262" s="525" t="str">
        <f t="shared" si="31"/>
        <v>TRUE</v>
      </c>
      <c r="AC262" s="528" t="b">
        <f>ROUND(SUMIFS(AN_TME_PY[[#All],[TOTAL Non-Truncated Unadjusted Claims Expenses]], AN_TME_PY[[#All],[Insurance Category Code]],4, AN_TME_PY[[#All],[Advanced Network/Insurance Carrier Org ID]],Q262),2)&gt;=ROUND(SUMIFS(AN_TME_PY[[#All],[TOTAL Truncated Unadjusted Claims Expenses (A21 -A19)]], AN_TME_PY[[#All],[Insurance Category Code]],4, AN_TME_PY[[#All],[Advanced Network/Insurance Carrier Org ID]],Q262),2)</f>
        <v>1</v>
      </c>
      <c r="AD262" s="529" t="b">
        <f>ROUND(SUMIFS(AN_TME_PY[[#All],[TOTAL Truncated Unadjusted Claims Expenses (A21 -A19)]], AN_TME_PY[[#All],[Insurance Category Code]],4, AN_TME_PY[[#All],[Advanced Network/Insurance Carrier Org ID]],Q262)+SUMIFS(AN_TME_PY[[#All],[Total Claims Excluded because of Truncation]], AN_TME_PY[[#All],[Insurance Category Code]],4, AN_TME_PY[[#All],[Advanced Network/Insurance Carrier Org ID]],Q262),2)=ROUND(SUMIFS(AN_TME_PY[[#All],[TOTAL Non-Truncated Unadjusted Claims Expenses]], AN_TME_PY[[#All],[Insurance Category Code]],4, AN_TME_PY[[#All],[Advanced Network/Insurance Carrier Org ID]],Q262),2)</f>
        <v>1</v>
      </c>
      <c r="AF262" s="283" t="str">
        <f t="shared" si="30"/>
        <v>NA</v>
      </c>
    </row>
    <row r="263" spans="2:32" outlineLevel="1" x14ac:dyDescent="0.25">
      <c r="B263" s="216">
        <v>125</v>
      </c>
      <c r="C263" s="404">
        <f>ROUND(SUMIFS(Age_Sex_BY[[#All],[Total Member Months by Age/Sex Band]], Age_Sex_BY[[#All],[Advanced Network ID]], $B263, Age_Sex_BY[[#All],[Insurance Category Code]],4),2)</f>
        <v>0</v>
      </c>
      <c r="D263" s="238">
        <f>ROUND(SUMIFS(Age_Sex_BY[[#All],[Total Dollars Excluded from Spending After Applying Truncation at the Member Level]], Age_Sex_BY[[#All],[Advanced Network ID]], $B263, Age_Sex_BY[[#All],[Insurance Category Code]],4),2)</f>
        <v>0</v>
      </c>
      <c r="E263" s="209">
        <f>ROUND(SUMIFS(Age_Sex_BY[[#All],[Count of Members whose Spending was Truncated]], Age_Sex_BY[[#All],[Advanced Network ID]], $B263, Age_Sex_BY[[#All],[Insurance Category Code]],4),2)</f>
        <v>0</v>
      </c>
      <c r="F263" s="210">
        <f>ROUND(SUMIFS(Age_Sex_BY[[#All],[Total Spending before Truncation is Applied]], Age_Sex_BY[[#All],[Advanced Network ID]], $B263, Age_Sex_BY[[#All],[Insurance Category Code]],4),2)</f>
        <v>0</v>
      </c>
      <c r="G263" s="212">
        <f>ROUND(SUMIFS(Age_Sex_BY[[#All],[Total Spending After Applying Truncation at the Member Level]], Age_Sex_BY[[#All],[Advanced Network ID]], $B263, Age_Sex_BY[[#All],[Insurance Category Code]],4),2)</f>
        <v>0</v>
      </c>
      <c r="H263" s="525" t="str">
        <f>IF(ROUND(C263,0)=ROUND(SUMIFS(AN_TME_BY[[#All],[Member Months]], AN_TME_BY[[#All],[Insurance Category Code]],4, AN_TME_BY[[#All],[Advanced Network/Insurance Carrier Org ID]],B263),0), "TRUE", ROUND(C263-SUMIFS(AN_TME_BY[[#All],[Member Months]], AN_TME_BY[[#All],[Insurance Category Code]],4, AN_TME_BY[[#All],[Advanced Network/Insurance Carrier Org ID]],B263),2))</f>
        <v>TRUE</v>
      </c>
      <c r="I263" s="533" t="str">
        <f>IF(ROUND(D263,0)=ROUND(SUMIFS(AN_TME_BY[[#All],[Total Claims Excluded because of Truncation]], AN_TME_BY[[#All],[Insurance Category Code]],4, AN_TME_BY[[#All],[Advanced Network/Insurance Carrier Org ID]],B263),0), "TRUE", ROUND(D263-SUMIFS(AN_TME_BY[[#All],[Total Claims Excluded because of Truncation]], AN_TME_BY[[#All],[Insurance Category Code]],4, AN_TME_BY[[#All],[Advanced Network/Insurance Carrier Org ID]],B263),2))</f>
        <v>TRUE</v>
      </c>
      <c r="J263" s="537" t="str">
        <f>IF(ROUND(E263,0)=ROUND(SUMIFS(AN_TME_BY[[#All],[Count of Members with Claims Truncated]], AN_TME_BY[[#All],[Insurance Category Code]],4, AN_TME_BY[[#All],[Advanced Network/Insurance Carrier Org ID]],B263),0), "TRUE", ROUND(E263-SUMIFS(AN_TME_BY[[#All],[Count of Members with Claims Truncated]], AN_TME_BY[[#All],[Insurance Category Code]],4, AN_TME_BY[[#All],[Advanced Network/Insurance Carrier Org ID]],B263),2))</f>
        <v>TRUE</v>
      </c>
      <c r="K263" s="533" t="str">
        <f>IF(ROUND(F263,0)=ROUND(SUMIFS(AN_TME_BY[[#All],[TOTAL Non-Truncated Unadjusted Claims Expenses]], AN_TME_BY[[#All],[Insurance Category Code]],4, AN_TME_BY[[#All],[Advanced Network/Insurance Carrier Org ID]],B263),0), "TRUE", ROUND(F263-SUMIFS(AN_TME_BY[[#All],[TOTAL Non-Truncated Unadjusted Claims Expenses]], AN_TME_BY[[#All],[Insurance Category Code]],4, AN_TME_BY[[#All],[Advanced Network/Insurance Carrier Org ID]],B263),2))</f>
        <v>TRUE</v>
      </c>
      <c r="L263" s="534" t="str">
        <f>IF(ROUND(G263,0)=ROUND(SUMIFS(AN_TME_BY[[#All],[TOTAL Truncated Unadjusted Claims Expenses (A21 -A19)]], AN_TME_BY[[#All],[Insurance Category Code]],4, AN_TME_BY[[#All],[Advanced Network/Insurance Carrier Org ID]],B263),0), "TRUE", ROUND(G263-SUMIFS(AN_TME_BY[[#All],[TOTAL Truncated Unadjusted Claims Expenses (A21 -A19)]], AN_TME_BY[[#All],[Insurance Category Code]],4, AN_TME_BY[[#All],[Advanced Network/Insurance Carrier Org ID]],B263),2))</f>
        <v>TRUE</v>
      </c>
      <c r="M263" s="525" t="str">
        <f t="shared" si="28"/>
        <v>TRUE</v>
      </c>
      <c r="N263" s="533" t="b">
        <f>ROUND(SUMIFS(AN_TME_BY[[#All],[TOTAL Non-Truncated Unadjusted Claims Expenses]], AN_TME_BY[[#All],[Insurance Category Code]],4, AN_TME_BY[[#All],[Advanced Network/Insurance Carrier Org ID]],B263),2)&gt;=ROUND(SUMIFS(AN_TME_BY[[#All],[TOTAL Truncated Unadjusted Claims Expenses (A21 -A19)]], AN_TME_BY[[#All],[Insurance Category Code]],4, AN_TME_BY[[#All],[Advanced Network/Insurance Carrier Org ID]],B263),2)</f>
        <v>1</v>
      </c>
      <c r="O263" s="534" t="b">
        <f>ROUND(SUMIFS(AN_TME_BY[[#All],[TOTAL Truncated Unadjusted Claims Expenses (A21 -A19)]], AN_TME_BY[[#All],[Insurance Category Code]],4, AN_TME_BY[[#All],[Advanced Network/Insurance Carrier Org ID]],B263)+SUMIFS(AN_TME_BY[[#All],[Total Claims Excluded because of Truncation]], AN_TME_BY[[#All],[Insurance Category Code]],4, AN_TME_BY[[#All],[Advanced Network/Insurance Carrier Org ID]],B263),2)=ROUND(SUMIFS(AN_TME_BY[[#All],[TOTAL Non-Truncated Unadjusted Claims Expenses]], AN_TME_BY[[#All],[Insurance Category Code]],4, AN_TME_BY[[#All],[Advanced Network/Insurance Carrier Org ID]],B263),2)</f>
        <v>1</v>
      </c>
      <c r="Q263" s="216">
        <v>125</v>
      </c>
      <c r="R263" s="404">
        <f>ROUND(SUMIFS(Age_Sex_PY[[#All],[Total Member Months by Age/Sex Band]], Age_Sex_PY[[#All],[Advanced Network ID]], $Q263, Age_Sex_PY[[#All],[Insurance Category Code]],4),2)</f>
        <v>0</v>
      </c>
      <c r="S263" s="238">
        <f>ROUND(SUMIFS(Age_Sex_PY[[#All],[Total Dollars Excluded from Spending After Applying Truncation at the Member Level]], Age_Sex_PY[[#All],[Advanced Network ID]], $B263, Age_Sex_PY[[#All],[Insurance Category Code]],4),2)</f>
        <v>0</v>
      </c>
      <c r="T263" s="209">
        <f>ROUND(SUMIFS(Age_Sex_PY[[#All],[Count of Members whose Spending was Truncated]], Age_Sex_PY[[#All],[Advanced Network ID]], $B263, Age_Sex_PY[[#All],[Insurance Category Code]],4),2)</f>
        <v>0</v>
      </c>
      <c r="U263" s="210">
        <f>ROUND(SUMIFS(Age_Sex_PY[[#All],[Total Spending before Truncation is Applied]], Age_Sex_PY[[#All],[Advanced Network ID]], $B263, Age_Sex_PY[[#All],[Insurance Category Code]],4),2)</f>
        <v>0</v>
      </c>
      <c r="V263" s="212">
        <f>ROUND(SUMIFS(Age_Sex_PY[[#All],[Total Spending After Applying Truncation at the Member Level]], Age_Sex_PY[[#All],[Advanced Network ID]], $B263, Age_Sex_PY[[#All],[Insurance Category Code]],4),2)</f>
        <v>0</v>
      </c>
      <c r="W263" s="525" t="str">
        <f>IF(ROUND(R263,0)=ROUND(SUMIFS(AN_TME_PY[[#All],[Member Months]], AN_TME_PY[[#All],[Insurance Category Code]],4, AN_TME_PY[[#All],[Advanced Network/Insurance Carrier Org ID]],Q263),0), "TRUE", ROUND(R263-SUMIFS(AN_TME_PY[[#All],[Member Months]], AN_TME_PY[[#All],[Insurance Category Code]],4, AN_TME_PY[[#All],[Advanced Network/Insurance Carrier Org ID]],Q263),2))</f>
        <v>TRUE</v>
      </c>
      <c r="X263" s="527" t="str">
        <f>IF(ROUND(S263,0)=ROUND(SUMIFS(AN_TME_PY[[#All],[Total Claims Excluded because of Truncation]], AN_TME_PY[[#All],[Insurance Category Code]],4, AN_TME_PY[[#All],[Advanced Network/Insurance Carrier Org ID]],Q263),0), "TRUE", ROUND(S263-SUMIFS(AN_TME_PY[[#All],[Total Claims Excluded because of Truncation]], AN_TME_PY[[#All],[Insurance Category Code]],4, AN_TME_PY[[#All],[Advanced Network/Insurance Carrier Org ID]],Q263),2))</f>
        <v>TRUE</v>
      </c>
      <c r="Y263" s="537" t="str">
        <f>IF(ROUND(T263,0)=ROUND(SUMIFS(AN_TME_PY[[#All],[Count of Members with Claims Truncated]], AN_TME_PY[[#All],[Insurance Category Code]],4, AN_TME_PY[[#All],[Advanced Network/Insurance Carrier Org ID]],Q263),0), "TRUE", ROUND(T263-SUMIFS(AN_TME_PY[[#All],[Count of Members with Claims Truncated]], AN_TME_PY[[#All],[Insurance Category Code]],4, AN_TME_PY[[#All],[Advanced Network/Insurance Carrier Org ID]],Q263),2))</f>
        <v>TRUE</v>
      </c>
      <c r="Z263" s="528" t="str">
        <f>IF(ROUND(U263,0)=ROUND(SUMIFS(AN_TME_PY[[#All],[TOTAL Non-Truncated Unadjusted Claims Expenses]], AN_TME_PY[[#All],[Insurance Category Code]],4, AN_TME_PY[[#All],[Advanced Network/Insurance Carrier Org ID]],Q263),0), "TRUE", ROUND(U263-SUMIFS(AN_TME_PY[[#All],[TOTAL Non-Truncated Unadjusted Claims Expenses]], AN_TME_PY[[#All],[Insurance Category Code]],4, AN_TME_PY[[#All],[Advanced Network/Insurance Carrier Org ID]],Q263),2))</f>
        <v>TRUE</v>
      </c>
      <c r="AA263" s="529" t="str">
        <f>IF(ROUND(V263,0)=ROUND(SUMIFS(AN_TME_PY[[#All],[TOTAL Truncated Unadjusted Claims Expenses (A21 -A19)]], AN_TME_PY[[#All],[Insurance Category Code]],4, AN_TME_PY[[#All],[Advanced Network/Insurance Carrier Org ID]],Q263),0), "TRUE", ROUND(V263-SUMIFS(AN_TME_PY[[#All],[TOTAL Truncated Unadjusted Claims Expenses (A21 -A19)]], AN_TME_PY[[#All],[Insurance Category Code]],4, AN_TME_PY[[#All],[Advanced Network/Insurance Carrier Org ID]],Q263),2))</f>
        <v>TRUE</v>
      </c>
      <c r="AB263" s="525" t="str">
        <f t="shared" si="31"/>
        <v>TRUE</v>
      </c>
      <c r="AC263" s="528" t="b">
        <f>ROUND(SUMIFS(AN_TME_PY[[#All],[TOTAL Non-Truncated Unadjusted Claims Expenses]], AN_TME_PY[[#All],[Insurance Category Code]],4, AN_TME_PY[[#All],[Advanced Network/Insurance Carrier Org ID]],Q263),2)&gt;=ROUND(SUMIFS(AN_TME_PY[[#All],[TOTAL Truncated Unadjusted Claims Expenses (A21 -A19)]], AN_TME_PY[[#All],[Insurance Category Code]],4, AN_TME_PY[[#All],[Advanced Network/Insurance Carrier Org ID]],Q263),2)</f>
        <v>1</v>
      </c>
      <c r="AD263" s="529" t="b">
        <f>ROUND(SUMIFS(AN_TME_PY[[#All],[TOTAL Truncated Unadjusted Claims Expenses (A21 -A19)]], AN_TME_PY[[#All],[Insurance Category Code]],4, AN_TME_PY[[#All],[Advanced Network/Insurance Carrier Org ID]],Q263)+SUMIFS(AN_TME_PY[[#All],[Total Claims Excluded because of Truncation]], AN_TME_PY[[#All],[Insurance Category Code]],4, AN_TME_PY[[#All],[Advanced Network/Insurance Carrier Org ID]],Q263),2)=ROUND(SUMIFS(AN_TME_PY[[#All],[TOTAL Non-Truncated Unadjusted Claims Expenses]], AN_TME_PY[[#All],[Insurance Category Code]],4, AN_TME_PY[[#All],[Advanced Network/Insurance Carrier Org ID]],Q263),2)</f>
        <v>1</v>
      </c>
      <c r="AF263" s="283" t="str">
        <f t="shared" si="30"/>
        <v>NA</v>
      </c>
    </row>
    <row r="264" spans="2:32" outlineLevel="1" x14ac:dyDescent="0.25">
      <c r="B264" s="216">
        <v>126</v>
      </c>
      <c r="C264" s="404">
        <f>ROUND(SUMIFS(Age_Sex_BY[[#All],[Total Member Months by Age/Sex Band]], Age_Sex_BY[[#All],[Advanced Network ID]], $B264, Age_Sex_BY[[#All],[Insurance Category Code]],4),2)</f>
        <v>0</v>
      </c>
      <c r="D264" s="238">
        <f>ROUND(SUMIFS(Age_Sex_BY[[#All],[Total Dollars Excluded from Spending After Applying Truncation at the Member Level]], Age_Sex_BY[[#All],[Advanced Network ID]], $B264, Age_Sex_BY[[#All],[Insurance Category Code]],4),2)</f>
        <v>0</v>
      </c>
      <c r="E264" s="209">
        <f>ROUND(SUMIFS(Age_Sex_BY[[#All],[Count of Members whose Spending was Truncated]], Age_Sex_BY[[#All],[Advanced Network ID]], $B264, Age_Sex_BY[[#All],[Insurance Category Code]],4),2)</f>
        <v>0</v>
      </c>
      <c r="F264" s="210">
        <f>ROUND(SUMIFS(Age_Sex_BY[[#All],[Total Spending before Truncation is Applied]], Age_Sex_BY[[#All],[Advanced Network ID]], $B264, Age_Sex_BY[[#All],[Insurance Category Code]],4),2)</f>
        <v>0</v>
      </c>
      <c r="G264" s="212">
        <f>ROUND(SUMIFS(Age_Sex_BY[[#All],[Total Spending After Applying Truncation at the Member Level]], Age_Sex_BY[[#All],[Advanced Network ID]], $B264, Age_Sex_BY[[#All],[Insurance Category Code]],4),2)</f>
        <v>0</v>
      </c>
      <c r="H264" s="525" t="str">
        <f>IF(ROUND(C264,0)=ROUND(SUMIFS(AN_TME_BY[[#All],[Member Months]], AN_TME_BY[[#All],[Insurance Category Code]],4, AN_TME_BY[[#All],[Advanced Network/Insurance Carrier Org ID]],B264),0), "TRUE", ROUND(C264-SUMIFS(AN_TME_BY[[#All],[Member Months]], AN_TME_BY[[#All],[Insurance Category Code]],4, AN_TME_BY[[#All],[Advanced Network/Insurance Carrier Org ID]],B264),2))</f>
        <v>TRUE</v>
      </c>
      <c r="I264" s="533" t="str">
        <f>IF(ROUND(D264,0)=ROUND(SUMIFS(AN_TME_BY[[#All],[Total Claims Excluded because of Truncation]], AN_TME_BY[[#All],[Insurance Category Code]],4, AN_TME_BY[[#All],[Advanced Network/Insurance Carrier Org ID]],B264),0), "TRUE", ROUND(D264-SUMIFS(AN_TME_BY[[#All],[Total Claims Excluded because of Truncation]], AN_TME_BY[[#All],[Insurance Category Code]],4, AN_TME_BY[[#All],[Advanced Network/Insurance Carrier Org ID]],B264),2))</f>
        <v>TRUE</v>
      </c>
      <c r="J264" s="537" t="str">
        <f>IF(ROUND(E264,0)=ROUND(SUMIFS(AN_TME_BY[[#All],[Count of Members with Claims Truncated]], AN_TME_BY[[#All],[Insurance Category Code]],4, AN_TME_BY[[#All],[Advanced Network/Insurance Carrier Org ID]],B264),0), "TRUE", ROUND(E264-SUMIFS(AN_TME_BY[[#All],[Count of Members with Claims Truncated]], AN_TME_BY[[#All],[Insurance Category Code]],4, AN_TME_BY[[#All],[Advanced Network/Insurance Carrier Org ID]],B264),2))</f>
        <v>TRUE</v>
      </c>
      <c r="K264" s="533" t="str">
        <f>IF(ROUND(F264,0)=ROUND(SUMIFS(AN_TME_BY[[#All],[TOTAL Non-Truncated Unadjusted Claims Expenses]], AN_TME_BY[[#All],[Insurance Category Code]],4, AN_TME_BY[[#All],[Advanced Network/Insurance Carrier Org ID]],B264),0), "TRUE", ROUND(F264-SUMIFS(AN_TME_BY[[#All],[TOTAL Non-Truncated Unadjusted Claims Expenses]], AN_TME_BY[[#All],[Insurance Category Code]],4, AN_TME_BY[[#All],[Advanced Network/Insurance Carrier Org ID]],B264),2))</f>
        <v>TRUE</v>
      </c>
      <c r="L264" s="534" t="str">
        <f>IF(ROUND(G264,0)=ROUND(SUMIFS(AN_TME_BY[[#All],[TOTAL Truncated Unadjusted Claims Expenses (A21 -A19)]], AN_TME_BY[[#All],[Insurance Category Code]],4, AN_TME_BY[[#All],[Advanced Network/Insurance Carrier Org ID]],B264),0), "TRUE", ROUND(G264-SUMIFS(AN_TME_BY[[#All],[TOTAL Truncated Unadjusted Claims Expenses (A21 -A19)]], AN_TME_BY[[#All],[Insurance Category Code]],4, AN_TME_BY[[#All],[Advanced Network/Insurance Carrier Org ID]],B264),2))</f>
        <v>TRUE</v>
      </c>
      <c r="M264" s="525" t="str">
        <f t="shared" si="28"/>
        <v>TRUE</v>
      </c>
      <c r="N264" s="533" t="b">
        <f>ROUND(SUMIFS(AN_TME_BY[[#All],[TOTAL Non-Truncated Unadjusted Claims Expenses]], AN_TME_BY[[#All],[Insurance Category Code]],4, AN_TME_BY[[#All],[Advanced Network/Insurance Carrier Org ID]],B264),2)&gt;=ROUND(SUMIFS(AN_TME_BY[[#All],[TOTAL Truncated Unadjusted Claims Expenses (A21 -A19)]], AN_TME_BY[[#All],[Insurance Category Code]],4, AN_TME_BY[[#All],[Advanced Network/Insurance Carrier Org ID]],B264),2)</f>
        <v>1</v>
      </c>
      <c r="O264" s="534" t="b">
        <f>ROUND(SUMIFS(AN_TME_BY[[#All],[TOTAL Truncated Unadjusted Claims Expenses (A21 -A19)]], AN_TME_BY[[#All],[Insurance Category Code]],4, AN_TME_BY[[#All],[Advanced Network/Insurance Carrier Org ID]],B264)+SUMIFS(AN_TME_BY[[#All],[Total Claims Excluded because of Truncation]], AN_TME_BY[[#All],[Insurance Category Code]],4, AN_TME_BY[[#All],[Advanced Network/Insurance Carrier Org ID]],B264),2)=ROUND(SUMIFS(AN_TME_BY[[#All],[TOTAL Non-Truncated Unadjusted Claims Expenses]], AN_TME_BY[[#All],[Insurance Category Code]],4, AN_TME_BY[[#All],[Advanced Network/Insurance Carrier Org ID]],B264),2)</f>
        <v>1</v>
      </c>
      <c r="Q264" s="216">
        <v>126</v>
      </c>
      <c r="R264" s="404">
        <f>ROUND(SUMIFS(Age_Sex_PY[[#All],[Total Member Months by Age/Sex Band]], Age_Sex_PY[[#All],[Advanced Network ID]], $Q264, Age_Sex_PY[[#All],[Insurance Category Code]],4),2)</f>
        <v>0</v>
      </c>
      <c r="S264" s="238">
        <f>ROUND(SUMIFS(Age_Sex_PY[[#All],[Total Dollars Excluded from Spending After Applying Truncation at the Member Level]], Age_Sex_PY[[#All],[Advanced Network ID]], $B264, Age_Sex_PY[[#All],[Insurance Category Code]],4),2)</f>
        <v>0</v>
      </c>
      <c r="T264" s="209">
        <f>ROUND(SUMIFS(Age_Sex_PY[[#All],[Count of Members whose Spending was Truncated]], Age_Sex_PY[[#All],[Advanced Network ID]], $B264, Age_Sex_PY[[#All],[Insurance Category Code]],4),2)</f>
        <v>0</v>
      </c>
      <c r="U264" s="210">
        <f>ROUND(SUMIFS(Age_Sex_PY[[#All],[Total Spending before Truncation is Applied]], Age_Sex_PY[[#All],[Advanced Network ID]], $B264, Age_Sex_PY[[#All],[Insurance Category Code]],4),2)</f>
        <v>0</v>
      </c>
      <c r="V264" s="212">
        <f>ROUND(SUMIFS(Age_Sex_PY[[#All],[Total Spending After Applying Truncation at the Member Level]], Age_Sex_PY[[#All],[Advanced Network ID]], $B264, Age_Sex_PY[[#All],[Insurance Category Code]],4),2)</f>
        <v>0</v>
      </c>
      <c r="W264" s="525" t="str">
        <f>IF(ROUND(R264,0)=ROUND(SUMIFS(AN_TME_PY[[#All],[Member Months]], AN_TME_PY[[#All],[Insurance Category Code]],4, AN_TME_PY[[#All],[Advanced Network/Insurance Carrier Org ID]],Q264),0), "TRUE", ROUND(R264-SUMIFS(AN_TME_PY[[#All],[Member Months]], AN_TME_PY[[#All],[Insurance Category Code]],4, AN_TME_PY[[#All],[Advanced Network/Insurance Carrier Org ID]],Q264),2))</f>
        <v>TRUE</v>
      </c>
      <c r="X264" s="527" t="str">
        <f>IF(ROUND(S264,0)=ROUND(SUMIFS(AN_TME_PY[[#All],[Total Claims Excluded because of Truncation]], AN_TME_PY[[#All],[Insurance Category Code]],4, AN_TME_PY[[#All],[Advanced Network/Insurance Carrier Org ID]],Q264),0), "TRUE", ROUND(S264-SUMIFS(AN_TME_PY[[#All],[Total Claims Excluded because of Truncation]], AN_TME_PY[[#All],[Insurance Category Code]],4, AN_TME_PY[[#All],[Advanced Network/Insurance Carrier Org ID]],Q264),2))</f>
        <v>TRUE</v>
      </c>
      <c r="Y264" s="537" t="str">
        <f>IF(ROUND(T264,0)=ROUND(SUMIFS(AN_TME_PY[[#All],[Count of Members with Claims Truncated]], AN_TME_PY[[#All],[Insurance Category Code]],4, AN_TME_PY[[#All],[Advanced Network/Insurance Carrier Org ID]],Q264),0), "TRUE", ROUND(T264-SUMIFS(AN_TME_PY[[#All],[Count of Members with Claims Truncated]], AN_TME_PY[[#All],[Insurance Category Code]],4, AN_TME_PY[[#All],[Advanced Network/Insurance Carrier Org ID]],Q264),2))</f>
        <v>TRUE</v>
      </c>
      <c r="Z264" s="528" t="str">
        <f>IF(ROUND(U264,0)=ROUND(SUMIFS(AN_TME_PY[[#All],[TOTAL Non-Truncated Unadjusted Claims Expenses]], AN_TME_PY[[#All],[Insurance Category Code]],4, AN_TME_PY[[#All],[Advanced Network/Insurance Carrier Org ID]],Q264),0), "TRUE", ROUND(U264-SUMIFS(AN_TME_PY[[#All],[TOTAL Non-Truncated Unadjusted Claims Expenses]], AN_TME_PY[[#All],[Insurance Category Code]],4, AN_TME_PY[[#All],[Advanced Network/Insurance Carrier Org ID]],Q264),2))</f>
        <v>TRUE</v>
      </c>
      <c r="AA264" s="529" t="str">
        <f>IF(ROUND(V264,0)=ROUND(SUMIFS(AN_TME_PY[[#All],[TOTAL Truncated Unadjusted Claims Expenses (A21 -A19)]], AN_TME_PY[[#All],[Insurance Category Code]],4, AN_TME_PY[[#All],[Advanced Network/Insurance Carrier Org ID]],Q264),0), "TRUE", ROUND(V264-SUMIFS(AN_TME_PY[[#All],[TOTAL Truncated Unadjusted Claims Expenses (A21 -A19)]], AN_TME_PY[[#All],[Insurance Category Code]],4, AN_TME_PY[[#All],[Advanced Network/Insurance Carrier Org ID]],Q264),2))</f>
        <v>TRUE</v>
      </c>
      <c r="AB264" s="525" t="str">
        <f t="shared" si="31"/>
        <v>TRUE</v>
      </c>
      <c r="AC264" s="528" t="b">
        <f>ROUND(SUMIFS(AN_TME_PY[[#All],[TOTAL Non-Truncated Unadjusted Claims Expenses]], AN_TME_PY[[#All],[Insurance Category Code]],4, AN_TME_PY[[#All],[Advanced Network/Insurance Carrier Org ID]],Q264),2)&gt;=ROUND(SUMIFS(AN_TME_PY[[#All],[TOTAL Truncated Unadjusted Claims Expenses (A21 -A19)]], AN_TME_PY[[#All],[Insurance Category Code]],4, AN_TME_PY[[#All],[Advanced Network/Insurance Carrier Org ID]],Q264),2)</f>
        <v>1</v>
      </c>
      <c r="AD264" s="529" t="b">
        <f>ROUND(SUMIFS(AN_TME_PY[[#All],[TOTAL Truncated Unadjusted Claims Expenses (A21 -A19)]], AN_TME_PY[[#All],[Insurance Category Code]],4, AN_TME_PY[[#All],[Advanced Network/Insurance Carrier Org ID]],Q264)+SUMIFS(AN_TME_PY[[#All],[Total Claims Excluded because of Truncation]], AN_TME_PY[[#All],[Insurance Category Code]],4, AN_TME_PY[[#All],[Advanced Network/Insurance Carrier Org ID]],Q264),2)=ROUND(SUMIFS(AN_TME_PY[[#All],[TOTAL Non-Truncated Unadjusted Claims Expenses]], AN_TME_PY[[#All],[Insurance Category Code]],4, AN_TME_PY[[#All],[Advanced Network/Insurance Carrier Org ID]],Q264),2)</f>
        <v>1</v>
      </c>
      <c r="AF264" s="283" t="str">
        <f t="shared" si="30"/>
        <v>NA</v>
      </c>
    </row>
    <row r="265" spans="2:32" outlineLevel="1" x14ac:dyDescent="0.25">
      <c r="B265" s="216">
        <v>127</v>
      </c>
      <c r="C265" s="404">
        <f>ROUND(SUMIFS(Age_Sex_BY[[#All],[Total Member Months by Age/Sex Band]], Age_Sex_BY[[#All],[Advanced Network ID]], $B265, Age_Sex_BY[[#All],[Insurance Category Code]],4),2)</f>
        <v>0</v>
      </c>
      <c r="D265" s="238">
        <f>ROUND(SUMIFS(Age_Sex_BY[[#All],[Total Dollars Excluded from Spending After Applying Truncation at the Member Level]], Age_Sex_BY[[#All],[Advanced Network ID]], $B265, Age_Sex_BY[[#All],[Insurance Category Code]],4),2)</f>
        <v>0</v>
      </c>
      <c r="E265" s="209">
        <f>ROUND(SUMIFS(Age_Sex_BY[[#All],[Count of Members whose Spending was Truncated]], Age_Sex_BY[[#All],[Advanced Network ID]], $B265, Age_Sex_BY[[#All],[Insurance Category Code]],4),2)</f>
        <v>0</v>
      </c>
      <c r="F265" s="210">
        <f>ROUND(SUMIFS(Age_Sex_BY[[#All],[Total Spending before Truncation is Applied]], Age_Sex_BY[[#All],[Advanced Network ID]], $B265, Age_Sex_BY[[#All],[Insurance Category Code]],4),2)</f>
        <v>0</v>
      </c>
      <c r="G265" s="212">
        <f>ROUND(SUMIFS(Age_Sex_BY[[#All],[Total Spending After Applying Truncation at the Member Level]], Age_Sex_BY[[#All],[Advanced Network ID]], $B265, Age_Sex_BY[[#All],[Insurance Category Code]],4),2)</f>
        <v>0</v>
      </c>
      <c r="H265" s="525" t="str">
        <f>IF(ROUND(C265,0)=ROUND(SUMIFS(AN_TME_BY[[#All],[Member Months]], AN_TME_BY[[#All],[Insurance Category Code]],4, AN_TME_BY[[#All],[Advanced Network/Insurance Carrier Org ID]],B265),0), "TRUE", ROUND(C265-SUMIFS(AN_TME_BY[[#All],[Member Months]], AN_TME_BY[[#All],[Insurance Category Code]],4, AN_TME_BY[[#All],[Advanced Network/Insurance Carrier Org ID]],B265),2))</f>
        <v>TRUE</v>
      </c>
      <c r="I265" s="533" t="str">
        <f>IF(ROUND(D265,0)=ROUND(SUMIFS(AN_TME_BY[[#All],[Total Claims Excluded because of Truncation]], AN_TME_BY[[#All],[Insurance Category Code]],4, AN_TME_BY[[#All],[Advanced Network/Insurance Carrier Org ID]],B265),0), "TRUE", ROUND(D265-SUMIFS(AN_TME_BY[[#All],[Total Claims Excluded because of Truncation]], AN_TME_BY[[#All],[Insurance Category Code]],4, AN_TME_BY[[#All],[Advanced Network/Insurance Carrier Org ID]],B265),2))</f>
        <v>TRUE</v>
      </c>
      <c r="J265" s="537" t="str">
        <f>IF(ROUND(E265,0)=ROUND(SUMIFS(AN_TME_BY[[#All],[Count of Members with Claims Truncated]], AN_TME_BY[[#All],[Insurance Category Code]],4, AN_TME_BY[[#All],[Advanced Network/Insurance Carrier Org ID]],B265),0), "TRUE", ROUND(E265-SUMIFS(AN_TME_BY[[#All],[Count of Members with Claims Truncated]], AN_TME_BY[[#All],[Insurance Category Code]],4, AN_TME_BY[[#All],[Advanced Network/Insurance Carrier Org ID]],B265),2))</f>
        <v>TRUE</v>
      </c>
      <c r="K265" s="533" t="str">
        <f>IF(ROUND(F265,0)=ROUND(SUMIFS(AN_TME_BY[[#All],[TOTAL Non-Truncated Unadjusted Claims Expenses]], AN_TME_BY[[#All],[Insurance Category Code]],4, AN_TME_BY[[#All],[Advanced Network/Insurance Carrier Org ID]],B265),0), "TRUE", ROUND(F265-SUMIFS(AN_TME_BY[[#All],[TOTAL Non-Truncated Unadjusted Claims Expenses]], AN_TME_BY[[#All],[Insurance Category Code]],4, AN_TME_BY[[#All],[Advanced Network/Insurance Carrier Org ID]],B265),2))</f>
        <v>TRUE</v>
      </c>
      <c r="L265" s="534" t="str">
        <f>IF(ROUND(G265,0)=ROUND(SUMIFS(AN_TME_BY[[#All],[TOTAL Truncated Unadjusted Claims Expenses (A21 -A19)]], AN_TME_BY[[#All],[Insurance Category Code]],4, AN_TME_BY[[#All],[Advanced Network/Insurance Carrier Org ID]],B265),0), "TRUE", ROUND(G265-SUMIFS(AN_TME_BY[[#All],[TOTAL Truncated Unadjusted Claims Expenses (A21 -A19)]], AN_TME_BY[[#All],[Insurance Category Code]],4, AN_TME_BY[[#All],[Advanced Network/Insurance Carrier Org ID]],B265),2))</f>
        <v>TRUE</v>
      </c>
      <c r="M265" s="525" t="str">
        <f t="shared" si="28"/>
        <v>TRUE</v>
      </c>
      <c r="N265" s="533" t="b">
        <f>ROUND(SUMIFS(AN_TME_BY[[#All],[TOTAL Non-Truncated Unadjusted Claims Expenses]], AN_TME_BY[[#All],[Insurance Category Code]],4, AN_TME_BY[[#All],[Advanced Network/Insurance Carrier Org ID]],B265),2)&gt;=ROUND(SUMIFS(AN_TME_BY[[#All],[TOTAL Truncated Unadjusted Claims Expenses (A21 -A19)]], AN_TME_BY[[#All],[Insurance Category Code]],4, AN_TME_BY[[#All],[Advanced Network/Insurance Carrier Org ID]],B265),2)</f>
        <v>1</v>
      </c>
      <c r="O265" s="534" t="b">
        <f>ROUND(SUMIFS(AN_TME_BY[[#All],[TOTAL Truncated Unadjusted Claims Expenses (A21 -A19)]], AN_TME_BY[[#All],[Insurance Category Code]],4, AN_TME_BY[[#All],[Advanced Network/Insurance Carrier Org ID]],B265)+SUMIFS(AN_TME_BY[[#All],[Total Claims Excluded because of Truncation]], AN_TME_BY[[#All],[Insurance Category Code]],4, AN_TME_BY[[#All],[Advanced Network/Insurance Carrier Org ID]],B265),2)=ROUND(SUMIFS(AN_TME_BY[[#All],[TOTAL Non-Truncated Unadjusted Claims Expenses]], AN_TME_BY[[#All],[Insurance Category Code]],4, AN_TME_BY[[#All],[Advanced Network/Insurance Carrier Org ID]],B265),2)</f>
        <v>1</v>
      </c>
      <c r="Q265" s="216">
        <v>127</v>
      </c>
      <c r="R265" s="404">
        <f>ROUND(SUMIFS(Age_Sex_PY[[#All],[Total Member Months by Age/Sex Band]], Age_Sex_PY[[#All],[Advanced Network ID]], $Q265, Age_Sex_PY[[#All],[Insurance Category Code]],4),2)</f>
        <v>0</v>
      </c>
      <c r="S265" s="238">
        <f>ROUND(SUMIFS(Age_Sex_PY[[#All],[Total Dollars Excluded from Spending After Applying Truncation at the Member Level]], Age_Sex_PY[[#All],[Advanced Network ID]], $B265, Age_Sex_PY[[#All],[Insurance Category Code]],4),2)</f>
        <v>0</v>
      </c>
      <c r="T265" s="209">
        <f>ROUND(SUMIFS(Age_Sex_PY[[#All],[Count of Members whose Spending was Truncated]], Age_Sex_PY[[#All],[Advanced Network ID]], $B265, Age_Sex_PY[[#All],[Insurance Category Code]],4),2)</f>
        <v>0</v>
      </c>
      <c r="U265" s="210">
        <f>ROUND(SUMIFS(Age_Sex_PY[[#All],[Total Spending before Truncation is Applied]], Age_Sex_PY[[#All],[Advanced Network ID]], $B265, Age_Sex_PY[[#All],[Insurance Category Code]],4),2)</f>
        <v>0</v>
      </c>
      <c r="V265" s="212">
        <f>ROUND(SUMIFS(Age_Sex_PY[[#All],[Total Spending After Applying Truncation at the Member Level]], Age_Sex_PY[[#All],[Advanced Network ID]], $B265, Age_Sex_PY[[#All],[Insurance Category Code]],4),2)</f>
        <v>0</v>
      </c>
      <c r="W265" s="525" t="str">
        <f>IF(ROUND(R265,0)=ROUND(SUMIFS(AN_TME_PY[[#All],[Member Months]], AN_TME_PY[[#All],[Insurance Category Code]],4, AN_TME_PY[[#All],[Advanced Network/Insurance Carrier Org ID]],Q265),0), "TRUE", ROUND(R265-SUMIFS(AN_TME_PY[[#All],[Member Months]], AN_TME_PY[[#All],[Insurance Category Code]],4, AN_TME_PY[[#All],[Advanced Network/Insurance Carrier Org ID]],Q265),2))</f>
        <v>TRUE</v>
      </c>
      <c r="X265" s="527" t="str">
        <f>IF(ROUND(S265,0)=ROUND(SUMIFS(AN_TME_PY[[#All],[Total Claims Excluded because of Truncation]], AN_TME_PY[[#All],[Insurance Category Code]],4, AN_TME_PY[[#All],[Advanced Network/Insurance Carrier Org ID]],Q265),0), "TRUE", ROUND(S265-SUMIFS(AN_TME_PY[[#All],[Total Claims Excluded because of Truncation]], AN_TME_PY[[#All],[Insurance Category Code]],4, AN_TME_PY[[#All],[Advanced Network/Insurance Carrier Org ID]],Q265),2))</f>
        <v>TRUE</v>
      </c>
      <c r="Y265" s="537" t="str">
        <f>IF(ROUND(T265,0)=ROUND(SUMIFS(AN_TME_PY[[#All],[Count of Members with Claims Truncated]], AN_TME_PY[[#All],[Insurance Category Code]],4, AN_TME_PY[[#All],[Advanced Network/Insurance Carrier Org ID]],Q265),0), "TRUE", ROUND(T265-SUMIFS(AN_TME_PY[[#All],[Count of Members with Claims Truncated]], AN_TME_PY[[#All],[Insurance Category Code]],4, AN_TME_PY[[#All],[Advanced Network/Insurance Carrier Org ID]],Q265),2))</f>
        <v>TRUE</v>
      </c>
      <c r="Z265" s="528" t="str">
        <f>IF(ROUND(U265,0)=ROUND(SUMIFS(AN_TME_PY[[#All],[TOTAL Non-Truncated Unadjusted Claims Expenses]], AN_TME_PY[[#All],[Insurance Category Code]],4, AN_TME_PY[[#All],[Advanced Network/Insurance Carrier Org ID]],Q265),0), "TRUE", ROUND(U265-SUMIFS(AN_TME_PY[[#All],[TOTAL Non-Truncated Unadjusted Claims Expenses]], AN_TME_PY[[#All],[Insurance Category Code]],4, AN_TME_PY[[#All],[Advanced Network/Insurance Carrier Org ID]],Q265),2))</f>
        <v>TRUE</v>
      </c>
      <c r="AA265" s="529" t="str">
        <f>IF(ROUND(V265,0)=ROUND(SUMIFS(AN_TME_PY[[#All],[TOTAL Truncated Unadjusted Claims Expenses (A21 -A19)]], AN_TME_PY[[#All],[Insurance Category Code]],4, AN_TME_PY[[#All],[Advanced Network/Insurance Carrier Org ID]],Q265),0), "TRUE", ROUND(V265-SUMIFS(AN_TME_PY[[#All],[TOTAL Truncated Unadjusted Claims Expenses (A21 -A19)]], AN_TME_PY[[#All],[Insurance Category Code]],4, AN_TME_PY[[#All],[Advanced Network/Insurance Carrier Org ID]],Q265),2))</f>
        <v>TRUE</v>
      </c>
      <c r="AB265" s="525" t="str">
        <f t="shared" si="31"/>
        <v>TRUE</v>
      </c>
      <c r="AC265" s="528" t="b">
        <f>ROUND(SUMIFS(AN_TME_PY[[#All],[TOTAL Non-Truncated Unadjusted Claims Expenses]], AN_TME_PY[[#All],[Insurance Category Code]],4, AN_TME_PY[[#All],[Advanced Network/Insurance Carrier Org ID]],Q265),2)&gt;=ROUND(SUMIFS(AN_TME_PY[[#All],[TOTAL Truncated Unadjusted Claims Expenses (A21 -A19)]], AN_TME_PY[[#All],[Insurance Category Code]],4, AN_TME_PY[[#All],[Advanced Network/Insurance Carrier Org ID]],Q265),2)</f>
        <v>1</v>
      </c>
      <c r="AD265" s="529" t="b">
        <f>ROUND(SUMIFS(AN_TME_PY[[#All],[TOTAL Truncated Unadjusted Claims Expenses (A21 -A19)]], AN_TME_PY[[#All],[Insurance Category Code]],4, AN_TME_PY[[#All],[Advanced Network/Insurance Carrier Org ID]],Q265)+SUMIFS(AN_TME_PY[[#All],[Total Claims Excluded because of Truncation]], AN_TME_PY[[#All],[Insurance Category Code]],4, AN_TME_PY[[#All],[Advanced Network/Insurance Carrier Org ID]],Q265),2)=ROUND(SUMIFS(AN_TME_PY[[#All],[TOTAL Non-Truncated Unadjusted Claims Expenses]], AN_TME_PY[[#All],[Insurance Category Code]],4, AN_TME_PY[[#All],[Advanced Network/Insurance Carrier Org ID]],Q265),2)</f>
        <v>1</v>
      </c>
      <c r="AF265" s="283" t="str">
        <f t="shared" si="30"/>
        <v>NA</v>
      </c>
    </row>
    <row r="266" spans="2:32" outlineLevel="1" x14ac:dyDescent="0.25">
      <c r="B266" s="216">
        <v>128</v>
      </c>
      <c r="C266" s="404">
        <f>ROUND(SUMIFS(Age_Sex_BY[[#All],[Total Member Months by Age/Sex Band]], Age_Sex_BY[[#All],[Advanced Network ID]], $B266, Age_Sex_BY[[#All],[Insurance Category Code]],4),2)</f>
        <v>0</v>
      </c>
      <c r="D266" s="238">
        <f>ROUND(SUMIFS(Age_Sex_BY[[#All],[Total Dollars Excluded from Spending After Applying Truncation at the Member Level]], Age_Sex_BY[[#All],[Advanced Network ID]], $B266, Age_Sex_BY[[#All],[Insurance Category Code]],4),2)</f>
        <v>0</v>
      </c>
      <c r="E266" s="209">
        <f>ROUND(SUMIFS(Age_Sex_BY[[#All],[Count of Members whose Spending was Truncated]], Age_Sex_BY[[#All],[Advanced Network ID]], $B266, Age_Sex_BY[[#All],[Insurance Category Code]],4),2)</f>
        <v>0</v>
      </c>
      <c r="F266" s="210">
        <f>ROUND(SUMIFS(Age_Sex_BY[[#All],[Total Spending before Truncation is Applied]], Age_Sex_BY[[#All],[Advanced Network ID]], $B266, Age_Sex_BY[[#All],[Insurance Category Code]],4),2)</f>
        <v>0</v>
      </c>
      <c r="G266" s="212">
        <f>ROUND(SUMIFS(Age_Sex_BY[[#All],[Total Spending After Applying Truncation at the Member Level]], Age_Sex_BY[[#All],[Advanced Network ID]], $B266, Age_Sex_BY[[#All],[Insurance Category Code]],4),2)</f>
        <v>0</v>
      </c>
      <c r="H266" s="525" t="str">
        <f>IF(ROUND(C266,0)=ROUND(SUMIFS(AN_TME_BY[[#All],[Member Months]], AN_TME_BY[[#All],[Insurance Category Code]],4, AN_TME_BY[[#All],[Advanced Network/Insurance Carrier Org ID]],B266),0), "TRUE", ROUND(C266-SUMIFS(AN_TME_BY[[#All],[Member Months]], AN_TME_BY[[#All],[Insurance Category Code]],4, AN_TME_BY[[#All],[Advanced Network/Insurance Carrier Org ID]],B266),2))</f>
        <v>TRUE</v>
      </c>
      <c r="I266" s="533" t="str">
        <f>IF(ROUND(D266,0)=ROUND(SUMIFS(AN_TME_BY[[#All],[Total Claims Excluded because of Truncation]], AN_TME_BY[[#All],[Insurance Category Code]],4, AN_TME_BY[[#All],[Advanced Network/Insurance Carrier Org ID]],B266),0), "TRUE", ROUND(D266-SUMIFS(AN_TME_BY[[#All],[Total Claims Excluded because of Truncation]], AN_TME_BY[[#All],[Insurance Category Code]],4, AN_TME_BY[[#All],[Advanced Network/Insurance Carrier Org ID]],B266),2))</f>
        <v>TRUE</v>
      </c>
      <c r="J266" s="537" t="str">
        <f>IF(ROUND(E266,0)=ROUND(SUMIFS(AN_TME_BY[[#All],[Count of Members with Claims Truncated]], AN_TME_BY[[#All],[Insurance Category Code]],4, AN_TME_BY[[#All],[Advanced Network/Insurance Carrier Org ID]],B266),0), "TRUE", ROUND(E266-SUMIFS(AN_TME_BY[[#All],[Count of Members with Claims Truncated]], AN_TME_BY[[#All],[Insurance Category Code]],4, AN_TME_BY[[#All],[Advanced Network/Insurance Carrier Org ID]],B266),2))</f>
        <v>TRUE</v>
      </c>
      <c r="K266" s="533" t="str">
        <f>IF(ROUND(F266,0)=ROUND(SUMIFS(AN_TME_BY[[#All],[TOTAL Non-Truncated Unadjusted Claims Expenses]], AN_TME_BY[[#All],[Insurance Category Code]],4, AN_TME_BY[[#All],[Advanced Network/Insurance Carrier Org ID]],B266),0), "TRUE", ROUND(F266-SUMIFS(AN_TME_BY[[#All],[TOTAL Non-Truncated Unadjusted Claims Expenses]], AN_TME_BY[[#All],[Insurance Category Code]],4, AN_TME_BY[[#All],[Advanced Network/Insurance Carrier Org ID]],B266),2))</f>
        <v>TRUE</v>
      </c>
      <c r="L266" s="534" t="str">
        <f>IF(ROUND(G266,0)=ROUND(SUMIFS(AN_TME_BY[[#All],[TOTAL Truncated Unadjusted Claims Expenses (A21 -A19)]], AN_TME_BY[[#All],[Insurance Category Code]],4, AN_TME_BY[[#All],[Advanced Network/Insurance Carrier Org ID]],B266),0), "TRUE", ROUND(G266-SUMIFS(AN_TME_BY[[#All],[TOTAL Truncated Unadjusted Claims Expenses (A21 -A19)]], AN_TME_BY[[#All],[Insurance Category Code]],4, AN_TME_BY[[#All],[Advanced Network/Insurance Carrier Org ID]],B266),2))</f>
        <v>TRUE</v>
      </c>
      <c r="M266" s="525" t="str">
        <f t="shared" si="28"/>
        <v>TRUE</v>
      </c>
      <c r="N266" s="533" t="b">
        <f>ROUND(SUMIFS(AN_TME_BY[[#All],[TOTAL Non-Truncated Unadjusted Claims Expenses]], AN_TME_BY[[#All],[Insurance Category Code]],4, AN_TME_BY[[#All],[Advanced Network/Insurance Carrier Org ID]],B266),2)&gt;=ROUND(SUMIFS(AN_TME_BY[[#All],[TOTAL Truncated Unadjusted Claims Expenses (A21 -A19)]], AN_TME_BY[[#All],[Insurance Category Code]],4, AN_TME_BY[[#All],[Advanced Network/Insurance Carrier Org ID]],B266),2)</f>
        <v>1</v>
      </c>
      <c r="O266" s="534" t="b">
        <f>ROUND(SUMIFS(AN_TME_BY[[#All],[TOTAL Truncated Unadjusted Claims Expenses (A21 -A19)]], AN_TME_BY[[#All],[Insurance Category Code]],4, AN_TME_BY[[#All],[Advanced Network/Insurance Carrier Org ID]],B266)+SUMIFS(AN_TME_BY[[#All],[Total Claims Excluded because of Truncation]], AN_TME_BY[[#All],[Insurance Category Code]],4, AN_TME_BY[[#All],[Advanced Network/Insurance Carrier Org ID]],B266),2)=ROUND(SUMIFS(AN_TME_BY[[#All],[TOTAL Non-Truncated Unadjusted Claims Expenses]], AN_TME_BY[[#All],[Insurance Category Code]],4, AN_TME_BY[[#All],[Advanced Network/Insurance Carrier Org ID]],B266),2)</f>
        <v>1</v>
      </c>
      <c r="Q266" s="216">
        <v>128</v>
      </c>
      <c r="R266" s="404">
        <f>ROUND(SUMIFS(Age_Sex_PY[[#All],[Total Member Months by Age/Sex Band]], Age_Sex_PY[[#All],[Advanced Network ID]], $Q266, Age_Sex_PY[[#All],[Insurance Category Code]],4),2)</f>
        <v>0</v>
      </c>
      <c r="S266" s="238">
        <f>ROUND(SUMIFS(Age_Sex_PY[[#All],[Total Dollars Excluded from Spending After Applying Truncation at the Member Level]], Age_Sex_PY[[#All],[Advanced Network ID]], $B266, Age_Sex_PY[[#All],[Insurance Category Code]],4),2)</f>
        <v>0</v>
      </c>
      <c r="T266" s="209">
        <f>ROUND(SUMIFS(Age_Sex_PY[[#All],[Count of Members whose Spending was Truncated]], Age_Sex_PY[[#All],[Advanced Network ID]], $B266, Age_Sex_PY[[#All],[Insurance Category Code]],4),2)</f>
        <v>0</v>
      </c>
      <c r="U266" s="210">
        <f>ROUND(SUMIFS(Age_Sex_PY[[#All],[Total Spending before Truncation is Applied]], Age_Sex_PY[[#All],[Advanced Network ID]], $B266, Age_Sex_PY[[#All],[Insurance Category Code]],4),2)</f>
        <v>0</v>
      </c>
      <c r="V266" s="212">
        <f>ROUND(SUMIFS(Age_Sex_PY[[#All],[Total Spending After Applying Truncation at the Member Level]], Age_Sex_PY[[#All],[Advanced Network ID]], $B266, Age_Sex_PY[[#All],[Insurance Category Code]],4),2)</f>
        <v>0</v>
      </c>
      <c r="W266" s="525" t="str">
        <f>IF(ROUND(R266,0)=ROUND(SUMIFS(AN_TME_PY[[#All],[Member Months]], AN_TME_PY[[#All],[Insurance Category Code]],4, AN_TME_PY[[#All],[Advanced Network/Insurance Carrier Org ID]],Q266),0), "TRUE", ROUND(R266-SUMIFS(AN_TME_PY[[#All],[Member Months]], AN_TME_PY[[#All],[Insurance Category Code]],4, AN_TME_PY[[#All],[Advanced Network/Insurance Carrier Org ID]],Q266),2))</f>
        <v>TRUE</v>
      </c>
      <c r="X266" s="527" t="str">
        <f>IF(ROUND(S266,0)=ROUND(SUMIFS(AN_TME_PY[[#All],[Total Claims Excluded because of Truncation]], AN_TME_PY[[#All],[Insurance Category Code]],4, AN_TME_PY[[#All],[Advanced Network/Insurance Carrier Org ID]],Q266),0), "TRUE", ROUND(S266-SUMIFS(AN_TME_PY[[#All],[Total Claims Excluded because of Truncation]], AN_TME_PY[[#All],[Insurance Category Code]],4, AN_TME_PY[[#All],[Advanced Network/Insurance Carrier Org ID]],Q266),2))</f>
        <v>TRUE</v>
      </c>
      <c r="Y266" s="537" t="str">
        <f>IF(ROUND(T266,0)=ROUND(SUMIFS(AN_TME_PY[[#All],[Count of Members with Claims Truncated]], AN_TME_PY[[#All],[Insurance Category Code]],4, AN_TME_PY[[#All],[Advanced Network/Insurance Carrier Org ID]],Q266),0), "TRUE", ROUND(T266-SUMIFS(AN_TME_PY[[#All],[Count of Members with Claims Truncated]], AN_TME_PY[[#All],[Insurance Category Code]],4, AN_TME_PY[[#All],[Advanced Network/Insurance Carrier Org ID]],Q266),2))</f>
        <v>TRUE</v>
      </c>
      <c r="Z266" s="528" t="str">
        <f>IF(ROUND(U266,0)=ROUND(SUMIFS(AN_TME_PY[[#All],[TOTAL Non-Truncated Unadjusted Claims Expenses]], AN_TME_PY[[#All],[Insurance Category Code]],4, AN_TME_PY[[#All],[Advanced Network/Insurance Carrier Org ID]],Q266),0), "TRUE", ROUND(U266-SUMIFS(AN_TME_PY[[#All],[TOTAL Non-Truncated Unadjusted Claims Expenses]], AN_TME_PY[[#All],[Insurance Category Code]],4, AN_TME_PY[[#All],[Advanced Network/Insurance Carrier Org ID]],Q266),2))</f>
        <v>TRUE</v>
      </c>
      <c r="AA266" s="529" t="str">
        <f>IF(ROUND(V266,0)=ROUND(SUMIFS(AN_TME_PY[[#All],[TOTAL Truncated Unadjusted Claims Expenses (A21 -A19)]], AN_TME_PY[[#All],[Insurance Category Code]],4, AN_TME_PY[[#All],[Advanced Network/Insurance Carrier Org ID]],Q266),0), "TRUE", ROUND(V266-SUMIFS(AN_TME_PY[[#All],[TOTAL Truncated Unadjusted Claims Expenses (A21 -A19)]], AN_TME_PY[[#All],[Insurance Category Code]],4, AN_TME_PY[[#All],[Advanced Network/Insurance Carrier Org ID]],Q266),2))</f>
        <v>TRUE</v>
      </c>
      <c r="AB266" s="525" t="str">
        <f t="shared" si="31"/>
        <v>TRUE</v>
      </c>
      <c r="AC266" s="528" t="b">
        <f>ROUND(SUMIFS(AN_TME_PY[[#All],[TOTAL Non-Truncated Unadjusted Claims Expenses]], AN_TME_PY[[#All],[Insurance Category Code]],4, AN_TME_PY[[#All],[Advanced Network/Insurance Carrier Org ID]],Q266),2)&gt;=ROUND(SUMIFS(AN_TME_PY[[#All],[TOTAL Truncated Unadjusted Claims Expenses (A21 -A19)]], AN_TME_PY[[#All],[Insurance Category Code]],4, AN_TME_PY[[#All],[Advanced Network/Insurance Carrier Org ID]],Q266),2)</f>
        <v>1</v>
      </c>
      <c r="AD266" s="529" t="b">
        <f>ROUND(SUMIFS(AN_TME_PY[[#All],[TOTAL Truncated Unadjusted Claims Expenses (A21 -A19)]], AN_TME_PY[[#All],[Insurance Category Code]],4, AN_TME_PY[[#All],[Advanced Network/Insurance Carrier Org ID]],Q266)+SUMIFS(AN_TME_PY[[#All],[Total Claims Excluded because of Truncation]], AN_TME_PY[[#All],[Insurance Category Code]],4, AN_TME_PY[[#All],[Advanced Network/Insurance Carrier Org ID]],Q266),2)=ROUND(SUMIFS(AN_TME_PY[[#All],[TOTAL Non-Truncated Unadjusted Claims Expenses]], AN_TME_PY[[#All],[Insurance Category Code]],4, AN_TME_PY[[#All],[Advanced Network/Insurance Carrier Org ID]],Q266),2)</f>
        <v>1</v>
      </c>
      <c r="AF266" s="283" t="str">
        <f t="shared" si="30"/>
        <v>NA</v>
      </c>
    </row>
    <row r="267" spans="2:32" outlineLevel="1" x14ac:dyDescent="0.25">
      <c r="B267" s="216">
        <v>129</v>
      </c>
      <c r="C267" s="404">
        <f>ROUND(SUMIFS(Age_Sex_BY[[#All],[Total Member Months by Age/Sex Band]], Age_Sex_BY[[#All],[Advanced Network ID]], $B267, Age_Sex_BY[[#All],[Insurance Category Code]],4),2)</f>
        <v>0</v>
      </c>
      <c r="D267" s="238">
        <f>ROUND(SUMIFS(Age_Sex_BY[[#All],[Total Dollars Excluded from Spending After Applying Truncation at the Member Level]], Age_Sex_BY[[#All],[Advanced Network ID]], $B267, Age_Sex_BY[[#All],[Insurance Category Code]],4),2)</f>
        <v>0</v>
      </c>
      <c r="E267" s="209">
        <f>ROUND(SUMIFS(Age_Sex_BY[[#All],[Count of Members whose Spending was Truncated]], Age_Sex_BY[[#All],[Advanced Network ID]], $B267, Age_Sex_BY[[#All],[Insurance Category Code]],4),2)</f>
        <v>0</v>
      </c>
      <c r="F267" s="210">
        <f>ROUND(SUMIFS(Age_Sex_BY[[#All],[Total Spending before Truncation is Applied]], Age_Sex_BY[[#All],[Advanced Network ID]], $B267, Age_Sex_BY[[#All],[Insurance Category Code]],4),2)</f>
        <v>0</v>
      </c>
      <c r="G267" s="212">
        <f>ROUND(SUMIFS(Age_Sex_BY[[#All],[Total Spending After Applying Truncation at the Member Level]], Age_Sex_BY[[#All],[Advanced Network ID]], $B267, Age_Sex_BY[[#All],[Insurance Category Code]],4),2)</f>
        <v>0</v>
      </c>
      <c r="H267" s="525" t="str">
        <f>IF(ROUND(C267,0)=ROUND(SUMIFS(AN_TME_BY[[#All],[Member Months]], AN_TME_BY[[#All],[Insurance Category Code]],4, AN_TME_BY[[#All],[Advanced Network/Insurance Carrier Org ID]],B267),0), "TRUE", ROUND(C267-SUMIFS(AN_TME_BY[[#All],[Member Months]], AN_TME_BY[[#All],[Insurance Category Code]],4, AN_TME_BY[[#All],[Advanced Network/Insurance Carrier Org ID]],B267),2))</f>
        <v>TRUE</v>
      </c>
      <c r="I267" s="533" t="str">
        <f>IF(ROUND(D267,0)=ROUND(SUMIFS(AN_TME_BY[[#All],[Total Claims Excluded because of Truncation]], AN_TME_BY[[#All],[Insurance Category Code]],4, AN_TME_BY[[#All],[Advanced Network/Insurance Carrier Org ID]],B267),0), "TRUE", ROUND(D267-SUMIFS(AN_TME_BY[[#All],[Total Claims Excluded because of Truncation]], AN_TME_BY[[#All],[Insurance Category Code]],4, AN_TME_BY[[#All],[Advanced Network/Insurance Carrier Org ID]],B267),2))</f>
        <v>TRUE</v>
      </c>
      <c r="J267" s="537" t="str">
        <f>IF(ROUND(E267,0)=ROUND(SUMIFS(AN_TME_BY[[#All],[Count of Members with Claims Truncated]], AN_TME_BY[[#All],[Insurance Category Code]],4, AN_TME_BY[[#All],[Advanced Network/Insurance Carrier Org ID]],B267),0), "TRUE", ROUND(E267-SUMIFS(AN_TME_BY[[#All],[Count of Members with Claims Truncated]], AN_TME_BY[[#All],[Insurance Category Code]],4, AN_TME_BY[[#All],[Advanced Network/Insurance Carrier Org ID]],B267),2))</f>
        <v>TRUE</v>
      </c>
      <c r="K267" s="533" t="str">
        <f>IF(ROUND(F267,0)=ROUND(SUMIFS(AN_TME_BY[[#All],[TOTAL Non-Truncated Unadjusted Claims Expenses]], AN_TME_BY[[#All],[Insurance Category Code]],4, AN_TME_BY[[#All],[Advanced Network/Insurance Carrier Org ID]],B267),0), "TRUE", ROUND(F267-SUMIFS(AN_TME_BY[[#All],[TOTAL Non-Truncated Unadjusted Claims Expenses]], AN_TME_BY[[#All],[Insurance Category Code]],4, AN_TME_BY[[#All],[Advanced Network/Insurance Carrier Org ID]],B267),2))</f>
        <v>TRUE</v>
      </c>
      <c r="L267" s="534" t="str">
        <f>IF(ROUND(G267,0)=ROUND(SUMIFS(AN_TME_BY[[#All],[TOTAL Truncated Unadjusted Claims Expenses (A21 -A19)]], AN_TME_BY[[#All],[Insurance Category Code]],4, AN_TME_BY[[#All],[Advanced Network/Insurance Carrier Org ID]],B267),0), "TRUE", ROUND(G267-SUMIFS(AN_TME_BY[[#All],[TOTAL Truncated Unadjusted Claims Expenses (A21 -A19)]], AN_TME_BY[[#All],[Insurance Category Code]],4, AN_TME_BY[[#All],[Advanced Network/Insurance Carrier Org ID]],B267),2))</f>
        <v>TRUE</v>
      </c>
      <c r="M267" s="525" t="str">
        <f t="shared" si="28"/>
        <v>TRUE</v>
      </c>
      <c r="N267" s="533" t="b">
        <f>ROUND(SUMIFS(AN_TME_BY[[#All],[TOTAL Non-Truncated Unadjusted Claims Expenses]], AN_TME_BY[[#All],[Insurance Category Code]],4, AN_TME_BY[[#All],[Advanced Network/Insurance Carrier Org ID]],B267),2)&gt;=ROUND(SUMIFS(AN_TME_BY[[#All],[TOTAL Truncated Unadjusted Claims Expenses (A21 -A19)]], AN_TME_BY[[#All],[Insurance Category Code]],4, AN_TME_BY[[#All],[Advanced Network/Insurance Carrier Org ID]],B267),2)</f>
        <v>1</v>
      </c>
      <c r="O267" s="534" t="b">
        <f>ROUND(SUMIFS(AN_TME_BY[[#All],[TOTAL Truncated Unadjusted Claims Expenses (A21 -A19)]], AN_TME_BY[[#All],[Insurance Category Code]],4, AN_TME_BY[[#All],[Advanced Network/Insurance Carrier Org ID]],B267)+SUMIFS(AN_TME_BY[[#All],[Total Claims Excluded because of Truncation]], AN_TME_BY[[#All],[Insurance Category Code]],4, AN_TME_BY[[#All],[Advanced Network/Insurance Carrier Org ID]],B267),2)=ROUND(SUMIFS(AN_TME_BY[[#All],[TOTAL Non-Truncated Unadjusted Claims Expenses]], AN_TME_BY[[#All],[Insurance Category Code]],4, AN_TME_BY[[#All],[Advanced Network/Insurance Carrier Org ID]],B267),2)</f>
        <v>1</v>
      </c>
      <c r="Q267" s="216">
        <v>129</v>
      </c>
      <c r="R267" s="404">
        <f>ROUND(SUMIFS(Age_Sex_PY[[#All],[Total Member Months by Age/Sex Band]], Age_Sex_PY[[#All],[Advanced Network ID]], $Q267, Age_Sex_PY[[#All],[Insurance Category Code]],4),2)</f>
        <v>0</v>
      </c>
      <c r="S267" s="238">
        <f>ROUND(SUMIFS(Age_Sex_PY[[#All],[Total Dollars Excluded from Spending After Applying Truncation at the Member Level]], Age_Sex_PY[[#All],[Advanced Network ID]], $B267, Age_Sex_PY[[#All],[Insurance Category Code]],4),2)</f>
        <v>0</v>
      </c>
      <c r="T267" s="209">
        <f>ROUND(SUMIFS(Age_Sex_PY[[#All],[Count of Members whose Spending was Truncated]], Age_Sex_PY[[#All],[Advanced Network ID]], $B267, Age_Sex_PY[[#All],[Insurance Category Code]],4),2)</f>
        <v>0</v>
      </c>
      <c r="U267" s="210">
        <f>ROUND(SUMIFS(Age_Sex_PY[[#All],[Total Spending before Truncation is Applied]], Age_Sex_PY[[#All],[Advanced Network ID]], $B267, Age_Sex_PY[[#All],[Insurance Category Code]],4),2)</f>
        <v>0</v>
      </c>
      <c r="V267" s="212">
        <f>ROUND(SUMIFS(Age_Sex_PY[[#All],[Total Spending After Applying Truncation at the Member Level]], Age_Sex_PY[[#All],[Advanced Network ID]], $B267, Age_Sex_PY[[#All],[Insurance Category Code]],4),2)</f>
        <v>0</v>
      </c>
      <c r="W267" s="525" t="str">
        <f>IF(ROUND(R267,0)=ROUND(SUMIFS(AN_TME_PY[[#All],[Member Months]], AN_TME_PY[[#All],[Insurance Category Code]],4, AN_TME_PY[[#All],[Advanced Network/Insurance Carrier Org ID]],Q267),0), "TRUE", ROUND(R267-SUMIFS(AN_TME_PY[[#All],[Member Months]], AN_TME_PY[[#All],[Insurance Category Code]],4, AN_TME_PY[[#All],[Advanced Network/Insurance Carrier Org ID]],Q267),2))</f>
        <v>TRUE</v>
      </c>
      <c r="X267" s="527" t="str">
        <f>IF(ROUND(S267,0)=ROUND(SUMIFS(AN_TME_PY[[#All],[Total Claims Excluded because of Truncation]], AN_TME_PY[[#All],[Insurance Category Code]],4, AN_TME_PY[[#All],[Advanced Network/Insurance Carrier Org ID]],Q267),0), "TRUE", ROUND(S267-SUMIFS(AN_TME_PY[[#All],[Total Claims Excluded because of Truncation]], AN_TME_PY[[#All],[Insurance Category Code]],4, AN_TME_PY[[#All],[Advanced Network/Insurance Carrier Org ID]],Q267),2))</f>
        <v>TRUE</v>
      </c>
      <c r="Y267" s="537" t="str">
        <f>IF(ROUND(T267,0)=ROUND(SUMIFS(AN_TME_PY[[#All],[Count of Members with Claims Truncated]], AN_TME_PY[[#All],[Insurance Category Code]],4, AN_TME_PY[[#All],[Advanced Network/Insurance Carrier Org ID]],Q267),0), "TRUE", ROUND(T267-SUMIFS(AN_TME_PY[[#All],[Count of Members with Claims Truncated]], AN_TME_PY[[#All],[Insurance Category Code]],4, AN_TME_PY[[#All],[Advanced Network/Insurance Carrier Org ID]],Q267),2))</f>
        <v>TRUE</v>
      </c>
      <c r="Z267" s="528" t="str">
        <f>IF(ROUND(U267,0)=ROUND(SUMIFS(AN_TME_PY[[#All],[TOTAL Non-Truncated Unadjusted Claims Expenses]], AN_TME_PY[[#All],[Insurance Category Code]],4, AN_TME_PY[[#All],[Advanced Network/Insurance Carrier Org ID]],Q267),0), "TRUE", ROUND(U267-SUMIFS(AN_TME_PY[[#All],[TOTAL Non-Truncated Unadjusted Claims Expenses]], AN_TME_PY[[#All],[Insurance Category Code]],4, AN_TME_PY[[#All],[Advanced Network/Insurance Carrier Org ID]],Q267),2))</f>
        <v>TRUE</v>
      </c>
      <c r="AA267" s="529" t="str">
        <f>IF(ROUND(V267,0)=ROUND(SUMIFS(AN_TME_PY[[#All],[TOTAL Truncated Unadjusted Claims Expenses (A21 -A19)]], AN_TME_PY[[#All],[Insurance Category Code]],4, AN_TME_PY[[#All],[Advanced Network/Insurance Carrier Org ID]],Q267),0), "TRUE", ROUND(V267-SUMIFS(AN_TME_PY[[#All],[TOTAL Truncated Unadjusted Claims Expenses (A21 -A19)]], AN_TME_PY[[#All],[Insurance Category Code]],4, AN_TME_PY[[#All],[Advanced Network/Insurance Carrier Org ID]],Q267),2))</f>
        <v>TRUE</v>
      </c>
      <c r="AB267" s="525" t="str">
        <f t="shared" si="31"/>
        <v>TRUE</v>
      </c>
      <c r="AC267" s="528" t="b">
        <f>ROUND(SUMIFS(AN_TME_PY[[#All],[TOTAL Non-Truncated Unadjusted Claims Expenses]], AN_TME_PY[[#All],[Insurance Category Code]],4, AN_TME_PY[[#All],[Advanced Network/Insurance Carrier Org ID]],Q267),2)&gt;=ROUND(SUMIFS(AN_TME_PY[[#All],[TOTAL Truncated Unadjusted Claims Expenses (A21 -A19)]], AN_TME_PY[[#All],[Insurance Category Code]],4, AN_TME_PY[[#All],[Advanced Network/Insurance Carrier Org ID]],Q267),2)</f>
        <v>1</v>
      </c>
      <c r="AD267" s="529" t="b">
        <f>ROUND(SUMIFS(AN_TME_PY[[#All],[TOTAL Truncated Unadjusted Claims Expenses (A21 -A19)]], AN_TME_PY[[#All],[Insurance Category Code]],4, AN_TME_PY[[#All],[Advanced Network/Insurance Carrier Org ID]],Q267)+SUMIFS(AN_TME_PY[[#All],[Total Claims Excluded because of Truncation]], AN_TME_PY[[#All],[Insurance Category Code]],4, AN_TME_PY[[#All],[Advanced Network/Insurance Carrier Org ID]],Q267),2)=ROUND(SUMIFS(AN_TME_PY[[#All],[TOTAL Non-Truncated Unadjusted Claims Expenses]], AN_TME_PY[[#All],[Insurance Category Code]],4, AN_TME_PY[[#All],[Advanced Network/Insurance Carrier Org ID]],Q267),2)</f>
        <v>1</v>
      </c>
      <c r="AF267" s="283" t="str">
        <f t="shared" si="30"/>
        <v>NA</v>
      </c>
    </row>
    <row r="268" spans="2:32" outlineLevel="1" x14ac:dyDescent="0.25">
      <c r="B268" s="216">
        <v>130</v>
      </c>
      <c r="C268" s="404">
        <f>ROUND(SUMIFS(Age_Sex_BY[[#All],[Total Member Months by Age/Sex Band]], Age_Sex_BY[[#All],[Advanced Network ID]], $B268, Age_Sex_BY[[#All],[Insurance Category Code]],4),2)</f>
        <v>0</v>
      </c>
      <c r="D268" s="238">
        <f>ROUND(SUMIFS(Age_Sex_BY[[#All],[Total Dollars Excluded from Spending After Applying Truncation at the Member Level]], Age_Sex_BY[[#All],[Advanced Network ID]], $B268, Age_Sex_BY[[#All],[Insurance Category Code]],4),2)</f>
        <v>0</v>
      </c>
      <c r="E268" s="209">
        <f>ROUND(SUMIFS(Age_Sex_BY[[#All],[Count of Members whose Spending was Truncated]], Age_Sex_BY[[#All],[Advanced Network ID]], $B268, Age_Sex_BY[[#All],[Insurance Category Code]],4),2)</f>
        <v>0</v>
      </c>
      <c r="F268" s="210">
        <f>ROUND(SUMIFS(Age_Sex_BY[[#All],[Total Spending before Truncation is Applied]], Age_Sex_BY[[#All],[Advanced Network ID]], $B268, Age_Sex_BY[[#All],[Insurance Category Code]],4),2)</f>
        <v>0</v>
      </c>
      <c r="G268" s="212">
        <f>ROUND(SUMIFS(Age_Sex_BY[[#All],[Total Spending After Applying Truncation at the Member Level]], Age_Sex_BY[[#All],[Advanced Network ID]], $B268, Age_Sex_BY[[#All],[Insurance Category Code]],4),2)</f>
        <v>0</v>
      </c>
      <c r="H268" s="525" t="str">
        <f>IF(ROUND(C268,0)=ROUND(SUMIFS(AN_TME_BY[[#All],[Member Months]], AN_TME_BY[[#All],[Insurance Category Code]],4, AN_TME_BY[[#All],[Advanced Network/Insurance Carrier Org ID]],B268),0), "TRUE", ROUND(C268-SUMIFS(AN_TME_BY[[#All],[Member Months]], AN_TME_BY[[#All],[Insurance Category Code]],4, AN_TME_BY[[#All],[Advanced Network/Insurance Carrier Org ID]],B268),2))</f>
        <v>TRUE</v>
      </c>
      <c r="I268" s="533" t="str">
        <f>IF(ROUND(D268,0)=ROUND(SUMIFS(AN_TME_BY[[#All],[Total Claims Excluded because of Truncation]], AN_TME_BY[[#All],[Insurance Category Code]],4, AN_TME_BY[[#All],[Advanced Network/Insurance Carrier Org ID]],B268),0), "TRUE", ROUND(D268-SUMIFS(AN_TME_BY[[#All],[Total Claims Excluded because of Truncation]], AN_TME_BY[[#All],[Insurance Category Code]],4, AN_TME_BY[[#All],[Advanced Network/Insurance Carrier Org ID]],B268),2))</f>
        <v>TRUE</v>
      </c>
      <c r="J268" s="537" t="str">
        <f>IF(ROUND(E268,0)=ROUND(SUMIFS(AN_TME_BY[[#All],[Count of Members with Claims Truncated]], AN_TME_BY[[#All],[Insurance Category Code]],4, AN_TME_BY[[#All],[Advanced Network/Insurance Carrier Org ID]],B268),0), "TRUE", ROUND(E268-SUMIFS(AN_TME_BY[[#All],[Count of Members with Claims Truncated]], AN_TME_BY[[#All],[Insurance Category Code]],4, AN_TME_BY[[#All],[Advanced Network/Insurance Carrier Org ID]],B268),2))</f>
        <v>TRUE</v>
      </c>
      <c r="K268" s="533" t="str">
        <f>IF(ROUND(F268,0)=ROUND(SUMIFS(AN_TME_BY[[#All],[TOTAL Non-Truncated Unadjusted Claims Expenses]], AN_TME_BY[[#All],[Insurance Category Code]],4, AN_TME_BY[[#All],[Advanced Network/Insurance Carrier Org ID]],B268),0), "TRUE", ROUND(F268-SUMIFS(AN_TME_BY[[#All],[TOTAL Non-Truncated Unadjusted Claims Expenses]], AN_TME_BY[[#All],[Insurance Category Code]],4, AN_TME_BY[[#All],[Advanced Network/Insurance Carrier Org ID]],B268),2))</f>
        <v>TRUE</v>
      </c>
      <c r="L268" s="534" t="str">
        <f>IF(ROUND(G268,0)=ROUND(SUMIFS(AN_TME_BY[[#All],[TOTAL Truncated Unadjusted Claims Expenses (A21 -A19)]], AN_TME_BY[[#All],[Insurance Category Code]],4, AN_TME_BY[[#All],[Advanced Network/Insurance Carrier Org ID]],B268),0), "TRUE", ROUND(G268-SUMIFS(AN_TME_BY[[#All],[TOTAL Truncated Unadjusted Claims Expenses (A21 -A19)]], AN_TME_BY[[#All],[Insurance Category Code]],4, AN_TME_BY[[#All],[Advanced Network/Insurance Carrier Org ID]],B268),2))</f>
        <v>TRUE</v>
      </c>
      <c r="M268" s="525" t="str">
        <f t="shared" si="28"/>
        <v>TRUE</v>
      </c>
      <c r="N268" s="533" t="b">
        <f>ROUND(SUMIFS(AN_TME_BY[[#All],[TOTAL Non-Truncated Unadjusted Claims Expenses]], AN_TME_BY[[#All],[Insurance Category Code]],4, AN_TME_BY[[#All],[Advanced Network/Insurance Carrier Org ID]],B268),2)&gt;=ROUND(SUMIFS(AN_TME_BY[[#All],[TOTAL Truncated Unadjusted Claims Expenses (A21 -A19)]], AN_TME_BY[[#All],[Insurance Category Code]],4, AN_TME_BY[[#All],[Advanced Network/Insurance Carrier Org ID]],B268),2)</f>
        <v>1</v>
      </c>
      <c r="O268" s="534" t="b">
        <f>ROUND(SUMIFS(AN_TME_BY[[#All],[TOTAL Truncated Unadjusted Claims Expenses (A21 -A19)]], AN_TME_BY[[#All],[Insurance Category Code]],4, AN_TME_BY[[#All],[Advanced Network/Insurance Carrier Org ID]],B268)+SUMIFS(AN_TME_BY[[#All],[Total Claims Excluded because of Truncation]], AN_TME_BY[[#All],[Insurance Category Code]],4, AN_TME_BY[[#All],[Advanced Network/Insurance Carrier Org ID]],B268),2)=ROUND(SUMIFS(AN_TME_BY[[#All],[TOTAL Non-Truncated Unadjusted Claims Expenses]], AN_TME_BY[[#All],[Insurance Category Code]],4, AN_TME_BY[[#All],[Advanced Network/Insurance Carrier Org ID]],B268),2)</f>
        <v>1</v>
      </c>
      <c r="Q268" s="216">
        <v>130</v>
      </c>
      <c r="R268" s="404">
        <f>ROUND(SUMIFS(Age_Sex_PY[[#All],[Total Member Months by Age/Sex Band]], Age_Sex_PY[[#All],[Advanced Network ID]], $Q268, Age_Sex_PY[[#All],[Insurance Category Code]],4),2)</f>
        <v>0</v>
      </c>
      <c r="S268" s="238">
        <f>ROUND(SUMIFS(Age_Sex_PY[[#All],[Total Dollars Excluded from Spending After Applying Truncation at the Member Level]], Age_Sex_PY[[#All],[Advanced Network ID]], $B268, Age_Sex_PY[[#All],[Insurance Category Code]],4),2)</f>
        <v>0</v>
      </c>
      <c r="T268" s="209">
        <f>ROUND(SUMIFS(Age_Sex_PY[[#All],[Count of Members whose Spending was Truncated]], Age_Sex_PY[[#All],[Advanced Network ID]], $B268, Age_Sex_PY[[#All],[Insurance Category Code]],4),2)</f>
        <v>0</v>
      </c>
      <c r="U268" s="210">
        <f>ROUND(SUMIFS(Age_Sex_PY[[#All],[Total Spending before Truncation is Applied]], Age_Sex_PY[[#All],[Advanced Network ID]], $B268, Age_Sex_PY[[#All],[Insurance Category Code]],4),2)</f>
        <v>0</v>
      </c>
      <c r="V268" s="212">
        <f>ROUND(SUMIFS(Age_Sex_PY[[#All],[Total Spending After Applying Truncation at the Member Level]], Age_Sex_PY[[#All],[Advanced Network ID]], $B268, Age_Sex_PY[[#All],[Insurance Category Code]],4),2)</f>
        <v>0</v>
      </c>
      <c r="W268" s="525" t="str">
        <f>IF(ROUND(R268,0)=ROUND(SUMIFS(AN_TME_PY[[#All],[Member Months]], AN_TME_PY[[#All],[Insurance Category Code]],4, AN_TME_PY[[#All],[Advanced Network/Insurance Carrier Org ID]],Q268),0), "TRUE", ROUND(R268-SUMIFS(AN_TME_PY[[#All],[Member Months]], AN_TME_PY[[#All],[Insurance Category Code]],4, AN_TME_PY[[#All],[Advanced Network/Insurance Carrier Org ID]],Q268),2))</f>
        <v>TRUE</v>
      </c>
      <c r="X268" s="527" t="str">
        <f>IF(ROUND(S268,0)=ROUND(SUMIFS(AN_TME_PY[[#All],[Total Claims Excluded because of Truncation]], AN_TME_PY[[#All],[Insurance Category Code]],4, AN_TME_PY[[#All],[Advanced Network/Insurance Carrier Org ID]],Q268),0), "TRUE", ROUND(S268-SUMIFS(AN_TME_PY[[#All],[Total Claims Excluded because of Truncation]], AN_TME_PY[[#All],[Insurance Category Code]],4, AN_TME_PY[[#All],[Advanced Network/Insurance Carrier Org ID]],Q268),2))</f>
        <v>TRUE</v>
      </c>
      <c r="Y268" s="537" t="str">
        <f>IF(ROUND(T268,0)=ROUND(SUMIFS(AN_TME_PY[[#All],[Count of Members with Claims Truncated]], AN_TME_PY[[#All],[Insurance Category Code]],4, AN_TME_PY[[#All],[Advanced Network/Insurance Carrier Org ID]],Q268),0), "TRUE", ROUND(T268-SUMIFS(AN_TME_PY[[#All],[Count of Members with Claims Truncated]], AN_TME_PY[[#All],[Insurance Category Code]],4, AN_TME_PY[[#All],[Advanced Network/Insurance Carrier Org ID]],Q268),2))</f>
        <v>TRUE</v>
      </c>
      <c r="Z268" s="528" t="str">
        <f>IF(ROUND(U268,0)=ROUND(SUMIFS(AN_TME_PY[[#All],[TOTAL Non-Truncated Unadjusted Claims Expenses]], AN_TME_PY[[#All],[Insurance Category Code]],4, AN_TME_PY[[#All],[Advanced Network/Insurance Carrier Org ID]],Q268),0), "TRUE", ROUND(U268-SUMIFS(AN_TME_PY[[#All],[TOTAL Non-Truncated Unadjusted Claims Expenses]], AN_TME_PY[[#All],[Insurance Category Code]],4, AN_TME_PY[[#All],[Advanced Network/Insurance Carrier Org ID]],Q268),2))</f>
        <v>TRUE</v>
      </c>
      <c r="AA268" s="529" t="str">
        <f>IF(ROUND(V268,0)=ROUND(SUMIFS(AN_TME_PY[[#All],[TOTAL Truncated Unadjusted Claims Expenses (A21 -A19)]], AN_TME_PY[[#All],[Insurance Category Code]],4, AN_TME_PY[[#All],[Advanced Network/Insurance Carrier Org ID]],Q268),0), "TRUE", ROUND(V268-SUMIFS(AN_TME_PY[[#All],[TOTAL Truncated Unadjusted Claims Expenses (A21 -A19)]], AN_TME_PY[[#All],[Insurance Category Code]],4, AN_TME_PY[[#All],[Advanced Network/Insurance Carrier Org ID]],Q268),2))</f>
        <v>TRUE</v>
      </c>
      <c r="AB268" s="525" t="str">
        <f t="shared" si="31"/>
        <v>TRUE</v>
      </c>
      <c r="AC268" s="528" t="b">
        <f>ROUND(SUMIFS(AN_TME_PY[[#All],[TOTAL Non-Truncated Unadjusted Claims Expenses]], AN_TME_PY[[#All],[Insurance Category Code]],4, AN_TME_PY[[#All],[Advanced Network/Insurance Carrier Org ID]],Q268),2)&gt;=ROUND(SUMIFS(AN_TME_PY[[#All],[TOTAL Truncated Unadjusted Claims Expenses (A21 -A19)]], AN_TME_PY[[#All],[Insurance Category Code]],4, AN_TME_PY[[#All],[Advanced Network/Insurance Carrier Org ID]],Q268),2)</f>
        <v>1</v>
      </c>
      <c r="AD268" s="529" t="b">
        <f>ROUND(SUMIFS(AN_TME_PY[[#All],[TOTAL Truncated Unadjusted Claims Expenses (A21 -A19)]], AN_TME_PY[[#All],[Insurance Category Code]],4, AN_TME_PY[[#All],[Advanced Network/Insurance Carrier Org ID]],Q268)+SUMIFS(AN_TME_PY[[#All],[Total Claims Excluded because of Truncation]], AN_TME_PY[[#All],[Insurance Category Code]],4, AN_TME_PY[[#All],[Advanced Network/Insurance Carrier Org ID]],Q268),2)=ROUND(SUMIFS(AN_TME_PY[[#All],[TOTAL Non-Truncated Unadjusted Claims Expenses]], AN_TME_PY[[#All],[Insurance Category Code]],4, AN_TME_PY[[#All],[Advanced Network/Insurance Carrier Org ID]],Q268),2)</f>
        <v>1</v>
      </c>
      <c r="AF268" s="283" t="str">
        <f t="shared" si="30"/>
        <v>NA</v>
      </c>
    </row>
    <row r="269" spans="2:32" outlineLevel="1" x14ac:dyDescent="0.25">
      <c r="B269" s="216">
        <v>131</v>
      </c>
      <c r="C269" s="404">
        <f>ROUND(SUMIFS(Age_Sex_BY[[#All],[Total Member Months by Age/Sex Band]], Age_Sex_BY[[#All],[Advanced Network ID]], $B269, Age_Sex_BY[[#All],[Insurance Category Code]],4),2)</f>
        <v>0</v>
      </c>
      <c r="D269" s="238">
        <f>ROUND(SUMIFS(Age_Sex_BY[[#All],[Total Dollars Excluded from Spending After Applying Truncation at the Member Level]], Age_Sex_BY[[#All],[Advanced Network ID]], $B269, Age_Sex_BY[[#All],[Insurance Category Code]],4),2)</f>
        <v>0</v>
      </c>
      <c r="E269" s="209">
        <f>ROUND(SUMIFS(Age_Sex_BY[[#All],[Count of Members whose Spending was Truncated]], Age_Sex_BY[[#All],[Advanced Network ID]], $B269, Age_Sex_BY[[#All],[Insurance Category Code]],4),2)</f>
        <v>0</v>
      </c>
      <c r="F269" s="210">
        <f>ROUND(SUMIFS(Age_Sex_BY[[#All],[Total Spending before Truncation is Applied]], Age_Sex_BY[[#All],[Advanced Network ID]], $B269, Age_Sex_BY[[#All],[Insurance Category Code]],4),2)</f>
        <v>0</v>
      </c>
      <c r="G269" s="212">
        <f>ROUND(SUMIFS(Age_Sex_BY[[#All],[Total Spending After Applying Truncation at the Member Level]], Age_Sex_BY[[#All],[Advanced Network ID]], $B269, Age_Sex_BY[[#All],[Insurance Category Code]],4),2)</f>
        <v>0</v>
      </c>
      <c r="H269" s="525" t="str">
        <f>IF(ROUND(C269,0)=ROUND(SUMIFS(AN_TME_BY[[#All],[Member Months]], AN_TME_BY[[#All],[Insurance Category Code]],4, AN_TME_BY[[#All],[Advanced Network/Insurance Carrier Org ID]],B269),0), "TRUE", ROUND(C269-SUMIFS(AN_TME_BY[[#All],[Member Months]], AN_TME_BY[[#All],[Insurance Category Code]],4, AN_TME_BY[[#All],[Advanced Network/Insurance Carrier Org ID]],B269),2))</f>
        <v>TRUE</v>
      </c>
      <c r="I269" s="533" t="str">
        <f>IF(ROUND(D269,0)=ROUND(SUMIFS(AN_TME_BY[[#All],[Total Claims Excluded because of Truncation]], AN_TME_BY[[#All],[Insurance Category Code]],4, AN_TME_BY[[#All],[Advanced Network/Insurance Carrier Org ID]],B269),0), "TRUE", ROUND(D269-SUMIFS(AN_TME_BY[[#All],[Total Claims Excluded because of Truncation]], AN_TME_BY[[#All],[Insurance Category Code]],4, AN_TME_BY[[#All],[Advanced Network/Insurance Carrier Org ID]],B269),2))</f>
        <v>TRUE</v>
      </c>
      <c r="J269" s="537" t="str">
        <f>IF(ROUND(E269,0)=ROUND(SUMIFS(AN_TME_BY[[#All],[Count of Members with Claims Truncated]], AN_TME_BY[[#All],[Insurance Category Code]],4, AN_TME_BY[[#All],[Advanced Network/Insurance Carrier Org ID]],B269),0), "TRUE", ROUND(E269-SUMIFS(AN_TME_BY[[#All],[Count of Members with Claims Truncated]], AN_TME_BY[[#All],[Insurance Category Code]],4, AN_TME_BY[[#All],[Advanced Network/Insurance Carrier Org ID]],B269),2))</f>
        <v>TRUE</v>
      </c>
      <c r="K269" s="533" t="str">
        <f>IF(ROUND(F269,0)=ROUND(SUMIFS(AN_TME_BY[[#All],[TOTAL Non-Truncated Unadjusted Claims Expenses]], AN_TME_BY[[#All],[Insurance Category Code]],4, AN_TME_BY[[#All],[Advanced Network/Insurance Carrier Org ID]],B269),0), "TRUE", ROUND(F269-SUMIFS(AN_TME_BY[[#All],[TOTAL Non-Truncated Unadjusted Claims Expenses]], AN_TME_BY[[#All],[Insurance Category Code]],4, AN_TME_BY[[#All],[Advanced Network/Insurance Carrier Org ID]],B269),2))</f>
        <v>TRUE</v>
      </c>
      <c r="L269" s="534" t="str">
        <f>IF(ROUND(G269,0)=ROUND(SUMIFS(AN_TME_BY[[#All],[TOTAL Truncated Unadjusted Claims Expenses (A21 -A19)]], AN_TME_BY[[#All],[Insurance Category Code]],4, AN_TME_BY[[#All],[Advanced Network/Insurance Carrier Org ID]],B269),0), "TRUE", ROUND(G269-SUMIFS(AN_TME_BY[[#All],[TOTAL Truncated Unadjusted Claims Expenses (A21 -A19)]], AN_TME_BY[[#All],[Insurance Category Code]],4, AN_TME_BY[[#All],[Advanced Network/Insurance Carrier Org ID]],B269),2))</f>
        <v>TRUE</v>
      </c>
      <c r="M269" s="525" t="str">
        <f t="shared" si="28"/>
        <v>TRUE</v>
      </c>
      <c r="N269" s="533" t="b">
        <f>ROUND(SUMIFS(AN_TME_BY[[#All],[TOTAL Non-Truncated Unadjusted Claims Expenses]], AN_TME_BY[[#All],[Insurance Category Code]],4, AN_TME_BY[[#All],[Advanced Network/Insurance Carrier Org ID]],B269),2)&gt;=ROUND(SUMIFS(AN_TME_BY[[#All],[TOTAL Truncated Unadjusted Claims Expenses (A21 -A19)]], AN_TME_BY[[#All],[Insurance Category Code]],4, AN_TME_BY[[#All],[Advanced Network/Insurance Carrier Org ID]],B269),2)</f>
        <v>1</v>
      </c>
      <c r="O269" s="534" t="b">
        <f>ROUND(SUMIFS(AN_TME_BY[[#All],[TOTAL Truncated Unadjusted Claims Expenses (A21 -A19)]], AN_TME_BY[[#All],[Insurance Category Code]],4, AN_TME_BY[[#All],[Advanced Network/Insurance Carrier Org ID]],B269)+SUMIFS(AN_TME_BY[[#All],[Total Claims Excluded because of Truncation]], AN_TME_BY[[#All],[Insurance Category Code]],4, AN_TME_BY[[#All],[Advanced Network/Insurance Carrier Org ID]],B269),2)=ROUND(SUMIFS(AN_TME_BY[[#All],[TOTAL Non-Truncated Unadjusted Claims Expenses]], AN_TME_BY[[#All],[Insurance Category Code]],4, AN_TME_BY[[#All],[Advanced Network/Insurance Carrier Org ID]],B269),2)</f>
        <v>1</v>
      </c>
      <c r="Q269" s="216">
        <v>131</v>
      </c>
      <c r="R269" s="404">
        <f>ROUND(SUMIFS(Age_Sex_PY[[#All],[Total Member Months by Age/Sex Band]], Age_Sex_PY[[#All],[Advanced Network ID]], $Q269, Age_Sex_PY[[#All],[Insurance Category Code]],4),2)</f>
        <v>0</v>
      </c>
      <c r="S269" s="238">
        <f>ROUND(SUMIFS(Age_Sex_PY[[#All],[Total Dollars Excluded from Spending After Applying Truncation at the Member Level]], Age_Sex_PY[[#All],[Advanced Network ID]], $B269, Age_Sex_PY[[#All],[Insurance Category Code]],4),2)</f>
        <v>0</v>
      </c>
      <c r="T269" s="209">
        <f>ROUND(SUMIFS(Age_Sex_PY[[#All],[Count of Members whose Spending was Truncated]], Age_Sex_PY[[#All],[Advanced Network ID]], $B269, Age_Sex_PY[[#All],[Insurance Category Code]],4),2)</f>
        <v>0</v>
      </c>
      <c r="U269" s="210">
        <f>ROUND(SUMIFS(Age_Sex_PY[[#All],[Total Spending before Truncation is Applied]], Age_Sex_PY[[#All],[Advanced Network ID]], $B269, Age_Sex_PY[[#All],[Insurance Category Code]],4),2)</f>
        <v>0</v>
      </c>
      <c r="V269" s="212">
        <f>ROUND(SUMIFS(Age_Sex_PY[[#All],[Total Spending After Applying Truncation at the Member Level]], Age_Sex_PY[[#All],[Advanced Network ID]], $B269, Age_Sex_PY[[#All],[Insurance Category Code]],4),2)</f>
        <v>0</v>
      </c>
      <c r="W269" s="525" t="str">
        <f>IF(ROUND(R269,0)=ROUND(SUMIFS(AN_TME_PY[[#All],[Member Months]], AN_TME_PY[[#All],[Insurance Category Code]],4, AN_TME_PY[[#All],[Advanced Network/Insurance Carrier Org ID]],Q269),0), "TRUE", ROUND(R269-SUMIFS(AN_TME_PY[[#All],[Member Months]], AN_TME_PY[[#All],[Insurance Category Code]],4, AN_TME_PY[[#All],[Advanced Network/Insurance Carrier Org ID]],Q269),2))</f>
        <v>TRUE</v>
      </c>
      <c r="X269" s="527" t="str">
        <f>IF(ROUND(S269,0)=ROUND(SUMIFS(AN_TME_PY[[#All],[Total Claims Excluded because of Truncation]], AN_TME_PY[[#All],[Insurance Category Code]],4, AN_TME_PY[[#All],[Advanced Network/Insurance Carrier Org ID]],Q269),0), "TRUE", ROUND(S269-SUMIFS(AN_TME_PY[[#All],[Total Claims Excluded because of Truncation]], AN_TME_PY[[#All],[Insurance Category Code]],4, AN_TME_PY[[#All],[Advanced Network/Insurance Carrier Org ID]],Q269),2))</f>
        <v>TRUE</v>
      </c>
      <c r="Y269" s="537" t="str">
        <f>IF(ROUND(T269,0)=ROUND(SUMIFS(AN_TME_PY[[#All],[Count of Members with Claims Truncated]], AN_TME_PY[[#All],[Insurance Category Code]],4, AN_TME_PY[[#All],[Advanced Network/Insurance Carrier Org ID]],Q269),0), "TRUE", ROUND(T269-SUMIFS(AN_TME_PY[[#All],[Count of Members with Claims Truncated]], AN_TME_PY[[#All],[Insurance Category Code]],4, AN_TME_PY[[#All],[Advanced Network/Insurance Carrier Org ID]],Q269),2))</f>
        <v>TRUE</v>
      </c>
      <c r="Z269" s="528" t="str">
        <f>IF(ROUND(U269,0)=ROUND(SUMIFS(AN_TME_PY[[#All],[TOTAL Non-Truncated Unadjusted Claims Expenses]], AN_TME_PY[[#All],[Insurance Category Code]],4, AN_TME_PY[[#All],[Advanced Network/Insurance Carrier Org ID]],Q269),0), "TRUE", ROUND(U269-SUMIFS(AN_TME_PY[[#All],[TOTAL Non-Truncated Unadjusted Claims Expenses]], AN_TME_PY[[#All],[Insurance Category Code]],4, AN_TME_PY[[#All],[Advanced Network/Insurance Carrier Org ID]],Q269),2))</f>
        <v>TRUE</v>
      </c>
      <c r="AA269" s="529" t="str">
        <f>IF(ROUND(V269,0)=ROUND(SUMIFS(AN_TME_PY[[#All],[TOTAL Truncated Unadjusted Claims Expenses (A21 -A19)]], AN_TME_PY[[#All],[Insurance Category Code]],4, AN_TME_PY[[#All],[Advanced Network/Insurance Carrier Org ID]],Q269),0), "TRUE", ROUND(V269-SUMIFS(AN_TME_PY[[#All],[TOTAL Truncated Unadjusted Claims Expenses (A21 -A19)]], AN_TME_PY[[#All],[Insurance Category Code]],4, AN_TME_PY[[#All],[Advanced Network/Insurance Carrier Org ID]],Q269),2))</f>
        <v>TRUE</v>
      </c>
      <c r="AB269" s="525" t="str">
        <f t="shared" si="31"/>
        <v>TRUE</v>
      </c>
      <c r="AC269" s="528" t="b">
        <f>ROUND(SUMIFS(AN_TME_PY[[#All],[TOTAL Non-Truncated Unadjusted Claims Expenses]], AN_TME_PY[[#All],[Insurance Category Code]],4, AN_TME_PY[[#All],[Advanced Network/Insurance Carrier Org ID]],Q269),2)&gt;=ROUND(SUMIFS(AN_TME_PY[[#All],[TOTAL Truncated Unadjusted Claims Expenses (A21 -A19)]], AN_TME_PY[[#All],[Insurance Category Code]],4, AN_TME_PY[[#All],[Advanced Network/Insurance Carrier Org ID]],Q269),2)</f>
        <v>1</v>
      </c>
      <c r="AD269" s="529" t="b">
        <f>ROUND(SUMIFS(AN_TME_PY[[#All],[TOTAL Truncated Unadjusted Claims Expenses (A21 -A19)]], AN_TME_PY[[#All],[Insurance Category Code]],4, AN_TME_PY[[#All],[Advanced Network/Insurance Carrier Org ID]],Q269)+SUMIFS(AN_TME_PY[[#All],[Total Claims Excluded because of Truncation]], AN_TME_PY[[#All],[Insurance Category Code]],4, AN_TME_PY[[#All],[Advanced Network/Insurance Carrier Org ID]],Q269),2)=ROUND(SUMIFS(AN_TME_PY[[#All],[TOTAL Non-Truncated Unadjusted Claims Expenses]], AN_TME_PY[[#All],[Insurance Category Code]],4, AN_TME_PY[[#All],[Advanced Network/Insurance Carrier Org ID]],Q269),2)</f>
        <v>1</v>
      </c>
      <c r="AF269" s="283" t="str">
        <f t="shared" si="30"/>
        <v>NA</v>
      </c>
    </row>
    <row r="270" spans="2:32" outlineLevel="1" x14ac:dyDescent="0.25">
      <c r="B270" s="216">
        <v>132</v>
      </c>
      <c r="C270" s="404">
        <f>ROUND(SUMIFS(Age_Sex_BY[[#All],[Total Member Months by Age/Sex Band]], Age_Sex_BY[[#All],[Advanced Network ID]], $B270, Age_Sex_BY[[#All],[Insurance Category Code]],4),2)</f>
        <v>0</v>
      </c>
      <c r="D270" s="238">
        <f>ROUND(SUMIFS(Age_Sex_BY[[#All],[Total Dollars Excluded from Spending After Applying Truncation at the Member Level]], Age_Sex_BY[[#All],[Advanced Network ID]], $B270, Age_Sex_BY[[#All],[Insurance Category Code]],4),2)</f>
        <v>0</v>
      </c>
      <c r="E270" s="209">
        <f>ROUND(SUMIFS(Age_Sex_BY[[#All],[Count of Members whose Spending was Truncated]], Age_Sex_BY[[#All],[Advanced Network ID]], $B270, Age_Sex_BY[[#All],[Insurance Category Code]],4),2)</f>
        <v>0</v>
      </c>
      <c r="F270" s="210">
        <f>ROUND(SUMIFS(Age_Sex_BY[[#All],[Total Spending before Truncation is Applied]], Age_Sex_BY[[#All],[Advanced Network ID]], $B270, Age_Sex_BY[[#All],[Insurance Category Code]],4),2)</f>
        <v>0</v>
      </c>
      <c r="G270" s="212">
        <f>ROUND(SUMIFS(Age_Sex_BY[[#All],[Total Spending After Applying Truncation at the Member Level]], Age_Sex_BY[[#All],[Advanced Network ID]], $B270, Age_Sex_BY[[#All],[Insurance Category Code]],4),2)</f>
        <v>0</v>
      </c>
      <c r="H270" s="525" t="str">
        <f>IF(ROUND(C270,0)=ROUND(SUMIFS(AN_TME_BY[[#All],[Member Months]], AN_TME_BY[[#All],[Insurance Category Code]],4, AN_TME_BY[[#All],[Advanced Network/Insurance Carrier Org ID]],B270),0), "TRUE", ROUND(C270-SUMIFS(AN_TME_BY[[#All],[Member Months]], AN_TME_BY[[#All],[Insurance Category Code]],4, AN_TME_BY[[#All],[Advanced Network/Insurance Carrier Org ID]],B270),2))</f>
        <v>TRUE</v>
      </c>
      <c r="I270" s="533" t="str">
        <f>IF(ROUND(D270,0)=ROUND(SUMIFS(AN_TME_BY[[#All],[Total Claims Excluded because of Truncation]], AN_TME_BY[[#All],[Insurance Category Code]],4, AN_TME_BY[[#All],[Advanced Network/Insurance Carrier Org ID]],B270),0), "TRUE", ROUND(D270-SUMIFS(AN_TME_BY[[#All],[Total Claims Excluded because of Truncation]], AN_TME_BY[[#All],[Insurance Category Code]],4, AN_TME_BY[[#All],[Advanced Network/Insurance Carrier Org ID]],B270),2))</f>
        <v>TRUE</v>
      </c>
      <c r="J270" s="537" t="str">
        <f>IF(ROUND(E270,0)=ROUND(SUMIFS(AN_TME_BY[[#All],[Count of Members with Claims Truncated]], AN_TME_BY[[#All],[Insurance Category Code]],4, AN_TME_BY[[#All],[Advanced Network/Insurance Carrier Org ID]],B270),0), "TRUE", ROUND(E270-SUMIFS(AN_TME_BY[[#All],[Count of Members with Claims Truncated]], AN_TME_BY[[#All],[Insurance Category Code]],4, AN_TME_BY[[#All],[Advanced Network/Insurance Carrier Org ID]],B270),2))</f>
        <v>TRUE</v>
      </c>
      <c r="K270" s="533" t="str">
        <f>IF(ROUND(F270,0)=ROUND(SUMIFS(AN_TME_BY[[#All],[TOTAL Non-Truncated Unadjusted Claims Expenses]], AN_TME_BY[[#All],[Insurance Category Code]],4, AN_TME_BY[[#All],[Advanced Network/Insurance Carrier Org ID]],B270),0), "TRUE", ROUND(F270-SUMIFS(AN_TME_BY[[#All],[TOTAL Non-Truncated Unadjusted Claims Expenses]], AN_TME_BY[[#All],[Insurance Category Code]],4, AN_TME_BY[[#All],[Advanced Network/Insurance Carrier Org ID]],B270),2))</f>
        <v>TRUE</v>
      </c>
      <c r="L270" s="534" t="str">
        <f>IF(ROUND(G270,0)=ROUND(SUMIFS(AN_TME_BY[[#All],[TOTAL Truncated Unadjusted Claims Expenses (A21 -A19)]], AN_TME_BY[[#All],[Insurance Category Code]],4, AN_TME_BY[[#All],[Advanced Network/Insurance Carrier Org ID]],B270),0), "TRUE", ROUND(G270-SUMIFS(AN_TME_BY[[#All],[TOTAL Truncated Unadjusted Claims Expenses (A21 -A19)]], AN_TME_BY[[#All],[Insurance Category Code]],4, AN_TME_BY[[#All],[Advanced Network/Insurance Carrier Org ID]],B270),2))</f>
        <v>TRUE</v>
      </c>
      <c r="M270" s="525" t="str">
        <f t="shared" ref="M270:M272" si="32">IF(E270=0, "TRUE",IF((C270/12)&gt;E270,"TRUE",(C270/12)-E270))</f>
        <v>TRUE</v>
      </c>
      <c r="N270" s="533" t="b">
        <f>ROUND(SUMIFS(AN_TME_BY[[#All],[TOTAL Non-Truncated Unadjusted Claims Expenses]], AN_TME_BY[[#All],[Insurance Category Code]],4, AN_TME_BY[[#All],[Advanced Network/Insurance Carrier Org ID]],B270),2)&gt;=ROUND(SUMIFS(AN_TME_BY[[#All],[TOTAL Truncated Unadjusted Claims Expenses (A21 -A19)]], AN_TME_BY[[#All],[Insurance Category Code]],4, AN_TME_BY[[#All],[Advanced Network/Insurance Carrier Org ID]],B270),2)</f>
        <v>1</v>
      </c>
      <c r="O270" s="534" t="b">
        <f>ROUND(SUMIFS(AN_TME_BY[[#All],[TOTAL Truncated Unadjusted Claims Expenses (A21 -A19)]], AN_TME_BY[[#All],[Insurance Category Code]],4, AN_TME_BY[[#All],[Advanced Network/Insurance Carrier Org ID]],B270)+SUMIFS(AN_TME_BY[[#All],[Total Claims Excluded because of Truncation]], AN_TME_BY[[#All],[Insurance Category Code]],4, AN_TME_BY[[#All],[Advanced Network/Insurance Carrier Org ID]],B270),2)=ROUND(SUMIFS(AN_TME_BY[[#All],[TOTAL Non-Truncated Unadjusted Claims Expenses]], AN_TME_BY[[#All],[Insurance Category Code]],4, AN_TME_BY[[#All],[Advanced Network/Insurance Carrier Org ID]],B270),2)</f>
        <v>1</v>
      </c>
      <c r="Q270" s="216">
        <v>132</v>
      </c>
      <c r="R270" s="404">
        <f>ROUND(SUMIFS(Age_Sex_PY[[#All],[Total Member Months by Age/Sex Band]], Age_Sex_PY[[#All],[Advanced Network ID]], $Q270, Age_Sex_PY[[#All],[Insurance Category Code]],4),2)</f>
        <v>0</v>
      </c>
      <c r="S270" s="238">
        <f>ROUND(SUMIFS(Age_Sex_PY[[#All],[Total Dollars Excluded from Spending After Applying Truncation at the Member Level]], Age_Sex_PY[[#All],[Advanced Network ID]], $B270, Age_Sex_PY[[#All],[Insurance Category Code]],4),2)</f>
        <v>0</v>
      </c>
      <c r="T270" s="209">
        <f>ROUND(SUMIFS(Age_Sex_PY[[#All],[Count of Members whose Spending was Truncated]], Age_Sex_PY[[#All],[Advanced Network ID]], $B270, Age_Sex_PY[[#All],[Insurance Category Code]],4),2)</f>
        <v>0</v>
      </c>
      <c r="U270" s="210">
        <f>ROUND(SUMIFS(Age_Sex_PY[[#All],[Total Spending before Truncation is Applied]], Age_Sex_PY[[#All],[Advanced Network ID]], $B270, Age_Sex_PY[[#All],[Insurance Category Code]],4),2)</f>
        <v>0</v>
      </c>
      <c r="V270" s="212">
        <f>ROUND(SUMIFS(Age_Sex_PY[[#All],[Total Spending After Applying Truncation at the Member Level]], Age_Sex_PY[[#All],[Advanced Network ID]], $B270, Age_Sex_PY[[#All],[Insurance Category Code]],4),2)</f>
        <v>0</v>
      </c>
      <c r="W270" s="525" t="str">
        <f>IF(ROUND(R270,0)=ROUND(SUMIFS(AN_TME_PY[[#All],[Member Months]], AN_TME_PY[[#All],[Insurance Category Code]],4, AN_TME_PY[[#All],[Advanced Network/Insurance Carrier Org ID]],Q270),0), "TRUE", ROUND(R270-SUMIFS(AN_TME_PY[[#All],[Member Months]], AN_TME_PY[[#All],[Insurance Category Code]],4, AN_TME_PY[[#All],[Advanced Network/Insurance Carrier Org ID]],Q270),2))</f>
        <v>TRUE</v>
      </c>
      <c r="X270" s="527" t="str">
        <f>IF(ROUND(S270,0)=ROUND(SUMIFS(AN_TME_PY[[#All],[Total Claims Excluded because of Truncation]], AN_TME_PY[[#All],[Insurance Category Code]],4, AN_TME_PY[[#All],[Advanced Network/Insurance Carrier Org ID]],Q270),0), "TRUE", ROUND(S270-SUMIFS(AN_TME_PY[[#All],[Total Claims Excluded because of Truncation]], AN_TME_PY[[#All],[Insurance Category Code]],4, AN_TME_PY[[#All],[Advanced Network/Insurance Carrier Org ID]],Q270),2))</f>
        <v>TRUE</v>
      </c>
      <c r="Y270" s="537" t="str">
        <f>IF(ROUND(T270,0)=ROUND(SUMIFS(AN_TME_PY[[#All],[Count of Members with Claims Truncated]], AN_TME_PY[[#All],[Insurance Category Code]],4, AN_TME_PY[[#All],[Advanced Network/Insurance Carrier Org ID]],Q270),0), "TRUE", ROUND(T270-SUMIFS(AN_TME_PY[[#All],[Count of Members with Claims Truncated]], AN_TME_PY[[#All],[Insurance Category Code]],4, AN_TME_PY[[#All],[Advanced Network/Insurance Carrier Org ID]],Q270),2))</f>
        <v>TRUE</v>
      </c>
      <c r="Z270" s="528" t="str">
        <f>IF(ROUND(U270,0)=ROUND(SUMIFS(AN_TME_PY[[#All],[TOTAL Non-Truncated Unadjusted Claims Expenses]], AN_TME_PY[[#All],[Insurance Category Code]],4, AN_TME_PY[[#All],[Advanced Network/Insurance Carrier Org ID]],Q270),0), "TRUE", ROUND(U270-SUMIFS(AN_TME_PY[[#All],[TOTAL Non-Truncated Unadjusted Claims Expenses]], AN_TME_PY[[#All],[Insurance Category Code]],4, AN_TME_PY[[#All],[Advanced Network/Insurance Carrier Org ID]],Q270),2))</f>
        <v>TRUE</v>
      </c>
      <c r="AA270" s="529" t="str">
        <f>IF(ROUND(V270,0)=ROUND(SUMIFS(AN_TME_PY[[#All],[TOTAL Truncated Unadjusted Claims Expenses (A21 -A19)]], AN_TME_PY[[#All],[Insurance Category Code]],4, AN_TME_PY[[#All],[Advanced Network/Insurance Carrier Org ID]],Q270),0), "TRUE", ROUND(V270-SUMIFS(AN_TME_PY[[#All],[TOTAL Truncated Unadjusted Claims Expenses (A21 -A19)]], AN_TME_PY[[#All],[Insurance Category Code]],4, AN_TME_PY[[#All],[Advanced Network/Insurance Carrier Org ID]],Q270),2))</f>
        <v>TRUE</v>
      </c>
      <c r="AB270" s="525" t="str">
        <f t="shared" ref="AB270:AB272" si="33">IF(T270=0, "TRUE",IF((R270/12)&gt;T270,"TRUE",(R270/12)-T270))</f>
        <v>TRUE</v>
      </c>
      <c r="AC270" s="528" t="b">
        <f>ROUND(SUMIFS(AN_TME_PY[[#All],[TOTAL Non-Truncated Unadjusted Claims Expenses]], AN_TME_PY[[#All],[Insurance Category Code]],4, AN_TME_PY[[#All],[Advanced Network/Insurance Carrier Org ID]],Q270),2)&gt;=ROUND(SUMIFS(AN_TME_PY[[#All],[TOTAL Truncated Unadjusted Claims Expenses (A21 -A19)]], AN_TME_PY[[#All],[Insurance Category Code]],4, AN_TME_PY[[#All],[Advanced Network/Insurance Carrier Org ID]],Q270),2)</f>
        <v>1</v>
      </c>
      <c r="AD270" s="529" t="b">
        <f>ROUND(SUMIFS(AN_TME_PY[[#All],[TOTAL Truncated Unadjusted Claims Expenses (A21 -A19)]], AN_TME_PY[[#All],[Insurance Category Code]],4, AN_TME_PY[[#All],[Advanced Network/Insurance Carrier Org ID]],Q270)+SUMIFS(AN_TME_PY[[#All],[Total Claims Excluded because of Truncation]], AN_TME_PY[[#All],[Insurance Category Code]],4, AN_TME_PY[[#All],[Advanced Network/Insurance Carrier Org ID]],Q270),2)=ROUND(SUMIFS(AN_TME_PY[[#All],[TOTAL Non-Truncated Unadjusted Claims Expenses]], AN_TME_PY[[#All],[Insurance Category Code]],4, AN_TME_PY[[#All],[Advanced Network/Insurance Carrier Org ID]],Q270),2)</f>
        <v>1</v>
      </c>
      <c r="AF270" s="283" t="str">
        <f t="shared" ref="AF270:AF272" si="34">IFERROR(R270/C270-1, "NA")</f>
        <v>NA</v>
      </c>
    </row>
    <row r="271" spans="2:32" outlineLevel="1" x14ac:dyDescent="0.25">
      <c r="B271" s="216">
        <v>133</v>
      </c>
      <c r="C271" s="404">
        <f>ROUND(SUMIFS(Age_Sex_BY[[#All],[Total Member Months by Age/Sex Band]], Age_Sex_BY[[#All],[Advanced Network ID]], $B271, Age_Sex_BY[[#All],[Insurance Category Code]],4),2)</f>
        <v>0</v>
      </c>
      <c r="D271" s="238">
        <f>ROUND(SUMIFS(Age_Sex_BY[[#All],[Total Dollars Excluded from Spending After Applying Truncation at the Member Level]], Age_Sex_BY[[#All],[Advanced Network ID]], $B271, Age_Sex_BY[[#All],[Insurance Category Code]],4),2)</f>
        <v>0</v>
      </c>
      <c r="E271" s="209">
        <f>ROUND(SUMIFS(Age_Sex_BY[[#All],[Count of Members whose Spending was Truncated]], Age_Sex_BY[[#All],[Advanced Network ID]], $B271, Age_Sex_BY[[#All],[Insurance Category Code]],4),2)</f>
        <v>0</v>
      </c>
      <c r="F271" s="210">
        <f>ROUND(SUMIFS(Age_Sex_BY[[#All],[Total Spending before Truncation is Applied]], Age_Sex_BY[[#All],[Advanced Network ID]], $B271, Age_Sex_BY[[#All],[Insurance Category Code]],4),2)</f>
        <v>0</v>
      </c>
      <c r="G271" s="212">
        <f>ROUND(SUMIFS(Age_Sex_BY[[#All],[Total Spending After Applying Truncation at the Member Level]], Age_Sex_BY[[#All],[Advanced Network ID]], $B271, Age_Sex_BY[[#All],[Insurance Category Code]],4),2)</f>
        <v>0</v>
      </c>
      <c r="H271" s="525" t="str">
        <f>IF(ROUND(C271,0)=ROUND(SUMIFS(AN_TME_BY[[#All],[Member Months]], AN_TME_BY[[#All],[Insurance Category Code]],4, AN_TME_BY[[#All],[Advanced Network/Insurance Carrier Org ID]],B271),0), "TRUE", ROUND(C271-SUMIFS(AN_TME_BY[[#All],[Member Months]], AN_TME_BY[[#All],[Insurance Category Code]],4, AN_TME_BY[[#All],[Advanced Network/Insurance Carrier Org ID]],B271),2))</f>
        <v>TRUE</v>
      </c>
      <c r="I271" s="533" t="str">
        <f>IF(ROUND(D271,0)=ROUND(SUMIFS(AN_TME_BY[[#All],[Total Claims Excluded because of Truncation]], AN_TME_BY[[#All],[Insurance Category Code]],4, AN_TME_BY[[#All],[Advanced Network/Insurance Carrier Org ID]],B271),0), "TRUE", ROUND(D271-SUMIFS(AN_TME_BY[[#All],[Total Claims Excluded because of Truncation]], AN_TME_BY[[#All],[Insurance Category Code]],4, AN_TME_BY[[#All],[Advanced Network/Insurance Carrier Org ID]],B271),2))</f>
        <v>TRUE</v>
      </c>
      <c r="J271" s="537" t="str">
        <f>IF(ROUND(E271,0)=ROUND(SUMIFS(AN_TME_BY[[#All],[Count of Members with Claims Truncated]], AN_TME_BY[[#All],[Insurance Category Code]],4, AN_TME_BY[[#All],[Advanced Network/Insurance Carrier Org ID]],B271),0), "TRUE", ROUND(E271-SUMIFS(AN_TME_BY[[#All],[Count of Members with Claims Truncated]], AN_TME_BY[[#All],[Insurance Category Code]],4, AN_TME_BY[[#All],[Advanced Network/Insurance Carrier Org ID]],B271),2))</f>
        <v>TRUE</v>
      </c>
      <c r="K271" s="533" t="str">
        <f>IF(ROUND(F271,0)=ROUND(SUMIFS(AN_TME_BY[[#All],[TOTAL Non-Truncated Unadjusted Claims Expenses]], AN_TME_BY[[#All],[Insurance Category Code]],4, AN_TME_BY[[#All],[Advanced Network/Insurance Carrier Org ID]],B271),0), "TRUE", ROUND(F271-SUMIFS(AN_TME_BY[[#All],[TOTAL Non-Truncated Unadjusted Claims Expenses]], AN_TME_BY[[#All],[Insurance Category Code]],4, AN_TME_BY[[#All],[Advanced Network/Insurance Carrier Org ID]],B271),2))</f>
        <v>TRUE</v>
      </c>
      <c r="L271" s="534" t="str">
        <f>IF(ROUND(G271,0)=ROUND(SUMIFS(AN_TME_BY[[#All],[TOTAL Truncated Unadjusted Claims Expenses (A21 -A19)]], AN_TME_BY[[#All],[Insurance Category Code]],4, AN_TME_BY[[#All],[Advanced Network/Insurance Carrier Org ID]],B271),0), "TRUE", ROUND(G271-SUMIFS(AN_TME_BY[[#All],[TOTAL Truncated Unadjusted Claims Expenses (A21 -A19)]], AN_TME_BY[[#All],[Insurance Category Code]],4, AN_TME_BY[[#All],[Advanced Network/Insurance Carrier Org ID]],B271),2))</f>
        <v>TRUE</v>
      </c>
      <c r="M271" s="525" t="str">
        <f t="shared" si="32"/>
        <v>TRUE</v>
      </c>
      <c r="N271" s="533" t="b">
        <f>ROUND(SUMIFS(AN_TME_BY[[#All],[TOTAL Non-Truncated Unadjusted Claims Expenses]], AN_TME_BY[[#All],[Insurance Category Code]],4, AN_TME_BY[[#All],[Advanced Network/Insurance Carrier Org ID]],B271),2)&gt;=ROUND(SUMIFS(AN_TME_BY[[#All],[TOTAL Truncated Unadjusted Claims Expenses (A21 -A19)]], AN_TME_BY[[#All],[Insurance Category Code]],4, AN_TME_BY[[#All],[Advanced Network/Insurance Carrier Org ID]],B271),2)</f>
        <v>1</v>
      </c>
      <c r="O271" s="534" t="b">
        <f>ROUND(SUMIFS(AN_TME_BY[[#All],[TOTAL Truncated Unadjusted Claims Expenses (A21 -A19)]], AN_TME_BY[[#All],[Insurance Category Code]],4, AN_TME_BY[[#All],[Advanced Network/Insurance Carrier Org ID]],B271)+SUMIFS(AN_TME_BY[[#All],[Total Claims Excluded because of Truncation]], AN_TME_BY[[#All],[Insurance Category Code]],4, AN_TME_BY[[#All],[Advanced Network/Insurance Carrier Org ID]],B271),2)=ROUND(SUMIFS(AN_TME_BY[[#All],[TOTAL Non-Truncated Unadjusted Claims Expenses]], AN_TME_BY[[#All],[Insurance Category Code]],4, AN_TME_BY[[#All],[Advanced Network/Insurance Carrier Org ID]],B271),2)</f>
        <v>1</v>
      </c>
      <c r="Q271" s="216">
        <v>133</v>
      </c>
      <c r="R271" s="404">
        <f>ROUND(SUMIFS(Age_Sex_PY[[#All],[Total Member Months by Age/Sex Band]], Age_Sex_PY[[#All],[Advanced Network ID]], $Q271, Age_Sex_PY[[#All],[Insurance Category Code]],4),2)</f>
        <v>0</v>
      </c>
      <c r="S271" s="238">
        <f>ROUND(SUMIFS(Age_Sex_PY[[#All],[Total Dollars Excluded from Spending After Applying Truncation at the Member Level]], Age_Sex_PY[[#All],[Advanced Network ID]], $B271, Age_Sex_PY[[#All],[Insurance Category Code]],4),2)</f>
        <v>0</v>
      </c>
      <c r="T271" s="209">
        <f>ROUND(SUMIFS(Age_Sex_PY[[#All],[Count of Members whose Spending was Truncated]], Age_Sex_PY[[#All],[Advanced Network ID]], $B271, Age_Sex_PY[[#All],[Insurance Category Code]],4),2)</f>
        <v>0</v>
      </c>
      <c r="U271" s="210">
        <f>ROUND(SUMIFS(Age_Sex_PY[[#All],[Total Spending before Truncation is Applied]], Age_Sex_PY[[#All],[Advanced Network ID]], $B271, Age_Sex_PY[[#All],[Insurance Category Code]],4),2)</f>
        <v>0</v>
      </c>
      <c r="V271" s="212">
        <f>ROUND(SUMIFS(Age_Sex_PY[[#All],[Total Spending After Applying Truncation at the Member Level]], Age_Sex_PY[[#All],[Advanced Network ID]], $B271, Age_Sex_PY[[#All],[Insurance Category Code]],4),2)</f>
        <v>0</v>
      </c>
      <c r="W271" s="525" t="str">
        <f>IF(ROUND(R271,0)=ROUND(SUMIFS(AN_TME_PY[[#All],[Member Months]], AN_TME_PY[[#All],[Insurance Category Code]],4, AN_TME_PY[[#All],[Advanced Network/Insurance Carrier Org ID]],Q271),0), "TRUE", ROUND(R271-SUMIFS(AN_TME_PY[[#All],[Member Months]], AN_TME_PY[[#All],[Insurance Category Code]],4, AN_TME_PY[[#All],[Advanced Network/Insurance Carrier Org ID]],Q271),2))</f>
        <v>TRUE</v>
      </c>
      <c r="X271" s="527" t="str">
        <f>IF(ROUND(S271,0)=ROUND(SUMIFS(AN_TME_PY[[#All],[Total Claims Excluded because of Truncation]], AN_TME_PY[[#All],[Insurance Category Code]],4, AN_TME_PY[[#All],[Advanced Network/Insurance Carrier Org ID]],Q271),0), "TRUE", ROUND(S271-SUMIFS(AN_TME_PY[[#All],[Total Claims Excluded because of Truncation]], AN_TME_PY[[#All],[Insurance Category Code]],4, AN_TME_PY[[#All],[Advanced Network/Insurance Carrier Org ID]],Q271),2))</f>
        <v>TRUE</v>
      </c>
      <c r="Y271" s="537" t="str">
        <f>IF(ROUND(T271,0)=ROUND(SUMIFS(AN_TME_PY[[#All],[Count of Members with Claims Truncated]], AN_TME_PY[[#All],[Insurance Category Code]],4, AN_TME_PY[[#All],[Advanced Network/Insurance Carrier Org ID]],Q271),0), "TRUE", ROUND(T271-SUMIFS(AN_TME_PY[[#All],[Count of Members with Claims Truncated]], AN_TME_PY[[#All],[Insurance Category Code]],4, AN_TME_PY[[#All],[Advanced Network/Insurance Carrier Org ID]],Q271),2))</f>
        <v>TRUE</v>
      </c>
      <c r="Z271" s="528" t="str">
        <f>IF(ROUND(U271,0)=ROUND(SUMIFS(AN_TME_PY[[#All],[TOTAL Non-Truncated Unadjusted Claims Expenses]], AN_TME_PY[[#All],[Insurance Category Code]],4, AN_TME_PY[[#All],[Advanced Network/Insurance Carrier Org ID]],Q271),0), "TRUE", ROUND(U271-SUMIFS(AN_TME_PY[[#All],[TOTAL Non-Truncated Unadjusted Claims Expenses]], AN_TME_PY[[#All],[Insurance Category Code]],4, AN_TME_PY[[#All],[Advanced Network/Insurance Carrier Org ID]],Q271),2))</f>
        <v>TRUE</v>
      </c>
      <c r="AA271" s="529" t="str">
        <f>IF(ROUND(V271,0)=ROUND(SUMIFS(AN_TME_PY[[#All],[TOTAL Truncated Unadjusted Claims Expenses (A21 -A19)]], AN_TME_PY[[#All],[Insurance Category Code]],4, AN_TME_PY[[#All],[Advanced Network/Insurance Carrier Org ID]],Q271),0), "TRUE", ROUND(V271-SUMIFS(AN_TME_PY[[#All],[TOTAL Truncated Unadjusted Claims Expenses (A21 -A19)]], AN_TME_PY[[#All],[Insurance Category Code]],4, AN_TME_PY[[#All],[Advanced Network/Insurance Carrier Org ID]],Q271),2))</f>
        <v>TRUE</v>
      </c>
      <c r="AB271" s="525" t="str">
        <f t="shared" si="33"/>
        <v>TRUE</v>
      </c>
      <c r="AC271" s="528" t="b">
        <f>ROUND(SUMIFS(AN_TME_PY[[#All],[TOTAL Non-Truncated Unadjusted Claims Expenses]], AN_TME_PY[[#All],[Insurance Category Code]],4, AN_TME_PY[[#All],[Advanced Network/Insurance Carrier Org ID]],Q271),2)&gt;=ROUND(SUMIFS(AN_TME_PY[[#All],[TOTAL Truncated Unadjusted Claims Expenses (A21 -A19)]], AN_TME_PY[[#All],[Insurance Category Code]],4, AN_TME_PY[[#All],[Advanced Network/Insurance Carrier Org ID]],Q271),2)</f>
        <v>1</v>
      </c>
      <c r="AD271" s="529" t="b">
        <f>ROUND(SUMIFS(AN_TME_PY[[#All],[TOTAL Truncated Unadjusted Claims Expenses (A21 -A19)]], AN_TME_PY[[#All],[Insurance Category Code]],4, AN_TME_PY[[#All],[Advanced Network/Insurance Carrier Org ID]],Q271)+SUMIFS(AN_TME_PY[[#All],[Total Claims Excluded because of Truncation]], AN_TME_PY[[#All],[Insurance Category Code]],4, AN_TME_PY[[#All],[Advanced Network/Insurance Carrier Org ID]],Q271),2)=ROUND(SUMIFS(AN_TME_PY[[#All],[TOTAL Non-Truncated Unadjusted Claims Expenses]], AN_TME_PY[[#All],[Insurance Category Code]],4, AN_TME_PY[[#All],[Advanced Network/Insurance Carrier Org ID]],Q271),2)</f>
        <v>1</v>
      </c>
      <c r="AF271" s="283" t="str">
        <f t="shared" si="34"/>
        <v>NA</v>
      </c>
    </row>
    <row r="272" spans="2:32" outlineLevel="1" x14ac:dyDescent="0.25">
      <c r="B272" s="216">
        <v>134</v>
      </c>
      <c r="C272" s="404">
        <f>ROUND(SUMIFS(Age_Sex_BY[[#All],[Total Member Months by Age/Sex Band]], Age_Sex_BY[[#All],[Advanced Network ID]], $B272, Age_Sex_BY[[#All],[Insurance Category Code]],4),2)</f>
        <v>0</v>
      </c>
      <c r="D272" s="238">
        <f>ROUND(SUMIFS(Age_Sex_BY[[#All],[Total Dollars Excluded from Spending After Applying Truncation at the Member Level]], Age_Sex_BY[[#All],[Advanced Network ID]], $B272, Age_Sex_BY[[#All],[Insurance Category Code]],4),2)</f>
        <v>0</v>
      </c>
      <c r="E272" s="209">
        <f>ROUND(SUMIFS(Age_Sex_BY[[#All],[Count of Members whose Spending was Truncated]], Age_Sex_BY[[#All],[Advanced Network ID]], $B272, Age_Sex_BY[[#All],[Insurance Category Code]],4),2)</f>
        <v>0</v>
      </c>
      <c r="F272" s="210">
        <f>ROUND(SUMIFS(Age_Sex_BY[[#All],[Total Spending before Truncation is Applied]], Age_Sex_BY[[#All],[Advanced Network ID]], $B272, Age_Sex_BY[[#All],[Insurance Category Code]],4),2)</f>
        <v>0</v>
      </c>
      <c r="G272" s="212">
        <f>ROUND(SUMIFS(Age_Sex_BY[[#All],[Total Spending After Applying Truncation at the Member Level]], Age_Sex_BY[[#All],[Advanced Network ID]], $B272, Age_Sex_BY[[#All],[Insurance Category Code]],4),2)</f>
        <v>0</v>
      </c>
      <c r="H272" s="525" t="str">
        <f>IF(ROUND(C272,0)=ROUND(SUMIFS(AN_TME_BY[[#All],[Member Months]], AN_TME_BY[[#All],[Insurance Category Code]],4, AN_TME_BY[[#All],[Advanced Network/Insurance Carrier Org ID]],B272),0), "TRUE", ROUND(C272-SUMIFS(AN_TME_BY[[#All],[Member Months]], AN_TME_BY[[#All],[Insurance Category Code]],4, AN_TME_BY[[#All],[Advanced Network/Insurance Carrier Org ID]],B272),2))</f>
        <v>TRUE</v>
      </c>
      <c r="I272" s="533" t="str">
        <f>IF(ROUND(D272,0)=ROUND(SUMIFS(AN_TME_BY[[#All],[Total Claims Excluded because of Truncation]], AN_TME_BY[[#All],[Insurance Category Code]],4, AN_TME_BY[[#All],[Advanced Network/Insurance Carrier Org ID]],B272),0), "TRUE", ROUND(D272-SUMIFS(AN_TME_BY[[#All],[Total Claims Excluded because of Truncation]], AN_TME_BY[[#All],[Insurance Category Code]],4, AN_TME_BY[[#All],[Advanced Network/Insurance Carrier Org ID]],B272),2))</f>
        <v>TRUE</v>
      </c>
      <c r="J272" s="537" t="str">
        <f>IF(ROUND(E272,0)=ROUND(SUMIFS(AN_TME_BY[[#All],[Count of Members with Claims Truncated]], AN_TME_BY[[#All],[Insurance Category Code]],4, AN_TME_BY[[#All],[Advanced Network/Insurance Carrier Org ID]],B272),0), "TRUE", ROUND(E272-SUMIFS(AN_TME_BY[[#All],[Count of Members with Claims Truncated]], AN_TME_BY[[#All],[Insurance Category Code]],4, AN_TME_BY[[#All],[Advanced Network/Insurance Carrier Org ID]],B272),2))</f>
        <v>TRUE</v>
      </c>
      <c r="K272" s="533" t="str">
        <f>IF(ROUND(F272,0)=ROUND(SUMIFS(AN_TME_BY[[#All],[TOTAL Non-Truncated Unadjusted Claims Expenses]], AN_TME_BY[[#All],[Insurance Category Code]],4, AN_TME_BY[[#All],[Advanced Network/Insurance Carrier Org ID]],B272),0), "TRUE", ROUND(F272-SUMIFS(AN_TME_BY[[#All],[TOTAL Non-Truncated Unadjusted Claims Expenses]], AN_TME_BY[[#All],[Insurance Category Code]],4, AN_TME_BY[[#All],[Advanced Network/Insurance Carrier Org ID]],B272),2))</f>
        <v>TRUE</v>
      </c>
      <c r="L272" s="534" t="str">
        <f>IF(ROUND(G272,0)=ROUND(SUMIFS(AN_TME_BY[[#All],[TOTAL Truncated Unadjusted Claims Expenses (A21 -A19)]], AN_TME_BY[[#All],[Insurance Category Code]],4, AN_TME_BY[[#All],[Advanced Network/Insurance Carrier Org ID]],B272),0), "TRUE", ROUND(G272-SUMIFS(AN_TME_BY[[#All],[TOTAL Truncated Unadjusted Claims Expenses (A21 -A19)]], AN_TME_BY[[#All],[Insurance Category Code]],4, AN_TME_BY[[#All],[Advanced Network/Insurance Carrier Org ID]],B272),2))</f>
        <v>TRUE</v>
      </c>
      <c r="M272" s="525" t="str">
        <f t="shared" si="32"/>
        <v>TRUE</v>
      </c>
      <c r="N272" s="533" t="b">
        <f>ROUND(SUMIFS(AN_TME_BY[[#All],[TOTAL Non-Truncated Unadjusted Claims Expenses]], AN_TME_BY[[#All],[Insurance Category Code]],4, AN_TME_BY[[#All],[Advanced Network/Insurance Carrier Org ID]],B272),2)&gt;=ROUND(SUMIFS(AN_TME_BY[[#All],[TOTAL Truncated Unadjusted Claims Expenses (A21 -A19)]], AN_TME_BY[[#All],[Insurance Category Code]],4, AN_TME_BY[[#All],[Advanced Network/Insurance Carrier Org ID]],B272),2)</f>
        <v>1</v>
      </c>
      <c r="O272" s="534" t="b">
        <f>ROUND(SUMIFS(AN_TME_BY[[#All],[TOTAL Truncated Unadjusted Claims Expenses (A21 -A19)]], AN_TME_BY[[#All],[Insurance Category Code]],4, AN_TME_BY[[#All],[Advanced Network/Insurance Carrier Org ID]],B272)+SUMIFS(AN_TME_BY[[#All],[Total Claims Excluded because of Truncation]], AN_TME_BY[[#All],[Insurance Category Code]],4, AN_TME_BY[[#All],[Advanced Network/Insurance Carrier Org ID]],B272),2)=ROUND(SUMIFS(AN_TME_BY[[#All],[TOTAL Non-Truncated Unadjusted Claims Expenses]], AN_TME_BY[[#All],[Insurance Category Code]],4, AN_TME_BY[[#All],[Advanced Network/Insurance Carrier Org ID]],B272),2)</f>
        <v>1</v>
      </c>
      <c r="Q272" s="216">
        <v>134</v>
      </c>
      <c r="R272" s="404">
        <f>ROUND(SUMIFS(Age_Sex_PY[[#All],[Total Member Months by Age/Sex Band]], Age_Sex_PY[[#All],[Advanced Network ID]], $Q272, Age_Sex_PY[[#All],[Insurance Category Code]],4),2)</f>
        <v>0</v>
      </c>
      <c r="S272" s="238">
        <f>ROUND(SUMIFS(Age_Sex_PY[[#All],[Total Dollars Excluded from Spending After Applying Truncation at the Member Level]], Age_Sex_PY[[#All],[Advanced Network ID]], $B272, Age_Sex_PY[[#All],[Insurance Category Code]],4),2)</f>
        <v>0</v>
      </c>
      <c r="T272" s="209">
        <f>ROUND(SUMIFS(Age_Sex_PY[[#All],[Count of Members whose Spending was Truncated]], Age_Sex_PY[[#All],[Advanced Network ID]], $B272, Age_Sex_PY[[#All],[Insurance Category Code]],4),2)</f>
        <v>0</v>
      </c>
      <c r="U272" s="210">
        <f>ROUND(SUMIFS(Age_Sex_PY[[#All],[Total Spending before Truncation is Applied]], Age_Sex_PY[[#All],[Advanced Network ID]], $B272, Age_Sex_PY[[#All],[Insurance Category Code]],4),2)</f>
        <v>0</v>
      </c>
      <c r="V272" s="212">
        <f>ROUND(SUMIFS(Age_Sex_PY[[#All],[Total Spending After Applying Truncation at the Member Level]], Age_Sex_PY[[#All],[Advanced Network ID]], $B272, Age_Sex_PY[[#All],[Insurance Category Code]],4),2)</f>
        <v>0</v>
      </c>
      <c r="W272" s="525" t="str">
        <f>IF(ROUND(R272,0)=ROUND(SUMIFS(AN_TME_PY[[#All],[Member Months]], AN_TME_PY[[#All],[Insurance Category Code]],4, AN_TME_PY[[#All],[Advanced Network/Insurance Carrier Org ID]],Q272),0), "TRUE", ROUND(R272-SUMIFS(AN_TME_PY[[#All],[Member Months]], AN_TME_PY[[#All],[Insurance Category Code]],4, AN_TME_PY[[#All],[Advanced Network/Insurance Carrier Org ID]],Q272),2))</f>
        <v>TRUE</v>
      </c>
      <c r="X272" s="527" t="str">
        <f>IF(ROUND(S272,0)=ROUND(SUMIFS(AN_TME_PY[[#All],[Total Claims Excluded because of Truncation]], AN_TME_PY[[#All],[Insurance Category Code]],4, AN_TME_PY[[#All],[Advanced Network/Insurance Carrier Org ID]],Q272),0), "TRUE", ROUND(S272-SUMIFS(AN_TME_PY[[#All],[Total Claims Excluded because of Truncation]], AN_TME_PY[[#All],[Insurance Category Code]],4, AN_TME_PY[[#All],[Advanced Network/Insurance Carrier Org ID]],Q272),2))</f>
        <v>TRUE</v>
      </c>
      <c r="Y272" s="537" t="str">
        <f>IF(ROUND(T272,0)=ROUND(SUMIFS(AN_TME_PY[[#All],[Count of Members with Claims Truncated]], AN_TME_PY[[#All],[Insurance Category Code]],4, AN_TME_PY[[#All],[Advanced Network/Insurance Carrier Org ID]],Q272),0), "TRUE", ROUND(T272-SUMIFS(AN_TME_PY[[#All],[Count of Members with Claims Truncated]], AN_TME_PY[[#All],[Insurance Category Code]],4, AN_TME_PY[[#All],[Advanced Network/Insurance Carrier Org ID]],Q272),2))</f>
        <v>TRUE</v>
      </c>
      <c r="Z272" s="528" t="str">
        <f>IF(ROUND(U272,0)=ROUND(SUMIFS(AN_TME_PY[[#All],[TOTAL Non-Truncated Unadjusted Claims Expenses]], AN_TME_PY[[#All],[Insurance Category Code]],4, AN_TME_PY[[#All],[Advanced Network/Insurance Carrier Org ID]],Q272),0), "TRUE", ROUND(U272-SUMIFS(AN_TME_PY[[#All],[TOTAL Non-Truncated Unadjusted Claims Expenses]], AN_TME_PY[[#All],[Insurance Category Code]],4, AN_TME_PY[[#All],[Advanced Network/Insurance Carrier Org ID]],Q272),2))</f>
        <v>TRUE</v>
      </c>
      <c r="AA272" s="529" t="str">
        <f>IF(ROUND(V272,0)=ROUND(SUMIFS(AN_TME_PY[[#All],[TOTAL Truncated Unadjusted Claims Expenses (A21 -A19)]], AN_TME_PY[[#All],[Insurance Category Code]],4, AN_TME_PY[[#All],[Advanced Network/Insurance Carrier Org ID]],Q272),0), "TRUE", ROUND(V272-SUMIFS(AN_TME_PY[[#All],[TOTAL Truncated Unadjusted Claims Expenses (A21 -A19)]], AN_TME_PY[[#All],[Insurance Category Code]],4, AN_TME_PY[[#All],[Advanced Network/Insurance Carrier Org ID]],Q272),2))</f>
        <v>TRUE</v>
      </c>
      <c r="AB272" s="525" t="str">
        <f t="shared" si="33"/>
        <v>TRUE</v>
      </c>
      <c r="AC272" s="528" t="b">
        <f>ROUND(SUMIFS(AN_TME_PY[[#All],[TOTAL Non-Truncated Unadjusted Claims Expenses]], AN_TME_PY[[#All],[Insurance Category Code]],4, AN_TME_PY[[#All],[Advanced Network/Insurance Carrier Org ID]],Q272),2)&gt;=ROUND(SUMIFS(AN_TME_PY[[#All],[TOTAL Truncated Unadjusted Claims Expenses (A21 -A19)]], AN_TME_PY[[#All],[Insurance Category Code]],4, AN_TME_PY[[#All],[Advanced Network/Insurance Carrier Org ID]],Q272),2)</f>
        <v>1</v>
      </c>
      <c r="AD272" s="529" t="b">
        <f>ROUND(SUMIFS(AN_TME_PY[[#All],[TOTAL Truncated Unadjusted Claims Expenses (A21 -A19)]], AN_TME_PY[[#All],[Insurance Category Code]],4, AN_TME_PY[[#All],[Advanced Network/Insurance Carrier Org ID]],Q272)+SUMIFS(AN_TME_PY[[#All],[Total Claims Excluded because of Truncation]], AN_TME_PY[[#All],[Insurance Category Code]],4, AN_TME_PY[[#All],[Advanced Network/Insurance Carrier Org ID]],Q272),2)=ROUND(SUMIFS(AN_TME_PY[[#All],[TOTAL Non-Truncated Unadjusted Claims Expenses]], AN_TME_PY[[#All],[Insurance Category Code]],4, AN_TME_PY[[#All],[Advanced Network/Insurance Carrier Org ID]],Q272),2)</f>
        <v>1</v>
      </c>
      <c r="AF272" s="283" t="str">
        <f t="shared" si="34"/>
        <v>NA</v>
      </c>
    </row>
    <row r="273" spans="2:32" ht="15.75" outlineLevel="1" thickBot="1" x14ac:dyDescent="0.3">
      <c r="B273" s="217">
        <v>999</v>
      </c>
      <c r="C273" s="405">
        <f>ROUND(SUMIFS(Age_Sex_BY[[#All],[Total Member Months by Age/Sex Band]], Age_Sex_BY[[#All],[Advanced Network ID]], $B273, Age_Sex_BY[[#All],[Insurance Category Code]],4),2)</f>
        <v>0</v>
      </c>
      <c r="D273" s="240">
        <f>ROUND(SUMIFS(Age_Sex_BY[[#All],[Total Dollars Excluded from Spending After Applying Truncation at the Member Level]], Age_Sex_BY[[#All],[Advanced Network ID]], $B273, Age_Sex_BY[[#All],[Insurance Category Code]],4),2)</f>
        <v>0</v>
      </c>
      <c r="E273" s="213">
        <f>ROUND(SUMIFS(Age_Sex_BY[[#All],[Count of Members whose Spending was Truncated]], Age_Sex_BY[[#All],[Advanced Network ID]], $B273, Age_Sex_BY[[#All],[Insurance Category Code]],4),2)</f>
        <v>0</v>
      </c>
      <c r="F273" s="214">
        <f>ROUND(SUMIFS(Age_Sex_BY[[#All],[Total Spending before Truncation is Applied]], Age_Sex_BY[[#All],[Advanced Network ID]], $B273, Age_Sex_BY[[#All],[Insurance Category Code]],4),2)</f>
        <v>0</v>
      </c>
      <c r="G273" s="215">
        <f>ROUND(SUMIFS(Age_Sex_BY[[#All],[Total Spending After Applying Truncation at the Member Level]], Age_Sex_BY[[#All],[Advanced Network ID]], $B273, Age_Sex_BY[[#All],[Insurance Category Code]],4),2)</f>
        <v>0</v>
      </c>
      <c r="H273" s="526" t="str">
        <f>IF(ROUND(C273,0)=ROUND(SUMIFS(AN_TME_BY[[#All],[Member Months]], AN_TME_BY[[#All],[Insurance Category Code]],4, AN_TME_BY[[#All],[Advanced Network/Insurance Carrier Org ID]],B273),0), "TRUE", ROUND(C273-SUMIFS(AN_TME_BY[[#All],[Member Months]], AN_TME_BY[[#All],[Insurance Category Code]],4, AN_TME_BY[[#All],[Advanced Network/Insurance Carrier Org ID]],B273),2))</f>
        <v>TRUE</v>
      </c>
      <c r="I273" s="535" t="str">
        <f>IF(ROUND(D273,0)=ROUND(SUMIFS(AN_TME_BY[[#All],[Total Claims Excluded because of Truncation]], AN_TME_BY[[#All],[Insurance Category Code]],4, AN_TME_BY[[#All],[Advanced Network/Insurance Carrier Org ID]],B273),0), "TRUE", ROUND(D273-SUMIFS(AN_TME_BY[[#All],[Total Claims Excluded because of Truncation]], AN_TME_BY[[#All],[Insurance Category Code]],4, AN_TME_BY[[#All],[Advanced Network/Insurance Carrier Org ID]],B273),2))</f>
        <v>TRUE</v>
      </c>
      <c r="J273" s="538" t="str">
        <f>IF(ROUND(E273,0)=ROUND(SUMIFS(AN_TME_BY[[#All],[Count of Members with Claims Truncated]], AN_TME_BY[[#All],[Insurance Category Code]],4, AN_TME_BY[[#All],[Advanced Network/Insurance Carrier Org ID]],B273),0), "TRUE", ROUND(E273-SUMIFS(AN_TME_BY[[#All],[Count of Members with Claims Truncated]], AN_TME_BY[[#All],[Insurance Category Code]],4, AN_TME_BY[[#All],[Advanced Network/Insurance Carrier Org ID]],B273),2))</f>
        <v>TRUE</v>
      </c>
      <c r="K273" s="535" t="str">
        <f>IF(ROUND(F273,0)=ROUND(SUMIFS(AN_TME_BY[[#All],[TOTAL Non-Truncated Unadjusted Claims Expenses]], AN_TME_BY[[#All],[Insurance Category Code]],4, AN_TME_BY[[#All],[Advanced Network/Insurance Carrier Org ID]],B273),0), "TRUE", ROUND(F273-SUMIFS(AN_TME_BY[[#All],[TOTAL Non-Truncated Unadjusted Claims Expenses]], AN_TME_BY[[#All],[Insurance Category Code]],4, AN_TME_BY[[#All],[Advanced Network/Insurance Carrier Org ID]],B273),2))</f>
        <v>TRUE</v>
      </c>
      <c r="L273" s="536" t="str">
        <f>IF(ROUND(G273,0)=ROUND(SUMIFS(AN_TME_BY[[#All],[TOTAL Truncated Unadjusted Claims Expenses (A21 -A19)]], AN_TME_BY[[#All],[Insurance Category Code]],4, AN_TME_BY[[#All],[Advanced Network/Insurance Carrier Org ID]],B273),0), "TRUE", ROUND(G273-SUMIFS(AN_TME_BY[[#All],[TOTAL Truncated Unadjusted Claims Expenses (A21 -A19)]], AN_TME_BY[[#All],[Insurance Category Code]],4, AN_TME_BY[[#All],[Advanced Network/Insurance Carrier Org ID]],B273),2))</f>
        <v>TRUE</v>
      </c>
      <c r="M273" s="526" t="str">
        <f t="shared" si="28"/>
        <v>TRUE</v>
      </c>
      <c r="N273" s="535" t="b">
        <f>ROUND(SUMIFS(AN_TME_BY[[#All],[TOTAL Non-Truncated Unadjusted Claims Expenses]], AN_TME_BY[[#All],[Insurance Category Code]],4, AN_TME_BY[[#All],[Advanced Network/Insurance Carrier Org ID]],B273),2)&gt;=ROUND(SUMIFS(AN_TME_BY[[#All],[TOTAL Truncated Unadjusted Claims Expenses (A21 -A19)]], AN_TME_BY[[#All],[Insurance Category Code]],4, AN_TME_BY[[#All],[Advanced Network/Insurance Carrier Org ID]],B273),2)</f>
        <v>1</v>
      </c>
      <c r="O273" s="536" t="b">
        <f>ROUND(SUMIFS(AN_TME_BY[[#All],[TOTAL Truncated Unadjusted Claims Expenses (A21 -A19)]], AN_TME_BY[[#All],[Insurance Category Code]],4, AN_TME_BY[[#All],[Advanced Network/Insurance Carrier Org ID]],B273)+SUMIFS(AN_TME_BY[[#All],[Total Claims Excluded because of Truncation]], AN_TME_BY[[#All],[Insurance Category Code]],4, AN_TME_BY[[#All],[Advanced Network/Insurance Carrier Org ID]],B273),2)=ROUND(SUMIFS(AN_TME_BY[[#All],[TOTAL Non-Truncated Unadjusted Claims Expenses]], AN_TME_BY[[#All],[Insurance Category Code]],4, AN_TME_BY[[#All],[Advanced Network/Insurance Carrier Org ID]],B273),2)</f>
        <v>1</v>
      </c>
      <c r="Q273" s="217">
        <v>999</v>
      </c>
      <c r="R273" s="405">
        <f>ROUND(SUMIFS(Age_Sex_PY[[#All],[Total Member Months by Age/Sex Band]], Age_Sex_PY[[#All],[Advanced Network ID]], $Q273, Age_Sex_PY[[#All],[Insurance Category Code]],4),2)</f>
        <v>0</v>
      </c>
      <c r="S273" s="240">
        <f>ROUND(SUMIFS(Age_Sex_PY[[#All],[Total Dollars Excluded from Spending After Applying Truncation at the Member Level]], Age_Sex_PY[[#All],[Advanced Network ID]], $B273, Age_Sex_PY[[#All],[Insurance Category Code]],4),2)</f>
        <v>0</v>
      </c>
      <c r="T273" s="213">
        <f>ROUND(SUMIFS(Age_Sex_PY[[#All],[Count of Members whose Spending was Truncated]], Age_Sex_PY[[#All],[Advanced Network ID]], $B273, Age_Sex_PY[[#All],[Insurance Category Code]],4),2)</f>
        <v>0</v>
      </c>
      <c r="U273" s="214">
        <f>ROUND(SUMIFS(Age_Sex_PY[[#All],[Total Spending before Truncation is Applied]], Age_Sex_PY[[#All],[Advanced Network ID]], $B273, Age_Sex_PY[[#All],[Insurance Category Code]],4),2)</f>
        <v>0</v>
      </c>
      <c r="V273" s="215">
        <f>ROUND(SUMIFS(Age_Sex_PY[[#All],[Total Spending After Applying Truncation at the Member Level]], Age_Sex_PY[[#All],[Advanced Network ID]], $B273, Age_Sex_PY[[#All],[Insurance Category Code]],4),2)</f>
        <v>0</v>
      </c>
      <c r="W273" s="526" t="str">
        <f>IF(ROUND(R273,0)=ROUND(SUMIFS(AN_TME_PY[[#All],[Member Months]], AN_TME_PY[[#All],[Insurance Category Code]],4, AN_TME_PY[[#All],[Advanced Network/Insurance Carrier Org ID]],Q273),0), "TRUE", ROUND(R273-SUMIFS(AN_TME_PY[[#All],[Member Months]], AN_TME_PY[[#All],[Insurance Category Code]],4, AN_TME_PY[[#All],[Advanced Network/Insurance Carrier Org ID]],Q273),2))</f>
        <v>TRUE</v>
      </c>
      <c r="X273" s="530" t="str">
        <f>IF(ROUND(S273,0)=ROUND(SUMIFS(AN_TME_PY[[#All],[Total Claims Excluded because of Truncation]], AN_TME_PY[[#All],[Insurance Category Code]],4, AN_TME_PY[[#All],[Advanced Network/Insurance Carrier Org ID]],Q273),0), "TRUE", ROUND(S273-SUMIFS(AN_TME_PY[[#All],[Total Claims Excluded because of Truncation]], AN_TME_PY[[#All],[Insurance Category Code]],4, AN_TME_PY[[#All],[Advanced Network/Insurance Carrier Org ID]],Q273),2))</f>
        <v>TRUE</v>
      </c>
      <c r="Y273" s="538" t="str">
        <f>IF(ROUND(T273,0)=ROUND(SUMIFS(AN_TME_PY[[#All],[Count of Members with Claims Truncated]], AN_TME_PY[[#All],[Insurance Category Code]],4, AN_TME_PY[[#All],[Advanced Network/Insurance Carrier Org ID]],Q273),0), "TRUE", ROUND(T273-SUMIFS(AN_TME_PY[[#All],[Count of Members with Claims Truncated]], AN_TME_PY[[#All],[Insurance Category Code]],4, AN_TME_PY[[#All],[Advanced Network/Insurance Carrier Org ID]],Q273),2))</f>
        <v>TRUE</v>
      </c>
      <c r="Z273" s="531" t="str">
        <f>IF(ROUND(U273,0)=ROUND(SUMIFS(AN_TME_PY[[#All],[TOTAL Non-Truncated Unadjusted Claims Expenses]], AN_TME_PY[[#All],[Insurance Category Code]],4, AN_TME_PY[[#All],[Advanced Network/Insurance Carrier Org ID]],Q273),0), "TRUE", ROUND(U273-SUMIFS(AN_TME_PY[[#All],[TOTAL Non-Truncated Unadjusted Claims Expenses]], AN_TME_PY[[#All],[Insurance Category Code]],4, AN_TME_PY[[#All],[Advanced Network/Insurance Carrier Org ID]],Q273),2))</f>
        <v>TRUE</v>
      </c>
      <c r="AA273" s="532" t="str">
        <f>IF(ROUND(V273,0)=ROUND(SUMIFS(AN_TME_PY[[#All],[TOTAL Truncated Unadjusted Claims Expenses (A21 -A19)]], AN_TME_PY[[#All],[Insurance Category Code]],4, AN_TME_PY[[#All],[Advanced Network/Insurance Carrier Org ID]],Q273),0), "TRUE", ROUND(V273-SUMIFS(AN_TME_PY[[#All],[TOTAL Truncated Unadjusted Claims Expenses (A21 -A19)]], AN_TME_PY[[#All],[Insurance Category Code]],4, AN_TME_PY[[#All],[Advanced Network/Insurance Carrier Org ID]],Q273),2))</f>
        <v>TRUE</v>
      </c>
      <c r="AB273" s="526" t="str">
        <f t="shared" si="31"/>
        <v>TRUE</v>
      </c>
      <c r="AC273" s="531" t="b">
        <f>ROUND(SUMIFS(AN_TME_PY[[#All],[TOTAL Non-Truncated Unadjusted Claims Expenses]], AN_TME_PY[[#All],[Insurance Category Code]],4, AN_TME_PY[[#All],[Advanced Network/Insurance Carrier Org ID]],Q273),2)&gt;=ROUND(SUMIFS(AN_TME_PY[[#All],[TOTAL Truncated Unadjusted Claims Expenses (A21 -A19)]], AN_TME_PY[[#All],[Insurance Category Code]],4, AN_TME_PY[[#All],[Advanced Network/Insurance Carrier Org ID]],Q273),2)</f>
        <v>1</v>
      </c>
      <c r="AD273" s="532" t="b">
        <f>ROUND(SUMIFS(AN_TME_PY[[#All],[TOTAL Truncated Unadjusted Claims Expenses (A21 -A19)]], AN_TME_PY[[#All],[Insurance Category Code]],4, AN_TME_PY[[#All],[Advanced Network/Insurance Carrier Org ID]],Q273)+SUMIFS(AN_TME_PY[[#All],[Total Claims Excluded because of Truncation]], AN_TME_PY[[#All],[Insurance Category Code]],4, AN_TME_PY[[#All],[Advanced Network/Insurance Carrier Org ID]],Q273),2)=ROUND(SUMIFS(AN_TME_PY[[#All],[TOTAL Non-Truncated Unadjusted Claims Expenses]], AN_TME_PY[[#All],[Insurance Category Code]],4, AN_TME_PY[[#All],[Advanced Network/Insurance Carrier Org ID]],Q273),2)</f>
        <v>1</v>
      </c>
      <c r="AF273" s="284" t="str">
        <f t="shared" si="30"/>
        <v>NA</v>
      </c>
    </row>
    <row r="274" spans="2:32" outlineLevel="1" x14ac:dyDescent="0.25">
      <c r="B274" s="30"/>
      <c r="C274" s="30"/>
      <c r="D274" s="14"/>
      <c r="E274" s="113"/>
    </row>
    <row r="275" spans="2:32" outlineLevel="1" x14ac:dyDescent="0.25">
      <c r="B275" s="318" t="s">
        <v>384</v>
      </c>
      <c r="C275" s="14"/>
      <c r="D275" s="113"/>
      <c r="L275" s="211"/>
      <c r="M275" s="211"/>
      <c r="N275" s="211"/>
      <c r="O275" s="211"/>
      <c r="Q275" s="318" t="s">
        <v>384</v>
      </c>
    </row>
    <row r="276" spans="2:32" ht="19.5" outlineLevel="1" thickBot="1" x14ac:dyDescent="0.35">
      <c r="B276" s="249"/>
      <c r="C276" s="211"/>
      <c r="D276" s="14"/>
      <c r="E276" s="113"/>
      <c r="Q276" s="249"/>
      <c r="R276" s="211"/>
      <c r="S276" s="14"/>
      <c r="T276" s="113"/>
    </row>
    <row r="277" spans="2:32" ht="24" outlineLevel="1" thickBot="1" x14ac:dyDescent="0.4">
      <c r="B277" s="269" t="s">
        <v>419</v>
      </c>
      <c r="C277" s="640" t="s">
        <v>402</v>
      </c>
      <c r="D277" s="641"/>
      <c r="E277" s="641"/>
      <c r="F277" s="641"/>
      <c r="G277" s="642"/>
      <c r="H277" s="643" t="s">
        <v>403</v>
      </c>
      <c r="I277" s="644"/>
      <c r="J277" s="644"/>
      <c r="K277" s="644"/>
      <c r="L277" s="645"/>
      <c r="M277" s="637" t="s">
        <v>404</v>
      </c>
      <c r="N277" s="638"/>
      <c r="O277" s="639"/>
      <c r="Q277" s="269"/>
      <c r="R277" s="640" t="s">
        <v>405</v>
      </c>
      <c r="S277" s="641"/>
      <c r="T277" s="641"/>
      <c r="U277" s="641"/>
      <c r="V277" s="642"/>
      <c r="W277" s="643" t="s">
        <v>406</v>
      </c>
      <c r="X277" s="644"/>
      <c r="Y277" s="644"/>
      <c r="Z277" s="644"/>
      <c r="AA277" s="645"/>
      <c r="AB277" s="637" t="s">
        <v>404</v>
      </c>
      <c r="AC277" s="638"/>
      <c r="AD277" s="639"/>
    </row>
    <row r="278" spans="2:32" ht="105" customHeight="1" outlineLevel="1" thickBot="1" x14ac:dyDescent="0.3">
      <c r="B278" s="259" t="s">
        <v>247</v>
      </c>
      <c r="C278" s="260" t="s">
        <v>156</v>
      </c>
      <c r="D278" s="261" t="s">
        <v>248</v>
      </c>
      <c r="E278" s="261" t="s">
        <v>407</v>
      </c>
      <c r="F278" s="261" t="s">
        <v>157</v>
      </c>
      <c r="G278" s="262" t="s">
        <v>159</v>
      </c>
      <c r="H278" s="263" t="s">
        <v>212</v>
      </c>
      <c r="I278" s="264" t="s">
        <v>408</v>
      </c>
      <c r="J278" s="264" t="s">
        <v>409</v>
      </c>
      <c r="K278" s="264" t="s">
        <v>410</v>
      </c>
      <c r="L278" s="265" t="s">
        <v>411</v>
      </c>
      <c r="M278" s="266" t="s">
        <v>412</v>
      </c>
      <c r="N278" s="267" t="s">
        <v>413</v>
      </c>
      <c r="O278" s="268" t="s">
        <v>414</v>
      </c>
      <c r="Q278" s="259" t="s">
        <v>247</v>
      </c>
      <c r="R278" s="260" t="s">
        <v>156</v>
      </c>
      <c r="S278" s="261" t="s">
        <v>248</v>
      </c>
      <c r="T278" s="261" t="s">
        <v>407</v>
      </c>
      <c r="U278" s="261" t="s">
        <v>157</v>
      </c>
      <c r="V278" s="262" t="s">
        <v>159</v>
      </c>
      <c r="W278" s="263" t="s">
        <v>212</v>
      </c>
      <c r="X278" s="264" t="s">
        <v>408</v>
      </c>
      <c r="Y278" s="264" t="s">
        <v>409</v>
      </c>
      <c r="Z278" s="264" t="s">
        <v>410</v>
      </c>
      <c r="AA278" s="265" t="s">
        <v>411</v>
      </c>
      <c r="AB278" s="266" t="s">
        <v>412</v>
      </c>
      <c r="AC278" s="267" t="s">
        <v>413</v>
      </c>
      <c r="AD278" s="268" t="s">
        <v>414</v>
      </c>
      <c r="AF278" s="281" t="s">
        <v>415</v>
      </c>
    </row>
    <row r="279" spans="2:32" outlineLevel="1" x14ac:dyDescent="0.25">
      <c r="B279" s="216">
        <v>100</v>
      </c>
      <c r="C279" s="404">
        <f>ROUND(SUMIFS(Age_Sex_BY[[#All],[Total Member Months by Age/Sex Band]], Age_Sex_BY[[#All],[Advanced Network ID]], $B279, Age_Sex_BY[[#All],[Insurance Category Code]],5),2)</f>
        <v>0</v>
      </c>
      <c r="D279" s="238">
        <f>ROUND(SUMIFS(Age_Sex_BY[[#All],[Total Dollars Excluded from Spending After Applying Truncation at the Member Level]], Age_Sex_BY[[#All],[Advanced Network ID]], $B279, Age_Sex_BY[[#All],[Insurance Category Code]],5),2)</f>
        <v>0</v>
      </c>
      <c r="E279" s="209">
        <f>ROUND(SUMIFS(Age_Sex_BY[[#All],[Count of Members whose Spending was Truncated]], Age_Sex_BY[[#All],[Advanced Network ID]], $B279, Age_Sex_BY[[#All],[Insurance Category Code]],5),2)</f>
        <v>0</v>
      </c>
      <c r="F279" s="210">
        <f>ROUND(SUMIFS(Age_Sex_BY[[#All],[Total Spending before Truncation is Applied]], Age_Sex_BY[[#All],[Advanced Network ID]], $B279, Age_Sex_BY[[#All],[Insurance Category Code]],5),2)</f>
        <v>0</v>
      </c>
      <c r="G279" s="212">
        <f>ROUND(SUMIFS(Age_Sex_BY[[#All],[Total Spending After Applying Truncation at the Member Level]], Age_Sex_BY[[#All],[Advanced Network ID]], $B279, Age_Sex_BY[[#All],[Insurance Category Code]],5), 2)</f>
        <v>0</v>
      </c>
      <c r="H279" s="525" t="str">
        <f>IF(ROUND(C279,0)=ROUND(SUMIFS(AN_TME_BY[[#All],[Member Months]], AN_TME_BY[[#All],[Insurance Category Code]],5, AN_TME_BY[[#All],[Advanced Network/Insurance Carrier Org ID]],B279),0), "TRUE", ROUND(C279-SUMIFS(AN_TME_BY[[#All],[Member Months]], AN_TME_BY[[#All],[Insurance Category Code]],5, AN_TME_BY[[#All],[Advanced Network/Insurance Carrier Org ID]],B279),2))</f>
        <v>TRUE</v>
      </c>
      <c r="I279" s="533" t="str">
        <f>IF(ROUND(D279,0)=ROUND(SUMIFS(AN_TME_BY[[#All],[Total Claims Excluded because of Truncation]], AN_TME_BY[[#All],[Insurance Category Code]],5, AN_TME_BY[[#All],[Advanced Network/Insurance Carrier Org ID]],B279),0), "TRUE", ROUND(D279-SUMIFS(AN_TME_BY[[#All],[Total Claims Excluded because of Truncation]], AN_TME_BY[[#All],[Insurance Category Code]],5, AN_TME_BY[[#All],[Advanced Network/Insurance Carrier Org ID]],B279),2))</f>
        <v>TRUE</v>
      </c>
      <c r="J279" s="537" t="str">
        <f>IF(ROUND(E279,0)=ROUND(SUMIFS(AN_TME_BY[[#All],[Count of Members with Claims Truncated]], AN_TME_BY[[#All],[Insurance Category Code]],5, AN_TME_BY[[#All],[Advanced Network/Insurance Carrier Org ID]],B279),0), "TRUE", ROUND(E279-SUMIFS(AN_TME_BY[[#All],[Count of Members with Claims Truncated]], AN_TME_BY[[#All],[Insurance Category Code]],5, AN_TME_BY[[#All],[Advanced Network/Insurance Carrier Org ID]],B279),2))</f>
        <v>TRUE</v>
      </c>
      <c r="K279" s="533" t="str">
        <f>IF(ROUND(F279,0)=ROUND(SUMIFS(AN_TME_BY[[#All],[TOTAL Non-Truncated Unadjusted Claims Expenses]], AN_TME_BY[[#All],[Insurance Category Code]],5, AN_TME_BY[[#All],[Advanced Network/Insurance Carrier Org ID]],B279),0), "TRUE", ROUND(F279-SUMIFS(AN_TME_BY[[#All],[TOTAL Non-Truncated Unadjusted Claims Expenses]], AN_TME_BY[[#All],[Insurance Category Code]],5, AN_TME_BY[[#All],[Advanced Network/Insurance Carrier Org ID]],B279),2))</f>
        <v>TRUE</v>
      </c>
      <c r="L279" s="534" t="str">
        <f>IF(ROUND(G279,0)=ROUND(SUMIFS(AN_TME_BY[[#All],[TOTAL Truncated Unadjusted Claims Expenses (A21 -A19)]], AN_TME_BY[[#All],[Insurance Category Code]],5, AN_TME_BY[[#All],[Advanced Network/Insurance Carrier Org ID]],B279),0), "TRUE", ROUND(G279-SUMIFS(AN_TME_BY[[#All],[TOTAL Truncated Unadjusted Claims Expenses (A21 -A19)]], AN_TME_BY[[#All],[Insurance Category Code]],5, AN_TME_BY[[#All],[Advanced Network/Insurance Carrier Org ID]],B279),2))</f>
        <v>TRUE</v>
      </c>
      <c r="M279" s="525" t="str">
        <f t="shared" ref="M279:M314" si="35">IF(E279=0, "TRUE",IF((C279/12)&gt;E279,"TRUE",(C279/12)-E279))</f>
        <v>TRUE</v>
      </c>
      <c r="N279" s="533" t="b">
        <f>ROUND(SUMIFS(AN_TME_BY[[#All],[TOTAL Non-Truncated Unadjusted Claims Expenses]], AN_TME_BY[[#All],[Insurance Category Code]],5, AN_TME_BY[[#All],[Advanced Network/Insurance Carrier Org ID]],B279),2)&gt;=ROUND(SUMIFS(AN_TME_BY[[#All],[TOTAL Truncated Unadjusted Claims Expenses (A21 -A19)]], AN_TME_BY[[#All],[Insurance Category Code]],5, AN_TME_BY[[#All],[Advanced Network/Insurance Carrier Org ID]],B279),2)</f>
        <v>1</v>
      </c>
      <c r="O279" s="534" t="b">
        <f>ROUND(SUMIFS(AN_TME_BY[[#All],[TOTAL Truncated Unadjusted Claims Expenses (A21 -A19)]], AN_TME_BY[[#All],[Insurance Category Code]],5, AN_TME_BY[[#All],[Advanced Network/Insurance Carrier Org ID]],B279)+SUMIFS(AN_TME_BY[[#All],[Total Claims Excluded because of Truncation]], AN_TME_BY[[#All],[Insurance Category Code]],5, AN_TME_BY[[#All],[Advanced Network/Insurance Carrier Org ID]],B279),2)=ROUND(SUMIFS(AN_TME_BY[[#All],[TOTAL Non-Truncated Unadjusted Claims Expenses]], AN_TME_BY[[#All],[Insurance Category Code]],5, AN_TME_BY[[#All],[Advanced Network/Insurance Carrier Org ID]],B279),2)</f>
        <v>1</v>
      </c>
      <c r="Q279" s="216">
        <v>100</v>
      </c>
      <c r="R279" s="404">
        <f>ROUND(SUMIFS(Age_Sex_PY[[#All],[Total Member Months by Age/Sex Band]], Age_Sex_PY[[#All],[Advanced Network ID]], $Q279, Age_Sex_PY[[#All],[Insurance Category Code]],5),2)</f>
        <v>0</v>
      </c>
      <c r="S279" s="238">
        <f>ROUND(SUMIFS(Age_Sex_PY[[#All],[Total Dollars Excluded from Spending After Applying Truncation at the Member Level]], Age_Sex_PY[[#All],[Advanced Network ID]], $B279, Age_Sex_PY[[#All],[Insurance Category Code]],5),2)</f>
        <v>0</v>
      </c>
      <c r="T279" s="209">
        <f>ROUND(SUMIFS(Age_Sex_PY[[#All],[Count of Members whose Spending was Truncated]], Age_Sex_PY[[#All],[Advanced Network ID]], $B279, Age_Sex_PY[[#All],[Insurance Category Code]],5),2)</f>
        <v>0</v>
      </c>
      <c r="U279" s="210">
        <f>ROUND(SUMIFS(Age_Sex_PY[[#All],[Total Spending before Truncation is Applied]], Age_Sex_PY[[#All],[Advanced Network ID]], $B279, Age_Sex_PY[[#All],[Insurance Category Code]],5), 2)</f>
        <v>0</v>
      </c>
      <c r="V279" s="212">
        <f>ROUND(SUMIFS(Age_Sex_PY[[#All],[Total Spending After Applying Truncation at the Member Level]], Age_Sex_PY[[#All],[Advanced Network ID]], $B279, Age_Sex_PY[[#All],[Insurance Category Code]],5),2)</f>
        <v>0</v>
      </c>
      <c r="W279" s="525" t="str">
        <f>IF(ROUND(R279,0)=ROUND(SUMIFS(AN_TME_PY[[#All],[Member Months]], AN_TME_PY[[#All],[Insurance Category Code]],5, AN_TME_PY[[#All],[Advanced Network/Insurance Carrier Org ID]],Q279),0), "TRUE", ROUND(R279-SUMIFS(AN_TME_PY[[#All],[Member Months]], AN_TME_PY[[#All],[Insurance Category Code]],5, AN_TME_PY[[#All],[Advanced Network/Insurance Carrier Org ID]],Q279),2))</f>
        <v>TRUE</v>
      </c>
      <c r="X279" s="527" t="str">
        <f>IF(ROUND(S279,0)=ROUND(SUMIFS(AN_TME_PY[[#All],[Total Claims Excluded because of Truncation]], AN_TME_PY[[#All],[Insurance Category Code]],5, AN_TME_PY[[#All],[Advanced Network/Insurance Carrier Org ID]],Q279),0), "TRUE", ROUND(S279-SUMIFS(AN_TME_PY[[#All],[Total Claims Excluded because of Truncation]], AN_TME_PY[[#All],[Insurance Category Code]],5, AN_TME_PY[[#All],[Advanced Network/Insurance Carrier Org ID]],Q279),2))</f>
        <v>TRUE</v>
      </c>
      <c r="Y279" s="537" t="str">
        <f>IF(ROUND(T279,0)=ROUND(SUMIFS(AN_TME_PY[[#All],[Count of Members with Claims Truncated]], AN_TME_PY[[#All],[Insurance Category Code]],5, AN_TME_PY[[#All],[Advanced Network/Insurance Carrier Org ID]],Q279),0), "TRUE", ROUND(T279-SUMIFS(AN_TME_PY[[#All],[Count of Members with Claims Truncated]], AN_TME_PY[[#All],[Insurance Category Code]],5, AN_TME_PY[[#All],[Advanced Network/Insurance Carrier Org ID]],Q279),2))</f>
        <v>TRUE</v>
      </c>
      <c r="Z279" s="528" t="str">
        <f>IF(ROUND(U279,0)=ROUND(SUMIFS(AN_TME_PY[[#All],[TOTAL Non-Truncated Unadjusted Claims Expenses]], AN_TME_PY[[#All],[Insurance Category Code]],5, AN_TME_PY[[#All],[Advanced Network/Insurance Carrier Org ID]],Q279),0), "TRUE", ROUND(U279-SUMIFS(AN_TME_PY[[#All],[TOTAL Non-Truncated Unadjusted Claims Expenses]], AN_TME_PY[[#All],[Insurance Category Code]],5, AN_TME_PY[[#All],[Advanced Network/Insurance Carrier Org ID]],Q279),2))</f>
        <v>TRUE</v>
      </c>
      <c r="AA279" s="529" t="str">
        <f>IF(ROUND(V279,0)=ROUND(SUMIFS(AN_TME_PY[[#All],[TOTAL Truncated Unadjusted Claims Expenses (A21 -A19)]], AN_TME_PY[[#All],[Insurance Category Code]],5, AN_TME_PY[[#All],[Advanced Network/Insurance Carrier Org ID]],Q279),0), "TRUE", ROUND(V279-SUMIFS(AN_TME_PY[[#All],[TOTAL Truncated Unadjusted Claims Expenses (A21 -A19)]], AN_TME_PY[[#All],[Insurance Category Code]],5, AN_TME_PY[[#All],[Advanced Network/Insurance Carrier Org ID]],Q279),2))</f>
        <v>TRUE</v>
      </c>
      <c r="AB279" s="525" t="str">
        <f t="shared" ref="AB279" si="36">IF(T279=0, "TRUE",IF((R279/12)&gt;T279,"TRUE",(R279/12)-T279))</f>
        <v>TRUE</v>
      </c>
      <c r="AC279" s="528" t="b">
        <f>ROUND(SUMIFS(AN_TME_PY[[#All],[TOTAL Non-Truncated Unadjusted Claims Expenses]], AN_TME_PY[[#All],[Insurance Category Code]],5, AN_TME_PY[[#All],[Advanced Network/Insurance Carrier Org ID]],Q279),2)&gt;=ROUND(SUMIFS(AN_TME_PY[[#All],[TOTAL Truncated Unadjusted Claims Expenses (A21 -A19)]], AN_TME_PY[[#All],[Insurance Category Code]],5, AN_TME_PY[[#All],[Advanced Network/Insurance Carrier Org ID]],Q279),2)</f>
        <v>1</v>
      </c>
      <c r="AD279" s="529" t="b">
        <f>ROUND(SUMIFS(AN_TME_PY[[#All],[TOTAL Truncated Unadjusted Claims Expenses (A21 -A19)]], AN_TME_PY[[#All],[Insurance Category Code]],5, AN_TME_PY[[#All],[Advanced Network/Insurance Carrier Org ID]],Q279)+SUMIFS(AN_TME_PY[[#All],[Total Claims Excluded because of Truncation]], AN_TME_PY[[#All],[Insurance Category Code]],5, AN_TME_PY[[#All],[Advanced Network/Insurance Carrier Org ID]],Q279),2)=ROUND(SUMIFS(AN_TME_PY[[#All],[TOTAL Non-Truncated Unadjusted Claims Expenses]], AN_TME_PY[[#All],[Insurance Category Code]],5, AN_TME_PY[[#All],[Advanced Network/Insurance Carrier Org ID]],Q279),2)</f>
        <v>1</v>
      </c>
      <c r="AF279" s="282" t="str">
        <f t="shared" ref="AF279:AF314" si="37">IFERROR(R279/C279-1, "NA")</f>
        <v>NA</v>
      </c>
    </row>
    <row r="280" spans="2:32" outlineLevel="1" x14ac:dyDescent="0.25">
      <c r="B280" s="216">
        <v>101</v>
      </c>
      <c r="C280" s="404">
        <f>ROUND(SUMIFS(Age_Sex_BY[[#All],[Total Member Months by Age/Sex Band]], Age_Sex_BY[[#All],[Advanced Network ID]], $B280, Age_Sex_BY[[#All],[Insurance Category Code]],5),2)</f>
        <v>0</v>
      </c>
      <c r="D280" s="238">
        <f>ROUND(SUMIFS(Age_Sex_BY[[#All],[Total Dollars Excluded from Spending After Applying Truncation at the Member Level]], Age_Sex_BY[[#All],[Advanced Network ID]], $B280, Age_Sex_BY[[#All],[Insurance Category Code]],5),2)</f>
        <v>0</v>
      </c>
      <c r="E280" s="209">
        <f>ROUND(SUMIFS(Age_Sex_BY[[#All],[Count of Members whose Spending was Truncated]], Age_Sex_BY[[#All],[Advanced Network ID]], $B280, Age_Sex_BY[[#All],[Insurance Category Code]],5),2)</f>
        <v>0</v>
      </c>
      <c r="F280" s="210">
        <f>ROUND(SUMIFS(Age_Sex_BY[[#All],[Total Spending before Truncation is Applied]], Age_Sex_BY[[#All],[Advanced Network ID]], $B280, Age_Sex_BY[[#All],[Insurance Category Code]],5),2)</f>
        <v>0</v>
      </c>
      <c r="G280" s="212">
        <f>ROUND(SUMIFS(Age_Sex_BY[[#All],[Total Spending After Applying Truncation at the Member Level]], Age_Sex_BY[[#All],[Advanced Network ID]], $B280, Age_Sex_BY[[#All],[Insurance Category Code]],5), 2)</f>
        <v>0</v>
      </c>
      <c r="H280" s="525" t="str">
        <f>IF(ROUND(C280,0)=ROUND(SUMIFS(AN_TME_BY[[#All],[Member Months]], AN_TME_BY[[#All],[Insurance Category Code]],5, AN_TME_BY[[#All],[Advanced Network/Insurance Carrier Org ID]],B280),0), "TRUE", ROUND(C280-SUMIFS(AN_TME_BY[[#All],[Member Months]], AN_TME_BY[[#All],[Insurance Category Code]],5, AN_TME_BY[[#All],[Advanced Network/Insurance Carrier Org ID]],B280),2))</f>
        <v>TRUE</v>
      </c>
      <c r="I280" s="533" t="str">
        <f>IF(ROUND(D280,0)=ROUND(SUMIFS(AN_TME_BY[[#All],[Total Claims Excluded because of Truncation]], AN_TME_BY[[#All],[Insurance Category Code]],5, AN_TME_BY[[#All],[Advanced Network/Insurance Carrier Org ID]],B280),0), "TRUE", ROUND(D280-SUMIFS(AN_TME_BY[[#All],[Total Claims Excluded because of Truncation]], AN_TME_BY[[#All],[Insurance Category Code]],5, AN_TME_BY[[#All],[Advanced Network/Insurance Carrier Org ID]],B280),2))</f>
        <v>TRUE</v>
      </c>
      <c r="J280" s="537" t="str">
        <f>IF(ROUND(E280,0)=ROUND(SUMIFS(AN_TME_BY[[#All],[Count of Members with Claims Truncated]], AN_TME_BY[[#All],[Insurance Category Code]],5, AN_TME_BY[[#All],[Advanced Network/Insurance Carrier Org ID]],B280),0), "TRUE", ROUND(E280-SUMIFS(AN_TME_BY[[#All],[Count of Members with Claims Truncated]], AN_TME_BY[[#All],[Insurance Category Code]],5, AN_TME_BY[[#All],[Advanced Network/Insurance Carrier Org ID]],B280),2))</f>
        <v>TRUE</v>
      </c>
      <c r="K280" s="533" t="str">
        <f>IF(ROUND(F280,0)=ROUND(SUMIFS(AN_TME_BY[[#All],[TOTAL Non-Truncated Unadjusted Claims Expenses]], AN_TME_BY[[#All],[Insurance Category Code]],5, AN_TME_BY[[#All],[Advanced Network/Insurance Carrier Org ID]],B280),0), "TRUE", ROUND(F280-SUMIFS(AN_TME_BY[[#All],[TOTAL Non-Truncated Unadjusted Claims Expenses]], AN_TME_BY[[#All],[Insurance Category Code]],5, AN_TME_BY[[#All],[Advanced Network/Insurance Carrier Org ID]],B280),2))</f>
        <v>TRUE</v>
      </c>
      <c r="L280" s="534" t="str">
        <f>IF(ROUND(G280,0)=ROUND(SUMIFS(AN_TME_BY[[#All],[TOTAL Truncated Unadjusted Claims Expenses (A21 -A19)]], AN_TME_BY[[#All],[Insurance Category Code]],5, AN_TME_BY[[#All],[Advanced Network/Insurance Carrier Org ID]],B280),0), "TRUE", ROUND(G280-SUMIFS(AN_TME_BY[[#All],[TOTAL Truncated Unadjusted Claims Expenses (A21 -A19)]], AN_TME_BY[[#All],[Insurance Category Code]],5, AN_TME_BY[[#All],[Advanced Network/Insurance Carrier Org ID]],B280),2))</f>
        <v>TRUE</v>
      </c>
      <c r="M280" s="525" t="str">
        <f t="shared" si="35"/>
        <v>TRUE</v>
      </c>
      <c r="N280" s="533" t="b">
        <f>ROUND(SUMIFS(AN_TME_BY[[#All],[TOTAL Non-Truncated Unadjusted Claims Expenses]], AN_TME_BY[[#All],[Insurance Category Code]],5, AN_TME_BY[[#All],[Advanced Network/Insurance Carrier Org ID]],B280),2)&gt;=ROUND(SUMIFS(AN_TME_BY[[#All],[TOTAL Truncated Unadjusted Claims Expenses (A21 -A19)]], AN_TME_BY[[#All],[Insurance Category Code]],5, AN_TME_BY[[#All],[Advanced Network/Insurance Carrier Org ID]],B280),2)</f>
        <v>1</v>
      </c>
      <c r="O280" s="534" t="b">
        <f>ROUND(SUMIFS(AN_TME_BY[[#All],[TOTAL Truncated Unadjusted Claims Expenses (A21 -A19)]], AN_TME_BY[[#All],[Insurance Category Code]],5, AN_TME_BY[[#All],[Advanced Network/Insurance Carrier Org ID]],B280)+SUMIFS(AN_TME_BY[[#All],[Total Claims Excluded because of Truncation]], AN_TME_BY[[#All],[Insurance Category Code]],5, AN_TME_BY[[#All],[Advanced Network/Insurance Carrier Org ID]],B280),2)=ROUND(SUMIFS(AN_TME_BY[[#All],[TOTAL Non-Truncated Unadjusted Claims Expenses]], AN_TME_BY[[#All],[Insurance Category Code]],5, AN_TME_BY[[#All],[Advanced Network/Insurance Carrier Org ID]],B280),2)</f>
        <v>1</v>
      </c>
      <c r="Q280" s="216">
        <v>101</v>
      </c>
      <c r="R280" s="404">
        <f>ROUND(SUMIFS(Age_Sex_PY[[#All],[Total Member Months by Age/Sex Band]], Age_Sex_PY[[#All],[Advanced Network ID]], $Q280, Age_Sex_PY[[#All],[Insurance Category Code]],5),2)</f>
        <v>0</v>
      </c>
      <c r="S280" s="238">
        <f>ROUND(SUMIFS(Age_Sex_PY[[#All],[Total Dollars Excluded from Spending After Applying Truncation at the Member Level]], Age_Sex_PY[[#All],[Advanced Network ID]], $B280, Age_Sex_PY[[#All],[Insurance Category Code]],5),2)</f>
        <v>0</v>
      </c>
      <c r="T280" s="209">
        <f>ROUND(SUMIFS(Age_Sex_PY[[#All],[Count of Members whose Spending was Truncated]], Age_Sex_PY[[#All],[Advanced Network ID]], $B280, Age_Sex_PY[[#All],[Insurance Category Code]],5),2)</f>
        <v>0</v>
      </c>
      <c r="U280" s="210">
        <f>ROUND(SUMIFS(Age_Sex_PY[[#All],[Total Spending before Truncation is Applied]], Age_Sex_PY[[#All],[Advanced Network ID]], $B280, Age_Sex_PY[[#All],[Insurance Category Code]],5), 2)</f>
        <v>0</v>
      </c>
      <c r="V280" s="212">
        <f>ROUND(SUMIFS(Age_Sex_PY[[#All],[Total Spending After Applying Truncation at the Member Level]], Age_Sex_PY[[#All],[Advanced Network ID]], $B280, Age_Sex_PY[[#All],[Insurance Category Code]],5),2)</f>
        <v>0</v>
      </c>
      <c r="W280" s="525" t="str">
        <f>IF(ROUND(R280,0)=ROUND(SUMIFS(AN_TME_PY[[#All],[Member Months]], AN_TME_PY[[#All],[Insurance Category Code]],5, AN_TME_PY[[#All],[Advanced Network/Insurance Carrier Org ID]],Q280),0), "TRUE", ROUND(R280-SUMIFS(AN_TME_PY[[#All],[Member Months]], AN_TME_PY[[#All],[Insurance Category Code]],5, AN_TME_PY[[#All],[Advanced Network/Insurance Carrier Org ID]],Q280),2))</f>
        <v>TRUE</v>
      </c>
      <c r="X280" s="527" t="str">
        <f>IF(ROUND(S280,0)=ROUND(SUMIFS(AN_TME_PY[[#All],[Total Claims Excluded because of Truncation]], AN_TME_PY[[#All],[Insurance Category Code]],5, AN_TME_PY[[#All],[Advanced Network/Insurance Carrier Org ID]],Q280),0), "TRUE", ROUND(S280-SUMIFS(AN_TME_PY[[#All],[Total Claims Excluded because of Truncation]], AN_TME_PY[[#All],[Insurance Category Code]],5, AN_TME_PY[[#All],[Advanced Network/Insurance Carrier Org ID]],Q280),2))</f>
        <v>TRUE</v>
      </c>
      <c r="Y280" s="537" t="str">
        <f>IF(ROUND(T280,0)=ROUND(SUMIFS(AN_TME_PY[[#All],[Count of Members with Claims Truncated]], AN_TME_PY[[#All],[Insurance Category Code]],5, AN_TME_PY[[#All],[Advanced Network/Insurance Carrier Org ID]],Q280),0), "TRUE", ROUND(T280-SUMIFS(AN_TME_PY[[#All],[Count of Members with Claims Truncated]], AN_TME_PY[[#All],[Insurance Category Code]],5, AN_TME_PY[[#All],[Advanced Network/Insurance Carrier Org ID]],Q280),2))</f>
        <v>TRUE</v>
      </c>
      <c r="Z280" s="528" t="str">
        <f>IF(ROUND(U280,0)=ROUND(SUMIFS(AN_TME_PY[[#All],[TOTAL Non-Truncated Unadjusted Claims Expenses]], AN_TME_PY[[#All],[Insurance Category Code]],5, AN_TME_PY[[#All],[Advanced Network/Insurance Carrier Org ID]],Q280),0), "TRUE", ROUND(U280-SUMIFS(AN_TME_PY[[#All],[TOTAL Non-Truncated Unadjusted Claims Expenses]], AN_TME_PY[[#All],[Insurance Category Code]],5, AN_TME_PY[[#All],[Advanced Network/Insurance Carrier Org ID]],Q280),2))</f>
        <v>TRUE</v>
      </c>
      <c r="AA280" s="529" t="str">
        <f>IF(ROUND(V280,0)=ROUND(SUMIFS(AN_TME_PY[[#All],[TOTAL Truncated Unadjusted Claims Expenses (A21 -A19)]], AN_TME_PY[[#All],[Insurance Category Code]],5, AN_TME_PY[[#All],[Advanced Network/Insurance Carrier Org ID]],Q280),0), "TRUE", ROUND(V280-SUMIFS(AN_TME_PY[[#All],[TOTAL Truncated Unadjusted Claims Expenses (A21 -A19)]], AN_TME_PY[[#All],[Insurance Category Code]],5, AN_TME_PY[[#All],[Advanced Network/Insurance Carrier Org ID]],Q280),2))</f>
        <v>TRUE</v>
      </c>
      <c r="AB280" s="525" t="str">
        <f t="shared" ref="AB280:AB314" si="38">IF(T280=0, "TRUE",IF((R280/12)&gt;T280,"TRUE",(R280/12)-T280))</f>
        <v>TRUE</v>
      </c>
      <c r="AC280" s="528" t="b">
        <f>ROUND(SUMIFS(AN_TME_PY[[#All],[TOTAL Non-Truncated Unadjusted Claims Expenses]], AN_TME_PY[[#All],[Insurance Category Code]],5, AN_TME_PY[[#All],[Advanced Network/Insurance Carrier Org ID]],Q280),2)&gt;=ROUND(SUMIFS(AN_TME_PY[[#All],[TOTAL Truncated Unadjusted Claims Expenses (A21 -A19)]], AN_TME_PY[[#All],[Insurance Category Code]],5, AN_TME_PY[[#All],[Advanced Network/Insurance Carrier Org ID]],Q280),2)</f>
        <v>1</v>
      </c>
      <c r="AD280" s="529" t="b">
        <f>ROUND(SUMIFS(AN_TME_PY[[#All],[TOTAL Truncated Unadjusted Claims Expenses (A21 -A19)]], AN_TME_PY[[#All],[Insurance Category Code]],5, AN_TME_PY[[#All],[Advanced Network/Insurance Carrier Org ID]],Q280)+SUMIFS(AN_TME_PY[[#All],[Total Claims Excluded because of Truncation]], AN_TME_PY[[#All],[Insurance Category Code]],5, AN_TME_PY[[#All],[Advanced Network/Insurance Carrier Org ID]],Q280),2)=ROUND(SUMIFS(AN_TME_PY[[#All],[TOTAL Non-Truncated Unadjusted Claims Expenses]], AN_TME_PY[[#All],[Insurance Category Code]],5, AN_TME_PY[[#All],[Advanced Network/Insurance Carrier Org ID]],Q280),2)</f>
        <v>1</v>
      </c>
      <c r="AF280" s="283" t="str">
        <f t="shared" si="37"/>
        <v>NA</v>
      </c>
    </row>
    <row r="281" spans="2:32" outlineLevel="1" x14ac:dyDescent="0.25">
      <c r="B281" s="216">
        <v>102</v>
      </c>
      <c r="C281" s="404">
        <f>ROUND(SUMIFS(Age_Sex_BY[[#All],[Total Member Months by Age/Sex Band]], Age_Sex_BY[[#All],[Advanced Network ID]], $B281, Age_Sex_BY[[#All],[Insurance Category Code]],5),2)</f>
        <v>0</v>
      </c>
      <c r="D281" s="238">
        <f>ROUND(SUMIFS(Age_Sex_BY[[#All],[Total Dollars Excluded from Spending After Applying Truncation at the Member Level]], Age_Sex_BY[[#All],[Advanced Network ID]], $B281, Age_Sex_BY[[#All],[Insurance Category Code]],5),2)</f>
        <v>0</v>
      </c>
      <c r="E281" s="209">
        <f>ROUND(SUMIFS(Age_Sex_BY[[#All],[Count of Members whose Spending was Truncated]], Age_Sex_BY[[#All],[Advanced Network ID]], $B281, Age_Sex_BY[[#All],[Insurance Category Code]],5),2)</f>
        <v>0</v>
      </c>
      <c r="F281" s="210">
        <f>ROUND(SUMIFS(Age_Sex_BY[[#All],[Total Spending before Truncation is Applied]], Age_Sex_BY[[#All],[Advanced Network ID]], $B281, Age_Sex_BY[[#All],[Insurance Category Code]],5),2)</f>
        <v>0</v>
      </c>
      <c r="G281" s="212">
        <f>ROUND(SUMIFS(Age_Sex_BY[[#All],[Total Spending After Applying Truncation at the Member Level]], Age_Sex_BY[[#All],[Advanced Network ID]], $B281, Age_Sex_BY[[#All],[Insurance Category Code]],5), 2)</f>
        <v>0</v>
      </c>
      <c r="H281" s="525" t="str">
        <f>IF(ROUND(C281,0)=ROUND(SUMIFS(AN_TME_BY[[#All],[Member Months]], AN_TME_BY[[#All],[Insurance Category Code]],5, AN_TME_BY[[#All],[Advanced Network/Insurance Carrier Org ID]],B281),0), "TRUE", ROUND(C281-SUMIFS(AN_TME_BY[[#All],[Member Months]], AN_TME_BY[[#All],[Insurance Category Code]],5, AN_TME_BY[[#All],[Advanced Network/Insurance Carrier Org ID]],B281),2))</f>
        <v>TRUE</v>
      </c>
      <c r="I281" s="533" t="str">
        <f>IF(ROUND(D281,0)=ROUND(SUMIFS(AN_TME_BY[[#All],[Total Claims Excluded because of Truncation]], AN_TME_BY[[#All],[Insurance Category Code]],5, AN_TME_BY[[#All],[Advanced Network/Insurance Carrier Org ID]],B281),0), "TRUE", ROUND(D281-SUMIFS(AN_TME_BY[[#All],[Total Claims Excluded because of Truncation]], AN_TME_BY[[#All],[Insurance Category Code]],5, AN_TME_BY[[#All],[Advanced Network/Insurance Carrier Org ID]],B281),2))</f>
        <v>TRUE</v>
      </c>
      <c r="J281" s="537" t="str">
        <f>IF(ROUND(E281,0)=ROUND(SUMIFS(AN_TME_BY[[#All],[Count of Members with Claims Truncated]], AN_TME_BY[[#All],[Insurance Category Code]],5, AN_TME_BY[[#All],[Advanced Network/Insurance Carrier Org ID]],B281),0), "TRUE", ROUND(E281-SUMIFS(AN_TME_BY[[#All],[Count of Members with Claims Truncated]], AN_TME_BY[[#All],[Insurance Category Code]],5, AN_TME_BY[[#All],[Advanced Network/Insurance Carrier Org ID]],B281),2))</f>
        <v>TRUE</v>
      </c>
      <c r="K281" s="533" t="str">
        <f>IF(ROUND(F281,0)=ROUND(SUMIFS(AN_TME_BY[[#All],[TOTAL Non-Truncated Unadjusted Claims Expenses]], AN_TME_BY[[#All],[Insurance Category Code]],5, AN_TME_BY[[#All],[Advanced Network/Insurance Carrier Org ID]],B281),0), "TRUE", ROUND(F281-SUMIFS(AN_TME_BY[[#All],[TOTAL Non-Truncated Unadjusted Claims Expenses]], AN_TME_BY[[#All],[Insurance Category Code]],5, AN_TME_BY[[#All],[Advanced Network/Insurance Carrier Org ID]],B281),2))</f>
        <v>TRUE</v>
      </c>
      <c r="L281" s="534" t="str">
        <f>IF(ROUND(G281,0)=ROUND(SUMIFS(AN_TME_BY[[#All],[TOTAL Truncated Unadjusted Claims Expenses (A21 -A19)]], AN_TME_BY[[#All],[Insurance Category Code]],5, AN_TME_BY[[#All],[Advanced Network/Insurance Carrier Org ID]],B281),0), "TRUE", ROUND(G281-SUMIFS(AN_TME_BY[[#All],[TOTAL Truncated Unadjusted Claims Expenses (A21 -A19)]], AN_TME_BY[[#All],[Insurance Category Code]],5, AN_TME_BY[[#All],[Advanced Network/Insurance Carrier Org ID]],B281),2))</f>
        <v>TRUE</v>
      </c>
      <c r="M281" s="525" t="str">
        <f t="shared" si="35"/>
        <v>TRUE</v>
      </c>
      <c r="N281" s="533" t="b">
        <f>ROUND(SUMIFS(AN_TME_BY[[#All],[TOTAL Non-Truncated Unadjusted Claims Expenses]], AN_TME_BY[[#All],[Insurance Category Code]],5, AN_TME_BY[[#All],[Advanced Network/Insurance Carrier Org ID]],B281),2)&gt;=ROUND(SUMIFS(AN_TME_BY[[#All],[TOTAL Truncated Unadjusted Claims Expenses (A21 -A19)]], AN_TME_BY[[#All],[Insurance Category Code]],5, AN_TME_BY[[#All],[Advanced Network/Insurance Carrier Org ID]],B281),2)</f>
        <v>1</v>
      </c>
      <c r="O281" s="534" t="b">
        <f>ROUND(SUMIFS(AN_TME_BY[[#All],[TOTAL Truncated Unadjusted Claims Expenses (A21 -A19)]], AN_TME_BY[[#All],[Insurance Category Code]],5, AN_TME_BY[[#All],[Advanced Network/Insurance Carrier Org ID]],B281)+SUMIFS(AN_TME_BY[[#All],[Total Claims Excluded because of Truncation]], AN_TME_BY[[#All],[Insurance Category Code]],5, AN_TME_BY[[#All],[Advanced Network/Insurance Carrier Org ID]],B281),2)=ROUND(SUMIFS(AN_TME_BY[[#All],[TOTAL Non-Truncated Unadjusted Claims Expenses]], AN_TME_BY[[#All],[Insurance Category Code]],5, AN_TME_BY[[#All],[Advanced Network/Insurance Carrier Org ID]],B281),2)</f>
        <v>1</v>
      </c>
      <c r="Q281" s="216">
        <v>102</v>
      </c>
      <c r="R281" s="404">
        <f>ROUND(SUMIFS(Age_Sex_PY[[#All],[Total Member Months by Age/Sex Band]], Age_Sex_PY[[#All],[Advanced Network ID]], $Q281, Age_Sex_PY[[#All],[Insurance Category Code]],5),2)</f>
        <v>0</v>
      </c>
      <c r="S281" s="238">
        <f>ROUND(SUMIFS(Age_Sex_PY[[#All],[Total Dollars Excluded from Spending After Applying Truncation at the Member Level]], Age_Sex_PY[[#All],[Advanced Network ID]], $B281, Age_Sex_PY[[#All],[Insurance Category Code]],5),2)</f>
        <v>0</v>
      </c>
      <c r="T281" s="209">
        <f>ROUND(SUMIFS(Age_Sex_PY[[#All],[Count of Members whose Spending was Truncated]], Age_Sex_PY[[#All],[Advanced Network ID]], $B281, Age_Sex_PY[[#All],[Insurance Category Code]],5),2)</f>
        <v>0</v>
      </c>
      <c r="U281" s="210">
        <f>ROUND(SUMIFS(Age_Sex_PY[[#All],[Total Spending before Truncation is Applied]], Age_Sex_PY[[#All],[Advanced Network ID]], $B281, Age_Sex_PY[[#All],[Insurance Category Code]],5), 2)</f>
        <v>0</v>
      </c>
      <c r="V281" s="212">
        <f>ROUND(SUMIFS(Age_Sex_PY[[#All],[Total Spending After Applying Truncation at the Member Level]], Age_Sex_PY[[#All],[Advanced Network ID]], $B281, Age_Sex_PY[[#All],[Insurance Category Code]],5),2)</f>
        <v>0</v>
      </c>
      <c r="W281" s="525" t="str">
        <f>IF(ROUND(R281,0)=ROUND(SUMIFS(AN_TME_PY[[#All],[Member Months]], AN_TME_PY[[#All],[Insurance Category Code]],5, AN_TME_PY[[#All],[Advanced Network/Insurance Carrier Org ID]],Q281),0), "TRUE", ROUND(R281-SUMIFS(AN_TME_PY[[#All],[Member Months]], AN_TME_PY[[#All],[Insurance Category Code]],5, AN_TME_PY[[#All],[Advanced Network/Insurance Carrier Org ID]],Q281),2))</f>
        <v>TRUE</v>
      </c>
      <c r="X281" s="527" t="str">
        <f>IF(ROUND(S281,0)=ROUND(SUMIFS(AN_TME_PY[[#All],[Total Claims Excluded because of Truncation]], AN_TME_PY[[#All],[Insurance Category Code]],5, AN_TME_PY[[#All],[Advanced Network/Insurance Carrier Org ID]],Q281),0), "TRUE", ROUND(S281-SUMIFS(AN_TME_PY[[#All],[Total Claims Excluded because of Truncation]], AN_TME_PY[[#All],[Insurance Category Code]],5, AN_TME_PY[[#All],[Advanced Network/Insurance Carrier Org ID]],Q281),2))</f>
        <v>TRUE</v>
      </c>
      <c r="Y281" s="537" t="str">
        <f>IF(ROUND(T281,0)=ROUND(SUMIFS(AN_TME_PY[[#All],[Count of Members with Claims Truncated]], AN_TME_PY[[#All],[Insurance Category Code]],5, AN_TME_PY[[#All],[Advanced Network/Insurance Carrier Org ID]],Q281),0), "TRUE", ROUND(T281-SUMIFS(AN_TME_PY[[#All],[Count of Members with Claims Truncated]], AN_TME_PY[[#All],[Insurance Category Code]],5, AN_TME_PY[[#All],[Advanced Network/Insurance Carrier Org ID]],Q281),2))</f>
        <v>TRUE</v>
      </c>
      <c r="Z281" s="528" t="str">
        <f>IF(ROUND(U281,0)=ROUND(SUMIFS(AN_TME_PY[[#All],[TOTAL Non-Truncated Unadjusted Claims Expenses]], AN_TME_PY[[#All],[Insurance Category Code]],5, AN_TME_PY[[#All],[Advanced Network/Insurance Carrier Org ID]],Q281),0), "TRUE", ROUND(U281-SUMIFS(AN_TME_PY[[#All],[TOTAL Non-Truncated Unadjusted Claims Expenses]], AN_TME_PY[[#All],[Insurance Category Code]],5, AN_TME_PY[[#All],[Advanced Network/Insurance Carrier Org ID]],Q281),2))</f>
        <v>TRUE</v>
      </c>
      <c r="AA281" s="529" t="str">
        <f>IF(ROUND(V281,0)=ROUND(SUMIFS(AN_TME_PY[[#All],[TOTAL Truncated Unadjusted Claims Expenses (A21 -A19)]], AN_TME_PY[[#All],[Insurance Category Code]],5, AN_TME_PY[[#All],[Advanced Network/Insurance Carrier Org ID]],Q281),0), "TRUE", ROUND(V281-SUMIFS(AN_TME_PY[[#All],[TOTAL Truncated Unadjusted Claims Expenses (A21 -A19)]], AN_TME_PY[[#All],[Insurance Category Code]],5, AN_TME_PY[[#All],[Advanced Network/Insurance Carrier Org ID]],Q281),2))</f>
        <v>TRUE</v>
      </c>
      <c r="AB281" s="525" t="str">
        <f t="shared" si="38"/>
        <v>TRUE</v>
      </c>
      <c r="AC281" s="528" t="b">
        <f>ROUND(SUMIFS(AN_TME_PY[[#All],[TOTAL Non-Truncated Unadjusted Claims Expenses]], AN_TME_PY[[#All],[Insurance Category Code]],5, AN_TME_PY[[#All],[Advanced Network/Insurance Carrier Org ID]],Q281),2)&gt;=ROUND(SUMIFS(AN_TME_PY[[#All],[TOTAL Truncated Unadjusted Claims Expenses (A21 -A19)]], AN_TME_PY[[#All],[Insurance Category Code]],5, AN_TME_PY[[#All],[Advanced Network/Insurance Carrier Org ID]],Q281),2)</f>
        <v>1</v>
      </c>
      <c r="AD281" s="529" t="b">
        <f>ROUND(SUMIFS(AN_TME_PY[[#All],[TOTAL Truncated Unadjusted Claims Expenses (A21 -A19)]], AN_TME_PY[[#All],[Insurance Category Code]],5, AN_TME_PY[[#All],[Advanced Network/Insurance Carrier Org ID]],Q281)+SUMIFS(AN_TME_PY[[#All],[Total Claims Excluded because of Truncation]], AN_TME_PY[[#All],[Insurance Category Code]],5, AN_TME_PY[[#All],[Advanced Network/Insurance Carrier Org ID]],Q281),2)=ROUND(SUMIFS(AN_TME_PY[[#All],[TOTAL Non-Truncated Unadjusted Claims Expenses]], AN_TME_PY[[#All],[Insurance Category Code]],5, AN_TME_PY[[#All],[Advanced Network/Insurance Carrier Org ID]],Q281),2)</f>
        <v>1</v>
      </c>
      <c r="AF281" s="283" t="str">
        <f t="shared" si="37"/>
        <v>NA</v>
      </c>
    </row>
    <row r="282" spans="2:32" outlineLevel="1" x14ac:dyDescent="0.25">
      <c r="B282" s="216">
        <v>103</v>
      </c>
      <c r="C282" s="404">
        <f>ROUND(SUMIFS(Age_Sex_BY[[#All],[Total Member Months by Age/Sex Band]], Age_Sex_BY[[#All],[Advanced Network ID]], $B282, Age_Sex_BY[[#All],[Insurance Category Code]],5),2)</f>
        <v>0</v>
      </c>
      <c r="D282" s="238">
        <f>ROUND(SUMIFS(Age_Sex_BY[[#All],[Total Dollars Excluded from Spending After Applying Truncation at the Member Level]], Age_Sex_BY[[#All],[Advanced Network ID]], $B282, Age_Sex_BY[[#All],[Insurance Category Code]],5),2)</f>
        <v>0</v>
      </c>
      <c r="E282" s="209">
        <f>ROUND(SUMIFS(Age_Sex_BY[[#All],[Count of Members whose Spending was Truncated]], Age_Sex_BY[[#All],[Advanced Network ID]], $B282, Age_Sex_BY[[#All],[Insurance Category Code]],5),2)</f>
        <v>0</v>
      </c>
      <c r="F282" s="210">
        <f>ROUND(SUMIFS(Age_Sex_BY[[#All],[Total Spending before Truncation is Applied]], Age_Sex_BY[[#All],[Advanced Network ID]], $B282, Age_Sex_BY[[#All],[Insurance Category Code]],5),2)</f>
        <v>0</v>
      </c>
      <c r="G282" s="212">
        <f>ROUND(SUMIFS(Age_Sex_BY[[#All],[Total Spending After Applying Truncation at the Member Level]], Age_Sex_BY[[#All],[Advanced Network ID]], $B282, Age_Sex_BY[[#All],[Insurance Category Code]],5), 2)</f>
        <v>0</v>
      </c>
      <c r="H282" s="525" t="str">
        <f>IF(ROUND(C282,0)=ROUND(SUMIFS(AN_TME_BY[[#All],[Member Months]], AN_TME_BY[[#All],[Insurance Category Code]],5, AN_TME_BY[[#All],[Advanced Network/Insurance Carrier Org ID]],B282),0), "TRUE", ROUND(C282-SUMIFS(AN_TME_BY[[#All],[Member Months]], AN_TME_BY[[#All],[Insurance Category Code]],5, AN_TME_BY[[#All],[Advanced Network/Insurance Carrier Org ID]],B282),2))</f>
        <v>TRUE</v>
      </c>
      <c r="I282" s="533" t="str">
        <f>IF(ROUND(D282,0)=ROUND(SUMIFS(AN_TME_BY[[#All],[Total Claims Excluded because of Truncation]], AN_TME_BY[[#All],[Insurance Category Code]],5, AN_TME_BY[[#All],[Advanced Network/Insurance Carrier Org ID]],B282),0), "TRUE", ROUND(D282-SUMIFS(AN_TME_BY[[#All],[Total Claims Excluded because of Truncation]], AN_TME_BY[[#All],[Insurance Category Code]],5, AN_TME_BY[[#All],[Advanced Network/Insurance Carrier Org ID]],B282),2))</f>
        <v>TRUE</v>
      </c>
      <c r="J282" s="537" t="str">
        <f>IF(ROUND(E282,0)=ROUND(SUMIFS(AN_TME_BY[[#All],[Count of Members with Claims Truncated]], AN_TME_BY[[#All],[Insurance Category Code]],5, AN_TME_BY[[#All],[Advanced Network/Insurance Carrier Org ID]],B282),0), "TRUE", ROUND(E282-SUMIFS(AN_TME_BY[[#All],[Count of Members with Claims Truncated]], AN_TME_BY[[#All],[Insurance Category Code]],5, AN_TME_BY[[#All],[Advanced Network/Insurance Carrier Org ID]],B282),2))</f>
        <v>TRUE</v>
      </c>
      <c r="K282" s="533" t="str">
        <f>IF(ROUND(F282,0)=ROUND(SUMIFS(AN_TME_BY[[#All],[TOTAL Non-Truncated Unadjusted Claims Expenses]], AN_TME_BY[[#All],[Insurance Category Code]],5, AN_TME_BY[[#All],[Advanced Network/Insurance Carrier Org ID]],B282),0), "TRUE", ROUND(F282-SUMIFS(AN_TME_BY[[#All],[TOTAL Non-Truncated Unadjusted Claims Expenses]], AN_TME_BY[[#All],[Insurance Category Code]],5, AN_TME_BY[[#All],[Advanced Network/Insurance Carrier Org ID]],B282),2))</f>
        <v>TRUE</v>
      </c>
      <c r="L282" s="534" t="str">
        <f>IF(ROUND(G282,0)=ROUND(SUMIFS(AN_TME_BY[[#All],[TOTAL Truncated Unadjusted Claims Expenses (A21 -A19)]], AN_TME_BY[[#All],[Insurance Category Code]],5, AN_TME_BY[[#All],[Advanced Network/Insurance Carrier Org ID]],B282),0), "TRUE", ROUND(G282-SUMIFS(AN_TME_BY[[#All],[TOTAL Truncated Unadjusted Claims Expenses (A21 -A19)]], AN_TME_BY[[#All],[Insurance Category Code]],5, AN_TME_BY[[#All],[Advanced Network/Insurance Carrier Org ID]],B282),2))</f>
        <v>TRUE</v>
      </c>
      <c r="M282" s="525" t="str">
        <f t="shared" si="35"/>
        <v>TRUE</v>
      </c>
      <c r="N282" s="533" t="b">
        <f>ROUND(SUMIFS(AN_TME_BY[[#All],[TOTAL Non-Truncated Unadjusted Claims Expenses]], AN_TME_BY[[#All],[Insurance Category Code]],5, AN_TME_BY[[#All],[Advanced Network/Insurance Carrier Org ID]],B282),2)&gt;=ROUND(SUMIFS(AN_TME_BY[[#All],[TOTAL Truncated Unadjusted Claims Expenses (A21 -A19)]], AN_TME_BY[[#All],[Insurance Category Code]],5, AN_TME_BY[[#All],[Advanced Network/Insurance Carrier Org ID]],B282),2)</f>
        <v>1</v>
      </c>
      <c r="O282" s="534" t="b">
        <f>ROUND(SUMIFS(AN_TME_BY[[#All],[TOTAL Truncated Unadjusted Claims Expenses (A21 -A19)]], AN_TME_BY[[#All],[Insurance Category Code]],5, AN_TME_BY[[#All],[Advanced Network/Insurance Carrier Org ID]],B282)+SUMIFS(AN_TME_BY[[#All],[Total Claims Excluded because of Truncation]], AN_TME_BY[[#All],[Insurance Category Code]],5, AN_TME_BY[[#All],[Advanced Network/Insurance Carrier Org ID]],B282),2)=ROUND(SUMIFS(AN_TME_BY[[#All],[TOTAL Non-Truncated Unadjusted Claims Expenses]], AN_TME_BY[[#All],[Insurance Category Code]],5, AN_TME_BY[[#All],[Advanced Network/Insurance Carrier Org ID]],B282),2)</f>
        <v>1</v>
      </c>
      <c r="Q282" s="216">
        <v>103</v>
      </c>
      <c r="R282" s="404">
        <f>ROUND(SUMIFS(Age_Sex_PY[[#All],[Total Member Months by Age/Sex Band]], Age_Sex_PY[[#All],[Advanced Network ID]], $Q282, Age_Sex_PY[[#All],[Insurance Category Code]],5),2)</f>
        <v>0</v>
      </c>
      <c r="S282" s="238">
        <f>ROUND(SUMIFS(Age_Sex_PY[[#All],[Total Dollars Excluded from Spending After Applying Truncation at the Member Level]], Age_Sex_PY[[#All],[Advanced Network ID]], $B282, Age_Sex_PY[[#All],[Insurance Category Code]],5),2)</f>
        <v>0</v>
      </c>
      <c r="T282" s="209">
        <f>ROUND(SUMIFS(Age_Sex_PY[[#All],[Count of Members whose Spending was Truncated]], Age_Sex_PY[[#All],[Advanced Network ID]], $B282, Age_Sex_PY[[#All],[Insurance Category Code]],5),2)</f>
        <v>0</v>
      </c>
      <c r="U282" s="210">
        <f>ROUND(SUMIFS(Age_Sex_PY[[#All],[Total Spending before Truncation is Applied]], Age_Sex_PY[[#All],[Advanced Network ID]], $B282, Age_Sex_PY[[#All],[Insurance Category Code]],5), 2)</f>
        <v>0</v>
      </c>
      <c r="V282" s="212">
        <f>ROUND(SUMIFS(Age_Sex_PY[[#All],[Total Spending After Applying Truncation at the Member Level]], Age_Sex_PY[[#All],[Advanced Network ID]], $B282, Age_Sex_PY[[#All],[Insurance Category Code]],5),2)</f>
        <v>0</v>
      </c>
      <c r="W282" s="525" t="str">
        <f>IF(ROUND(R282,0)=ROUND(SUMIFS(AN_TME_PY[[#All],[Member Months]], AN_TME_PY[[#All],[Insurance Category Code]],5, AN_TME_PY[[#All],[Advanced Network/Insurance Carrier Org ID]],Q282),0), "TRUE", ROUND(R282-SUMIFS(AN_TME_PY[[#All],[Member Months]], AN_TME_PY[[#All],[Insurance Category Code]],5, AN_TME_PY[[#All],[Advanced Network/Insurance Carrier Org ID]],Q282),2))</f>
        <v>TRUE</v>
      </c>
      <c r="X282" s="527" t="str">
        <f>IF(ROUND(S282,0)=ROUND(SUMIFS(AN_TME_PY[[#All],[Total Claims Excluded because of Truncation]], AN_TME_PY[[#All],[Insurance Category Code]],5, AN_TME_PY[[#All],[Advanced Network/Insurance Carrier Org ID]],Q282),0), "TRUE", ROUND(S282-SUMIFS(AN_TME_PY[[#All],[Total Claims Excluded because of Truncation]], AN_TME_PY[[#All],[Insurance Category Code]],5, AN_TME_PY[[#All],[Advanced Network/Insurance Carrier Org ID]],Q282),2))</f>
        <v>TRUE</v>
      </c>
      <c r="Y282" s="537" t="str">
        <f>IF(ROUND(T282,0)=ROUND(SUMIFS(AN_TME_PY[[#All],[Count of Members with Claims Truncated]], AN_TME_PY[[#All],[Insurance Category Code]],5, AN_TME_PY[[#All],[Advanced Network/Insurance Carrier Org ID]],Q282),0), "TRUE", ROUND(T282-SUMIFS(AN_TME_PY[[#All],[Count of Members with Claims Truncated]], AN_TME_PY[[#All],[Insurance Category Code]],5, AN_TME_PY[[#All],[Advanced Network/Insurance Carrier Org ID]],Q282),2))</f>
        <v>TRUE</v>
      </c>
      <c r="Z282" s="528" t="str">
        <f>IF(ROUND(U282,0)=ROUND(SUMIFS(AN_TME_PY[[#All],[TOTAL Non-Truncated Unadjusted Claims Expenses]], AN_TME_PY[[#All],[Insurance Category Code]],5, AN_TME_PY[[#All],[Advanced Network/Insurance Carrier Org ID]],Q282),0), "TRUE", ROUND(U282-SUMIFS(AN_TME_PY[[#All],[TOTAL Non-Truncated Unadjusted Claims Expenses]], AN_TME_PY[[#All],[Insurance Category Code]],5, AN_TME_PY[[#All],[Advanced Network/Insurance Carrier Org ID]],Q282),2))</f>
        <v>TRUE</v>
      </c>
      <c r="AA282" s="529" t="str">
        <f>IF(ROUND(V282,0)=ROUND(SUMIFS(AN_TME_PY[[#All],[TOTAL Truncated Unadjusted Claims Expenses (A21 -A19)]], AN_TME_PY[[#All],[Insurance Category Code]],5, AN_TME_PY[[#All],[Advanced Network/Insurance Carrier Org ID]],Q282),0), "TRUE", ROUND(V282-SUMIFS(AN_TME_PY[[#All],[TOTAL Truncated Unadjusted Claims Expenses (A21 -A19)]], AN_TME_PY[[#All],[Insurance Category Code]],5, AN_TME_PY[[#All],[Advanced Network/Insurance Carrier Org ID]],Q282),2))</f>
        <v>TRUE</v>
      </c>
      <c r="AB282" s="525" t="str">
        <f t="shared" si="38"/>
        <v>TRUE</v>
      </c>
      <c r="AC282" s="528" t="b">
        <f>ROUND(SUMIFS(AN_TME_PY[[#All],[TOTAL Non-Truncated Unadjusted Claims Expenses]], AN_TME_PY[[#All],[Insurance Category Code]],5, AN_TME_PY[[#All],[Advanced Network/Insurance Carrier Org ID]],Q282),2)&gt;=ROUND(SUMIFS(AN_TME_PY[[#All],[TOTAL Truncated Unadjusted Claims Expenses (A21 -A19)]], AN_TME_PY[[#All],[Insurance Category Code]],5, AN_TME_PY[[#All],[Advanced Network/Insurance Carrier Org ID]],Q282),2)</f>
        <v>1</v>
      </c>
      <c r="AD282" s="529" t="b">
        <f>ROUND(SUMIFS(AN_TME_PY[[#All],[TOTAL Truncated Unadjusted Claims Expenses (A21 -A19)]], AN_TME_PY[[#All],[Insurance Category Code]],5, AN_TME_PY[[#All],[Advanced Network/Insurance Carrier Org ID]],Q282)+SUMIFS(AN_TME_PY[[#All],[Total Claims Excluded because of Truncation]], AN_TME_PY[[#All],[Insurance Category Code]],5, AN_TME_PY[[#All],[Advanced Network/Insurance Carrier Org ID]],Q282),2)=ROUND(SUMIFS(AN_TME_PY[[#All],[TOTAL Non-Truncated Unadjusted Claims Expenses]], AN_TME_PY[[#All],[Insurance Category Code]],5, AN_TME_PY[[#All],[Advanced Network/Insurance Carrier Org ID]],Q282),2)</f>
        <v>1</v>
      </c>
      <c r="AF282" s="283" t="str">
        <f t="shared" si="37"/>
        <v>NA</v>
      </c>
    </row>
    <row r="283" spans="2:32" outlineLevel="1" x14ac:dyDescent="0.25">
      <c r="B283" s="216">
        <v>104</v>
      </c>
      <c r="C283" s="404">
        <f>ROUND(SUMIFS(Age_Sex_BY[[#All],[Total Member Months by Age/Sex Band]], Age_Sex_BY[[#All],[Advanced Network ID]], $B283, Age_Sex_BY[[#All],[Insurance Category Code]],5),2)</f>
        <v>0</v>
      </c>
      <c r="D283" s="238">
        <f>ROUND(SUMIFS(Age_Sex_BY[[#All],[Total Dollars Excluded from Spending After Applying Truncation at the Member Level]], Age_Sex_BY[[#All],[Advanced Network ID]], $B283, Age_Sex_BY[[#All],[Insurance Category Code]],5),2)</f>
        <v>0</v>
      </c>
      <c r="E283" s="209">
        <f>ROUND(SUMIFS(Age_Sex_BY[[#All],[Count of Members whose Spending was Truncated]], Age_Sex_BY[[#All],[Advanced Network ID]], $B283, Age_Sex_BY[[#All],[Insurance Category Code]],5),2)</f>
        <v>0</v>
      </c>
      <c r="F283" s="210">
        <f>ROUND(SUMIFS(Age_Sex_BY[[#All],[Total Spending before Truncation is Applied]], Age_Sex_BY[[#All],[Advanced Network ID]], $B283, Age_Sex_BY[[#All],[Insurance Category Code]],5),2)</f>
        <v>0</v>
      </c>
      <c r="G283" s="212">
        <f>ROUND(SUMIFS(Age_Sex_BY[[#All],[Total Spending After Applying Truncation at the Member Level]], Age_Sex_BY[[#All],[Advanced Network ID]], $B283, Age_Sex_BY[[#All],[Insurance Category Code]],5), 2)</f>
        <v>0</v>
      </c>
      <c r="H283" s="525" t="str">
        <f>IF(ROUND(C283,0)=ROUND(SUMIFS(AN_TME_BY[[#All],[Member Months]], AN_TME_BY[[#All],[Insurance Category Code]],5, AN_TME_BY[[#All],[Advanced Network/Insurance Carrier Org ID]],B283),0), "TRUE", ROUND(C283-SUMIFS(AN_TME_BY[[#All],[Member Months]], AN_TME_BY[[#All],[Insurance Category Code]],5, AN_TME_BY[[#All],[Advanced Network/Insurance Carrier Org ID]],B283),2))</f>
        <v>TRUE</v>
      </c>
      <c r="I283" s="533" t="str">
        <f>IF(ROUND(D283,0)=ROUND(SUMIFS(AN_TME_BY[[#All],[Total Claims Excluded because of Truncation]], AN_TME_BY[[#All],[Insurance Category Code]],5, AN_TME_BY[[#All],[Advanced Network/Insurance Carrier Org ID]],B283),0), "TRUE", ROUND(D283-SUMIFS(AN_TME_BY[[#All],[Total Claims Excluded because of Truncation]], AN_TME_BY[[#All],[Insurance Category Code]],5, AN_TME_BY[[#All],[Advanced Network/Insurance Carrier Org ID]],B283),2))</f>
        <v>TRUE</v>
      </c>
      <c r="J283" s="537" t="str">
        <f>IF(ROUND(E283,0)=ROUND(SUMIFS(AN_TME_BY[[#All],[Count of Members with Claims Truncated]], AN_TME_BY[[#All],[Insurance Category Code]],5, AN_TME_BY[[#All],[Advanced Network/Insurance Carrier Org ID]],B283),0), "TRUE", ROUND(E283-SUMIFS(AN_TME_BY[[#All],[Count of Members with Claims Truncated]], AN_TME_BY[[#All],[Insurance Category Code]],5, AN_TME_BY[[#All],[Advanced Network/Insurance Carrier Org ID]],B283),2))</f>
        <v>TRUE</v>
      </c>
      <c r="K283" s="533" t="str">
        <f>IF(ROUND(F283,0)=ROUND(SUMIFS(AN_TME_BY[[#All],[TOTAL Non-Truncated Unadjusted Claims Expenses]], AN_TME_BY[[#All],[Insurance Category Code]],5, AN_TME_BY[[#All],[Advanced Network/Insurance Carrier Org ID]],B283),0), "TRUE", ROUND(F283-SUMIFS(AN_TME_BY[[#All],[TOTAL Non-Truncated Unadjusted Claims Expenses]], AN_TME_BY[[#All],[Insurance Category Code]],5, AN_TME_BY[[#All],[Advanced Network/Insurance Carrier Org ID]],B283),2))</f>
        <v>TRUE</v>
      </c>
      <c r="L283" s="534" t="str">
        <f>IF(ROUND(G283,0)=ROUND(SUMIFS(AN_TME_BY[[#All],[TOTAL Truncated Unadjusted Claims Expenses (A21 -A19)]], AN_TME_BY[[#All],[Insurance Category Code]],5, AN_TME_BY[[#All],[Advanced Network/Insurance Carrier Org ID]],B283),0), "TRUE", ROUND(G283-SUMIFS(AN_TME_BY[[#All],[TOTAL Truncated Unadjusted Claims Expenses (A21 -A19)]], AN_TME_BY[[#All],[Insurance Category Code]],5, AN_TME_BY[[#All],[Advanced Network/Insurance Carrier Org ID]],B283),2))</f>
        <v>TRUE</v>
      </c>
      <c r="M283" s="525" t="str">
        <f t="shared" si="35"/>
        <v>TRUE</v>
      </c>
      <c r="N283" s="533" t="b">
        <f>ROUND(SUMIFS(AN_TME_BY[[#All],[TOTAL Non-Truncated Unadjusted Claims Expenses]], AN_TME_BY[[#All],[Insurance Category Code]],5, AN_TME_BY[[#All],[Advanced Network/Insurance Carrier Org ID]],B283),2)&gt;=ROUND(SUMIFS(AN_TME_BY[[#All],[TOTAL Truncated Unadjusted Claims Expenses (A21 -A19)]], AN_TME_BY[[#All],[Insurance Category Code]],5, AN_TME_BY[[#All],[Advanced Network/Insurance Carrier Org ID]],B283),2)</f>
        <v>1</v>
      </c>
      <c r="O283" s="534" t="b">
        <f>ROUND(SUMIFS(AN_TME_BY[[#All],[TOTAL Truncated Unadjusted Claims Expenses (A21 -A19)]], AN_TME_BY[[#All],[Insurance Category Code]],5, AN_TME_BY[[#All],[Advanced Network/Insurance Carrier Org ID]],B283)+SUMIFS(AN_TME_BY[[#All],[Total Claims Excluded because of Truncation]], AN_TME_BY[[#All],[Insurance Category Code]],5, AN_TME_BY[[#All],[Advanced Network/Insurance Carrier Org ID]],B283),2)=ROUND(SUMIFS(AN_TME_BY[[#All],[TOTAL Non-Truncated Unadjusted Claims Expenses]], AN_TME_BY[[#All],[Insurance Category Code]],5, AN_TME_BY[[#All],[Advanced Network/Insurance Carrier Org ID]],B283),2)</f>
        <v>1</v>
      </c>
      <c r="Q283" s="216">
        <v>104</v>
      </c>
      <c r="R283" s="404">
        <f>ROUND(SUMIFS(Age_Sex_PY[[#All],[Total Member Months by Age/Sex Band]], Age_Sex_PY[[#All],[Advanced Network ID]], $Q283, Age_Sex_PY[[#All],[Insurance Category Code]],5),2)</f>
        <v>0</v>
      </c>
      <c r="S283" s="238">
        <f>ROUND(SUMIFS(Age_Sex_PY[[#All],[Total Dollars Excluded from Spending After Applying Truncation at the Member Level]], Age_Sex_PY[[#All],[Advanced Network ID]], $B283, Age_Sex_PY[[#All],[Insurance Category Code]],5),2)</f>
        <v>0</v>
      </c>
      <c r="T283" s="209">
        <f>ROUND(SUMIFS(Age_Sex_PY[[#All],[Count of Members whose Spending was Truncated]], Age_Sex_PY[[#All],[Advanced Network ID]], $B283, Age_Sex_PY[[#All],[Insurance Category Code]],5),2)</f>
        <v>0</v>
      </c>
      <c r="U283" s="210">
        <f>ROUND(SUMIFS(Age_Sex_PY[[#All],[Total Spending before Truncation is Applied]], Age_Sex_PY[[#All],[Advanced Network ID]], $B283, Age_Sex_PY[[#All],[Insurance Category Code]],5), 2)</f>
        <v>0</v>
      </c>
      <c r="V283" s="212">
        <f>ROUND(SUMIFS(Age_Sex_PY[[#All],[Total Spending After Applying Truncation at the Member Level]], Age_Sex_PY[[#All],[Advanced Network ID]], $B283, Age_Sex_PY[[#All],[Insurance Category Code]],5),2)</f>
        <v>0</v>
      </c>
      <c r="W283" s="525" t="str">
        <f>IF(ROUND(R283,0)=ROUND(SUMIFS(AN_TME_PY[[#All],[Member Months]], AN_TME_PY[[#All],[Insurance Category Code]],5, AN_TME_PY[[#All],[Advanced Network/Insurance Carrier Org ID]],Q283),0), "TRUE", ROUND(R283-SUMIFS(AN_TME_PY[[#All],[Member Months]], AN_TME_PY[[#All],[Insurance Category Code]],5, AN_TME_PY[[#All],[Advanced Network/Insurance Carrier Org ID]],Q283),2))</f>
        <v>TRUE</v>
      </c>
      <c r="X283" s="527" t="str">
        <f>IF(ROUND(S283,0)=ROUND(SUMIFS(AN_TME_PY[[#All],[Total Claims Excluded because of Truncation]], AN_TME_PY[[#All],[Insurance Category Code]],5, AN_TME_PY[[#All],[Advanced Network/Insurance Carrier Org ID]],Q283),0), "TRUE", ROUND(S283-SUMIFS(AN_TME_PY[[#All],[Total Claims Excluded because of Truncation]], AN_TME_PY[[#All],[Insurance Category Code]],5, AN_TME_PY[[#All],[Advanced Network/Insurance Carrier Org ID]],Q283),2))</f>
        <v>TRUE</v>
      </c>
      <c r="Y283" s="537" t="str">
        <f>IF(ROUND(T283,0)=ROUND(SUMIFS(AN_TME_PY[[#All],[Count of Members with Claims Truncated]], AN_TME_PY[[#All],[Insurance Category Code]],5, AN_TME_PY[[#All],[Advanced Network/Insurance Carrier Org ID]],Q283),0), "TRUE", ROUND(T283-SUMIFS(AN_TME_PY[[#All],[Count of Members with Claims Truncated]], AN_TME_PY[[#All],[Insurance Category Code]],5, AN_TME_PY[[#All],[Advanced Network/Insurance Carrier Org ID]],Q283),2))</f>
        <v>TRUE</v>
      </c>
      <c r="Z283" s="528" t="str">
        <f>IF(ROUND(U283,0)=ROUND(SUMIFS(AN_TME_PY[[#All],[TOTAL Non-Truncated Unadjusted Claims Expenses]], AN_TME_PY[[#All],[Insurance Category Code]],5, AN_TME_PY[[#All],[Advanced Network/Insurance Carrier Org ID]],Q283),0), "TRUE", ROUND(U283-SUMIFS(AN_TME_PY[[#All],[TOTAL Non-Truncated Unadjusted Claims Expenses]], AN_TME_PY[[#All],[Insurance Category Code]],5, AN_TME_PY[[#All],[Advanced Network/Insurance Carrier Org ID]],Q283),2))</f>
        <v>TRUE</v>
      </c>
      <c r="AA283" s="529" t="str">
        <f>IF(ROUND(V283,0)=ROUND(SUMIFS(AN_TME_PY[[#All],[TOTAL Truncated Unadjusted Claims Expenses (A21 -A19)]], AN_TME_PY[[#All],[Insurance Category Code]],5, AN_TME_PY[[#All],[Advanced Network/Insurance Carrier Org ID]],Q283),0), "TRUE", ROUND(V283-SUMIFS(AN_TME_PY[[#All],[TOTAL Truncated Unadjusted Claims Expenses (A21 -A19)]], AN_TME_PY[[#All],[Insurance Category Code]],5, AN_TME_PY[[#All],[Advanced Network/Insurance Carrier Org ID]],Q283),2))</f>
        <v>TRUE</v>
      </c>
      <c r="AB283" s="525" t="str">
        <f t="shared" si="38"/>
        <v>TRUE</v>
      </c>
      <c r="AC283" s="528" t="b">
        <f>ROUND(SUMIFS(AN_TME_PY[[#All],[TOTAL Non-Truncated Unadjusted Claims Expenses]], AN_TME_PY[[#All],[Insurance Category Code]],5, AN_TME_PY[[#All],[Advanced Network/Insurance Carrier Org ID]],Q283),2)&gt;=ROUND(SUMIFS(AN_TME_PY[[#All],[TOTAL Truncated Unadjusted Claims Expenses (A21 -A19)]], AN_TME_PY[[#All],[Insurance Category Code]],5, AN_TME_PY[[#All],[Advanced Network/Insurance Carrier Org ID]],Q283),2)</f>
        <v>1</v>
      </c>
      <c r="AD283" s="529" t="b">
        <f>ROUND(SUMIFS(AN_TME_PY[[#All],[TOTAL Truncated Unadjusted Claims Expenses (A21 -A19)]], AN_TME_PY[[#All],[Insurance Category Code]],5, AN_TME_PY[[#All],[Advanced Network/Insurance Carrier Org ID]],Q283)+SUMIFS(AN_TME_PY[[#All],[Total Claims Excluded because of Truncation]], AN_TME_PY[[#All],[Insurance Category Code]],5, AN_TME_PY[[#All],[Advanced Network/Insurance Carrier Org ID]],Q283),2)=ROUND(SUMIFS(AN_TME_PY[[#All],[TOTAL Non-Truncated Unadjusted Claims Expenses]], AN_TME_PY[[#All],[Insurance Category Code]],5, AN_TME_PY[[#All],[Advanced Network/Insurance Carrier Org ID]],Q283),2)</f>
        <v>1</v>
      </c>
      <c r="AF283" s="283" t="str">
        <f t="shared" si="37"/>
        <v>NA</v>
      </c>
    </row>
    <row r="284" spans="2:32" outlineLevel="1" x14ac:dyDescent="0.25">
      <c r="B284" s="216">
        <v>105</v>
      </c>
      <c r="C284" s="404">
        <f>ROUND(SUMIFS(Age_Sex_BY[[#All],[Total Member Months by Age/Sex Band]], Age_Sex_BY[[#All],[Advanced Network ID]], $B284, Age_Sex_BY[[#All],[Insurance Category Code]],5),2)</f>
        <v>0</v>
      </c>
      <c r="D284" s="238">
        <f>ROUND(SUMIFS(Age_Sex_BY[[#All],[Total Dollars Excluded from Spending After Applying Truncation at the Member Level]], Age_Sex_BY[[#All],[Advanced Network ID]], $B284, Age_Sex_BY[[#All],[Insurance Category Code]],5),2)</f>
        <v>0</v>
      </c>
      <c r="E284" s="209">
        <f>ROUND(SUMIFS(Age_Sex_BY[[#All],[Count of Members whose Spending was Truncated]], Age_Sex_BY[[#All],[Advanced Network ID]], $B284, Age_Sex_BY[[#All],[Insurance Category Code]],5),2)</f>
        <v>0</v>
      </c>
      <c r="F284" s="210">
        <f>ROUND(SUMIFS(Age_Sex_BY[[#All],[Total Spending before Truncation is Applied]], Age_Sex_BY[[#All],[Advanced Network ID]], $B284, Age_Sex_BY[[#All],[Insurance Category Code]],5),2)</f>
        <v>0</v>
      </c>
      <c r="G284" s="212">
        <f>ROUND(SUMIFS(Age_Sex_BY[[#All],[Total Spending After Applying Truncation at the Member Level]], Age_Sex_BY[[#All],[Advanced Network ID]], $B284, Age_Sex_BY[[#All],[Insurance Category Code]],5), 2)</f>
        <v>0</v>
      </c>
      <c r="H284" s="525" t="str">
        <f>IF(ROUND(C284,0)=ROUND(SUMIFS(AN_TME_BY[[#All],[Member Months]], AN_TME_BY[[#All],[Insurance Category Code]],5, AN_TME_BY[[#All],[Advanced Network/Insurance Carrier Org ID]],B284),0), "TRUE", ROUND(C284-SUMIFS(AN_TME_BY[[#All],[Member Months]], AN_TME_BY[[#All],[Insurance Category Code]],5, AN_TME_BY[[#All],[Advanced Network/Insurance Carrier Org ID]],B284),2))</f>
        <v>TRUE</v>
      </c>
      <c r="I284" s="533" t="str">
        <f>IF(ROUND(D284,0)=ROUND(SUMIFS(AN_TME_BY[[#All],[Total Claims Excluded because of Truncation]], AN_TME_BY[[#All],[Insurance Category Code]],5, AN_TME_BY[[#All],[Advanced Network/Insurance Carrier Org ID]],B284),0), "TRUE", ROUND(D284-SUMIFS(AN_TME_BY[[#All],[Total Claims Excluded because of Truncation]], AN_TME_BY[[#All],[Insurance Category Code]],5, AN_TME_BY[[#All],[Advanced Network/Insurance Carrier Org ID]],B284),2))</f>
        <v>TRUE</v>
      </c>
      <c r="J284" s="537" t="str">
        <f>IF(ROUND(E284,0)=ROUND(SUMIFS(AN_TME_BY[[#All],[Count of Members with Claims Truncated]], AN_TME_BY[[#All],[Insurance Category Code]],5, AN_TME_BY[[#All],[Advanced Network/Insurance Carrier Org ID]],B284),0), "TRUE", ROUND(E284-SUMIFS(AN_TME_BY[[#All],[Count of Members with Claims Truncated]], AN_TME_BY[[#All],[Insurance Category Code]],5, AN_TME_BY[[#All],[Advanced Network/Insurance Carrier Org ID]],B284),2))</f>
        <v>TRUE</v>
      </c>
      <c r="K284" s="533" t="str">
        <f>IF(ROUND(F284,0)=ROUND(SUMIFS(AN_TME_BY[[#All],[TOTAL Non-Truncated Unadjusted Claims Expenses]], AN_TME_BY[[#All],[Insurance Category Code]],5, AN_TME_BY[[#All],[Advanced Network/Insurance Carrier Org ID]],B284),0), "TRUE", ROUND(F284-SUMIFS(AN_TME_BY[[#All],[TOTAL Non-Truncated Unadjusted Claims Expenses]], AN_TME_BY[[#All],[Insurance Category Code]],5, AN_TME_BY[[#All],[Advanced Network/Insurance Carrier Org ID]],B284),2))</f>
        <v>TRUE</v>
      </c>
      <c r="L284" s="534" t="str">
        <f>IF(ROUND(G284,0)=ROUND(SUMIFS(AN_TME_BY[[#All],[TOTAL Truncated Unadjusted Claims Expenses (A21 -A19)]], AN_TME_BY[[#All],[Insurance Category Code]],5, AN_TME_BY[[#All],[Advanced Network/Insurance Carrier Org ID]],B284),0), "TRUE", ROUND(G284-SUMIFS(AN_TME_BY[[#All],[TOTAL Truncated Unadjusted Claims Expenses (A21 -A19)]], AN_TME_BY[[#All],[Insurance Category Code]],5, AN_TME_BY[[#All],[Advanced Network/Insurance Carrier Org ID]],B284),2))</f>
        <v>TRUE</v>
      </c>
      <c r="M284" s="525" t="str">
        <f t="shared" si="35"/>
        <v>TRUE</v>
      </c>
      <c r="N284" s="533" t="b">
        <f>ROUND(SUMIFS(AN_TME_BY[[#All],[TOTAL Non-Truncated Unadjusted Claims Expenses]], AN_TME_BY[[#All],[Insurance Category Code]],5, AN_TME_BY[[#All],[Advanced Network/Insurance Carrier Org ID]],B284),2)&gt;=ROUND(SUMIFS(AN_TME_BY[[#All],[TOTAL Truncated Unadjusted Claims Expenses (A21 -A19)]], AN_TME_BY[[#All],[Insurance Category Code]],5, AN_TME_BY[[#All],[Advanced Network/Insurance Carrier Org ID]],B284),2)</f>
        <v>1</v>
      </c>
      <c r="O284" s="534" t="b">
        <f>ROUND(SUMIFS(AN_TME_BY[[#All],[TOTAL Truncated Unadjusted Claims Expenses (A21 -A19)]], AN_TME_BY[[#All],[Insurance Category Code]],5, AN_TME_BY[[#All],[Advanced Network/Insurance Carrier Org ID]],B284)+SUMIFS(AN_TME_BY[[#All],[Total Claims Excluded because of Truncation]], AN_TME_BY[[#All],[Insurance Category Code]],5, AN_TME_BY[[#All],[Advanced Network/Insurance Carrier Org ID]],B284),2)=ROUND(SUMIFS(AN_TME_BY[[#All],[TOTAL Non-Truncated Unadjusted Claims Expenses]], AN_TME_BY[[#All],[Insurance Category Code]],5, AN_TME_BY[[#All],[Advanced Network/Insurance Carrier Org ID]],B284),2)</f>
        <v>1</v>
      </c>
      <c r="Q284" s="216">
        <v>105</v>
      </c>
      <c r="R284" s="404">
        <f>ROUND(SUMIFS(Age_Sex_PY[[#All],[Total Member Months by Age/Sex Band]], Age_Sex_PY[[#All],[Advanced Network ID]], $Q284, Age_Sex_PY[[#All],[Insurance Category Code]],5),2)</f>
        <v>0</v>
      </c>
      <c r="S284" s="238">
        <f>ROUND(SUMIFS(Age_Sex_PY[[#All],[Total Dollars Excluded from Spending After Applying Truncation at the Member Level]], Age_Sex_PY[[#All],[Advanced Network ID]], $B284, Age_Sex_PY[[#All],[Insurance Category Code]],5),2)</f>
        <v>0</v>
      </c>
      <c r="T284" s="209">
        <f>ROUND(SUMIFS(Age_Sex_PY[[#All],[Count of Members whose Spending was Truncated]], Age_Sex_PY[[#All],[Advanced Network ID]], $B284, Age_Sex_PY[[#All],[Insurance Category Code]],5),2)</f>
        <v>0</v>
      </c>
      <c r="U284" s="210">
        <f>ROUND(SUMIFS(Age_Sex_PY[[#All],[Total Spending before Truncation is Applied]], Age_Sex_PY[[#All],[Advanced Network ID]], $B284, Age_Sex_PY[[#All],[Insurance Category Code]],5), 2)</f>
        <v>0</v>
      </c>
      <c r="V284" s="212">
        <f>ROUND(SUMIFS(Age_Sex_PY[[#All],[Total Spending After Applying Truncation at the Member Level]], Age_Sex_PY[[#All],[Advanced Network ID]], $B284, Age_Sex_PY[[#All],[Insurance Category Code]],5),2)</f>
        <v>0</v>
      </c>
      <c r="W284" s="525" t="str">
        <f>IF(ROUND(R284,0)=ROUND(SUMIFS(AN_TME_PY[[#All],[Member Months]], AN_TME_PY[[#All],[Insurance Category Code]],5, AN_TME_PY[[#All],[Advanced Network/Insurance Carrier Org ID]],Q284),0), "TRUE", ROUND(R284-SUMIFS(AN_TME_PY[[#All],[Member Months]], AN_TME_PY[[#All],[Insurance Category Code]],5, AN_TME_PY[[#All],[Advanced Network/Insurance Carrier Org ID]],Q284),2))</f>
        <v>TRUE</v>
      </c>
      <c r="X284" s="527" t="str">
        <f>IF(ROUND(S284,0)=ROUND(SUMIFS(AN_TME_PY[[#All],[Total Claims Excluded because of Truncation]], AN_TME_PY[[#All],[Insurance Category Code]],5, AN_TME_PY[[#All],[Advanced Network/Insurance Carrier Org ID]],Q284),0), "TRUE", ROUND(S284-SUMIFS(AN_TME_PY[[#All],[Total Claims Excluded because of Truncation]], AN_TME_PY[[#All],[Insurance Category Code]],5, AN_TME_PY[[#All],[Advanced Network/Insurance Carrier Org ID]],Q284),2))</f>
        <v>TRUE</v>
      </c>
      <c r="Y284" s="537" t="str">
        <f>IF(ROUND(T284,0)=ROUND(SUMIFS(AN_TME_PY[[#All],[Count of Members with Claims Truncated]], AN_TME_PY[[#All],[Insurance Category Code]],5, AN_TME_PY[[#All],[Advanced Network/Insurance Carrier Org ID]],Q284),0), "TRUE", ROUND(T284-SUMIFS(AN_TME_PY[[#All],[Count of Members with Claims Truncated]], AN_TME_PY[[#All],[Insurance Category Code]],5, AN_TME_PY[[#All],[Advanced Network/Insurance Carrier Org ID]],Q284),2))</f>
        <v>TRUE</v>
      </c>
      <c r="Z284" s="528" t="str">
        <f>IF(ROUND(U284,0)=ROUND(SUMIFS(AN_TME_PY[[#All],[TOTAL Non-Truncated Unadjusted Claims Expenses]], AN_TME_PY[[#All],[Insurance Category Code]],5, AN_TME_PY[[#All],[Advanced Network/Insurance Carrier Org ID]],Q284),0), "TRUE", ROUND(U284-SUMIFS(AN_TME_PY[[#All],[TOTAL Non-Truncated Unadjusted Claims Expenses]], AN_TME_PY[[#All],[Insurance Category Code]],5, AN_TME_PY[[#All],[Advanced Network/Insurance Carrier Org ID]],Q284),2))</f>
        <v>TRUE</v>
      </c>
      <c r="AA284" s="529" t="str">
        <f>IF(ROUND(V284,0)=ROUND(SUMIFS(AN_TME_PY[[#All],[TOTAL Truncated Unadjusted Claims Expenses (A21 -A19)]], AN_TME_PY[[#All],[Insurance Category Code]],5, AN_TME_PY[[#All],[Advanced Network/Insurance Carrier Org ID]],Q284),0), "TRUE", ROUND(V284-SUMIFS(AN_TME_PY[[#All],[TOTAL Truncated Unadjusted Claims Expenses (A21 -A19)]], AN_TME_PY[[#All],[Insurance Category Code]],5, AN_TME_PY[[#All],[Advanced Network/Insurance Carrier Org ID]],Q284),2))</f>
        <v>TRUE</v>
      </c>
      <c r="AB284" s="525" t="str">
        <f t="shared" si="38"/>
        <v>TRUE</v>
      </c>
      <c r="AC284" s="528" t="b">
        <f>ROUND(SUMIFS(AN_TME_PY[[#All],[TOTAL Non-Truncated Unadjusted Claims Expenses]], AN_TME_PY[[#All],[Insurance Category Code]],5, AN_TME_PY[[#All],[Advanced Network/Insurance Carrier Org ID]],Q284),2)&gt;=ROUND(SUMIFS(AN_TME_PY[[#All],[TOTAL Truncated Unadjusted Claims Expenses (A21 -A19)]], AN_TME_PY[[#All],[Insurance Category Code]],5, AN_TME_PY[[#All],[Advanced Network/Insurance Carrier Org ID]],Q284),2)</f>
        <v>1</v>
      </c>
      <c r="AD284" s="529" t="b">
        <f>ROUND(SUMIFS(AN_TME_PY[[#All],[TOTAL Truncated Unadjusted Claims Expenses (A21 -A19)]], AN_TME_PY[[#All],[Insurance Category Code]],5, AN_TME_PY[[#All],[Advanced Network/Insurance Carrier Org ID]],Q284)+SUMIFS(AN_TME_PY[[#All],[Total Claims Excluded because of Truncation]], AN_TME_PY[[#All],[Insurance Category Code]],5, AN_TME_PY[[#All],[Advanced Network/Insurance Carrier Org ID]],Q284),2)=ROUND(SUMIFS(AN_TME_PY[[#All],[TOTAL Non-Truncated Unadjusted Claims Expenses]], AN_TME_PY[[#All],[Insurance Category Code]],5, AN_TME_PY[[#All],[Advanced Network/Insurance Carrier Org ID]],Q284),2)</f>
        <v>1</v>
      </c>
      <c r="AF284" s="283" t="str">
        <f t="shared" si="37"/>
        <v>NA</v>
      </c>
    </row>
    <row r="285" spans="2:32" outlineLevel="1" x14ac:dyDescent="0.25">
      <c r="B285" s="216">
        <v>106</v>
      </c>
      <c r="C285" s="404">
        <f>ROUND(SUMIFS(Age_Sex_BY[[#All],[Total Member Months by Age/Sex Band]], Age_Sex_BY[[#All],[Advanced Network ID]], $B285, Age_Sex_BY[[#All],[Insurance Category Code]],5),2)</f>
        <v>0</v>
      </c>
      <c r="D285" s="238">
        <f>ROUND(SUMIFS(Age_Sex_BY[[#All],[Total Dollars Excluded from Spending After Applying Truncation at the Member Level]], Age_Sex_BY[[#All],[Advanced Network ID]], $B285, Age_Sex_BY[[#All],[Insurance Category Code]],5),2)</f>
        <v>0</v>
      </c>
      <c r="E285" s="209">
        <f>ROUND(SUMIFS(Age_Sex_BY[[#All],[Count of Members whose Spending was Truncated]], Age_Sex_BY[[#All],[Advanced Network ID]], $B285, Age_Sex_BY[[#All],[Insurance Category Code]],5),2)</f>
        <v>0</v>
      </c>
      <c r="F285" s="210">
        <f>ROUND(SUMIFS(Age_Sex_BY[[#All],[Total Spending before Truncation is Applied]], Age_Sex_BY[[#All],[Advanced Network ID]], $B285, Age_Sex_BY[[#All],[Insurance Category Code]],5),2)</f>
        <v>0</v>
      </c>
      <c r="G285" s="212">
        <f>ROUND(SUMIFS(Age_Sex_BY[[#All],[Total Spending After Applying Truncation at the Member Level]], Age_Sex_BY[[#All],[Advanced Network ID]], $B285, Age_Sex_BY[[#All],[Insurance Category Code]],5), 2)</f>
        <v>0</v>
      </c>
      <c r="H285" s="525" t="str">
        <f>IF(ROUND(C285,0)=ROUND(SUMIFS(AN_TME_BY[[#All],[Member Months]], AN_TME_BY[[#All],[Insurance Category Code]],5, AN_TME_BY[[#All],[Advanced Network/Insurance Carrier Org ID]],B285),0), "TRUE", ROUND(C285-SUMIFS(AN_TME_BY[[#All],[Member Months]], AN_TME_BY[[#All],[Insurance Category Code]],5, AN_TME_BY[[#All],[Advanced Network/Insurance Carrier Org ID]],B285),2))</f>
        <v>TRUE</v>
      </c>
      <c r="I285" s="533" t="str">
        <f>IF(ROUND(D285,0)=ROUND(SUMIFS(AN_TME_BY[[#All],[Total Claims Excluded because of Truncation]], AN_TME_BY[[#All],[Insurance Category Code]],5, AN_TME_BY[[#All],[Advanced Network/Insurance Carrier Org ID]],B285),0), "TRUE", ROUND(D285-SUMIFS(AN_TME_BY[[#All],[Total Claims Excluded because of Truncation]], AN_TME_BY[[#All],[Insurance Category Code]],5, AN_TME_BY[[#All],[Advanced Network/Insurance Carrier Org ID]],B285),2))</f>
        <v>TRUE</v>
      </c>
      <c r="J285" s="537" t="str">
        <f>IF(ROUND(E285,0)=ROUND(SUMIFS(AN_TME_BY[[#All],[Count of Members with Claims Truncated]], AN_TME_BY[[#All],[Insurance Category Code]],5, AN_TME_BY[[#All],[Advanced Network/Insurance Carrier Org ID]],B285),0), "TRUE", ROUND(E285-SUMIFS(AN_TME_BY[[#All],[Count of Members with Claims Truncated]], AN_TME_BY[[#All],[Insurance Category Code]],5, AN_TME_BY[[#All],[Advanced Network/Insurance Carrier Org ID]],B285),2))</f>
        <v>TRUE</v>
      </c>
      <c r="K285" s="533" t="str">
        <f>IF(ROUND(F285,0)=ROUND(SUMIFS(AN_TME_BY[[#All],[TOTAL Non-Truncated Unadjusted Claims Expenses]], AN_TME_BY[[#All],[Insurance Category Code]],5, AN_TME_BY[[#All],[Advanced Network/Insurance Carrier Org ID]],B285),0), "TRUE", ROUND(F285-SUMIFS(AN_TME_BY[[#All],[TOTAL Non-Truncated Unadjusted Claims Expenses]], AN_TME_BY[[#All],[Insurance Category Code]],5, AN_TME_BY[[#All],[Advanced Network/Insurance Carrier Org ID]],B285),2))</f>
        <v>TRUE</v>
      </c>
      <c r="L285" s="534" t="str">
        <f>IF(ROUND(G285,0)=ROUND(SUMIFS(AN_TME_BY[[#All],[TOTAL Truncated Unadjusted Claims Expenses (A21 -A19)]], AN_TME_BY[[#All],[Insurance Category Code]],5, AN_TME_BY[[#All],[Advanced Network/Insurance Carrier Org ID]],B285),0), "TRUE", ROUND(G285-SUMIFS(AN_TME_BY[[#All],[TOTAL Truncated Unadjusted Claims Expenses (A21 -A19)]], AN_TME_BY[[#All],[Insurance Category Code]],5, AN_TME_BY[[#All],[Advanced Network/Insurance Carrier Org ID]],B285),2))</f>
        <v>TRUE</v>
      </c>
      <c r="M285" s="525" t="str">
        <f t="shared" si="35"/>
        <v>TRUE</v>
      </c>
      <c r="N285" s="533" t="b">
        <f>ROUND(SUMIFS(AN_TME_BY[[#All],[TOTAL Non-Truncated Unadjusted Claims Expenses]], AN_TME_BY[[#All],[Insurance Category Code]],5, AN_TME_BY[[#All],[Advanced Network/Insurance Carrier Org ID]],B285),2)&gt;=ROUND(SUMIFS(AN_TME_BY[[#All],[TOTAL Truncated Unadjusted Claims Expenses (A21 -A19)]], AN_TME_BY[[#All],[Insurance Category Code]],5, AN_TME_BY[[#All],[Advanced Network/Insurance Carrier Org ID]],B285),2)</f>
        <v>1</v>
      </c>
      <c r="O285" s="534" t="b">
        <f>ROUND(SUMIFS(AN_TME_BY[[#All],[TOTAL Truncated Unadjusted Claims Expenses (A21 -A19)]], AN_TME_BY[[#All],[Insurance Category Code]],5, AN_TME_BY[[#All],[Advanced Network/Insurance Carrier Org ID]],B285)+SUMIFS(AN_TME_BY[[#All],[Total Claims Excluded because of Truncation]], AN_TME_BY[[#All],[Insurance Category Code]],5, AN_TME_BY[[#All],[Advanced Network/Insurance Carrier Org ID]],B285),2)=ROUND(SUMIFS(AN_TME_BY[[#All],[TOTAL Non-Truncated Unadjusted Claims Expenses]], AN_TME_BY[[#All],[Insurance Category Code]],5, AN_TME_BY[[#All],[Advanced Network/Insurance Carrier Org ID]],B285),2)</f>
        <v>1</v>
      </c>
      <c r="Q285" s="216">
        <v>106</v>
      </c>
      <c r="R285" s="404">
        <f>ROUND(SUMIFS(Age_Sex_PY[[#All],[Total Member Months by Age/Sex Band]], Age_Sex_PY[[#All],[Advanced Network ID]], $Q285, Age_Sex_PY[[#All],[Insurance Category Code]],5),2)</f>
        <v>0</v>
      </c>
      <c r="S285" s="238">
        <f>ROUND(SUMIFS(Age_Sex_PY[[#All],[Total Dollars Excluded from Spending After Applying Truncation at the Member Level]], Age_Sex_PY[[#All],[Advanced Network ID]], $B285, Age_Sex_PY[[#All],[Insurance Category Code]],5),2)</f>
        <v>0</v>
      </c>
      <c r="T285" s="209">
        <f>ROUND(SUMIFS(Age_Sex_PY[[#All],[Count of Members whose Spending was Truncated]], Age_Sex_PY[[#All],[Advanced Network ID]], $B285, Age_Sex_PY[[#All],[Insurance Category Code]],5),2)</f>
        <v>0</v>
      </c>
      <c r="U285" s="210">
        <f>ROUND(SUMIFS(Age_Sex_PY[[#All],[Total Spending before Truncation is Applied]], Age_Sex_PY[[#All],[Advanced Network ID]], $B285, Age_Sex_PY[[#All],[Insurance Category Code]],5), 2)</f>
        <v>0</v>
      </c>
      <c r="V285" s="212">
        <f>ROUND(SUMIFS(Age_Sex_PY[[#All],[Total Spending After Applying Truncation at the Member Level]], Age_Sex_PY[[#All],[Advanced Network ID]], $B285, Age_Sex_PY[[#All],[Insurance Category Code]],5),2)</f>
        <v>0</v>
      </c>
      <c r="W285" s="525" t="str">
        <f>IF(ROUND(R285,0)=ROUND(SUMIFS(AN_TME_PY[[#All],[Member Months]], AN_TME_PY[[#All],[Insurance Category Code]],5, AN_TME_PY[[#All],[Advanced Network/Insurance Carrier Org ID]],Q285),0), "TRUE", ROUND(R285-SUMIFS(AN_TME_PY[[#All],[Member Months]], AN_TME_PY[[#All],[Insurance Category Code]],5, AN_TME_PY[[#All],[Advanced Network/Insurance Carrier Org ID]],Q285),2))</f>
        <v>TRUE</v>
      </c>
      <c r="X285" s="527" t="str">
        <f>IF(ROUND(S285,0)=ROUND(SUMIFS(AN_TME_PY[[#All],[Total Claims Excluded because of Truncation]], AN_TME_PY[[#All],[Insurance Category Code]],5, AN_TME_PY[[#All],[Advanced Network/Insurance Carrier Org ID]],Q285),0), "TRUE", ROUND(S285-SUMIFS(AN_TME_PY[[#All],[Total Claims Excluded because of Truncation]], AN_TME_PY[[#All],[Insurance Category Code]],5, AN_TME_PY[[#All],[Advanced Network/Insurance Carrier Org ID]],Q285),2))</f>
        <v>TRUE</v>
      </c>
      <c r="Y285" s="537" t="str">
        <f>IF(ROUND(T285,0)=ROUND(SUMIFS(AN_TME_PY[[#All],[Count of Members with Claims Truncated]], AN_TME_PY[[#All],[Insurance Category Code]],5, AN_TME_PY[[#All],[Advanced Network/Insurance Carrier Org ID]],Q285),0), "TRUE", ROUND(T285-SUMIFS(AN_TME_PY[[#All],[Count of Members with Claims Truncated]], AN_TME_PY[[#All],[Insurance Category Code]],5, AN_TME_PY[[#All],[Advanced Network/Insurance Carrier Org ID]],Q285),2))</f>
        <v>TRUE</v>
      </c>
      <c r="Z285" s="528" t="str">
        <f>IF(ROUND(U285,0)=ROUND(SUMIFS(AN_TME_PY[[#All],[TOTAL Non-Truncated Unadjusted Claims Expenses]], AN_TME_PY[[#All],[Insurance Category Code]],5, AN_TME_PY[[#All],[Advanced Network/Insurance Carrier Org ID]],Q285),0), "TRUE", ROUND(U285-SUMIFS(AN_TME_PY[[#All],[TOTAL Non-Truncated Unadjusted Claims Expenses]], AN_TME_PY[[#All],[Insurance Category Code]],5, AN_TME_PY[[#All],[Advanced Network/Insurance Carrier Org ID]],Q285),2))</f>
        <v>TRUE</v>
      </c>
      <c r="AA285" s="529" t="str">
        <f>IF(ROUND(V285,0)=ROUND(SUMIFS(AN_TME_PY[[#All],[TOTAL Truncated Unadjusted Claims Expenses (A21 -A19)]], AN_TME_PY[[#All],[Insurance Category Code]],5, AN_TME_PY[[#All],[Advanced Network/Insurance Carrier Org ID]],Q285),0), "TRUE", ROUND(V285-SUMIFS(AN_TME_PY[[#All],[TOTAL Truncated Unadjusted Claims Expenses (A21 -A19)]], AN_TME_PY[[#All],[Insurance Category Code]],5, AN_TME_PY[[#All],[Advanced Network/Insurance Carrier Org ID]],Q285),2))</f>
        <v>TRUE</v>
      </c>
      <c r="AB285" s="525" t="str">
        <f t="shared" si="38"/>
        <v>TRUE</v>
      </c>
      <c r="AC285" s="528" t="b">
        <f>ROUND(SUMIFS(AN_TME_PY[[#All],[TOTAL Non-Truncated Unadjusted Claims Expenses]], AN_TME_PY[[#All],[Insurance Category Code]],5, AN_TME_PY[[#All],[Advanced Network/Insurance Carrier Org ID]],Q285),2)&gt;=ROUND(SUMIFS(AN_TME_PY[[#All],[TOTAL Truncated Unadjusted Claims Expenses (A21 -A19)]], AN_TME_PY[[#All],[Insurance Category Code]],5, AN_TME_PY[[#All],[Advanced Network/Insurance Carrier Org ID]],Q285),2)</f>
        <v>1</v>
      </c>
      <c r="AD285" s="529" t="b">
        <f>ROUND(SUMIFS(AN_TME_PY[[#All],[TOTAL Truncated Unadjusted Claims Expenses (A21 -A19)]], AN_TME_PY[[#All],[Insurance Category Code]],5, AN_TME_PY[[#All],[Advanced Network/Insurance Carrier Org ID]],Q285)+SUMIFS(AN_TME_PY[[#All],[Total Claims Excluded because of Truncation]], AN_TME_PY[[#All],[Insurance Category Code]],5, AN_TME_PY[[#All],[Advanced Network/Insurance Carrier Org ID]],Q285),2)=ROUND(SUMIFS(AN_TME_PY[[#All],[TOTAL Non-Truncated Unadjusted Claims Expenses]], AN_TME_PY[[#All],[Insurance Category Code]],5, AN_TME_PY[[#All],[Advanced Network/Insurance Carrier Org ID]],Q285),2)</f>
        <v>1</v>
      </c>
      <c r="AF285" s="283" t="str">
        <f t="shared" si="37"/>
        <v>NA</v>
      </c>
    </row>
    <row r="286" spans="2:32" outlineLevel="1" x14ac:dyDescent="0.25">
      <c r="B286" s="216">
        <v>107</v>
      </c>
      <c r="C286" s="404">
        <f>ROUND(SUMIFS(Age_Sex_BY[[#All],[Total Member Months by Age/Sex Band]], Age_Sex_BY[[#All],[Advanced Network ID]], $B286, Age_Sex_BY[[#All],[Insurance Category Code]],5),2)</f>
        <v>0</v>
      </c>
      <c r="D286" s="238">
        <f>ROUND(SUMIFS(Age_Sex_BY[[#All],[Total Dollars Excluded from Spending After Applying Truncation at the Member Level]], Age_Sex_BY[[#All],[Advanced Network ID]], $B286, Age_Sex_BY[[#All],[Insurance Category Code]],5),2)</f>
        <v>0</v>
      </c>
      <c r="E286" s="209">
        <f>ROUND(SUMIFS(Age_Sex_BY[[#All],[Count of Members whose Spending was Truncated]], Age_Sex_BY[[#All],[Advanced Network ID]], $B286, Age_Sex_BY[[#All],[Insurance Category Code]],5),2)</f>
        <v>0</v>
      </c>
      <c r="F286" s="210">
        <f>ROUND(SUMIFS(Age_Sex_BY[[#All],[Total Spending before Truncation is Applied]], Age_Sex_BY[[#All],[Advanced Network ID]], $B286, Age_Sex_BY[[#All],[Insurance Category Code]],5),2)</f>
        <v>0</v>
      </c>
      <c r="G286" s="212">
        <f>ROUND(SUMIFS(Age_Sex_BY[[#All],[Total Spending After Applying Truncation at the Member Level]], Age_Sex_BY[[#All],[Advanced Network ID]], $B286, Age_Sex_BY[[#All],[Insurance Category Code]],5), 2)</f>
        <v>0</v>
      </c>
      <c r="H286" s="525" t="str">
        <f>IF(ROUND(C286,0)=ROUND(SUMIFS(AN_TME_BY[[#All],[Member Months]], AN_TME_BY[[#All],[Insurance Category Code]],5, AN_TME_BY[[#All],[Advanced Network/Insurance Carrier Org ID]],B286),0), "TRUE", ROUND(C286-SUMIFS(AN_TME_BY[[#All],[Member Months]], AN_TME_BY[[#All],[Insurance Category Code]],5, AN_TME_BY[[#All],[Advanced Network/Insurance Carrier Org ID]],B286),2))</f>
        <v>TRUE</v>
      </c>
      <c r="I286" s="533" t="str">
        <f>IF(ROUND(D286,0)=ROUND(SUMIFS(AN_TME_BY[[#All],[Total Claims Excluded because of Truncation]], AN_TME_BY[[#All],[Insurance Category Code]],5, AN_TME_BY[[#All],[Advanced Network/Insurance Carrier Org ID]],B286),0), "TRUE", ROUND(D286-SUMIFS(AN_TME_BY[[#All],[Total Claims Excluded because of Truncation]], AN_TME_BY[[#All],[Insurance Category Code]],5, AN_TME_BY[[#All],[Advanced Network/Insurance Carrier Org ID]],B286),2))</f>
        <v>TRUE</v>
      </c>
      <c r="J286" s="537" t="str">
        <f>IF(ROUND(E286,0)=ROUND(SUMIFS(AN_TME_BY[[#All],[Count of Members with Claims Truncated]], AN_TME_BY[[#All],[Insurance Category Code]],5, AN_TME_BY[[#All],[Advanced Network/Insurance Carrier Org ID]],B286),0), "TRUE", ROUND(E286-SUMIFS(AN_TME_BY[[#All],[Count of Members with Claims Truncated]], AN_TME_BY[[#All],[Insurance Category Code]],5, AN_TME_BY[[#All],[Advanced Network/Insurance Carrier Org ID]],B286),2))</f>
        <v>TRUE</v>
      </c>
      <c r="K286" s="533" t="str">
        <f>IF(ROUND(F286,0)=ROUND(SUMIFS(AN_TME_BY[[#All],[TOTAL Non-Truncated Unadjusted Claims Expenses]], AN_TME_BY[[#All],[Insurance Category Code]],5, AN_TME_BY[[#All],[Advanced Network/Insurance Carrier Org ID]],B286),0), "TRUE", ROUND(F286-SUMIFS(AN_TME_BY[[#All],[TOTAL Non-Truncated Unadjusted Claims Expenses]], AN_TME_BY[[#All],[Insurance Category Code]],5, AN_TME_BY[[#All],[Advanced Network/Insurance Carrier Org ID]],B286),2))</f>
        <v>TRUE</v>
      </c>
      <c r="L286" s="534" t="str">
        <f>IF(ROUND(G286,0)=ROUND(SUMIFS(AN_TME_BY[[#All],[TOTAL Truncated Unadjusted Claims Expenses (A21 -A19)]], AN_TME_BY[[#All],[Insurance Category Code]],5, AN_TME_BY[[#All],[Advanced Network/Insurance Carrier Org ID]],B286),0), "TRUE", ROUND(G286-SUMIFS(AN_TME_BY[[#All],[TOTAL Truncated Unadjusted Claims Expenses (A21 -A19)]], AN_TME_BY[[#All],[Insurance Category Code]],5, AN_TME_BY[[#All],[Advanced Network/Insurance Carrier Org ID]],B286),2))</f>
        <v>TRUE</v>
      </c>
      <c r="M286" s="525" t="str">
        <f t="shared" si="35"/>
        <v>TRUE</v>
      </c>
      <c r="N286" s="533" t="b">
        <f>ROUND(SUMIFS(AN_TME_BY[[#All],[TOTAL Non-Truncated Unadjusted Claims Expenses]], AN_TME_BY[[#All],[Insurance Category Code]],5, AN_TME_BY[[#All],[Advanced Network/Insurance Carrier Org ID]],B286),2)&gt;=ROUND(SUMIFS(AN_TME_BY[[#All],[TOTAL Truncated Unadjusted Claims Expenses (A21 -A19)]], AN_TME_BY[[#All],[Insurance Category Code]],5, AN_TME_BY[[#All],[Advanced Network/Insurance Carrier Org ID]],B286),2)</f>
        <v>1</v>
      </c>
      <c r="O286" s="534" t="b">
        <f>ROUND(SUMIFS(AN_TME_BY[[#All],[TOTAL Truncated Unadjusted Claims Expenses (A21 -A19)]], AN_TME_BY[[#All],[Insurance Category Code]],5, AN_TME_BY[[#All],[Advanced Network/Insurance Carrier Org ID]],B286)+SUMIFS(AN_TME_BY[[#All],[Total Claims Excluded because of Truncation]], AN_TME_BY[[#All],[Insurance Category Code]],5, AN_TME_BY[[#All],[Advanced Network/Insurance Carrier Org ID]],B286),2)=ROUND(SUMIFS(AN_TME_BY[[#All],[TOTAL Non-Truncated Unadjusted Claims Expenses]], AN_TME_BY[[#All],[Insurance Category Code]],5, AN_TME_BY[[#All],[Advanced Network/Insurance Carrier Org ID]],B286),2)</f>
        <v>1</v>
      </c>
      <c r="Q286" s="216">
        <v>107</v>
      </c>
      <c r="R286" s="404">
        <f>ROUND(SUMIFS(Age_Sex_PY[[#All],[Total Member Months by Age/Sex Band]], Age_Sex_PY[[#All],[Advanced Network ID]], $Q286, Age_Sex_PY[[#All],[Insurance Category Code]],5),2)</f>
        <v>0</v>
      </c>
      <c r="S286" s="238">
        <f>ROUND(SUMIFS(Age_Sex_PY[[#All],[Total Dollars Excluded from Spending After Applying Truncation at the Member Level]], Age_Sex_PY[[#All],[Advanced Network ID]], $B286, Age_Sex_PY[[#All],[Insurance Category Code]],5),2)</f>
        <v>0</v>
      </c>
      <c r="T286" s="209">
        <f>ROUND(SUMIFS(Age_Sex_PY[[#All],[Count of Members whose Spending was Truncated]], Age_Sex_PY[[#All],[Advanced Network ID]], $B286, Age_Sex_PY[[#All],[Insurance Category Code]],5),2)</f>
        <v>0</v>
      </c>
      <c r="U286" s="210">
        <f>ROUND(SUMIFS(Age_Sex_PY[[#All],[Total Spending before Truncation is Applied]], Age_Sex_PY[[#All],[Advanced Network ID]], $B286, Age_Sex_PY[[#All],[Insurance Category Code]],5), 2)</f>
        <v>0</v>
      </c>
      <c r="V286" s="212">
        <f>ROUND(SUMIFS(Age_Sex_PY[[#All],[Total Spending After Applying Truncation at the Member Level]], Age_Sex_PY[[#All],[Advanced Network ID]], $B286, Age_Sex_PY[[#All],[Insurance Category Code]],5),2)</f>
        <v>0</v>
      </c>
      <c r="W286" s="525" t="str">
        <f>IF(ROUND(R286,0)=ROUND(SUMIFS(AN_TME_PY[[#All],[Member Months]], AN_TME_PY[[#All],[Insurance Category Code]],5, AN_TME_PY[[#All],[Advanced Network/Insurance Carrier Org ID]],Q286),0), "TRUE", ROUND(R286-SUMIFS(AN_TME_PY[[#All],[Member Months]], AN_TME_PY[[#All],[Insurance Category Code]],5, AN_TME_PY[[#All],[Advanced Network/Insurance Carrier Org ID]],Q286),2))</f>
        <v>TRUE</v>
      </c>
      <c r="X286" s="527" t="str">
        <f>IF(ROUND(S286,0)=ROUND(SUMIFS(AN_TME_PY[[#All],[Total Claims Excluded because of Truncation]], AN_TME_PY[[#All],[Insurance Category Code]],5, AN_TME_PY[[#All],[Advanced Network/Insurance Carrier Org ID]],Q286),0), "TRUE", ROUND(S286-SUMIFS(AN_TME_PY[[#All],[Total Claims Excluded because of Truncation]], AN_TME_PY[[#All],[Insurance Category Code]],5, AN_TME_PY[[#All],[Advanced Network/Insurance Carrier Org ID]],Q286),2))</f>
        <v>TRUE</v>
      </c>
      <c r="Y286" s="537" t="str">
        <f>IF(ROUND(T286,0)=ROUND(SUMIFS(AN_TME_PY[[#All],[Count of Members with Claims Truncated]], AN_TME_PY[[#All],[Insurance Category Code]],5, AN_TME_PY[[#All],[Advanced Network/Insurance Carrier Org ID]],Q286),0), "TRUE", ROUND(T286-SUMIFS(AN_TME_PY[[#All],[Count of Members with Claims Truncated]], AN_TME_PY[[#All],[Insurance Category Code]],5, AN_TME_PY[[#All],[Advanced Network/Insurance Carrier Org ID]],Q286),2))</f>
        <v>TRUE</v>
      </c>
      <c r="Z286" s="528" t="str">
        <f>IF(ROUND(U286,0)=ROUND(SUMIFS(AN_TME_PY[[#All],[TOTAL Non-Truncated Unadjusted Claims Expenses]], AN_TME_PY[[#All],[Insurance Category Code]],5, AN_TME_PY[[#All],[Advanced Network/Insurance Carrier Org ID]],Q286),0), "TRUE", ROUND(U286-SUMIFS(AN_TME_PY[[#All],[TOTAL Non-Truncated Unadjusted Claims Expenses]], AN_TME_PY[[#All],[Insurance Category Code]],5, AN_TME_PY[[#All],[Advanced Network/Insurance Carrier Org ID]],Q286),2))</f>
        <v>TRUE</v>
      </c>
      <c r="AA286" s="529" t="str">
        <f>IF(ROUND(V286,0)=ROUND(SUMIFS(AN_TME_PY[[#All],[TOTAL Truncated Unadjusted Claims Expenses (A21 -A19)]], AN_TME_PY[[#All],[Insurance Category Code]],5, AN_TME_PY[[#All],[Advanced Network/Insurance Carrier Org ID]],Q286),0), "TRUE", ROUND(V286-SUMIFS(AN_TME_PY[[#All],[TOTAL Truncated Unadjusted Claims Expenses (A21 -A19)]], AN_TME_PY[[#All],[Insurance Category Code]],5, AN_TME_PY[[#All],[Advanced Network/Insurance Carrier Org ID]],Q286),2))</f>
        <v>TRUE</v>
      </c>
      <c r="AB286" s="525" t="str">
        <f t="shared" si="38"/>
        <v>TRUE</v>
      </c>
      <c r="AC286" s="528" t="b">
        <f>ROUND(SUMIFS(AN_TME_PY[[#All],[TOTAL Non-Truncated Unadjusted Claims Expenses]], AN_TME_PY[[#All],[Insurance Category Code]],5, AN_TME_PY[[#All],[Advanced Network/Insurance Carrier Org ID]],Q286),2)&gt;=ROUND(SUMIFS(AN_TME_PY[[#All],[TOTAL Truncated Unadjusted Claims Expenses (A21 -A19)]], AN_TME_PY[[#All],[Insurance Category Code]],5, AN_TME_PY[[#All],[Advanced Network/Insurance Carrier Org ID]],Q286),2)</f>
        <v>1</v>
      </c>
      <c r="AD286" s="529" t="b">
        <f>ROUND(SUMIFS(AN_TME_PY[[#All],[TOTAL Truncated Unadjusted Claims Expenses (A21 -A19)]], AN_TME_PY[[#All],[Insurance Category Code]],5, AN_TME_PY[[#All],[Advanced Network/Insurance Carrier Org ID]],Q286)+SUMIFS(AN_TME_PY[[#All],[Total Claims Excluded because of Truncation]], AN_TME_PY[[#All],[Insurance Category Code]],5, AN_TME_PY[[#All],[Advanced Network/Insurance Carrier Org ID]],Q286),2)=ROUND(SUMIFS(AN_TME_PY[[#All],[TOTAL Non-Truncated Unadjusted Claims Expenses]], AN_TME_PY[[#All],[Insurance Category Code]],5, AN_TME_PY[[#All],[Advanced Network/Insurance Carrier Org ID]],Q286),2)</f>
        <v>1</v>
      </c>
      <c r="AF286" s="283" t="str">
        <f t="shared" si="37"/>
        <v>NA</v>
      </c>
    </row>
    <row r="287" spans="2:32" outlineLevel="1" x14ac:dyDescent="0.25">
      <c r="B287" s="216">
        <v>108</v>
      </c>
      <c r="C287" s="404">
        <f>ROUND(SUMIFS(Age_Sex_BY[[#All],[Total Member Months by Age/Sex Band]], Age_Sex_BY[[#All],[Advanced Network ID]], $B287, Age_Sex_BY[[#All],[Insurance Category Code]],5),2)</f>
        <v>0</v>
      </c>
      <c r="D287" s="238">
        <f>ROUND(SUMIFS(Age_Sex_BY[[#All],[Total Dollars Excluded from Spending After Applying Truncation at the Member Level]], Age_Sex_BY[[#All],[Advanced Network ID]], $B287, Age_Sex_BY[[#All],[Insurance Category Code]],5),2)</f>
        <v>0</v>
      </c>
      <c r="E287" s="209">
        <f>ROUND(SUMIFS(Age_Sex_BY[[#All],[Count of Members whose Spending was Truncated]], Age_Sex_BY[[#All],[Advanced Network ID]], $B287, Age_Sex_BY[[#All],[Insurance Category Code]],5),2)</f>
        <v>0</v>
      </c>
      <c r="F287" s="210">
        <f>ROUND(SUMIFS(Age_Sex_BY[[#All],[Total Spending before Truncation is Applied]], Age_Sex_BY[[#All],[Advanced Network ID]], $B287, Age_Sex_BY[[#All],[Insurance Category Code]],5),2)</f>
        <v>0</v>
      </c>
      <c r="G287" s="212">
        <f>ROUND(SUMIFS(Age_Sex_BY[[#All],[Total Spending After Applying Truncation at the Member Level]], Age_Sex_BY[[#All],[Advanced Network ID]], $B287, Age_Sex_BY[[#All],[Insurance Category Code]],5), 2)</f>
        <v>0</v>
      </c>
      <c r="H287" s="525" t="str">
        <f>IF(ROUND(C287,0)=ROUND(SUMIFS(AN_TME_BY[[#All],[Member Months]], AN_TME_BY[[#All],[Insurance Category Code]],5, AN_TME_BY[[#All],[Advanced Network/Insurance Carrier Org ID]],B287),0), "TRUE", ROUND(C287-SUMIFS(AN_TME_BY[[#All],[Member Months]], AN_TME_BY[[#All],[Insurance Category Code]],5, AN_TME_BY[[#All],[Advanced Network/Insurance Carrier Org ID]],B287),2))</f>
        <v>TRUE</v>
      </c>
      <c r="I287" s="533" t="str">
        <f>IF(ROUND(D287,0)=ROUND(SUMIFS(AN_TME_BY[[#All],[Total Claims Excluded because of Truncation]], AN_TME_BY[[#All],[Insurance Category Code]],5, AN_TME_BY[[#All],[Advanced Network/Insurance Carrier Org ID]],B287),0), "TRUE", ROUND(D287-SUMIFS(AN_TME_BY[[#All],[Total Claims Excluded because of Truncation]], AN_TME_BY[[#All],[Insurance Category Code]],5, AN_TME_BY[[#All],[Advanced Network/Insurance Carrier Org ID]],B287),2))</f>
        <v>TRUE</v>
      </c>
      <c r="J287" s="537" t="str">
        <f>IF(ROUND(E287,0)=ROUND(SUMIFS(AN_TME_BY[[#All],[Count of Members with Claims Truncated]], AN_TME_BY[[#All],[Insurance Category Code]],5, AN_TME_BY[[#All],[Advanced Network/Insurance Carrier Org ID]],B287),0), "TRUE", ROUND(E287-SUMIFS(AN_TME_BY[[#All],[Count of Members with Claims Truncated]], AN_TME_BY[[#All],[Insurance Category Code]],5, AN_TME_BY[[#All],[Advanced Network/Insurance Carrier Org ID]],B287),2))</f>
        <v>TRUE</v>
      </c>
      <c r="K287" s="533" t="str">
        <f>IF(ROUND(F287,0)=ROUND(SUMIFS(AN_TME_BY[[#All],[TOTAL Non-Truncated Unadjusted Claims Expenses]], AN_TME_BY[[#All],[Insurance Category Code]],5, AN_TME_BY[[#All],[Advanced Network/Insurance Carrier Org ID]],B287),0), "TRUE", ROUND(F287-SUMIFS(AN_TME_BY[[#All],[TOTAL Non-Truncated Unadjusted Claims Expenses]], AN_TME_BY[[#All],[Insurance Category Code]],5, AN_TME_BY[[#All],[Advanced Network/Insurance Carrier Org ID]],B287),2))</f>
        <v>TRUE</v>
      </c>
      <c r="L287" s="534" t="str">
        <f>IF(ROUND(G287,0)=ROUND(SUMIFS(AN_TME_BY[[#All],[TOTAL Truncated Unadjusted Claims Expenses (A21 -A19)]], AN_TME_BY[[#All],[Insurance Category Code]],5, AN_TME_BY[[#All],[Advanced Network/Insurance Carrier Org ID]],B287),0), "TRUE", ROUND(G287-SUMIFS(AN_TME_BY[[#All],[TOTAL Truncated Unadjusted Claims Expenses (A21 -A19)]], AN_TME_BY[[#All],[Insurance Category Code]],5, AN_TME_BY[[#All],[Advanced Network/Insurance Carrier Org ID]],B287),2))</f>
        <v>TRUE</v>
      </c>
      <c r="M287" s="525" t="str">
        <f t="shared" si="35"/>
        <v>TRUE</v>
      </c>
      <c r="N287" s="533" t="b">
        <f>ROUND(SUMIFS(AN_TME_BY[[#All],[TOTAL Non-Truncated Unadjusted Claims Expenses]], AN_TME_BY[[#All],[Insurance Category Code]],5, AN_TME_BY[[#All],[Advanced Network/Insurance Carrier Org ID]],B287),2)&gt;=ROUND(SUMIFS(AN_TME_BY[[#All],[TOTAL Truncated Unadjusted Claims Expenses (A21 -A19)]], AN_TME_BY[[#All],[Insurance Category Code]],5, AN_TME_BY[[#All],[Advanced Network/Insurance Carrier Org ID]],B287),2)</f>
        <v>1</v>
      </c>
      <c r="O287" s="534" t="b">
        <f>ROUND(SUMIFS(AN_TME_BY[[#All],[TOTAL Truncated Unadjusted Claims Expenses (A21 -A19)]], AN_TME_BY[[#All],[Insurance Category Code]],5, AN_TME_BY[[#All],[Advanced Network/Insurance Carrier Org ID]],B287)+SUMIFS(AN_TME_BY[[#All],[Total Claims Excluded because of Truncation]], AN_TME_BY[[#All],[Insurance Category Code]],5, AN_TME_BY[[#All],[Advanced Network/Insurance Carrier Org ID]],B287),2)=ROUND(SUMIFS(AN_TME_BY[[#All],[TOTAL Non-Truncated Unadjusted Claims Expenses]], AN_TME_BY[[#All],[Insurance Category Code]],5, AN_TME_BY[[#All],[Advanced Network/Insurance Carrier Org ID]],B287),2)</f>
        <v>1</v>
      </c>
      <c r="Q287" s="216">
        <v>108</v>
      </c>
      <c r="R287" s="404">
        <f>ROUND(SUMIFS(Age_Sex_PY[[#All],[Total Member Months by Age/Sex Band]], Age_Sex_PY[[#All],[Advanced Network ID]], $Q287, Age_Sex_PY[[#All],[Insurance Category Code]],5),2)</f>
        <v>0</v>
      </c>
      <c r="S287" s="238">
        <f>ROUND(SUMIFS(Age_Sex_PY[[#All],[Total Dollars Excluded from Spending After Applying Truncation at the Member Level]], Age_Sex_PY[[#All],[Advanced Network ID]], $B287, Age_Sex_PY[[#All],[Insurance Category Code]],5),2)</f>
        <v>0</v>
      </c>
      <c r="T287" s="209">
        <f>ROUND(SUMIFS(Age_Sex_PY[[#All],[Count of Members whose Spending was Truncated]], Age_Sex_PY[[#All],[Advanced Network ID]], $B287, Age_Sex_PY[[#All],[Insurance Category Code]],5),2)</f>
        <v>0</v>
      </c>
      <c r="U287" s="210">
        <f>ROUND(SUMIFS(Age_Sex_PY[[#All],[Total Spending before Truncation is Applied]], Age_Sex_PY[[#All],[Advanced Network ID]], $B287, Age_Sex_PY[[#All],[Insurance Category Code]],5), 2)</f>
        <v>0</v>
      </c>
      <c r="V287" s="212">
        <f>ROUND(SUMIFS(Age_Sex_PY[[#All],[Total Spending After Applying Truncation at the Member Level]], Age_Sex_PY[[#All],[Advanced Network ID]], $B287, Age_Sex_PY[[#All],[Insurance Category Code]],5),2)</f>
        <v>0</v>
      </c>
      <c r="W287" s="525" t="str">
        <f>IF(ROUND(R287,0)=ROUND(SUMIFS(AN_TME_PY[[#All],[Member Months]], AN_TME_PY[[#All],[Insurance Category Code]],5, AN_TME_PY[[#All],[Advanced Network/Insurance Carrier Org ID]],Q287),0), "TRUE", ROUND(R287-SUMIFS(AN_TME_PY[[#All],[Member Months]], AN_TME_PY[[#All],[Insurance Category Code]],5, AN_TME_PY[[#All],[Advanced Network/Insurance Carrier Org ID]],Q287),2))</f>
        <v>TRUE</v>
      </c>
      <c r="X287" s="527" t="str">
        <f>IF(ROUND(S287,0)=ROUND(SUMIFS(AN_TME_PY[[#All],[Total Claims Excluded because of Truncation]], AN_TME_PY[[#All],[Insurance Category Code]],5, AN_TME_PY[[#All],[Advanced Network/Insurance Carrier Org ID]],Q287),0), "TRUE", ROUND(S287-SUMIFS(AN_TME_PY[[#All],[Total Claims Excluded because of Truncation]], AN_TME_PY[[#All],[Insurance Category Code]],5, AN_TME_PY[[#All],[Advanced Network/Insurance Carrier Org ID]],Q287),2))</f>
        <v>TRUE</v>
      </c>
      <c r="Y287" s="537" t="str">
        <f>IF(ROUND(T287,0)=ROUND(SUMIFS(AN_TME_PY[[#All],[Count of Members with Claims Truncated]], AN_TME_PY[[#All],[Insurance Category Code]],5, AN_TME_PY[[#All],[Advanced Network/Insurance Carrier Org ID]],Q287),0), "TRUE", ROUND(T287-SUMIFS(AN_TME_PY[[#All],[Count of Members with Claims Truncated]], AN_TME_PY[[#All],[Insurance Category Code]],5, AN_TME_PY[[#All],[Advanced Network/Insurance Carrier Org ID]],Q287),2))</f>
        <v>TRUE</v>
      </c>
      <c r="Z287" s="528" t="str">
        <f>IF(ROUND(U287,0)=ROUND(SUMIFS(AN_TME_PY[[#All],[TOTAL Non-Truncated Unadjusted Claims Expenses]], AN_TME_PY[[#All],[Insurance Category Code]],5, AN_TME_PY[[#All],[Advanced Network/Insurance Carrier Org ID]],Q287),0), "TRUE", ROUND(U287-SUMIFS(AN_TME_PY[[#All],[TOTAL Non-Truncated Unadjusted Claims Expenses]], AN_TME_PY[[#All],[Insurance Category Code]],5, AN_TME_PY[[#All],[Advanced Network/Insurance Carrier Org ID]],Q287),2))</f>
        <v>TRUE</v>
      </c>
      <c r="AA287" s="529" t="str">
        <f>IF(ROUND(V287,0)=ROUND(SUMIFS(AN_TME_PY[[#All],[TOTAL Truncated Unadjusted Claims Expenses (A21 -A19)]], AN_TME_PY[[#All],[Insurance Category Code]],5, AN_TME_PY[[#All],[Advanced Network/Insurance Carrier Org ID]],Q287),0), "TRUE", ROUND(V287-SUMIFS(AN_TME_PY[[#All],[TOTAL Truncated Unadjusted Claims Expenses (A21 -A19)]], AN_TME_PY[[#All],[Insurance Category Code]],5, AN_TME_PY[[#All],[Advanced Network/Insurance Carrier Org ID]],Q287),2))</f>
        <v>TRUE</v>
      </c>
      <c r="AB287" s="525" t="str">
        <f t="shared" si="38"/>
        <v>TRUE</v>
      </c>
      <c r="AC287" s="528" t="b">
        <f>ROUND(SUMIFS(AN_TME_PY[[#All],[TOTAL Non-Truncated Unadjusted Claims Expenses]], AN_TME_PY[[#All],[Insurance Category Code]],5, AN_TME_PY[[#All],[Advanced Network/Insurance Carrier Org ID]],Q287),2)&gt;=ROUND(SUMIFS(AN_TME_PY[[#All],[TOTAL Truncated Unadjusted Claims Expenses (A21 -A19)]], AN_TME_PY[[#All],[Insurance Category Code]],5, AN_TME_PY[[#All],[Advanced Network/Insurance Carrier Org ID]],Q287),2)</f>
        <v>1</v>
      </c>
      <c r="AD287" s="529" t="b">
        <f>ROUND(SUMIFS(AN_TME_PY[[#All],[TOTAL Truncated Unadjusted Claims Expenses (A21 -A19)]], AN_TME_PY[[#All],[Insurance Category Code]],5, AN_TME_PY[[#All],[Advanced Network/Insurance Carrier Org ID]],Q287)+SUMIFS(AN_TME_PY[[#All],[Total Claims Excluded because of Truncation]], AN_TME_PY[[#All],[Insurance Category Code]],5, AN_TME_PY[[#All],[Advanced Network/Insurance Carrier Org ID]],Q287),2)=ROUND(SUMIFS(AN_TME_PY[[#All],[TOTAL Non-Truncated Unadjusted Claims Expenses]], AN_TME_PY[[#All],[Insurance Category Code]],5, AN_TME_PY[[#All],[Advanced Network/Insurance Carrier Org ID]],Q287),2)</f>
        <v>1</v>
      </c>
      <c r="AF287" s="283" t="str">
        <f t="shared" si="37"/>
        <v>NA</v>
      </c>
    </row>
    <row r="288" spans="2:32" outlineLevel="1" x14ac:dyDescent="0.25">
      <c r="B288" s="216">
        <v>109</v>
      </c>
      <c r="C288" s="404">
        <f>ROUND(SUMIFS(Age_Sex_BY[[#All],[Total Member Months by Age/Sex Band]], Age_Sex_BY[[#All],[Advanced Network ID]], $B288, Age_Sex_BY[[#All],[Insurance Category Code]],5),2)</f>
        <v>0</v>
      </c>
      <c r="D288" s="238">
        <f>ROUND(SUMIFS(Age_Sex_BY[[#All],[Total Dollars Excluded from Spending After Applying Truncation at the Member Level]], Age_Sex_BY[[#All],[Advanced Network ID]], $B288, Age_Sex_BY[[#All],[Insurance Category Code]],5),2)</f>
        <v>0</v>
      </c>
      <c r="E288" s="209">
        <f>ROUND(SUMIFS(Age_Sex_BY[[#All],[Count of Members whose Spending was Truncated]], Age_Sex_BY[[#All],[Advanced Network ID]], $B288, Age_Sex_BY[[#All],[Insurance Category Code]],5),2)</f>
        <v>0</v>
      </c>
      <c r="F288" s="210">
        <f>ROUND(SUMIFS(Age_Sex_BY[[#All],[Total Spending before Truncation is Applied]], Age_Sex_BY[[#All],[Advanced Network ID]], $B288, Age_Sex_BY[[#All],[Insurance Category Code]],5),2)</f>
        <v>0</v>
      </c>
      <c r="G288" s="212">
        <f>ROUND(SUMIFS(Age_Sex_BY[[#All],[Total Spending After Applying Truncation at the Member Level]], Age_Sex_BY[[#All],[Advanced Network ID]], $B288, Age_Sex_BY[[#All],[Insurance Category Code]],5), 2)</f>
        <v>0</v>
      </c>
      <c r="H288" s="525" t="str">
        <f>IF(ROUND(C288,0)=ROUND(SUMIFS(AN_TME_BY[[#All],[Member Months]], AN_TME_BY[[#All],[Insurance Category Code]],5, AN_TME_BY[[#All],[Advanced Network/Insurance Carrier Org ID]],B288),0), "TRUE", ROUND(C288-SUMIFS(AN_TME_BY[[#All],[Member Months]], AN_TME_BY[[#All],[Insurance Category Code]],5, AN_TME_BY[[#All],[Advanced Network/Insurance Carrier Org ID]],B288),2))</f>
        <v>TRUE</v>
      </c>
      <c r="I288" s="533" t="str">
        <f>IF(ROUND(D288,0)=ROUND(SUMIFS(AN_TME_BY[[#All],[Total Claims Excluded because of Truncation]], AN_TME_BY[[#All],[Insurance Category Code]],5, AN_TME_BY[[#All],[Advanced Network/Insurance Carrier Org ID]],B288),0), "TRUE", ROUND(D288-SUMIFS(AN_TME_BY[[#All],[Total Claims Excluded because of Truncation]], AN_TME_BY[[#All],[Insurance Category Code]],5, AN_TME_BY[[#All],[Advanced Network/Insurance Carrier Org ID]],B288),2))</f>
        <v>TRUE</v>
      </c>
      <c r="J288" s="537" t="str">
        <f>IF(ROUND(E288,0)=ROUND(SUMIFS(AN_TME_BY[[#All],[Count of Members with Claims Truncated]], AN_TME_BY[[#All],[Insurance Category Code]],5, AN_TME_BY[[#All],[Advanced Network/Insurance Carrier Org ID]],B288),0), "TRUE", ROUND(E288-SUMIFS(AN_TME_BY[[#All],[Count of Members with Claims Truncated]], AN_TME_BY[[#All],[Insurance Category Code]],5, AN_TME_BY[[#All],[Advanced Network/Insurance Carrier Org ID]],B288),2))</f>
        <v>TRUE</v>
      </c>
      <c r="K288" s="533" t="str">
        <f>IF(ROUND(F288,0)=ROUND(SUMIFS(AN_TME_BY[[#All],[TOTAL Non-Truncated Unadjusted Claims Expenses]], AN_TME_BY[[#All],[Insurance Category Code]],5, AN_TME_BY[[#All],[Advanced Network/Insurance Carrier Org ID]],B288),0), "TRUE", ROUND(F288-SUMIFS(AN_TME_BY[[#All],[TOTAL Non-Truncated Unadjusted Claims Expenses]], AN_TME_BY[[#All],[Insurance Category Code]],5, AN_TME_BY[[#All],[Advanced Network/Insurance Carrier Org ID]],B288),2))</f>
        <v>TRUE</v>
      </c>
      <c r="L288" s="534" t="str">
        <f>IF(ROUND(G288,0)=ROUND(SUMIFS(AN_TME_BY[[#All],[TOTAL Truncated Unadjusted Claims Expenses (A21 -A19)]], AN_TME_BY[[#All],[Insurance Category Code]],5, AN_TME_BY[[#All],[Advanced Network/Insurance Carrier Org ID]],B288),0), "TRUE", ROUND(G288-SUMIFS(AN_TME_BY[[#All],[TOTAL Truncated Unadjusted Claims Expenses (A21 -A19)]], AN_TME_BY[[#All],[Insurance Category Code]],5, AN_TME_BY[[#All],[Advanced Network/Insurance Carrier Org ID]],B288),2))</f>
        <v>TRUE</v>
      </c>
      <c r="M288" s="525" t="str">
        <f t="shared" si="35"/>
        <v>TRUE</v>
      </c>
      <c r="N288" s="533" t="b">
        <f>ROUND(SUMIFS(AN_TME_BY[[#All],[TOTAL Non-Truncated Unadjusted Claims Expenses]], AN_TME_BY[[#All],[Insurance Category Code]],5, AN_TME_BY[[#All],[Advanced Network/Insurance Carrier Org ID]],B288),2)&gt;=ROUND(SUMIFS(AN_TME_BY[[#All],[TOTAL Truncated Unadjusted Claims Expenses (A21 -A19)]], AN_TME_BY[[#All],[Insurance Category Code]],5, AN_TME_BY[[#All],[Advanced Network/Insurance Carrier Org ID]],B288),2)</f>
        <v>1</v>
      </c>
      <c r="O288" s="534" t="b">
        <f>ROUND(SUMIFS(AN_TME_BY[[#All],[TOTAL Truncated Unadjusted Claims Expenses (A21 -A19)]], AN_TME_BY[[#All],[Insurance Category Code]],5, AN_TME_BY[[#All],[Advanced Network/Insurance Carrier Org ID]],B288)+SUMIFS(AN_TME_BY[[#All],[Total Claims Excluded because of Truncation]], AN_TME_BY[[#All],[Insurance Category Code]],5, AN_TME_BY[[#All],[Advanced Network/Insurance Carrier Org ID]],B288),2)=ROUND(SUMIFS(AN_TME_BY[[#All],[TOTAL Non-Truncated Unadjusted Claims Expenses]], AN_TME_BY[[#All],[Insurance Category Code]],5, AN_TME_BY[[#All],[Advanced Network/Insurance Carrier Org ID]],B288),2)</f>
        <v>1</v>
      </c>
      <c r="Q288" s="216">
        <v>109</v>
      </c>
      <c r="R288" s="404">
        <f>ROUND(SUMIFS(Age_Sex_PY[[#All],[Total Member Months by Age/Sex Band]], Age_Sex_PY[[#All],[Advanced Network ID]], $Q288, Age_Sex_PY[[#All],[Insurance Category Code]],5),2)</f>
        <v>0</v>
      </c>
      <c r="S288" s="238">
        <f>ROUND(SUMIFS(Age_Sex_PY[[#All],[Total Dollars Excluded from Spending After Applying Truncation at the Member Level]], Age_Sex_PY[[#All],[Advanced Network ID]], $B288, Age_Sex_PY[[#All],[Insurance Category Code]],5),2)</f>
        <v>0</v>
      </c>
      <c r="T288" s="209">
        <f>ROUND(SUMIFS(Age_Sex_PY[[#All],[Count of Members whose Spending was Truncated]], Age_Sex_PY[[#All],[Advanced Network ID]], $B288, Age_Sex_PY[[#All],[Insurance Category Code]],5),2)</f>
        <v>0</v>
      </c>
      <c r="U288" s="210">
        <f>ROUND(SUMIFS(Age_Sex_PY[[#All],[Total Spending before Truncation is Applied]], Age_Sex_PY[[#All],[Advanced Network ID]], $B288, Age_Sex_PY[[#All],[Insurance Category Code]],5), 2)</f>
        <v>0</v>
      </c>
      <c r="V288" s="212">
        <f>ROUND(SUMIFS(Age_Sex_PY[[#All],[Total Spending After Applying Truncation at the Member Level]], Age_Sex_PY[[#All],[Advanced Network ID]], $B288, Age_Sex_PY[[#All],[Insurance Category Code]],5),2)</f>
        <v>0</v>
      </c>
      <c r="W288" s="525" t="str">
        <f>IF(ROUND(R288,0)=ROUND(SUMIFS(AN_TME_PY[[#All],[Member Months]], AN_TME_PY[[#All],[Insurance Category Code]],5, AN_TME_PY[[#All],[Advanced Network/Insurance Carrier Org ID]],Q288),0), "TRUE", ROUND(R288-SUMIFS(AN_TME_PY[[#All],[Member Months]], AN_TME_PY[[#All],[Insurance Category Code]],5, AN_TME_PY[[#All],[Advanced Network/Insurance Carrier Org ID]],Q288),2))</f>
        <v>TRUE</v>
      </c>
      <c r="X288" s="527" t="str">
        <f>IF(ROUND(S288,0)=ROUND(SUMIFS(AN_TME_PY[[#All],[Total Claims Excluded because of Truncation]], AN_TME_PY[[#All],[Insurance Category Code]],5, AN_TME_PY[[#All],[Advanced Network/Insurance Carrier Org ID]],Q288),0), "TRUE", ROUND(S288-SUMIFS(AN_TME_PY[[#All],[Total Claims Excluded because of Truncation]], AN_TME_PY[[#All],[Insurance Category Code]],5, AN_TME_PY[[#All],[Advanced Network/Insurance Carrier Org ID]],Q288),2))</f>
        <v>TRUE</v>
      </c>
      <c r="Y288" s="537" t="str">
        <f>IF(ROUND(T288,0)=ROUND(SUMIFS(AN_TME_PY[[#All],[Count of Members with Claims Truncated]], AN_TME_PY[[#All],[Insurance Category Code]],5, AN_TME_PY[[#All],[Advanced Network/Insurance Carrier Org ID]],Q288),0), "TRUE", ROUND(T288-SUMIFS(AN_TME_PY[[#All],[Count of Members with Claims Truncated]], AN_TME_PY[[#All],[Insurance Category Code]],5, AN_TME_PY[[#All],[Advanced Network/Insurance Carrier Org ID]],Q288),2))</f>
        <v>TRUE</v>
      </c>
      <c r="Z288" s="528" t="str">
        <f>IF(ROUND(U288,0)=ROUND(SUMIFS(AN_TME_PY[[#All],[TOTAL Non-Truncated Unadjusted Claims Expenses]], AN_TME_PY[[#All],[Insurance Category Code]],5, AN_TME_PY[[#All],[Advanced Network/Insurance Carrier Org ID]],Q288),0), "TRUE", ROUND(U288-SUMIFS(AN_TME_PY[[#All],[TOTAL Non-Truncated Unadjusted Claims Expenses]], AN_TME_PY[[#All],[Insurance Category Code]],5, AN_TME_PY[[#All],[Advanced Network/Insurance Carrier Org ID]],Q288),2))</f>
        <v>TRUE</v>
      </c>
      <c r="AA288" s="529" t="str">
        <f>IF(ROUND(V288,0)=ROUND(SUMIFS(AN_TME_PY[[#All],[TOTAL Truncated Unadjusted Claims Expenses (A21 -A19)]], AN_TME_PY[[#All],[Insurance Category Code]],5, AN_TME_PY[[#All],[Advanced Network/Insurance Carrier Org ID]],Q288),0), "TRUE", ROUND(V288-SUMIFS(AN_TME_PY[[#All],[TOTAL Truncated Unadjusted Claims Expenses (A21 -A19)]], AN_TME_PY[[#All],[Insurance Category Code]],5, AN_TME_PY[[#All],[Advanced Network/Insurance Carrier Org ID]],Q288),2))</f>
        <v>TRUE</v>
      </c>
      <c r="AB288" s="525" t="str">
        <f t="shared" si="38"/>
        <v>TRUE</v>
      </c>
      <c r="AC288" s="528" t="b">
        <f>ROUND(SUMIFS(AN_TME_PY[[#All],[TOTAL Non-Truncated Unadjusted Claims Expenses]], AN_TME_PY[[#All],[Insurance Category Code]],5, AN_TME_PY[[#All],[Advanced Network/Insurance Carrier Org ID]],Q288),2)&gt;=ROUND(SUMIFS(AN_TME_PY[[#All],[TOTAL Truncated Unadjusted Claims Expenses (A21 -A19)]], AN_TME_PY[[#All],[Insurance Category Code]],5, AN_TME_PY[[#All],[Advanced Network/Insurance Carrier Org ID]],Q288),2)</f>
        <v>1</v>
      </c>
      <c r="AD288" s="529" t="b">
        <f>ROUND(SUMIFS(AN_TME_PY[[#All],[TOTAL Truncated Unadjusted Claims Expenses (A21 -A19)]], AN_TME_PY[[#All],[Insurance Category Code]],5, AN_TME_PY[[#All],[Advanced Network/Insurance Carrier Org ID]],Q288)+SUMIFS(AN_TME_PY[[#All],[Total Claims Excluded because of Truncation]], AN_TME_PY[[#All],[Insurance Category Code]],5, AN_TME_PY[[#All],[Advanced Network/Insurance Carrier Org ID]],Q288),2)=ROUND(SUMIFS(AN_TME_PY[[#All],[TOTAL Non-Truncated Unadjusted Claims Expenses]], AN_TME_PY[[#All],[Insurance Category Code]],5, AN_TME_PY[[#All],[Advanced Network/Insurance Carrier Org ID]],Q288),2)</f>
        <v>1</v>
      </c>
      <c r="AF288" s="283" t="str">
        <f t="shared" si="37"/>
        <v>NA</v>
      </c>
    </row>
    <row r="289" spans="2:32" outlineLevel="1" x14ac:dyDescent="0.25">
      <c r="B289" s="216">
        <v>110</v>
      </c>
      <c r="C289" s="404">
        <f>ROUND(SUMIFS(Age_Sex_BY[[#All],[Total Member Months by Age/Sex Band]], Age_Sex_BY[[#All],[Advanced Network ID]], $B289, Age_Sex_BY[[#All],[Insurance Category Code]],5),2)</f>
        <v>0</v>
      </c>
      <c r="D289" s="238">
        <f>ROUND(SUMIFS(Age_Sex_BY[[#All],[Total Dollars Excluded from Spending After Applying Truncation at the Member Level]], Age_Sex_BY[[#All],[Advanced Network ID]], $B289, Age_Sex_BY[[#All],[Insurance Category Code]],5),2)</f>
        <v>0</v>
      </c>
      <c r="E289" s="209">
        <f>ROUND(SUMIFS(Age_Sex_BY[[#All],[Count of Members whose Spending was Truncated]], Age_Sex_BY[[#All],[Advanced Network ID]], $B289, Age_Sex_BY[[#All],[Insurance Category Code]],5),2)</f>
        <v>0</v>
      </c>
      <c r="F289" s="210">
        <f>ROUND(SUMIFS(Age_Sex_BY[[#All],[Total Spending before Truncation is Applied]], Age_Sex_BY[[#All],[Advanced Network ID]], $B289, Age_Sex_BY[[#All],[Insurance Category Code]],5),2)</f>
        <v>0</v>
      </c>
      <c r="G289" s="212">
        <f>ROUND(SUMIFS(Age_Sex_BY[[#All],[Total Spending After Applying Truncation at the Member Level]], Age_Sex_BY[[#All],[Advanced Network ID]], $B289, Age_Sex_BY[[#All],[Insurance Category Code]],5), 2)</f>
        <v>0</v>
      </c>
      <c r="H289" s="525" t="str">
        <f>IF(ROUND(C289,0)=ROUND(SUMIFS(AN_TME_BY[[#All],[Member Months]], AN_TME_BY[[#All],[Insurance Category Code]],5, AN_TME_BY[[#All],[Advanced Network/Insurance Carrier Org ID]],B289),0), "TRUE", ROUND(C289-SUMIFS(AN_TME_BY[[#All],[Member Months]], AN_TME_BY[[#All],[Insurance Category Code]],5, AN_TME_BY[[#All],[Advanced Network/Insurance Carrier Org ID]],B289),2))</f>
        <v>TRUE</v>
      </c>
      <c r="I289" s="533" t="str">
        <f>IF(ROUND(D289,0)=ROUND(SUMIFS(AN_TME_BY[[#All],[Total Claims Excluded because of Truncation]], AN_TME_BY[[#All],[Insurance Category Code]],5, AN_TME_BY[[#All],[Advanced Network/Insurance Carrier Org ID]],B289),0), "TRUE", ROUND(D289-SUMIFS(AN_TME_BY[[#All],[Total Claims Excluded because of Truncation]], AN_TME_BY[[#All],[Insurance Category Code]],5, AN_TME_BY[[#All],[Advanced Network/Insurance Carrier Org ID]],B289),2))</f>
        <v>TRUE</v>
      </c>
      <c r="J289" s="537" t="str">
        <f>IF(ROUND(E289,0)=ROUND(SUMIFS(AN_TME_BY[[#All],[Count of Members with Claims Truncated]], AN_TME_BY[[#All],[Insurance Category Code]],5, AN_TME_BY[[#All],[Advanced Network/Insurance Carrier Org ID]],B289),0), "TRUE", ROUND(E289-SUMIFS(AN_TME_BY[[#All],[Count of Members with Claims Truncated]], AN_TME_BY[[#All],[Insurance Category Code]],5, AN_TME_BY[[#All],[Advanced Network/Insurance Carrier Org ID]],B289),2))</f>
        <v>TRUE</v>
      </c>
      <c r="K289" s="533" t="str">
        <f>IF(ROUND(F289,0)=ROUND(SUMIFS(AN_TME_BY[[#All],[TOTAL Non-Truncated Unadjusted Claims Expenses]], AN_TME_BY[[#All],[Insurance Category Code]],5, AN_TME_BY[[#All],[Advanced Network/Insurance Carrier Org ID]],B289),0), "TRUE", ROUND(F289-SUMIFS(AN_TME_BY[[#All],[TOTAL Non-Truncated Unadjusted Claims Expenses]], AN_TME_BY[[#All],[Insurance Category Code]],5, AN_TME_BY[[#All],[Advanced Network/Insurance Carrier Org ID]],B289),2))</f>
        <v>TRUE</v>
      </c>
      <c r="L289" s="534" t="str">
        <f>IF(ROUND(G289,0)=ROUND(SUMIFS(AN_TME_BY[[#All],[TOTAL Truncated Unadjusted Claims Expenses (A21 -A19)]], AN_TME_BY[[#All],[Insurance Category Code]],5, AN_TME_BY[[#All],[Advanced Network/Insurance Carrier Org ID]],B289),0), "TRUE", ROUND(G289-SUMIFS(AN_TME_BY[[#All],[TOTAL Truncated Unadjusted Claims Expenses (A21 -A19)]], AN_TME_BY[[#All],[Insurance Category Code]],5, AN_TME_BY[[#All],[Advanced Network/Insurance Carrier Org ID]],B289),2))</f>
        <v>TRUE</v>
      </c>
      <c r="M289" s="525" t="str">
        <f t="shared" si="35"/>
        <v>TRUE</v>
      </c>
      <c r="N289" s="533" t="b">
        <f>ROUND(SUMIFS(AN_TME_BY[[#All],[TOTAL Non-Truncated Unadjusted Claims Expenses]], AN_TME_BY[[#All],[Insurance Category Code]],5, AN_TME_BY[[#All],[Advanced Network/Insurance Carrier Org ID]],B289),2)&gt;=ROUND(SUMIFS(AN_TME_BY[[#All],[TOTAL Truncated Unadjusted Claims Expenses (A21 -A19)]], AN_TME_BY[[#All],[Insurance Category Code]],5, AN_TME_BY[[#All],[Advanced Network/Insurance Carrier Org ID]],B289),2)</f>
        <v>1</v>
      </c>
      <c r="O289" s="534" t="b">
        <f>ROUND(SUMIFS(AN_TME_BY[[#All],[TOTAL Truncated Unadjusted Claims Expenses (A21 -A19)]], AN_TME_BY[[#All],[Insurance Category Code]],5, AN_TME_BY[[#All],[Advanced Network/Insurance Carrier Org ID]],B289)+SUMIFS(AN_TME_BY[[#All],[Total Claims Excluded because of Truncation]], AN_TME_BY[[#All],[Insurance Category Code]],5, AN_TME_BY[[#All],[Advanced Network/Insurance Carrier Org ID]],B289),2)=ROUND(SUMIFS(AN_TME_BY[[#All],[TOTAL Non-Truncated Unadjusted Claims Expenses]], AN_TME_BY[[#All],[Insurance Category Code]],5, AN_TME_BY[[#All],[Advanced Network/Insurance Carrier Org ID]],B289),2)</f>
        <v>1</v>
      </c>
      <c r="Q289" s="216">
        <v>110</v>
      </c>
      <c r="R289" s="404">
        <f>ROUND(SUMIFS(Age_Sex_PY[[#All],[Total Member Months by Age/Sex Band]], Age_Sex_PY[[#All],[Advanced Network ID]], $Q289, Age_Sex_PY[[#All],[Insurance Category Code]],5),2)</f>
        <v>0</v>
      </c>
      <c r="S289" s="238">
        <f>ROUND(SUMIFS(Age_Sex_PY[[#All],[Total Dollars Excluded from Spending After Applying Truncation at the Member Level]], Age_Sex_PY[[#All],[Advanced Network ID]], $B289, Age_Sex_PY[[#All],[Insurance Category Code]],5),2)</f>
        <v>0</v>
      </c>
      <c r="T289" s="209">
        <f>ROUND(SUMIFS(Age_Sex_PY[[#All],[Count of Members whose Spending was Truncated]], Age_Sex_PY[[#All],[Advanced Network ID]], $B289, Age_Sex_PY[[#All],[Insurance Category Code]],5),2)</f>
        <v>0</v>
      </c>
      <c r="U289" s="210">
        <f>ROUND(SUMIFS(Age_Sex_PY[[#All],[Total Spending before Truncation is Applied]], Age_Sex_PY[[#All],[Advanced Network ID]], $B289, Age_Sex_PY[[#All],[Insurance Category Code]],5), 2)</f>
        <v>0</v>
      </c>
      <c r="V289" s="212">
        <f>ROUND(SUMIFS(Age_Sex_PY[[#All],[Total Spending After Applying Truncation at the Member Level]], Age_Sex_PY[[#All],[Advanced Network ID]], $B289, Age_Sex_PY[[#All],[Insurance Category Code]],5),2)</f>
        <v>0</v>
      </c>
      <c r="W289" s="525" t="str">
        <f>IF(ROUND(R289,0)=ROUND(SUMIFS(AN_TME_PY[[#All],[Member Months]], AN_TME_PY[[#All],[Insurance Category Code]],5, AN_TME_PY[[#All],[Advanced Network/Insurance Carrier Org ID]],Q289),0), "TRUE", ROUND(R289-SUMIFS(AN_TME_PY[[#All],[Member Months]], AN_TME_PY[[#All],[Insurance Category Code]],5, AN_TME_PY[[#All],[Advanced Network/Insurance Carrier Org ID]],Q289),2))</f>
        <v>TRUE</v>
      </c>
      <c r="X289" s="527" t="str">
        <f>IF(ROUND(S289,0)=ROUND(SUMIFS(AN_TME_PY[[#All],[Total Claims Excluded because of Truncation]], AN_TME_PY[[#All],[Insurance Category Code]],5, AN_TME_PY[[#All],[Advanced Network/Insurance Carrier Org ID]],Q289),0), "TRUE", ROUND(S289-SUMIFS(AN_TME_PY[[#All],[Total Claims Excluded because of Truncation]], AN_TME_PY[[#All],[Insurance Category Code]],5, AN_TME_PY[[#All],[Advanced Network/Insurance Carrier Org ID]],Q289),2))</f>
        <v>TRUE</v>
      </c>
      <c r="Y289" s="537" t="str">
        <f>IF(ROUND(T289,0)=ROUND(SUMIFS(AN_TME_PY[[#All],[Count of Members with Claims Truncated]], AN_TME_PY[[#All],[Insurance Category Code]],5, AN_TME_PY[[#All],[Advanced Network/Insurance Carrier Org ID]],Q289),0), "TRUE", ROUND(T289-SUMIFS(AN_TME_PY[[#All],[Count of Members with Claims Truncated]], AN_TME_PY[[#All],[Insurance Category Code]],5, AN_TME_PY[[#All],[Advanced Network/Insurance Carrier Org ID]],Q289),2))</f>
        <v>TRUE</v>
      </c>
      <c r="Z289" s="528" t="str">
        <f>IF(ROUND(U289,0)=ROUND(SUMIFS(AN_TME_PY[[#All],[TOTAL Non-Truncated Unadjusted Claims Expenses]], AN_TME_PY[[#All],[Insurance Category Code]],5, AN_TME_PY[[#All],[Advanced Network/Insurance Carrier Org ID]],Q289),0), "TRUE", ROUND(U289-SUMIFS(AN_TME_PY[[#All],[TOTAL Non-Truncated Unadjusted Claims Expenses]], AN_TME_PY[[#All],[Insurance Category Code]],5, AN_TME_PY[[#All],[Advanced Network/Insurance Carrier Org ID]],Q289),2))</f>
        <v>TRUE</v>
      </c>
      <c r="AA289" s="529" t="str">
        <f>IF(ROUND(V289,0)=ROUND(SUMIFS(AN_TME_PY[[#All],[TOTAL Truncated Unadjusted Claims Expenses (A21 -A19)]], AN_TME_PY[[#All],[Insurance Category Code]],5, AN_TME_PY[[#All],[Advanced Network/Insurance Carrier Org ID]],Q289),0), "TRUE", ROUND(V289-SUMIFS(AN_TME_PY[[#All],[TOTAL Truncated Unadjusted Claims Expenses (A21 -A19)]], AN_TME_PY[[#All],[Insurance Category Code]],5, AN_TME_PY[[#All],[Advanced Network/Insurance Carrier Org ID]],Q289),2))</f>
        <v>TRUE</v>
      </c>
      <c r="AB289" s="525" t="str">
        <f t="shared" si="38"/>
        <v>TRUE</v>
      </c>
      <c r="AC289" s="528" t="b">
        <f>ROUND(SUMIFS(AN_TME_PY[[#All],[TOTAL Non-Truncated Unadjusted Claims Expenses]], AN_TME_PY[[#All],[Insurance Category Code]],5, AN_TME_PY[[#All],[Advanced Network/Insurance Carrier Org ID]],Q289),2)&gt;=ROUND(SUMIFS(AN_TME_PY[[#All],[TOTAL Truncated Unadjusted Claims Expenses (A21 -A19)]], AN_TME_PY[[#All],[Insurance Category Code]],5, AN_TME_PY[[#All],[Advanced Network/Insurance Carrier Org ID]],Q289),2)</f>
        <v>1</v>
      </c>
      <c r="AD289" s="529" t="b">
        <f>ROUND(SUMIFS(AN_TME_PY[[#All],[TOTAL Truncated Unadjusted Claims Expenses (A21 -A19)]], AN_TME_PY[[#All],[Insurance Category Code]],5, AN_TME_PY[[#All],[Advanced Network/Insurance Carrier Org ID]],Q289)+SUMIFS(AN_TME_PY[[#All],[Total Claims Excluded because of Truncation]], AN_TME_PY[[#All],[Insurance Category Code]],5, AN_TME_PY[[#All],[Advanced Network/Insurance Carrier Org ID]],Q289),2)=ROUND(SUMIFS(AN_TME_PY[[#All],[TOTAL Non-Truncated Unadjusted Claims Expenses]], AN_TME_PY[[#All],[Insurance Category Code]],5, AN_TME_PY[[#All],[Advanced Network/Insurance Carrier Org ID]],Q289),2)</f>
        <v>1</v>
      </c>
      <c r="AF289" s="283" t="str">
        <f t="shared" si="37"/>
        <v>NA</v>
      </c>
    </row>
    <row r="290" spans="2:32" outlineLevel="1" x14ac:dyDescent="0.25">
      <c r="B290" s="216">
        <v>111</v>
      </c>
      <c r="C290" s="404">
        <f>ROUND(SUMIFS(Age_Sex_BY[[#All],[Total Member Months by Age/Sex Band]], Age_Sex_BY[[#All],[Advanced Network ID]], $B290, Age_Sex_BY[[#All],[Insurance Category Code]],5),2)</f>
        <v>0</v>
      </c>
      <c r="D290" s="238">
        <f>ROUND(SUMIFS(Age_Sex_BY[[#All],[Total Dollars Excluded from Spending After Applying Truncation at the Member Level]], Age_Sex_BY[[#All],[Advanced Network ID]], $B290, Age_Sex_BY[[#All],[Insurance Category Code]],5),2)</f>
        <v>0</v>
      </c>
      <c r="E290" s="209">
        <f>ROUND(SUMIFS(Age_Sex_BY[[#All],[Count of Members whose Spending was Truncated]], Age_Sex_BY[[#All],[Advanced Network ID]], $B290, Age_Sex_BY[[#All],[Insurance Category Code]],5),2)</f>
        <v>0</v>
      </c>
      <c r="F290" s="210">
        <f>ROUND(SUMIFS(Age_Sex_BY[[#All],[Total Spending before Truncation is Applied]], Age_Sex_BY[[#All],[Advanced Network ID]], $B290, Age_Sex_BY[[#All],[Insurance Category Code]],5),2)</f>
        <v>0</v>
      </c>
      <c r="G290" s="212">
        <f>ROUND(SUMIFS(Age_Sex_BY[[#All],[Total Spending After Applying Truncation at the Member Level]], Age_Sex_BY[[#All],[Advanced Network ID]], $B290, Age_Sex_BY[[#All],[Insurance Category Code]],5), 2)</f>
        <v>0</v>
      </c>
      <c r="H290" s="525" t="str">
        <f>IF(ROUND(C290,0)=ROUND(SUMIFS(AN_TME_BY[[#All],[Member Months]], AN_TME_BY[[#All],[Insurance Category Code]],5, AN_TME_BY[[#All],[Advanced Network/Insurance Carrier Org ID]],B290),0), "TRUE", ROUND(C290-SUMIFS(AN_TME_BY[[#All],[Member Months]], AN_TME_BY[[#All],[Insurance Category Code]],5, AN_TME_BY[[#All],[Advanced Network/Insurance Carrier Org ID]],B290),2))</f>
        <v>TRUE</v>
      </c>
      <c r="I290" s="533" t="str">
        <f>IF(ROUND(D290,0)=ROUND(SUMIFS(AN_TME_BY[[#All],[Total Claims Excluded because of Truncation]], AN_TME_BY[[#All],[Insurance Category Code]],5, AN_TME_BY[[#All],[Advanced Network/Insurance Carrier Org ID]],B290),0), "TRUE", ROUND(D290-SUMIFS(AN_TME_BY[[#All],[Total Claims Excluded because of Truncation]], AN_TME_BY[[#All],[Insurance Category Code]],5, AN_TME_BY[[#All],[Advanced Network/Insurance Carrier Org ID]],B290),2))</f>
        <v>TRUE</v>
      </c>
      <c r="J290" s="537" t="str">
        <f>IF(ROUND(E290,0)=ROUND(SUMIFS(AN_TME_BY[[#All],[Count of Members with Claims Truncated]], AN_TME_BY[[#All],[Insurance Category Code]],5, AN_TME_BY[[#All],[Advanced Network/Insurance Carrier Org ID]],B290),0), "TRUE", ROUND(E290-SUMIFS(AN_TME_BY[[#All],[Count of Members with Claims Truncated]], AN_TME_BY[[#All],[Insurance Category Code]],5, AN_TME_BY[[#All],[Advanced Network/Insurance Carrier Org ID]],B290),2))</f>
        <v>TRUE</v>
      </c>
      <c r="K290" s="533" t="str">
        <f>IF(ROUND(F290,0)=ROUND(SUMIFS(AN_TME_BY[[#All],[TOTAL Non-Truncated Unadjusted Claims Expenses]], AN_TME_BY[[#All],[Insurance Category Code]],5, AN_TME_BY[[#All],[Advanced Network/Insurance Carrier Org ID]],B290),0), "TRUE", ROUND(F290-SUMIFS(AN_TME_BY[[#All],[TOTAL Non-Truncated Unadjusted Claims Expenses]], AN_TME_BY[[#All],[Insurance Category Code]],5, AN_TME_BY[[#All],[Advanced Network/Insurance Carrier Org ID]],B290),2))</f>
        <v>TRUE</v>
      </c>
      <c r="L290" s="534" t="str">
        <f>IF(ROUND(G290,0)=ROUND(SUMIFS(AN_TME_BY[[#All],[TOTAL Truncated Unadjusted Claims Expenses (A21 -A19)]], AN_TME_BY[[#All],[Insurance Category Code]],5, AN_TME_BY[[#All],[Advanced Network/Insurance Carrier Org ID]],B290),0), "TRUE", ROUND(G290-SUMIFS(AN_TME_BY[[#All],[TOTAL Truncated Unadjusted Claims Expenses (A21 -A19)]], AN_TME_BY[[#All],[Insurance Category Code]],5, AN_TME_BY[[#All],[Advanced Network/Insurance Carrier Org ID]],B290),2))</f>
        <v>TRUE</v>
      </c>
      <c r="M290" s="525" t="str">
        <f t="shared" si="35"/>
        <v>TRUE</v>
      </c>
      <c r="N290" s="533" t="b">
        <f>ROUND(SUMIFS(AN_TME_BY[[#All],[TOTAL Non-Truncated Unadjusted Claims Expenses]], AN_TME_BY[[#All],[Insurance Category Code]],5, AN_TME_BY[[#All],[Advanced Network/Insurance Carrier Org ID]],B290),2)&gt;=ROUND(SUMIFS(AN_TME_BY[[#All],[TOTAL Truncated Unadjusted Claims Expenses (A21 -A19)]], AN_TME_BY[[#All],[Insurance Category Code]],5, AN_TME_BY[[#All],[Advanced Network/Insurance Carrier Org ID]],B290),2)</f>
        <v>1</v>
      </c>
      <c r="O290" s="534" t="b">
        <f>ROUND(SUMIFS(AN_TME_BY[[#All],[TOTAL Truncated Unadjusted Claims Expenses (A21 -A19)]], AN_TME_BY[[#All],[Insurance Category Code]],5, AN_TME_BY[[#All],[Advanced Network/Insurance Carrier Org ID]],B290)+SUMIFS(AN_TME_BY[[#All],[Total Claims Excluded because of Truncation]], AN_TME_BY[[#All],[Insurance Category Code]],5, AN_TME_BY[[#All],[Advanced Network/Insurance Carrier Org ID]],B290),2)=ROUND(SUMIFS(AN_TME_BY[[#All],[TOTAL Non-Truncated Unadjusted Claims Expenses]], AN_TME_BY[[#All],[Insurance Category Code]],5, AN_TME_BY[[#All],[Advanced Network/Insurance Carrier Org ID]],B290),2)</f>
        <v>1</v>
      </c>
      <c r="Q290" s="216">
        <v>111</v>
      </c>
      <c r="R290" s="404">
        <f>ROUND(SUMIFS(Age_Sex_PY[[#All],[Total Member Months by Age/Sex Band]], Age_Sex_PY[[#All],[Advanced Network ID]], $Q290, Age_Sex_PY[[#All],[Insurance Category Code]],5),2)</f>
        <v>0</v>
      </c>
      <c r="S290" s="238">
        <f>ROUND(SUMIFS(Age_Sex_PY[[#All],[Total Dollars Excluded from Spending After Applying Truncation at the Member Level]], Age_Sex_PY[[#All],[Advanced Network ID]], $B290, Age_Sex_PY[[#All],[Insurance Category Code]],5),2)</f>
        <v>0</v>
      </c>
      <c r="T290" s="209">
        <f>ROUND(SUMIFS(Age_Sex_PY[[#All],[Count of Members whose Spending was Truncated]], Age_Sex_PY[[#All],[Advanced Network ID]], $B290, Age_Sex_PY[[#All],[Insurance Category Code]],5),2)</f>
        <v>0</v>
      </c>
      <c r="U290" s="210">
        <f>ROUND(SUMIFS(Age_Sex_PY[[#All],[Total Spending before Truncation is Applied]], Age_Sex_PY[[#All],[Advanced Network ID]], $B290, Age_Sex_PY[[#All],[Insurance Category Code]],5), 2)</f>
        <v>0</v>
      </c>
      <c r="V290" s="212">
        <f>ROUND(SUMIFS(Age_Sex_PY[[#All],[Total Spending After Applying Truncation at the Member Level]], Age_Sex_PY[[#All],[Advanced Network ID]], $B290, Age_Sex_PY[[#All],[Insurance Category Code]],5),2)</f>
        <v>0</v>
      </c>
      <c r="W290" s="525" t="str">
        <f>IF(ROUND(R290,0)=ROUND(SUMIFS(AN_TME_PY[[#All],[Member Months]], AN_TME_PY[[#All],[Insurance Category Code]],5, AN_TME_PY[[#All],[Advanced Network/Insurance Carrier Org ID]],Q290),0), "TRUE", ROUND(R290-SUMIFS(AN_TME_PY[[#All],[Member Months]], AN_TME_PY[[#All],[Insurance Category Code]],5, AN_TME_PY[[#All],[Advanced Network/Insurance Carrier Org ID]],Q290),2))</f>
        <v>TRUE</v>
      </c>
      <c r="X290" s="527" t="str">
        <f>IF(ROUND(S290,0)=ROUND(SUMIFS(AN_TME_PY[[#All],[Total Claims Excluded because of Truncation]], AN_TME_PY[[#All],[Insurance Category Code]],5, AN_TME_PY[[#All],[Advanced Network/Insurance Carrier Org ID]],Q290),0), "TRUE", ROUND(S290-SUMIFS(AN_TME_PY[[#All],[Total Claims Excluded because of Truncation]], AN_TME_PY[[#All],[Insurance Category Code]],5, AN_TME_PY[[#All],[Advanced Network/Insurance Carrier Org ID]],Q290),2))</f>
        <v>TRUE</v>
      </c>
      <c r="Y290" s="537" t="str">
        <f>IF(ROUND(T290,0)=ROUND(SUMIFS(AN_TME_PY[[#All],[Count of Members with Claims Truncated]], AN_TME_PY[[#All],[Insurance Category Code]],5, AN_TME_PY[[#All],[Advanced Network/Insurance Carrier Org ID]],Q290),0), "TRUE", ROUND(T290-SUMIFS(AN_TME_PY[[#All],[Count of Members with Claims Truncated]], AN_TME_PY[[#All],[Insurance Category Code]],5, AN_TME_PY[[#All],[Advanced Network/Insurance Carrier Org ID]],Q290),2))</f>
        <v>TRUE</v>
      </c>
      <c r="Z290" s="528" t="str">
        <f>IF(ROUND(U290,0)=ROUND(SUMIFS(AN_TME_PY[[#All],[TOTAL Non-Truncated Unadjusted Claims Expenses]], AN_TME_PY[[#All],[Insurance Category Code]],5, AN_TME_PY[[#All],[Advanced Network/Insurance Carrier Org ID]],Q290),0), "TRUE", ROUND(U290-SUMIFS(AN_TME_PY[[#All],[TOTAL Non-Truncated Unadjusted Claims Expenses]], AN_TME_PY[[#All],[Insurance Category Code]],5, AN_TME_PY[[#All],[Advanced Network/Insurance Carrier Org ID]],Q290),2))</f>
        <v>TRUE</v>
      </c>
      <c r="AA290" s="529" t="str">
        <f>IF(ROUND(V290,0)=ROUND(SUMIFS(AN_TME_PY[[#All],[TOTAL Truncated Unadjusted Claims Expenses (A21 -A19)]], AN_TME_PY[[#All],[Insurance Category Code]],5, AN_TME_PY[[#All],[Advanced Network/Insurance Carrier Org ID]],Q290),0), "TRUE", ROUND(V290-SUMIFS(AN_TME_PY[[#All],[TOTAL Truncated Unadjusted Claims Expenses (A21 -A19)]], AN_TME_PY[[#All],[Insurance Category Code]],5, AN_TME_PY[[#All],[Advanced Network/Insurance Carrier Org ID]],Q290),2))</f>
        <v>TRUE</v>
      </c>
      <c r="AB290" s="525" t="str">
        <f t="shared" si="38"/>
        <v>TRUE</v>
      </c>
      <c r="AC290" s="528" t="b">
        <f>ROUND(SUMIFS(AN_TME_PY[[#All],[TOTAL Non-Truncated Unadjusted Claims Expenses]], AN_TME_PY[[#All],[Insurance Category Code]],5, AN_TME_PY[[#All],[Advanced Network/Insurance Carrier Org ID]],Q290),2)&gt;=ROUND(SUMIFS(AN_TME_PY[[#All],[TOTAL Truncated Unadjusted Claims Expenses (A21 -A19)]], AN_TME_PY[[#All],[Insurance Category Code]],5, AN_TME_PY[[#All],[Advanced Network/Insurance Carrier Org ID]],Q290),2)</f>
        <v>1</v>
      </c>
      <c r="AD290" s="529" t="b">
        <f>ROUND(SUMIFS(AN_TME_PY[[#All],[TOTAL Truncated Unadjusted Claims Expenses (A21 -A19)]], AN_TME_PY[[#All],[Insurance Category Code]],5, AN_TME_PY[[#All],[Advanced Network/Insurance Carrier Org ID]],Q290)+SUMIFS(AN_TME_PY[[#All],[Total Claims Excluded because of Truncation]], AN_TME_PY[[#All],[Insurance Category Code]],5, AN_TME_PY[[#All],[Advanced Network/Insurance Carrier Org ID]],Q290),2)=ROUND(SUMIFS(AN_TME_PY[[#All],[TOTAL Non-Truncated Unadjusted Claims Expenses]], AN_TME_PY[[#All],[Insurance Category Code]],5, AN_TME_PY[[#All],[Advanced Network/Insurance Carrier Org ID]],Q290),2)</f>
        <v>1</v>
      </c>
      <c r="AF290" s="283" t="str">
        <f t="shared" si="37"/>
        <v>NA</v>
      </c>
    </row>
    <row r="291" spans="2:32" outlineLevel="1" x14ac:dyDescent="0.25">
      <c r="B291" s="216">
        <v>112</v>
      </c>
      <c r="C291" s="404">
        <f>ROUND(SUMIFS(Age_Sex_BY[[#All],[Total Member Months by Age/Sex Band]], Age_Sex_BY[[#All],[Advanced Network ID]], $B291, Age_Sex_BY[[#All],[Insurance Category Code]],5),2)</f>
        <v>0</v>
      </c>
      <c r="D291" s="238">
        <f>ROUND(SUMIFS(Age_Sex_BY[[#All],[Total Dollars Excluded from Spending After Applying Truncation at the Member Level]], Age_Sex_BY[[#All],[Advanced Network ID]], $B291, Age_Sex_BY[[#All],[Insurance Category Code]],5),2)</f>
        <v>0</v>
      </c>
      <c r="E291" s="209">
        <f>ROUND(SUMIFS(Age_Sex_BY[[#All],[Count of Members whose Spending was Truncated]], Age_Sex_BY[[#All],[Advanced Network ID]], $B291, Age_Sex_BY[[#All],[Insurance Category Code]],5),2)</f>
        <v>0</v>
      </c>
      <c r="F291" s="210">
        <f>ROUND(SUMIFS(Age_Sex_BY[[#All],[Total Spending before Truncation is Applied]], Age_Sex_BY[[#All],[Advanced Network ID]], $B291, Age_Sex_BY[[#All],[Insurance Category Code]],5),2)</f>
        <v>0</v>
      </c>
      <c r="G291" s="212">
        <f>ROUND(SUMIFS(Age_Sex_BY[[#All],[Total Spending After Applying Truncation at the Member Level]], Age_Sex_BY[[#All],[Advanced Network ID]], $B291, Age_Sex_BY[[#All],[Insurance Category Code]],5), 2)</f>
        <v>0</v>
      </c>
      <c r="H291" s="525" t="str">
        <f>IF(ROUND(C291,0)=ROUND(SUMIFS(AN_TME_BY[[#All],[Member Months]], AN_TME_BY[[#All],[Insurance Category Code]],5, AN_TME_BY[[#All],[Advanced Network/Insurance Carrier Org ID]],B291),0), "TRUE", ROUND(C291-SUMIFS(AN_TME_BY[[#All],[Member Months]], AN_TME_BY[[#All],[Insurance Category Code]],5, AN_TME_BY[[#All],[Advanced Network/Insurance Carrier Org ID]],B291),2))</f>
        <v>TRUE</v>
      </c>
      <c r="I291" s="533" t="str">
        <f>IF(ROUND(D291,0)=ROUND(SUMIFS(AN_TME_BY[[#All],[Total Claims Excluded because of Truncation]], AN_TME_BY[[#All],[Insurance Category Code]],5, AN_TME_BY[[#All],[Advanced Network/Insurance Carrier Org ID]],B291),0), "TRUE", ROUND(D291-SUMIFS(AN_TME_BY[[#All],[Total Claims Excluded because of Truncation]], AN_TME_BY[[#All],[Insurance Category Code]],5, AN_TME_BY[[#All],[Advanced Network/Insurance Carrier Org ID]],B291),2))</f>
        <v>TRUE</v>
      </c>
      <c r="J291" s="537" t="str">
        <f>IF(ROUND(E291,0)=ROUND(SUMIFS(AN_TME_BY[[#All],[Count of Members with Claims Truncated]], AN_TME_BY[[#All],[Insurance Category Code]],5, AN_TME_BY[[#All],[Advanced Network/Insurance Carrier Org ID]],B291),0), "TRUE", ROUND(E291-SUMIFS(AN_TME_BY[[#All],[Count of Members with Claims Truncated]], AN_TME_BY[[#All],[Insurance Category Code]],5, AN_TME_BY[[#All],[Advanced Network/Insurance Carrier Org ID]],B291),2))</f>
        <v>TRUE</v>
      </c>
      <c r="K291" s="533" t="str">
        <f>IF(ROUND(F291,0)=ROUND(SUMIFS(AN_TME_BY[[#All],[TOTAL Non-Truncated Unadjusted Claims Expenses]], AN_TME_BY[[#All],[Insurance Category Code]],5, AN_TME_BY[[#All],[Advanced Network/Insurance Carrier Org ID]],B291),0), "TRUE", ROUND(F291-SUMIFS(AN_TME_BY[[#All],[TOTAL Non-Truncated Unadjusted Claims Expenses]], AN_TME_BY[[#All],[Insurance Category Code]],5, AN_TME_BY[[#All],[Advanced Network/Insurance Carrier Org ID]],B291),2))</f>
        <v>TRUE</v>
      </c>
      <c r="L291" s="534" t="str">
        <f>IF(ROUND(G291,0)=ROUND(SUMIFS(AN_TME_BY[[#All],[TOTAL Truncated Unadjusted Claims Expenses (A21 -A19)]], AN_TME_BY[[#All],[Insurance Category Code]],5, AN_TME_BY[[#All],[Advanced Network/Insurance Carrier Org ID]],B291),0), "TRUE", ROUND(G291-SUMIFS(AN_TME_BY[[#All],[TOTAL Truncated Unadjusted Claims Expenses (A21 -A19)]], AN_TME_BY[[#All],[Insurance Category Code]],5, AN_TME_BY[[#All],[Advanced Network/Insurance Carrier Org ID]],B291),2))</f>
        <v>TRUE</v>
      </c>
      <c r="M291" s="525" t="str">
        <f t="shared" si="35"/>
        <v>TRUE</v>
      </c>
      <c r="N291" s="533" t="b">
        <f>ROUND(SUMIFS(AN_TME_BY[[#All],[TOTAL Non-Truncated Unadjusted Claims Expenses]], AN_TME_BY[[#All],[Insurance Category Code]],5, AN_TME_BY[[#All],[Advanced Network/Insurance Carrier Org ID]],B291),2)&gt;=ROUND(SUMIFS(AN_TME_BY[[#All],[TOTAL Truncated Unadjusted Claims Expenses (A21 -A19)]], AN_TME_BY[[#All],[Insurance Category Code]],5, AN_TME_BY[[#All],[Advanced Network/Insurance Carrier Org ID]],B291),2)</f>
        <v>1</v>
      </c>
      <c r="O291" s="534" t="b">
        <f>ROUND(SUMIFS(AN_TME_BY[[#All],[TOTAL Truncated Unadjusted Claims Expenses (A21 -A19)]], AN_TME_BY[[#All],[Insurance Category Code]],5, AN_TME_BY[[#All],[Advanced Network/Insurance Carrier Org ID]],B291)+SUMIFS(AN_TME_BY[[#All],[Total Claims Excluded because of Truncation]], AN_TME_BY[[#All],[Insurance Category Code]],5, AN_TME_BY[[#All],[Advanced Network/Insurance Carrier Org ID]],B291),2)=ROUND(SUMIFS(AN_TME_BY[[#All],[TOTAL Non-Truncated Unadjusted Claims Expenses]], AN_TME_BY[[#All],[Insurance Category Code]],5, AN_TME_BY[[#All],[Advanced Network/Insurance Carrier Org ID]],B291),2)</f>
        <v>1</v>
      </c>
      <c r="Q291" s="216">
        <v>112</v>
      </c>
      <c r="R291" s="404">
        <f>ROUND(SUMIFS(Age_Sex_PY[[#All],[Total Member Months by Age/Sex Band]], Age_Sex_PY[[#All],[Advanced Network ID]], $Q291, Age_Sex_PY[[#All],[Insurance Category Code]],5),2)</f>
        <v>0</v>
      </c>
      <c r="S291" s="238">
        <f>ROUND(SUMIFS(Age_Sex_PY[[#All],[Total Dollars Excluded from Spending After Applying Truncation at the Member Level]], Age_Sex_PY[[#All],[Advanced Network ID]], $B291, Age_Sex_PY[[#All],[Insurance Category Code]],5),2)</f>
        <v>0</v>
      </c>
      <c r="T291" s="209">
        <f>ROUND(SUMIFS(Age_Sex_PY[[#All],[Count of Members whose Spending was Truncated]], Age_Sex_PY[[#All],[Advanced Network ID]], $B291, Age_Sex_PY[[#All],[Insurance Category Code]],5),2)</f>
        <v>0</v>
      </c>
      <c r="U291" s="210">
        <f>ROUND(SUMIFS(Age_Sex_PY[[#All],[Total Spending before Truncation is Applied]], Age_Sex_PY[[#All],[Advanced Network ID]], $B291, Age_Sex_PY[[#All],[Insurance Category Code]],5), 2)</f>
        <v>0</v>
      </c>
      <c r="V291" s="212">
        <f>ROUND(SUMIFS(Age_Sex_PY[[#All],[Total Spending After Applying Truncation at the Member Level]], Age_Sex_PY[[#All],[Advanced Network ID]], $B291, Age_Sex_PY[[#All],[Insurance Category Code]],5),2)</f>
        <v>0</v>
      </c>
      <c r="W291" s="525" t="str">
        <f>IF(ROUND(R291,0)=ROUND(SUMIFS(AN_TME_PY[[#All],[Member Months]], AN_TME_PY[[#All],[Insurance Category Code]],5, AN_TME_PY[[#All],[Advanced Network/Insurance Carrier Org ID]],Q291),0), "TRUE", ROUND(R291-SUMIFS(AN_TME_PY[[#All],[Member Months]], AN_TME_PY[[#All],[Insurance Category Code]],5, AN_TME_PY[[#All],[Advanced Network/Insurance Carrier Org ID]],Q291),2))</f>
        <v>TRUE</v>
      </c>
      <c r="X291" s="527" t="str">
        <f>IF(ROUND(S291,0)=ROUND(SUMIFS(AN_TME_PY[[#All],[Total Claims Excluded because of Truncation]], AN_TME_PY[[#All],[Insurance Category Code]],5, AN_TME_PY[[#All],[Advanced Network/Insurance Carrier Org ID]],Q291),0), "TRUE", ROUND(S291-SUMIFS(AN_TME_PY[[#All],[Total Claims Excluded because of Truncation]], AN_TME_PY[[#All],[Insurance Category Code]],5, AN_TME_PY[[#All],[Advanced Network/Insurance Carrier Org ID]],Q291),2))</f>
        <v>TRUE</v>
      </c>
      <c r="Y291" s="537" t="str">
        <f>IF(ROUND(T291,0)=ROUND(SUMIFS(AN_TME_PY[[#All],[Count of Members with Claims Truncated]], AN_TME_PY[[#All],[Insurance Category Code]],5, AN_TME_PY[[#All],[Advanced Network/Insurance Carrier Org ID]],Q291),0), "TRUE", ROUND(T291-SUMIFS(AN_TME_PY[[#All],[Count of Members with Claims Truncated]], AN_TME_PY[[#All],[Insurance Category Code]],5, AN_TME_PY[[#All],[Advanced Network/Insurance Carrier Org ID]],Q291),2))</f>
        <v>TRUE</v>
      </c>
      <c r="Z291" s="528" t="str">
        <f>IF(ROUND(U291,0)=ROUND(SUMIFS(AN_TME_PY[[#All],[TOTAL Non-Truncated Unadjusted Claims Expenses]], AN_TME_PY[[#All],[Insurance Category Code]],5, AN_TME_PY[[#All],[Advanced Network/Insurance Carrier Org ID]],Q291),0), "TRUE", ROUND(U291-SUMIFS(AN_TME_PY[[#All],[TOTAL Non-Truncated Unadjusted Claims Expenses]], AN_TME_PY[[#All],[Insurance Category Code]],5, AN_TME_PY[[#All],[Advanced Network/Insurance Carrier Org ID]],Q291),2))</f>
        <v>TRUE</v>
      </c>
      <c r="AA291" s="529" t="str">
        <f>IF(ROUND(V291,0)=ROUND(SUMIFS(AN_TME_PY[[#All],[TOTAL Truncated Unadjusted Claims Expenses (A21 -A19)]], AN_TME_PY[[#All],[Insurance Category Code]],5, AN_TME_PY[[#All],[Advanced Network/Insurance Carrier Org ID]],Q291),0), "TRUE", ROUND(V291-SUMIFS(AN_TME_PY[[#All],[TOTAL Truncated Unadjusted Claims Expenses (A21 -A19)]], AN_TME_PY[[#All],[Insurance Category Code]],5, AN_TME_PY[[#All],[Advanced Network/Insurance Carrier Org ID]],Q291),2))</f>
        <v>TRUE</v>
      </c>
      <c r="AB291" s="525" t="str">
        <f t="shared" si="38"/>
        <v>TRUE</v>
      </c>
      <c r="AC291" s="528" t="b">
        <f>ROUND(SUMIFS(AN_TME_PY[[#All],[TOTAL Non-Truncated Unadjusted Claims Expenses]], AN_TME_PY[[#All],[Insurance Category Code]],5, AN_TME_PY[[#All],[Advanced Network/Insurance Carrier Org ID]],Q291),2)&gt;=ROUND(SUMIFS(AN_TME_PY[[#All],[TOTAL Truncated Unadjusted Claims Expenses (A21 -A19)]], AN_TME_PY[[#All],[Insurance Category Code]],5, AN_TME_PY[[#All],[Advanced Network/Insurance Carrier Org ID]],Q291),2)</f>
        <v>1</v>
      </c>
      <c r="AD291" s="529" t="b">
        <f>ROUND(SUMIFS(AN_TME_PY[[#All],[TOTAL Truncated Unadjusted Claims Expenses (A21 -A19)]], AN_TME_PY[[#All],[Insurance Category Code]],5, AN_TME_PY[[#All],[Advanced Network/Insurance Carrier Org ID]],Q291)+SUMIFS(AN_TME_PY[[#All],[Total Claims Excluded because of Truncation]], AN_TME_PY[[#All],[Insurance Category Code]],5, AN_TME_PY[[#All],[Advanced Network/Insurance Carrier Org ID]],Q291),2)=ROUND(SUMIFS(AN_TME_PY[[#All],[TOTAL Non-Truncated Unadjusted Claims Expenses]], AN_TME_PY[[#All],[Insurance Category Code]],5, AN_TME_PY[[#All],[Advanced Network/Insurance Carrier Org ID]],Q291),2)</f>
        <v>1</v>
      </c>
      <c r="AF291" s="283" t="str">
        <f t="shared" si="37"/>
        <v>NA</v>
      </c>
    </row>
    <row r="292" spans="2:32" outlineLevel="1" x14ac:dyDescent="0.25">
      <c r="B292" s="216">
        <v>113</v>
      </c>
      <c r="C292" s="404">
        <f>ROUND(SUMIFS(Age_Sex_BY[[#All],[Total Member Months by Age/Sex Band]], Age_Sex_BY[[#All],[Advanced Network ID]], $B292, Age_Sex_BY[[#All],[Insurance Category Code]],5),2)</f>
        <v>0</v>
      </c>
      <c r="D292" s="238">
        <f>ROUND(SUMIFS(Age_Sex_BY[[#All],[Total Dollars Excluded from Spending After Applying Truncation at the Member Level]], Age_Sex_BY[[#All],[Advanced Network ID]], $B292, Age_Sex_BY[[#All],[Insurance Category Code]],5),2)</f>
        <v>0</v>
      </c>
      <c r="E292" s="209">
        <f>ROUND(SUMIFS(Age_Sex_BY[[#All],[Count of Members whose Spending was Truncated]], Age_Sex_BY[[#All],[Advanced Network ID]], $B292, Age_Sex_BY[[#All],[Insurance Category Code]],5),2)</f>
        <v>0</v>
      </c>
      <c r="F292" s="210">
        <f>ROUND(SUMIFS(Age_Sex_BY[[#All],[Total Spending before Truncation is Applied]], Age_Sex_BY[[#All],[Advanced Network ID]], $B292, Age_Sex_BY[[#All],[Insurance Category Code]],5),2)</f>
        <v>0</v>
      </c>
      <c r="G292" s="212">
        <f>ROUND(SUMIFS(Age_Sex_BY[[#All],[Total Spending After Applying Truncation at the Member Level]], Age_Sex_BY[[#All],[Advanced Network ID]], $B292, Age_Sex_BY[[#All],[Insurance Category Code]],5), 2)</f>
        <v>0</v>
      </c>
      <c r="H292" s="525" t="str">
        <f>IF(ROUND(C292,0)=ROUND(SUMIFS(AN_TME_BY[[#All],[Member Months]], AN_TME_BY[[#All],[Insurance Category Code]],5, AN_TME_BY[[#All],[Advanced Network/Insurance Carrier Org ID]],B292),0), "TRUE", ROUND(C292-SUMIFS(AN_TME_BY[[#All],[Member Months]], AN_TME_BY[[#All],[Insurance Category Code]],5, AN_TME_BY[[#All],[Advanced Network/Insurance Carrier Org ID]],B292),2))</f>
        <v>TRUE</v>
      </c>
      <c r="I292" s="533" t="str">
        <f>IF(ROUND(D292,0)=ROUND(SUMIFS(AN_TME_BY[[#All],[Total Claims Excluded because of Truncation]], AN_TME_BY[[#All],[Insurance Category Code]],5, AN_TME_BY[[#All],[Advanced Network/Insurance Carrier Org ID]],B292),0), "TRUE", ROUND(D292-SUMIFS(AN_TME_BY[[#All],[Total Claims Excluded because of Truncation]], AN_TME_BY[[#All],[Insurance Category Code]],5, AN_TME_BY[[#All],[Advanced Network/Insurance Carrier Org ID]],B292),2))</f>
        <v>TRUE</v>
      </c>
      <c r="J292" s="537" t="str">
        <f>IF(ROUND(E292,0)=ROUND(SUMIFS(AN_TME_BY[[#All],[Count of Members with Claims Truncated]], AN_TME_BY[[#All],[Insurance Category Code]],5, AN_TME_BY[[#All],[Advanced Network/Insurance Carrier Org ID]],B292),0), "TRUE", ROUND(E292-SUMIFS(AN_TME_BY[[#All],[Count of Members with Claims Truncated]], AN_TME_BY[[#All],[Insurance Category Code]],5, AN_TME_BY[[#All],[Advanced Network/Insurance Carrier Org ID]],B292),2))</f>
        <v>TRUE</v>
      </c>
      <c r="K292" s="533" t="str">
        <f>IF(ROUND(F292,0)=ROUND(SUMIFS(AN_TME_BY[[#All],[TOTAL Non-Truncated Unadjusted Claims Expenses]], AN_TME_BY[[#All],[Insurance Category Code]],5, AN_TME_BY[[#All],[Advanced Network/Insurance Carrier Org ID]],B292),0), "TRUE", ROUND(F292-SUMIFS(AN_TME_BY[[#All],[TOTAL Non-Truncated Unadjusted Claims Expenses]], AN_TME_BY[[#All],[Insurance Category Code]],5, AN_TME_BY[[#All],[Advanced Network/Insurance Carrier Org ID]],B292),2))</f>
        <v>TRUE</v>
      </c>
      <c r="L292" s="534" t="str">
        <f>IF(ROUND(G292,0)=ROUND(SUMIFS(AN_TME_BY[[#All],[TOTAL Truncated Unadjusted Claims Expenses (A21 -A19)]], AN_TME_BY[[#All],[Insurance Category Code]],5, AN_TME_BY[[#All],[Advanced Network/Insurance Carrier Org ID]],B292),0), "TRUE", ROUND(G292-SUMIFS(AN_TME_BY[[#All],[TOTAL Truncated Unadjusted Claims Expenses (A21 -A19)]], AN_TME_BY[[#All],[Insurance Category Code]],5, AN_TME_BY[[#All],[Advanced Network/Insurance Carrier Org ID]],B292),2))</f>
        <v>TRUE</v>
      </c>
      <c r="M292" s="525" t="str">
        <f t="shared" si="35"/>
        <v>TRUE</v>
      </c>
      <c r="N292" s="533" t="b">
        <f>ROUND(SUMIFS(AN_TME_BY[[#All],[TOTAL Non-Truncated Unadjusted Claims Expenses]], AN_TME_BY[[#All],[Insurance Category Code]],5, AN_TME_BY[[#All],[Advanced Network/Insurance Carrier Org ID]],B292),2)&gt;=ROUND(SUMIFS(AN_TME_BY[[#All],[TOTAL Truncated Unadjusted Claims Expenses (A21 -A19)]], AN_TME_BY[[#All],[Insurance Category Code]],5, AN_TME_BY[[#All],[Advanced Network/Insurance Carrier Org ID]],B292),2)</f>
        <v>1</v>
      </c>
      <c r="O292" s="534" t="b">
        <f>ROUND(SUMIFS(AN_TME_BY[[#All],[TOTAL Truncated Unadjusted Claims Expenses (A21 -A19)]], AN_TME_BY[[#All],[Insurance Category Code]],5, AN_TME_BY[[#All],[Advanced Network/Insurance Carrier Org ID]],B292)+SUMIFS(AN_TME_BY[[#All],[Total Claims Excluded because of Truncation]], AN_TME_BY[[#All],[Insurance Category Code]],5, AN_TME_BY[[#All],[Advanced Network/Insurance Carrier Org ID]],B292),2)=ROUND(SUMIFS(AN_TME_BY[[#All],[TOTAL Non-Truncated Unadjusted Claims Expenses]], AN_TME_BY[[#All],[Insurance Category Code]],5, AN_TME_BY[[#All],[Advanced Network/Insurance Carrier Org ID]],B292),2)</f>
        <v>1</v>
      </c>
      <c r="Q292" s="216">
        <v>113</v>
      </c>
      <c r="R292" s="404">
        <f>ROUND(SUMIFS(Age_Sex_PY[[#All],[Total Member Months by Age/Sex Band]], Age_Sex_PY[[#All],[Advanced Network ID]], $Q292, Age_Sex_PY[[#All],[Insurance Category Code]],5),2)</f>
        <v>0</v>
      </c>
      <c r="S292" s="238">
        <f>ROUND(SUMIFS(Age_Sex_PY[[#All],[Total Dollars Excluded from Spending After Applying Truncation at the Member Level]], Age_Sex_PY[[#All],[Advanced Network ID]], $B292, Age_Sex_PY[[#All],[Insurance Category Code]],5),2)</f>
        <v>0</v>
      </c>
      <c r="T292" s="209">
        <f>ROUND(SUMIFS(Age_Sex_PY[[#All],[Count of Members whose Spending was Truncated]], Age_Sex_PY[[#All],[Advanced Network ID]], $B292, Age_Sex_PY[[#All],[Insurance Category Code]],5),2)</f>
        <v>0</v>
      </c>
      <c r="U292" s="210">
        <f>ROUND(SUMIFS(Age_Sex_PY[[#All],[Total Spending before Truncation is Applied]], Age_Sex_PY[[#All],[Advanced Network ID]], $B292, Age_Sex_PY[[#All],[Insurance Category Code]],5), 2)</f>
        <v>0</v>
      </c>
      <c r="V292" s="212">
        <f>ROUND(SUMIFS(Age_Sex_PY[[#All],[Total Spending After Applying Truncation at the Member Level]], Age_Sex_PY[[#All],[Advanced Network ID]], $B292, Age_Sex_PY[[#All],[Insurance Category Code]],5),2)</f>
        <v>0</v>
      </c>
      <c r="W292" s="525" t="str">
        <f>IF(ROUND(R292,0)=ROUND(SUMIFS(AN_TME_PY[[#All],[Member Months]], AN_TME_PY[[#All],[Insurance Category Code]],5, AN_TME_PY[[#All],[Advanced Network/Insurance Carrier Org ID]],Q292),0), "TRUE", ROUND(R292-SUMIFS(AN_TME_PY[[#All],[Member Months]], AN_TME_PY[[#All],[Insurance Category Code]],5, AN_TME_PY[[#All],[Advanced Network/Insurance Carrier Org ID]],Q292),2))</f>
        <v>TRUE</v>
      </c>
      <c r="X292" s="527" t="str">
        <f>IF(ROUND(S292,0)=ROUND(SUMIFS(AN_TME_PY[[#All],[Total Claims Excluded because of Truncation]], AN_TME_PY[[#All],[Insurance Category Code]],5, AN_TME_PY[[#All],[Advanced Network/Insurance Carrier Org ID]],Q292),0), "TRUE", ROUND(S292-SUMIFS(AN_TME_PY[[#All],[Total Claims Excluded because of Truncation]], AN_TME_PY[[#All],[Insurance Category Code]],5, AN_TME_PY[[#All],[Advanced Network/Insurance Carrier Org ID]],Q292),2))</f>
        <v>TRUE</v>
      </c>
      <c r="Y292" s="537" t="str">
        <f>IF(ROUND(T292,0)=ROUND(SUMIFS(AN_TME_PY[[#All],[Count of Members with Claims Truncated]], AN_TME_PY[[#All],[Insurance Category Code]],5, AN_TME_PY[[#All],[Advanced Network/Insurance Carrier Org ID]],Q292),0), "TRUE", ROUND(T292-SUMIFS(AN_TME_PY[[#All],[Count of Members with Claims Truncated]], AN_TME_PY[[#All],[Insurance Category Code]],5, AN_TME_PY[[#All],[Advanced Network/Insurance Carrier Org ID]],Q292),2))</f>
        <v>TRUE</v>
      </c>
      <c r="Z292" s="528" t="str">
        <f>IF(ROUND(U292,0)=ROUND(SUMIFS(AN_TME_PY[[#All],[TOTAL Non-Truncated Unadjusted Claims Expenses]], AN_TME_PY[[#All],[Insurance Category Code]],5, AN_TME_PY[[#All],[Advanced Network/Insurance Carrier Org ID]],Q292),0), "TRUE", ROUND(U292-SUMIFS(AN_TME_PY[[#All],[TOTAL Non-Truncated Unadjusted Claims Expenses]], AN_TME_PY[[#All],[Insurance Category Code]],5, AN_TME_PY[[#All],[Advanced Network/Insurance Carrier Org ID]],Q292),2))</f>
        <v>TRUE</v>
      </c>
      <c r="AA292" s="529" t="str">
        <f>IF(ROUND(V292,0)=ROUND(SUMIFS(AN_TME_PY[[#All],[TOTAL Truncated Unadjusted Claims Expenses (A21 -A19)]], AN_TME_PY[[#All],[Insurance Category Code]],5, AN_TME_PY[[#All],[Advanced Network/Insurance Carrier Org ID]],Q292),0), "TRUE", ROUND(V292-SUMIFS(AN_TME_PY[[#All],[TOTAL Truncated Unadjusted Claims Expenses (A21 -A19)]], AN_TME_PY[[#All],[Insurance Category Code]],5, AN_TME_PY[[#All],[Advanced Network/Insurance Carrier Org ID]],Q292),2))</f>
        <v>TRUE</v>
      </c>
      <c r="AB292" s="525" t="str">
        <f t="shared" si="38"/>
        <v>TRUE</v>
      </c>
      <c r="AC292" s="528" t="b">
        <f>ROUND(SUMIFS(AN_TME_PY[[#All],[TOTAL Non-Truncated Unadjusted Claims Expenses]], AN_TME_PY[[#All],[Insurance Category Code]],5, AN_TME_PY[[#All],[Advanced Network/Insurance Carrier Org ID]],Q292),2)&gt;=ROUND(SUMIFS(AN_TME_PY[[#All],[TOTAL Truncated Unadjusted Claims Expenses (A21 -A19)]], AN_TME_PY[[#All],[Insurance Category Code]],5, AN_TME_PY[[#All],[Advanced Network/Insurance Carrier Org ID]],Q292),2)</f>
        <v>1</v>
      </c>
      <c r="AD292" s="529" t="b">
        <f>ROUND(SUMIFS(AN_TME_PY[[#All],[TOTAL Truncated Unadjusted Claims Expenses (A21 -A19)]], AN_TME_PY[[#All],[Insurance Category Code]],5, AN_TME_PY[[#All],[Advanced Network/Insurance Carrier Org ID]],Q292)+SUMIFS(AN_TME_PY[[#All],[Total Claims Excluded because of Truncation]], AN_TME_PY[[#All],[Insurance Category Code]],5, AN_TME_PY[[#All],[Advanced Network/Insurance Carrier Org ID]],Q292),2)=ROUND(SUMIFS(AN_TME_PY[[#All],[TOTAL Non-Truncated Unadjusted Claims Expenses]], AN_TME_PY[[#All],[Insurance Category Code]],5, AN_TME_PY[[#All],[Advanced Network/Insurance Carrier Org ID]],Q292),2)</f>
        <v>1</v>
      </c>
      <c r="AF292" s="283" t="str">
        <f t="shared" si="37"/>
        <v>NA</v>
      </c>
    </row>
    <row r="293" spans="2:32" outlineLevel="1" x14ac:dyDescent="0.25">
      <c r="B293" s="216">
        <v>114</v>
      </c>
      <c r="C293" s="404">
        <f>ROUND(SUMIFS(Age_Sex_BY[[#All],[Total Member Months by Age/Sex Band]], Age_Sex_BY[[#All],[Advanced Network ID]], $B293, Age_Sex_BY[[#All],[Insurance Category Code]],5),2)</f>
        <v>0</v>
      </c>
      <c r="D293" s="238">
        <f>ROUND(SUMIFS(Age_Sex_BY[[#All],[Total Dollars Excluded from Spending After Applying Truncation at the Member Level]], Age_Sex_BY[[#All],[Advanced Network ID]], $B293, Age_Sex_BY[[#All],[Insurance Category Code]],5),2)</f>
        <v>0</v>
      </c>
      <c r="E293" s="209">
        <f>ROUND(SUMIFS(Age_Sex_BY[[#All],[Count of Members whose Spending was Truncated]], Age_Sex_BY[[#All],[Advanced Network ID]], $B293, Age_Sex_BY[[#All],[Insurance Category Code]],5),2)</f>
        <v>0</v>
      </c>
      <c r="F293" s="210">
        <f>ROUND(SUMIFS(Age_Sex_BY[[#All],[Total Spending before Truncation is Applied]], Age_Sex_BY[[#All],[Advanced Network ID]], $B293, Age_Sex_BY[[#All],[Insurance Category Code]],5),2)</f>
        <v>0</v>
      </c>
      <c r="G293" s="212">
        <f>ROUND(SUMIFS(Age_Sex_BY[[#All],[Total Spending After Applying Truncation at the Member Level]], Age_Sex_BY[[#All],[Advanced Network ID]], $B293, Age_Sex_BY[[#All],[Insurance Category Code]],5), 2)</f>
        <v>0</v>
      </c>
      <c r="H293" s="525" t="str">
        <f>IF(ROUND(C293,0)=ROUND(SUMIFS(AN_TME_BY[[#All],[Member Months]], AN_TME_BY[[#All],[Insurance Category Code]],5, AN_TME_BY[[#All],[Advanced Network/Insurance Carrier Org ID]],B293),0), "TRUE", ROUND(C293-SUMIFS(AN_TME_BY[[#All],[Member Months]], AN_TME_BY[[#All],[Insurance Category Code]],5, AN_TME_BY[[#All],[Advanced Network/Insurance Carrier Org ID]],B293),2))</f>
        <v>TRUE</v>
      </c>
      <c r="I293" s="533" t="str">
        <f>IF(ROUND(D293,0)=ROUND(SUMIFS(AN_TME_BY[[#All],[Total Claims Excluded because of Truncation]], AN_TME_BY[[#All],[Insurance Category Code]],5, AN_TME_BY[[#All],[Advanced Network/Insurance Carrier Org ID]],B293),0), "TRUE", ROUND(D293-SUMIFS(AN_TME_BY[[#All],[Total Claims Excluded because of Truncation]], AN_TME_BY[[#All],[Insurance Category Code]],5, AN_TME_BY[[#All],[Advanced Network/Insurance Carrier Org ID]],B293),2))</f>
        <v>TRUE</v>
      </c>
      <c r="J293" s="537" t="str">
        <f>IF(ROUND(E293,0)=ROUND(SUMIFS(AN_TME_BY[[#All],[Count of Members with Claims Truncated]], AN_TME_BY[[#All],[Insurance Category Code]],5, AN_TME_BY[[#All],[Advanced Network/Insurance Carrier Org ID]],B293),0), "TRUE", ROUND(E293-SUMIFS(AN_TME_BY[[#All],[Count of Members with Claims Truncated]], AN_TME_BY[[#All],[Insurance Category Code]],5, AN_TME_BY[[#All],[Advanced Network/Insurance Carrier Org ID]],B293),2))</f>
        <v>TRUE</v>
      </c>
      <c r="K293" s="533" t="str">
        <f>IF(ROUND(F293,0)=ROUND(SUMIFS(AN_TME_BY[[#All],[TOTAL Non-Truncated Unadjusted Claims Expenses]], AN_TME_BY[[#All],[Insurance Category Code]],5, AN_TME_BY[[#All],[Advanced Network/Insurance Carrier Org ID]],B293),0), "TRUE", ROUND(F293-SUMIFS(AN_TME_BY[[#All],[TOTAL Non-Truncated Unadjusted Claims Expenses]], AN_TME_BY[[#All],[Insurance Category Code]],5, AN_TME_BY[[#All],[Advanced Network/Insurance Carrier Org ID]],B293),2))</f>
        <v>TRUE</v>
      </c>
      <c r="L293" s="534" t="str">
        <f>IF(ROUND(G293,0)=ROUND(SUMIFS(AN_TME_BY[[#All],[TOTAL Truncated Unadjusted Claims Expenses (A21 -A19)]], AN_TME_BY[[#All],[Insurance Category Code]],5, AN_TME_BY[[#All],[Advanced Network/Insurance Carrier Org ID]],B293),0), "TRUE", ROUND(G293-SUMIFS(AN_TME_BY[[#All],[TOTAL Truncated Unadjusted Claims Expenses (A21 -A19)]], AN_TME_BY[[#All],[Insurance Category Code]],5, AN_TME_BY[[#All],[Advanced Network/Insurance Carrier Org ID]],B293),2))</f>
        <v>TRUE</v>
      </c>
      <c r="M293" s="525" t="str">
        <f t="shared" si="35"/>
        <v>TRUE</v>
      </c>
      <c r="N293" s="533" t="b">
        <f>ROUND(SUMIFS(AN_TME_BY[[#All],[TOTAL Non-Truncated Unadjusted Claims Expenses]], AN_TME_BY[[#All],[Insurance Category Code]],5, AN_TME_BY[[#All],[Advanced Network/Insurance Carrier Org ID]],B293),2)&gt;=ROUND(SUMIFS(AN_TME_BY[[#All],[TOTAL Truncated Unadjusted Claims Expenses (A21 -A19)]], AN_TME_BY[[#All],[Insurance Category Code]],5, AN_TME_BY[[#All],[Advanced Network/Insurance Carrier Org ID]],B293),2)</f>
        <v>1</v>
      </c>
      <c r="O293" s="534" t="b">
        <f>ROUND(SUMIFS(AN_TME_BY[[#All],[TOTAL Truncated Unadjusted Claims Expenses (A21 -A19)]], AN_TME_BY[[#All],[Insurance Category Code]],5, AN_TME_BY[[#All],[Advanced Network/Insurance Carrier Org ID]],B293)+SUMIFS(AN_TME_BY[[#All],[Total Claims Excluded because of Truncation]], AN_TME_BY[[#All],[Insurance Category Code]],5, AN_TME_BY[[#All],[Advanced Network/Insurance Carrier Org ID]],B293),2)=ROUND(SUMIFS(AN_TME_BY[[#All],[TOTAL Non-Truncated Unadjusted Claims Expenses]], AN_TME_BY[[#All],[Insurance Category Code]],5, AN_TME_BY[[#All],[Advanced Network/Insurance Carrier Org ID]],B293),2)</f>
        <v>1</v>
      </c>
      <c r="Q293" s="216">
        <v>114</v>
      </c>
      <c r="R293" s="404">
        <f>ROUND(SUMIFS(Age_Sex_PY[[#All],[Total Member Months by Age/Sex Band]], Age_Sex_PY[[#All],[Advanced Network ID]], $Q293, Age_Sex_PY[[#All],[Insurance Category Code]],5),2)</f>
        <v>0</v>
      </c>
      <c r="S293" s="238">
        <f>ROUND(SUMIFS(Age_Sex_PY[[#All],[Total Dollars Excluded from Spending After Applying Truncation at the Member Level]], Age_Sex_PY[[#All],[Advanced Network ID]], $B293, Age_Sex_PY[[#All],[Insurance Category Code]],5),2)</f>
        <v>0</v>
      </c>
      <c r="T293" s="209">
        <f>ROUND(SUMIFS(Age_Sex_PY[[#All],[Count of Members whose Spending was Truncated]], Age_Sex_PY[[#All],[Advanced Network ID]], $B293, Age_Sex_PY[[#All],[Insurance Category Code]],5),2)</f>
        <v>0</v>
      </c>
      <c r="U293" s="210">
        <f>ROUND(SUMIFS(Age_Sex_PY[[#All],[Total Spending before Truncation is Applied]], Age_Sex_PY[[#All],[Advanced Network ID]], $B293, Age_Sex_PY[[#All],[Insurance Category Code]],5), 2)</f>
        <v>0</v>
      </c>
      <c r="V293" s="212">
        <f>ROUND(SUMIFS(Age_Sex_PY[[#All],[Total Spending After Applying Truncation at the Member Level]], Age_Sex_PY[[#All],[Advanced Network ID]], $B293, Age_Sex_PY[[#All],[Insurance Category Code]],5),2)</f>
        <v>0</v>
      </c>
      <c r="W293" s="525" t="str">
        <f>IF(ROUND(R293,0)=ROUND(SUMIFS(AN_TME_PY[[#All],[Member Months]], AN_TME_PY[[#All],[Insurance Category Code]],5, AN_TME_PY[[#All],[Advanced Network/Insurance Carrier Org ID]],Q293),0), "TRUE", ROUND(R293-SUMIFS(AN_TME_PY[[#All],[Member Months]], AN_TME_PY[[#All],[Insurance Category Code]],5, AN_TME_PY[[#All],[Advanced Network/Insurance Carrier Org ID]],Q293),2))</f>
        <v>TRUE</v>
      </c>
      <c r="X293" s="527" t="str">
        <f>IF(ROUND(S293,0)=ROUND(SUMIFS(AN_TME_PY[[#All],[Total Claims Excluded because of Truncation]], AN_TME_PY[[#All],[Insurance Category Code]],5, AN_TME_PY[[#All],[Advanced Network/Insurance Carrier Org ID]],Q293),0), "TRUE", ROUND(S293-SUMIFS(AN_TME_PY[[#All],[Total Claims Excluded because of Truncation]], AN_TME_PY[[#All],[Insurance Category Code]],5, AN_TME_PY[[#All],[Advanced Network/Insurance Carrier Org ID]],Q293),2))</f>
        <v>TRUE</v>
      </c>
      <c r="Y293" s="537" t="str">
        <f>IF(ROUND(T293,0)=ROUND(SUMIFS(AN_TME_PY[[#All],[Count of Members with Claims Truncated]], AN_TME_PY[[#All],[Insurance Category Code]],5, AN_TME_PY[[#All],[Advanced Network/Insurance Carrier Org ID]],Q293),0), "TRUE", ROUND(T293-SUMIFS(AN_TME_PY[[#All],[Count of Members with Claims Truncated]], AN_TME_PY[[#All],[Insurance Category Code]],5, AN_TME_PY[[#All],[Advanced Network/Insurance Carrier Org ID]],Q293),2))</f>
        <v>TRUE</v>
      </c>
      <c r="Z293" s="528" t="str">
        <f>IF(ROUND(U293,0)=ROUND(SUMIFS(AN_TME_PY[[#All],[TOTAL Non-Truncated Unadjusted Claims Expenses]], AN_TME_PY[[#All],[Insurance Category Code]],5, AN_TME_PY[[#All],[Advanced Network/Insurance Carrier Org ID]],Q293),0), "TRUE", ROUND(U293-SUMIFS(AN_TME_PY[[#All],[TOTAL Non-Truncated Unadjusted Claims Expenses]], AN_TME_PY[[#All],[Insurance Category Code]],5, AN_TME_PY[[#All],[Advanced Network/Insurance Carrier Org ID]],Q293),2))</f>
        <v>TRUE</v>
      </c>
      <c r="AA293" s="529" t="str">
        <f>IF(ROUND(V293,0)=ROUND(SUMIFS(AN_TME_PY[[#All],[TOTAL Truncated Unadjusted Claims Expenses (A21 -A19)]], AN_TME_PY[[#All],[Insurance Category Code]],5, AN_TME_PY[[#All],[Advanced Network/Insurance Carrier Org ID]],Q293),0), "TRUE", ROUND(V293-SUMIFS(AN_TME_PY[[#All],[TOTAL Truncated Unadjusted Claims Expenses (A21 -A19)]], AN_TME_PY[[#All],[Insurance Category Code]],5, AN_TME_PY[[#All],[Advanced Network/Insurance Carrier Org ID]],Q293),2))</f>
        <v>TRUE</v>
      </c>
      <c r="AB293" s="525" t="str">
        <f t="shared" si="38"/>
        <v>TRUE</v>
      </c>
      <c r="AC293" s="528" t="b">
        <f>ROUND(SUMIFS(AN_TME_PY[[#All],[TOTAL Non-Truncated Unadjusted Claims Expenses]], AN_TME_PY[[#All],[Insurance Category Code]],5, AN_TME_PY[[#All],[Advanced Network/Insurance Carrier Org ID]],Q293),2)&gt;=ROUND(SUMIFS(AN_TME_PY[[#All],[TOTAL Truncated Unadjusted Claims Expenses (A21 -A19)]], AN_TME_PY[[#All],[Insurance Category Code]],5, AN_TME_PY[[#All],[Advanced Network/Insurance Carrier Org ID]],Q293),2)</f>
        <v>1</v>
      </c>
      <c r="AD293" s="529" t="b">
        <f>ROUND(SUMIFS(AN_TME_PY[[#All],[TOTAL Truncated Unadjusted Claims Expenses (A21 -A19)]], AN_TME_PY[[#All],[Insurance Category Code]],5, AN_TME_PY[[#All],[Advanced Network/Insurance Carrier Org ID]],Q293)+SUMIFS(AN_TME_PY[[#All],[Total Claims Excluded because of Truncation]], AN_TME_PY[[#All],[Insurance Category Code]],5, AN_TME_PY[[#All],[Advanced Network/Insurance Carrier Org ID]],Q293),2)=ROUND(SUMIFS(AN_TME_PY[[#All],[TOTAL Non-Truncated Unadjusted Claims Expenses]], AN_TME_PY[[#All],[Insurance Category Code]],5, AN_TME_PY[[#All],[Advanced Network/Insurance Carrier Org ID]],Q293),2)</f>
        <v>1</v>
      </c>
      <c r="AF293" s="283" t="str">
        <f t="shared" si="37"/>
        <v>NA</v>
      </c>
    </row>
    <row r="294" spans="2:32" outlineLevel="1" x14ac:dyDescent="0.25">
      <c r="B294" s="216">
        <v>115</v>
      </c>
      <c r="C294" s="404">
        <f>ROUND(SUMIFS(Age_Sex_BY[[#All],[Total Member Months by Age/Sex Band]], Age_Sex_BY[[#All],[Advanced Network ID]], $B294, Age_Sex_BY[[#All],[Insurance Category Code]],5),2)</f>
        <v>0</v>
      </c>
      <c r="D294" s="238">
        <f>ROUND(SUMIFS(Age_Sex_BY[[#All],[Total Dollars Excluded from Spending After Applying Truncation at the Member Level]], Age_Sex_BY[[#All],[Advanced Network ID]], $B294, Age_Sex_BY[[#All],[Insurance Category Code]],5),2)</f>
        <v>0</v>
      </c>
      <c r="E294" s="209">
        <f>ROUND(SUMIFS(Age_Sex_BY[[#All],[Count of Members whose Spending was Truncated]], Age_Sex_BY[[#All],[Advanced Network ID]], $B294, Age_Sex_BY[[#All],[Insurance Category Code]],5),2)</f>
        <v>0</v>
      </c>
      <c r="F294" s="210">
        <f>ROUND(SUMIFS(Age_Sex_BY[[#All],[Total Spending before Truncation is Applied]], Age_Sex_BY[[#All],[Advanced Network ID]], $B294, Age_Sex_BY[[#All],[Insurance Category Code]],5),2)</f>
        <v>0</v>
      </c>
      <c r="G294" s="212">
        <f>ROUND(SUMIFS(Age_Sex_BY[[#All],[Total Spending After Applying Truncation at the Member Level]], Age_Sex_BY[[#All],[Advanced Network ID]], $B294, Age_Sex_BY[[#All],[Insurance Category Code]],5), 2)</f>
        <v>0</v>
      </c>
      <c r="H294" s="525" t="str">
        <f>IF(ROUND(C294,0)=ROUND(SUMIFS(AN_TME_BY[[#All],[Member Months]], AN_TME_BY[[#All],[Insurance Category Code]],5, AN_TME_BY[[#All],[Advanced Network/Insurance Carrier Org ID]],B294),0), "TRUE", ROUND(C294-SUMIFS(AN_TME_BY[[#All],[Member Months]], AN_TME_BY[[#All],[Insurance Category Code]],5, AN_TME_BY[[#All],[Advanced Network/Insurance Carrier Org ID]],B294),2))</f>
        <v>TRUE</v>
      </c>
      <c r="I294" s="533" t="str">
        <f>IF(ROUND(D294,0)=ROUND(SUMIFS(AN_TME_BY[[#All],[Total Claims Excluded because of Truncation]], AN_TME_BY[[#All],[Insurance Category Code]],5, AN_TME_BY[[#All],[Advanced Network/Insurance Carrier Org ID]],B294),0), "TRUE", ROUND(D294-SUMIFS(AN_TME_BY[[#All],[Total Claims Excluded because of Truncation]], AN_TME_BY[[#All],[Insurance Category Code]],5, AN_TME_BY[[#All],[Advanced Network/Insurance Carrier Org ID]],B294),2))</f>
        <v>TRUE</v>
      </c>
      <c r="J294" s="537" t="str">
        <f>IF(ROUND(E294,0)=ROUND(SUMIFS(AN_TME_BY[[#All],[Count of Members with Claims Truncated]], AN_TME_BY[[#All],[Insurance Category Code]],5, AN_TME_BY[[#All],[Advanced Network/Insurance Carrier Org ID]],B294),0), "TRUE", ROUND(E294-SUMIFS(AN_TME_BY[[#All],[Count of Members with Claims Truncated]], AN_TME_BY[[#All],[Insurance Category Code]],5, AN_TME_BY[[#All],[Advanced Network/Insurance Carrier Org ID]],B294),2))</f>
        <v>TRUE</v>
      </c>
      <c r="K294" s="533" t="str">
        <f>IF(ROUND(F294,0)=ROUND(SUMIFS(AN_TME_BY[[#All],[TOTAL Non-Truncated Unadjusted Claims Expenses]], AN_TME_BY[[#All],[Insurance Category Code]],5, AN_TME_BY[[#All],[Advanced Network/Insurance Carrier Org ID]],B294),0), "TRUE", ROUND(F294-SUMIFS(AN_TME_BY[[#All],[TOTAL Non-Truncated Unadjusted Claims Expenses]], AN_TME_BY[[#All],[Insurance Category Code]],5, AN_TME_BY[[#All],[Advanced Network/Insurance Carrier Org ID]],B294),2))</f>
        <v>TRUE</v>
      </c>
      <c r="L294" s="534" t="str">
        <f>IF(ROUND(G294,0)=ROUND(SUMIFS(AN_TME_BY[[#All],[TOTAL Truncated Unadjusted Claims Expenses (A21 -A19)]], AN_TME_BY[[#All],[Insurance Category Code]],5, AN_TME_BY[[#All],[Advanced Network/Insurance Carrier Org ID]],B294),0), "TRUE", ROUND(G294-SUMIFS(AN_TME_BY[[#All],[TOTAL Truncated Unadjusted Claims Expenses (A21 -A19)]], AN_TME_BY[[#All],[Insurance Category Code]],5, AN_TME_BY[[#All],[Advanced Network/Insurance Carrier Org ID]],B294),2))</f>
        <v>TRUE</v>
      </c>
      <c r="M294" s="525" t="str">
        <f t="shared" si="35"/>
        <v>TRUE</v>
      </c>
      <c r="N294" s="533" t="b">
        <f>ROUND(SUMIFS(AN_TME_BY[[#All],[TOTAL Non-Truncated Unadjusted Claims Expenses]], AN_TME_BY[[#All],[Insurance Category Code]],5, AN_TME_BY[[#All],[Advanced Network/Insurance Carrier Org ID]],B294),2)&gt;=ROUND(SUMIFS(AN_TME_BY[[#All],[TOTAL Truncated Unadjusted Claims Expenses (A21 -A19)]], AN_TME_BY[[#All],[Insurance Category Code]],5, AN_TME_BY[[#All],[Advanced Network/Insurance Carrier Org ID]],B294),2)</f>
        <v>1</v>
      </c>
      <c r="O294" s="534" t="b">
        <f>ROUND(SUMIFS(AN_TME_BY[[#All],[TOTAL Truncated Unadjusted Claims Expenses (A21 -A19)]], AN_TME_BY[[#All],[Insurance Category Code]],5, AN_TME_BY[[#All],[Advanced Network/Insurance Carrier Org ID]],B294)+SUMIFS(AN_TME_BY[[#All],[Total Claims Excluded because of Truncation]], AN_TME_BY[[#All],[Insurance Category Code]],5, AN_TME_BY[[#All],[Advanced Network/Insurance Carrier Org ID]],B294),2)=ROUND(SUMIFS(AN_TME_BY[[#All],[TOTAL Non-Truncated Unadjusted Claims Expenses]], AN_TME_BY[[#All],[Insurance Category Code]],5, AN_TME_BY[[#All],[Advanced Network/Insurance Carrier Org ID]],B294),2)</f>
        <v>1</v>
      </c>
      <c r="Q294" s="216">
        <v>115</v>
      </c>
      <c r="R294" s="404">
        <f>ROUND(SUMIFS(Age_Sex_PY[[#All],[Total Member Months by Age/Sex Band]], Age_Sex_PY[[#All],[Advanced Network ID]], $Q294, Age_Sex_PY[[#All],[Insurance Category Code]],5),2)</f>
        <v>0</v>
      </c>
      <c r="S294" s="238">
        <f>ROUND(SUMIFS(Age_Sex_PY[[#All],[Total Dollars Excluded from Spending After Applying Truncation at the Member Level]], Age_Sex_PY[[#All],[Advanced Network ID]], $B294, Age_Sex_PY[[#All],[Insurance Category Code]],5),2)</f>
        <v>0</v>
      </c>
      <c r="T294" s="209">
        <f>ROUND(SUMIFS(Age_Sex_PY[[#All],[Count of Members whose Spending was Truncated]], Age_Sex_PY[[#All],[Advanced Network ID]], $B294, Age_Sex_PY[[#All],[Insurance Category Code]],5),2)</f>
        <v>0</v>
      </c>
      <c r="U294" s="210">
        <f>ROUND(SUMIFS(Age_Sex_PY[[#All],[Total Spending before Truncation is Applied]], Age_Sex_PY[[#All],[Advanced Network ID]], $B294, Age_Sex_PY[[#All],[Insurance Category Code]],5), 2)</f>
        <v>0</v>
      </c>
      <c r="V294" s="212">
        <f>ROUND(SUMIFS(Age_Sex_PY[[#All],[Total Spending After Applying Truncation at the Member Level]], Age_Sex_PY[[#All],[Advanced Network ID]], $B294, Age_Sex_PY[[#All],[Insurance Category Code]],5),2)</f>
        <v>0</v>
      </c>
      <c r="W294" s="525" t="str">
        <f>IF(ROUND(R294,0)=ROUND(SUMIFS(AN_TME_PY[[#All],[Member Months]], AN_TME_PY[[#All],[Insurance Category Code]],5, AN_TME_PY[[#All],[Advanced Network/Insurance Carrier Org ID]],Q294),0), "TRUE", ROUND(R294-SUMIFS(AN_TME_PY[[#All],[Member Months]], AN_TME_PY[[#All],[Insurance Category Code]],5, AN_TME_PY[[#All],[Advanced Network/Insurance Carrier Org ID]],Q294),2))</f>
        <v>TRUE</v>
      </c>
      <c r="X294" s="527" t="str">
        <f>IF(ROUND(S294,0)=ROUND(SUMIFS(AN_TME_PY[[#All],[Total Claims Excluded because of Truncation]], AN_TME_PY[[#All],[Insurance Category Code]],5, AN_TME_PY[[#All],[Advanced Network/Insurance Carrier Org ID]],Q294),0), "TRUE", ROUND(S294-SUMIFS(AN_TME_PY[[#All],[Total Claims Excluded because of Truncation]], AN_TME_PY[[#All],[Insurance Category Code]],5, AN_TME_PY[[#All],[Advanced Network/Insurance Carrier Org ID]],Q294),2))</f>
        <v>TRUE</v>
      </c>
      <c r="Y294" s="537" t="str">
        <f>IF(ROUND(T294,0)=ROUND(SUMIFS(AN_TME_PY[[#All],[Count of Members with Claims Truncated]], AN_TME_PY[[#All],[Insurance Category Code]],5, AN_TME_PY[[#All],[Advanced Network/Insurance Carrier Org ID]],Q294),0), "TRUE", ROUND(T294-SUMIFS(AN_TME_PY[[#All],[Count of Members with Claims Truncated]], AN_TME_PY[[#All],[Insurance Category Code]],5, AN_TME_PY[[#All],[Advanced Network/Insurance Carrier Org ID]],Q294),2))</f>
        <v>TRUE</v>
      </c>
      <c r="Z294" s="528" t="str">
        <f>IF(ROUND(U294,0)=ROUND(SUMIFS(AN_TME_PY[[#All],[TOTAL Non-Truncated Unadjusted Claims Expenses]], AN_TME_PY[[#All],[Insurance Category Code]],5, AN_TME_PY[[#All],[Advanced Network/Insurance Carrier Org ID]],Q294),0), "TRUE", ROUND(U294-SUMIFS(AN_TME_PY[[#All],[TOTAL Non-Truncated Unadjusted Claims Expenses]], AN_TME_PY[[#All],[Insurance Category Code]],5, AN_TME_PY[[#All],[Advanced Network/Insurance Carrier Org ID]],Q294),2))</f>
        <v>TRUE</v>
      </c>
      <c r="AA294" s="529" t="str">
        <f>IF(ROUND(V294,0)=ROUND(SUMIFS(AN_TME_PY[[#All],[TOTAL Truncated Unadjusted Claims Expenses (A21 -A19)]], AN_TME_PY[[#All],[Insurance Category Code]],5, AN_TME_PY[[#All],[Advanced Network/Insurance Carrier Org ID]],Q294),0), "TRUE", ROUND(V294-SUMIFS(AN_TME_PY[[#All],[TOTAL Truncated Unadjusted Claims Expenses (A21 -A19)]], AN_TME_PY[[#All],[Insurance Category Code]],5, AN_TME_PY[[#All],[Advanced Network/Insurance Carrier Org ID]],Q294),2))</f>
        <v>TRUE</v>
      </c>
      <c r="AB294" s="525" t="str">
        <f t="shared" si="38"/>
        <v>TRUE</v>
      </c>
      <c r="AC294" s="528" t="b">
        <f>ROUND(SUMIFS(AN_TME_PY[[#All],[TOTAL Non-Truncated Unadjusted Claims Expenses]], AN_TME_PY[[#All],[Insurance Category Code]],5, AN_TME_PY[[#All],[Advanced Network/Insurance Carrier Org ID]],Q294),2)&gt;=ROUND(SUMIFS(AN_TME_PY[[#All],[TOTAL Truncated Unadjusted Claims Expenses (A21 -A19)]], AN_TME_PY[[#All],[Insurance Category Code]],5, AN_TME_PY[[#All],[Advanced Network/Insurance Carrier Org ID]],Q294),2)</f>
        <v>1</v>
      </c>
      <c r="AD294" s="529" t="b">
        <f>ROUND(SUMIFS(AN_TME_PY[[#All],[TOTAL Truncated Unadjusted Claims Expenses (A21 -A19)]], AN_TME_PY[[#All],[Insurance Category Code]],5, AN_TME_PY[[#All],[Advanced Network/Insurance Carrier Org ID]],Q294)+SUMIFS(AN_TME_PY[[#All],[Total Claims Excluded because of Truncation]], AN_TME_PY[[#All],[Insurance Category Code]],5, AN_TME_PY[[#All],[Advanced Network/Insurance Carrier Org ID]],Q294),2)=ROUND(SUMIFS(AN_TME_PY[[#All],[TOTAL Non-Truncated Unadjusted Claims Expenses]], AN_TME_PY[[#All],[Insurance Category Code]],5, AN_TME_PY[[#All],[Advanced Network/Insurance Carrier Org ID]],Q294),2)</f>
        <v>1</v>
      </c>
      <c r="AF294" s="283" t="str">
        <f t="shared" si="37"/>
        <v>NA</v>
      </c>
    </row>
    <row r="295" spans="2:32" outlineLevel="1" x14ac:dyDescent="0.25">
      <c r="B295" s="216">
        <v>116</v>
      </c>
      <c r="C295" s="404">
        <f>ROUND(SUMIFS(Age_Sex_BY[[#All],[Total Member Months by Age/Sex Band]], Age_Sex_BY[[#All],[Advanced Network ID]], $B295, Age_Sex_BY[[#All],[Insurance Category Code]],5),2)</f>
        <v>0</v>
      </c>
      <c r="D295" s="238">
        <f>ROUND(SUMIFS(Age_Sex_BY[[#All],[Total Dollars Excluded from Spending After Applying Truncation at the Member Level]], Age_Sex_BY[[#All],[Advanced Network ID]], $B295, Age_Sex_BY[[#All],[Insurance Category Code]],5),2)</f>
        <v>0</v>
      </c>
      <c r="E295" s="209">
        <f>ROUND(SUMIFS(Age_Sex_BY[[#All],[Count of Members whose Spending was Truncated]], Age_Sex_BY[[#All],[Advanced Network ID]], $B295, Age_Sex_BY[[#All],[Insurance Category Code]],5),2)</f>
        <v>0</v>
      </c>
      <c r="F295" s="210">
        <f>ROUND(SUMIFS(Age_Sex_BY[[#All],[Total Spending before Truncation is Applied]], Age_Sex_BY[[#All],[Advanced Network ID]], $B295, Age_Sex_BY[[#All],[Insurance Category Code]],5),2)</f>
        <v>0</v>
      </c>
      <c r="G295" s="212">
        <f>ROUND(SUMIFS(Age_Sex_BY[[#All],[Total Spending After Applying Truncation at the Member Level]], Age_Sex_BY[[#All],[Advanced Network ID]], $B295, Age_Sex_BY[[#All],[Insurance Category Code]],5), 2)</f>
        <v>0</v>
      </c>
      <c r="H295" s="525" t="str">
        <f>IF(ROUND(C295,0)=ROUND(SUMIFS(AN_TME_BY[[#All],[Member Months]], AN_TME_BY[[#All],[Insurance Category Code]],5, AN_TME_BY[[#All],[Advanced Network/Insurance Carrier Org ID]],B295),0), "TRUE", ROUND(C295-SUMIFS(AN_TME_BY[[#All],[Member Months]], AN_TME_BY[[#All],[Insurance Category Code]],5, AN_TME_BY[[#All],[Advanced Network/Insurance Carrier Org ID]],B295),2))</f>
        <v>TRUE</v>
      </c>
      <c r="I295" s="533" t="str">
        <f>IF(ROUND(D295,0)=ROUND(SUMIFS(AN_TME_BY[[#All],[Total Claims Excluded because of Truncation]], AN_TME_BY[[#All],[Insurance Category Code]],5, AN_TME_BY[[#All],[Advanced Network/Insurance Carrier Org ID]],B295),0), "TRUE", ROUND(D295-SUMIFS(AN_TME_BY[[#All],[Total Claims Excluded because of Truncation]], AN_TME_BY[[#All],[Insurance Category Code]],5, AN_TME_BY[[#All],[Advanced Network/Insurance Carrier Org ID]],B295),2))</f>
        <v>TRUE</v>
      </c>
      <c r="J295" s="537" t="str">
        <f>IF(ROUND(E295,0)=ROUND(SUMIFS(AN_TME_BY[[#All],[Count of Members with Claims Truncated]], AN_TME_BY[[#All],[Insurance Category Code]],5, AN_TME_BY[[#All],[Advanced Network/Insurance Carrier Org ID]],B295),0), "TRUE", ROUND(E295-SUMIFS(AN_TME_BY[[#All],[Count of Members with Claims Truncated]], AN_TME_BY[[#All],[Insurance Category Code]],5, AN_TME_BY[[#All],[Advanced Network/Insurance Carrier Org ID]],B295),2))</f>
        <v>TRUE</v>
      </c>
      <c r="K295" s="533" t="str">
        <f>IF(ROUND(F295,0)=ROUND(SUMIFS(AN_TME_BY[[#All],[TOTAL Non-Truncated Unadjusted Claims Expenses]], AN_TME_BY[[#All],[Insurance Category Code]],5, AN_TME_BY[[#All],[Advanced Network/Insurance Carrier Org ID]],B295),0), "TRUE", ROUND(F295-SUMIFS(AN_TME_BY[[#All],[TOTAL Non-Truncated Unadjusted Claims Expenses]], AN_TME_BY[[#All],[Insurance Category Code]],5, AN_TME_BY[[#All],[Advanced Network/Insurance Carrier Org ID]],B295),2))</f>
        <v>TRUE</v>
      </c>
      <c r="L295" s="534" t="str">
        <f>IF(ROUND(G295,0)=ROUND(SUMIFS(AN_TME_BY[[#All],[TOTAL Truncated Unadjusted Claims Expenses (A21 -A19)]], AN_TME_BY[[#All],[Insurance Category Code]],5, AN_TME_BY[[#All],[Advanced Network/Insurance Carrier Org ID]],B295),0), "TRUE", ROUND(G295-SUMIFS(AN_TME_BY[[#All],[TOTAL Truncated Unadjusted Claims Expenses (A21 -A19)]], AN_TME_BY[[#All],[Insurance Category Code]],5, AN_TME_BY[[#All],[Advanced Network/Insurance Carrier Org ID]],B295),2))</f>
        <v>TRUE</v>
      </c>
      <c r="M295" s="525" t="str">
        <f t="shared" si="35"/>
        <v>TRUE</v>
      </c>
      <c r="N295" s="533" t="b">
        <f>ROUND(SUMIFS(AN_TME_BY[[#All],[TOTAL Non-Truncated Unadjusted Claims Expenses]], AN_TME_BY[[#All],[Insurance Category Code]],5, AN_TME_BY[[#All],[Advanced Network/Insurance Carrier Org ID]],B295),2)&gt;=ROUND(SUMIFS(AN_TME_BY[[#All],[TOTAL Truncated Unadjusted Claims Expenses (A21 -A19)]], AN_TME_BY[[#All],[Insurance Category Code]],5, AN_TME_BY[[#All],[Advanced Network/Insurance Carrier Org ID]],B295),2)</f>
        <v>1</v>
      </c>
      <c r="O295" s="534" t="b">
        <f>ROUND(SUMIFS(AN_TME_BY[[#All],[TOTAL Truncated Unadjusted Claims Expenses (A21 -A19)]], AN_TME_BY[[#All],[Insurance Category Code]],5, AN_TME_BY[[#All],[Advanced Network/Insurance Carrier Org ID]],B295)+SUMIFS(AN_TME_BY[[#All],[Total Claims Excluded because of Truncation]], AN_TME_BY[[#All],[Insurance Category Code]],5, AN_TME_BY[[#All],[Advanced Network/Insurance Carrier Org ID]],B295),2)=ROUND(SUMIFS(AN_TME_BY[[#All],[TOTAL Non-Truncated Unadjusted Claims Expenses]], AN_TME_BY[[#All],[Insurance Category Code]],5, AN_TME_BY[[#All],[Advanced Network/Insurance Carrier Org ID]],B295),2)</f>
        <v>1</v>
      </c>
      <c r="Q295" s="216">
        <v>116</v>
      </c>
      <c r="R295" s="404">
        <f>ROUND(SUMIFS(Age_Sex_PY[[#All],[Total Member Months by Age/Sex Band]], Age_Sex_PY[[#All],[Advanced Network ID]], $Q295, Age_Sex_PY[[#All],[Insurance Category Code]],5),2)</f>
        <v>0</v>
      </c>
      <c r="S295" s="238">
        <f>ROUND(SUMIFS(Age_Sex_PY[[#All],[Total Dollars Excluded from Spending After Applying Truncation at the Member Level]], Age_Sex_PY[[#All],[Advanced Network ID]], $B295, Age_Sex_PY[[#All],[Insurance Category Code]],5),2)</f>
        <v>0</v>
      </c>
      <c r="T295" s="209">
        <f>ROUND(SUMIFS(Age_Sex_PY[[#All],[Count of Members whose Spending was Truncated]], Age_Sex_PY[[#All],[Advanced Network ID]], $B295, Age_Sex_PY[[#All],[Insurance Category Code]],5),2)</f>
        <v>0</v>
      </c>
      <c r="U295" s="210">
        <f>ROUND(SUMIFS(Age_Sex_PY[[#All],[Total Spending before Truncation is Applied]], Age_Sex_PY[[#All],[Advanced Network ID]], $B295, Age_Sex_PY[[#All],[Insurance Category Code]],5), 2)</f>
        <v>0</v>
      </c>
      <c r="V295" s="212">
        <f>ROUND(SUMIFS(Age_Sex_PY[[#All],[Total Spending After Applying Truncation at the Member Level]], Age_Sex_PY[[#All],[Advanced Network ID]], $B295, Age_Sex_PY[[#All],[Insurance Category Code]],5),2)</f>
        <v>0</v>
      </c>
      <c r="W295" s="525" t="str">
        <f>IF(ROUND(R295,0)=ROUND(SUMIFS(AN_TME_PY[[#All],[Member Months]], AN_TME_PY[[#All],[Insurance Category Code]],5, AN_TME_PY[[#All],[Advanced Network/Insurance Carrier Org ID]],Q295),0), "TRUE", ROUND(R295-SUMIFS(AN_TME_PY[[#All],[Member Months]], AN_TME_PY[[#All],[Insurance Category Code]],5, AN_TME_PY[[#All],[Advanced Network/Insurance Carrier Org ID]],Q295),2))</f>
        <v>TRUE</v>
      </c>
      <c r="X295" s="527" t="str">
        <f>IF(ROUND(S295,0)=ROUND(SUMIFS(AN_TME_PY[[#All],[Total Claims Excluded because of Truncation]], AN_TME_PY[[#All],[Insurance Category Code]],5, AN_TME_PY[[#All],[Advanced Network/Insurance Carrier Org ID]],Q295),0), "TRUE", ROUND(S295-SUMIFS(AN_TME_PY[[#All],[Total Claims Excluded because of Truncation]], AN_TME_PY[[#All],[Insurance Category Code]],5, AN_TME_PY[[#All],[Advanced Network/Insurance Carrier Org ID]],Q295),2))</f>
        <v>TRUE</v>
      </c>
      <c r="Y295" s="537" t="str">
        <f>IF(ROUND(T295,0)=ROUND(SUMIFS(AN_TME_PY[[#All],[Count of Members with Claims Truncated]], AN_TME_PY[[#All],[Insurance Category Code]],5, AN_TME_PY[[#All],[Advanced Network/Insurance Carrier Org ID]],Q295),0), "TRUE", ROUND(T295-SUMIFS(AN_TME_PY[[#All],[Count of Members with Claims Truncated]], AN_TME_PY[[#All],[Insurance Category Code]],5, AN_TME_PY[[#All],[Advanced Network/Insurance Carrier Org ID]],Q295),2))</f>
        <v>TRUE</v>
      </c>
      <c r="Z295" s="528" t="str">
        <f>IF(ROUND(U295,0)=ROUND(SUMIFS(AN_TME_PY[[#All],[TOTAL Non-Truncated Unadjusted Claims Expenses]], AN_TME_PY[[#All],[Insurance Category Code]],5, AN_TME_PY[[#All],[Advanced Network/Insurance Carrier Org ID]],Q295),0), "TRUE", ROUND(U295-SUMIFS(AN_TME_PY[[#All],[TOTAL Non-Truncated Unadjusted Claims Expenses]], AN_TME_PY[[#All],[Insurance Category Code]],5, AN_TME_PY[[#All],[Advanced Network/Insurance Carrier Org ID]],Q295),2))</f>
        <v>TRUE</v>
      </c>
      <c r="AA295" s="529" t="str">
        <f>IF(ROUND(V295,0)=ROUND(SUMIFS(AN_TME_PY[[#All],[TOTAL Truncated Unadjusted Claims Expenses (A21 -A19)]], AN_TME_PY[[#All],[Insurance Category Code]],5, AN_TME_PY[[#All],[Advanced Network/Insurance Carrier Org ID]],Q295),0), "TRUE", ROUND(V295-SUMIFS(AN_TME_PY[[#All],[TOTAL Truncated Unadjusted Claims Expenses (A21 -A19)]], AN_TME_PY[[#All],[Insurance Category Code]],5, AN_TME_PY[[#All],[Advanced Network/Insurance Carrier Org ID]],Q295),2))</f>
        <v>TRUE</v>
      </c>
      <c r="AB295" s="525" t="str">
        <f t="shared" si="38"/>
        <v>TRUE</v>
      </c>
      <c r="AC295" s="528" t="b">
        <f>ROUND(SUMIFS(AN_TME_PY[[#All],[TOTAL Non-Truncated Unadjusted Claims Expenses]], AN_TME_PY[[#All],[Insurance Category Code]],5, AN_TME_PY[[#All],[Advanced Network/Insurance Carrier Org ID]],Q295),2)&gt;=ROUND(SUMIFS(AN_TME_PY[[#All],[TOTAL Truncated Unadjusted Claims Expenses (A21 -A19)]], AN_TME_PY[[#All],[Insurance Category Code]],5, AN_TME_PY[[#All],[Advanced Network/Insurance Carrier Org ID]],Q295),2)</f>
        <v>1</v>
      </c>
      <c r="AD295" s="529" t="b">
        <f>ROUND(SUMIFS(AN_TME_PY[[#All],[TOTAL Truncated Unadjusted Claims Expenses (A21 -A19)]], AN_TME_PY[[#All],[Insurance Category Code]],5, AN_TME_PY[[#All],[Advanced Network/Insurance Carrier Org ID]],Q295)+SUMIFS(AN_TME_PY[[#All],[Total Claims Excluded because of Truncation]], AN_TME_PY[[#All],[Insurance Category Code]],5, AN_TME_PY[[#All],[Advanced Network/Insurance Carrier Org ID]],Q295),2)=ROUND(SUMIFS(AN_TME_PY[[#All],[TOTAL Non-Truncated Unadjusted Claims Expenses]], AN_TME_PY[[#All],[Insurance Category Code]],5, AN_TME_PY[[#All],[Advanced Network/Insurance Carrier Org ID]],Q295),2)</f>
        <v>1</v>
      </c>
      <c r="AF295" s="283" t="str">
        <f t="shared" si="37"/>
        <v>NA</v>
      </c>
    </row>
    <row r="296" spans="2:32" outlineLevel="1" x14ac:dyDescent="0.25">
      <c r="B296" s="216">
        <v>117</v>
      </c>
      <c r="C296" s="404">
        <f>ROUND(SUMIFS(Age_Sex_BY[[#All],[Total Member Months by Age/Sex Band]], Age_Sex_BY[[#All],[Advanced Network ID]], $B296, Age_Sex_BY[[#All],[Insurance Category Code]],5),2)</f>
        <v>0</v>
      </c>
      <c r="D296" s="238">
        <f>ROUND(SUMIFS(Age_Sex_BY[[#All],[Total Dollars Excluded from Spending After Applying Truncation at the Member Level]], Age_Sex_BY[[#All],[Advanced Network ID]], $B296, Age_Sex_BY[[#All],[Insurance Category Code]],5),2)</f>
        <v>0</v>
      </c>
      <c r="E296" s="209">
        <f>ROUND(SUMIFS(Age_Sex_BY[[#All],[Count of Members whose Spending was Truncated]], Age_Sex_BY[[#All],[Advanced Network ID]], $B296, Age_Sex_BY[[#All],[Insurance Category Code]],5),2)</f>
        <v>0</v>
      </c>
      <c r="F296" s="210">
        <f>ROUND(SUMIFS(Age_Sex_BY[[#All],[Total Spending before Truncation is Applied]], Age_Sex_BY[[#All],[Advanced Network ID]], $B296, Age_Sex_BY[[#All],[Insurance Category Code]],5),2)</f>
        <v>0</v>
      </c>
      <c r="G296" s="212">
        <f>ROUND(SUMIFS(Age_Sex_BY[[#All],[Total Spending After Applying Truncation at the Member Level]], Age_Sex_BY[[#All],[Advanced Network ID]], $B296, Age_Sex_BY[[#All],[Insurance Category Code]],5), 2)</f>
        <v>0</v>
      </c>
      <c r="H296" s="525" t="str">
        <f>IF(ROUND(C296,0)=ROUND(SUMIFS(AN_TME_BY[[#All],[Member Months]], AN_TME_BY[[#All],[Insurance Category Code]],5, AN_TME_BY[[#All],[Advanced Network/Insurance Carrier Org ID]],B296),0), "TRUE", ROUND(C296-SUMIFS(AN_TME_BY[[#All],[Member Months]], AN_TME_BY[[#All],[Insurance Category Code]],5, AN_TME_BY[[#All],[Advanced Network/Insurance Carrier Org ID]],B296),2))</f>
        <v>TRUE</v>
      </c>
      <c r="I296" s="533" t="str">
        <f>IF(ROUND(D296,0)=ROUND(SUMIFS(AN_TME_BY[[#All],[Total Claims Excluded because of Truncation]], AN_TME_BY[[#All],[Insurance Category Code]],5, AN_TME_BY[[#All],[Advanced Network/Insurance Carrier Org ID]],B296),0), "TRUE", ROUND(D296-SUMIFS(AN_TME_BY[[#All],[Total Claims Excluded because of Truncation]], AN_TME_BY[[#All],[Insurance Category Code]],5, AN_TME_BY[[#All],[Advanced Network/Insurance Carrier Org ID]],B296),2))</f>
        <v>TRUE</v>
      </c>
      <c r="J296" s="537" t="str">
        <f>IF(ROUND(E296,0)=ROUND(SUMIFS(AN_TME_BY[[#All],[Count of Members with Claims Truncated]], AN_TME_BY[[#All],[Insurance Category Code]],5, AN_TME_BY[[#All],[Advanced Network/Insurance Carrier Org ID]],B296),0), "TRUE", ROUND(E296-SUMIFS(AN_TME_BY[[#All],[Count of Members with Claims Truncated]], AN_TME_BY[[#All],[Insurance Category Code]],5, AN_TME_BY[[#All],[Advanced Network/Insurance Carrier Org ID]],B296),2))</f>
        <v>TRUE</v>
      </c>
      <c r="K296" s="533" t="str">
        <f>IF(ROUND(F296,0)=ROUND(SUMIFS(AN_TME_BY[[#All],[TOTAL Non-Truncated Unadjusted Claims Expenses]], AN_TME_BY[[#All],[Insurance Category Code]],5, AN_TME_BY[[#All],[Advanced Network/Insurance Carrier Org ID]],B296),0), "TRUE", ROUND(F296-SUMIFS(AN_TME_BY[[#All],[TOTAL Non-Truncated Unadjusted Claims Expenses]], AN_TME_BY[[#All],[Insurance Category Code]],5, AN_TME_BY[[#All],[Advanced Network/Insurance Carrier Org ID]],B296),2))</f>
        <v>TRUE</v>
      </c>
      <c r="L296" s="534" t="str">
        <f>IF(ROUND(G296,0)=ROUND(SUMIFS(AN_TME_BY[[#All],[TOTAL Truncated Unadjusted Claims Expenses (A21 -A19)]], AN_TME_BY[[#All],[Insurance Category Code]],5, AN_TME_BY[[#All],[Advanced Network/Insurance Carrier Org ID]],B296),0), "TRUE", ROUND(G296-SUMIFS(AN_TME_BY[[#All],[TOTAL Truncated Unadjusted Claims Expenses (A21 -A19)]], AN_TME_BY[[#All],[Insurance Category Code]],5, AN_TME_BY[[#All],[Advanced Network/Insurance Carrier Org ID]],B296),2))</f>
        <v>TRUE</v>
      </c>
      <c r="M296" s="525" t="str">
        <f t="shared" si="35"/>
        <v>TRUE</v>
      </c>
      <c r="N296" s="533" t="b">
        <f>ROUND(SUMIFS(AN_TME_BY[[#All],[TOTAL Non-Truncated Unadjusted Claims Expenses]], AN_TME_BY[[#All],[Insurance Category Code]],5, AN_TME_BY[[#All],[Advanced Network/Insurance Carrier Org ID]],B296),2)&gt;=ROUND(SUMIFS(AN_TME_BY[[#All],[TOTAL Truncated Unadjusted Claims Expenses (A21 -A19)]], AN_TME_BY[[#All],[Insurance Category Code]],5, AN_TME_BY[[#All],[Advanced Network/Insurance Carrier Org ID]],B296),2)</f>
        <v>1</v>
      </c>
      <c r="O296" s="534" t="b">
        <f>ROUND(SUMIFS(AN_TME_BY[[#All],[TOTAL Truncated Unadjusted Claims Expenses (A21 -A19)]], AN_TME_BY[[#All],[Insurance Category Code]],5, AN_TME_BY[[#All],[Advanced Network/Insurance Carrier Org ID]],B296)+SUMIFS(AN_TME_BY[[#All],[Total Claims Excluded because of Truncation]], AN_TME_BY[[#All],[Insurance Category Code]],5, AN_TME_BY[[#All],[Advanced Network/Insurance Carrier Org ID]],B296),2)=ROUND(SUMIFS(AN_TME_BY[[#All],[TOTAL Non-Truncated Unadjusted Claims Expenses]], AN_TME_BY[[#All],[Insurance Category Code]],5, AN_TME_BY[[#All],[Advanced Network/Insurance Carrier Org ID]],B296),2)</f>
        <v>1</v>
      </c>
      <c r="Q296" s="216">
        <v>117</v>
      </c>
      <c r="R296" s="404">
        <f>ROUND(SUMIFS(Age_Sex_PY[[#All],[Total Member Months by Age/Sex Band]], Age_Sex_PY[[#All],[Advanced Network ID]], $Q296, Age_Sex_PY[[#All],[Insurance Category Code]],5),2)</f>
        <v>0</v>
      </c>
      <c r="S296" s="238">
        <f>ROUND(SUMIFS(Age_Sex_PY[[#All],[Total Dollars Excluded from Spending After Applying Truncation at the Member Level]], Age_Sex_PY[[#All],[Advanced Network ID]], $B296, Age_Sex_PY[[#All],[Insurance Category Code]],5),2)</f>
        <v>0</v>
      </c>
      <c r="T296" s="209">
        <f>ROUND(SUMIFS(Age_Sex_PY[[#All],[Count of Members whose Spending was Truncated]], Age_Sex_PY[[#All],[Advanced Network ID]], $B296, Age_Sex_PY[[#All],[Insurance Category Code]],5),2)</f>
        <v>0</v>
      </c>
      <c r="U296" s="210">
        <f>ROUND(SUMIFS(Age_Sex_PY[[#All],[Total Spending before Truncation is Applied]], Age_Sex_PY[[#All],[Advanced Network ID]], $B296, Age_Sex_PY[[#All],[Insurance Category Code]],5), 2)</f>
        <v>0</v>
      </c>
      <c r="V296" s="212">
        <f>ROUND(SUMIFS(Age_Sex_PY[[#All],[Total Spending After Applying Truncation at the Member Level]], Age_Sex_PY[[#All],[Advanced Network ID]], $B296, Age_Sex_PY[[#All],[Insurance Category Code]],5),2)</f>
        <v>0</v>
      </c>
      <c r="W296" s="525" t="str">
        <f>IF(ROUND(R296,0)=ROUND(SUMIFS(AN_TME_PY[[#All],[Member Months]], AN_TME_PY[[#All],[Insurance Category Code]],5, AN_TME_PY[[#All],[Advanced Network/Insurance Carrier Org ID]],Q296),0), "TRUE", ROUND(R296-SUMIFS(AN_TME_PY[[#All],[Member Months]], AN_TME_PY[[#All],[Insurance Category Code]],5, AN_TME_PY[[#All],[Advanced Network/Insurance Carrier Org ID]],Q296),2))</f>
        <v>TRUE</v>
      </c>
      <c r="X296" s="527" t="str">
        <f>IF(ROUND(S296,0)=ROUND(SUMIFS(AN_TME_PY[[#All],[Total Claims Excluded because of Truncation]], AN_TME_PY[[#All],[Insurance Category Code]],5, AN_TME_PY[[#All],[Advanced Network/Insurance Carrier Org ID]],Q296),0), "TRUE", ROUND(S296-SUMIFS(AN_TME_PY[[#All],[Total Claims Excluded because of Truncation]], AN_TME_PY[[#All],[Insurance Category Code]],5, AN_TME_PY[[#All],[Advanced Network/Insurance Carrier Org ID]],Q296),2))</f>
        <v>TRUE</v>
      </c>
      <c r="Y296" s="537" t="str">
        <f>IF(ROUND(T296,0)=ROUND(SUMIFS(AN_TME_PY[[#All],[Count of Members with Claims Truncated]], AN_TME_PY[[#All],[Insurance Category Code]],5, AN_TME_PY[[#All],[Advanced Network/Insurance Carrier Org ID]],Q296),0), "TRUE", ROUND(T296-SUMIFS(AN_TME_PY[[#All],[Count of Members with Claims Truncated]], AN_TME_PY[[#All],[Insurance Category Code]],5, AN_TME_PY[[#All],[Advanced Network/Insurance Carrier Org ID]],Q296),2))</f>
        <v>TRUE</v>
      </c>
      <c r="Z296" s="528" t="str">
        <f>IF(ROUND(U296,0)=ROUND(SUMIFS(AN_TME_PY[[#All],[TOTAL Non-Truncated Unadjusted Claims Expenses]], AN_TME_PY[[#All],[Insurance Category Code]],5, AN_TME_PY[[#All],[Advanced Network/Insurance Carrier Org ID]],Q296),0), "TRUE", ROUND(U296-SUMIFS(AN_TME_PY[[#All],[TOTAL Non-Truncated Unadjusted Claims Expenses]], AN_TME_PY[[#All],[Insurance Category Code]],5, AN_TME_PY[[#All],[Advanced Network/Insurance Carrier Org ID]],Q296),2))</f>
        <v>TRUE</v>
      </c>
      <c r="AA296" s="529" t="str">
        <f>IF(ROUND(V296,0)=ROUND(SUMIFS(AN_TME_PY[[#All],[TOTAL Truncated Unadjusted Claims Expenses (A21 -A19)]], AN_TME_PY[[#All],[Insurance Category Code]],5, AN_TME_PY[[#All],[Advanced Network/Insurance Carrier Org ID]],Q296),0), "TRUE", ROUND(V296-SUMIFS(AN_TME_PY[[#All],[TOTAL Truncated Unadjusted Claims Expenses (A21 -A19)]], AN_TME_PY[[#All],[Insurance Category Code]],5, AN_TME_PY[[#All],[Advanced Network/Insurance Carrier Org ID]],Q296),2))</f>
        <v>TRUE</v>
      </c>
      <c r="AB296" s="525" t="str">
        <f t="shared" si="38"/>
        <v>TRUE</v>
      </c>
      <c r="AC296" s="528" t="b">
        <f>ROUND(SUMIFS(AN_TME_PY[[#All],[TOTAL Non-Truncated Unadjusted Claims Expenses]], AN_TME_PY[[#All],[Insurance Category Code]],5, AN_TME_PY[[#All],[Advanced Network/Insurance Carrier Org ID]],Q296),2)&gt;=ROUND(SUMIFS(AN_TME_PY[[#All],[TOTAL Truncated Unadjusted Claims Expenses (A21 -A19)]], AN_TME_PY[[#All],[Insurance Category Code]],5, AN_TME_PY[[#All],[Advanced Network/Insurance Carrier Org ID]],Q296),2)</f>
        <v>1</v>
      </c>
      <c r="AD296" s="529" t="b">
        <f>ROUND(SUMIFS(AN_TME_PY[[#All],[TOTAL Truncated Unadjusted Claims Expenses (A21 -A19)]], AN_TME_PY[[#All],[Insurance Category Code]],5, AN_TME_PY[[#All],[Advanced Network/Insurance Carrier Org ID]],Q296)+SUMIFS(AN_TME_PY[[#All],[Total Claims Excluded because of Truncation]], AN_TME_PY[[#All],[Insurance Category Code]],5, AN_TME_PY[[#All],[Advanced Network/Insurance Carrier Org ID]],Q296),2)=ROUND(SUMIFS(AN_TME_PY[[#All],[TOTAL Non-Truncated Unadjusted Claims Expenses]], AN_TME_PY[[#All],[Insurance Category Code]],5, AN_TME_PY[[#All],[Advanced Network/Insurance Carrier Org ID]],Q296),2)</f>
        <v>1</v>
      </c>
      <c r="AF296" s="283" t="str">
        <f t="shared" si="37"/>
        <v>NA</v>
      </c>
    </row>
    <row r="297" spans="2:32" outlineLevel="1" x14ac:dyDescent="0.25">
      <c r="B297" s="216">
        <v>118</v>
      </c>
      <c r="C297" s="404">
        <f>ROUND(SUMIFS(Age_Sex_BY[[#All],[Total Member Months by Age/Sex Band]], Age_Sex_BY[[#All],[Advanced Network ID]], $B297, Age_Sex_BY[[#All],[Insurance Category Code]],5),2)</f>
        <v>0</v>
      </c>
      <c r="D297" s="238">
        <f>ROUND(SUMIFS(Age_Sex_BY[[#All],[Total Dollars Excluded from Spending After Applying Truncation at the Member Level]], Age_Sex_BY[[#All],[Advanced Network ID]], $B297, Age_Sex_BY[[#All],[Insurance Category Code]],5),2)</f>
        <v>0</v>
      </c>
      <c r="E297" s="209">
        <f>ROUND(SUMIFS(Age_Sex_BY[[#All],[Count of Members whose Spending was Truncated]], Age_Sex_BY[[#All],[Advanced Network ID]], $B297, Age_Sex_BY[[#All],[Insurance Category Code]],5),2)</f>
        <v>0</v>
      </c>
      <c r="F297" s="210">
        <f>ROUND(SUMIFS(Age_Sex_BY[[#All],[Total Spending before Truncation is Applied]], Age_Sex_BY[[#All],[Advanced Network ID]], $B297, Age_Sex_BY[[#All],[Insurance Category Code]],5),2)</f>
        <v>0</v>
      </c>
      <c r="G297" s="212">
        <f>ROUND(SUMIFS(Age_Sex_BY[[#All],[Total Spending After Applying Truncation at the Member Level]], Age_Sex_BY[[#All],[Advanced Network ID]], $B297, Age_Sex_BY[[#All],[Insurance Category Code]],5), 2)</f>
        <v>0</v>
      </c>
      <c r="H297" s="525" t="str">
        <f>IF(ROUND(C297,0)=ROUND(SUMIFS(AN_TME_BY[[#All],[Member Months]], AN_TME_BY[[#All],[Insurance Category Code]],5, AN_TME_BY[[#All],[Advanced Network/Insurance Carrier Org ID]],B297),0), "TRUE", ROUND(C297-SUMIFS(AN_TME_BY[[#All],[Member Months]], AN_TME_BY[[#All],[Insurance Category Code]],5, AN_TME_BY[[#All],[Advanced Network/Insurance Carrier Org ID]],B297),2))</f>
        <v>TRUE</v>
      </c>
      <c r="I297" s="533" t="str">
        <f>IF(ROUND(D297,0)=ROUND(SUMIFS(AN_TME_BY[[#All],[Total Claims Excluded because of Truncation]], AN_TME_BY[[#All],[Insurance Category Code]],5, AN_TME_BY[[#All],[Advanced Network/Insurance Carrier Org ID]],B297),0), "TRUE", ROUND(D297-SUMIFS(AN_TME_BY[[#All],[Total Claims Excluded because of Truncation]], AN_TME_BY[[#All],[Insurance Category Code]],5, AN_TME_BY[[#All],[Advanced Network/Insurance Carrier Org ID]],B297),2))</f>
        <v>TRUE</v>
      </c>
      <c r="J297" s="537" t="str">
        <f>IF(ROUND(E297,0)=ROUND(SUMIFS(AN_TME_BY[[#All],[Count of Members with Claims Truncated]], AN_TME_BY[[#All],[Insurance Category Code]],5, AN_TME_BY[[#All],[Advanced Network/Insurance Carrier Org ID]],B297),0), "TRUE", ROUND(E297-SUMIFS(AN_TME_BY[[#All],[Count of Members with Claims Truncated]], AN_TME_BY[[#All],[Insurance Category Code]],5, AN_TME_BY[[#All],[Advanced Network/Insurance Carrier Org ID]],B297),2))</f>
        <v>TRUE</v>
      </c>
      <c r="K297" s="533" t="str">
        <f>IF(ROUND(F297,0)=ROUND(SUMIFS(AN_TME_BY[[#All],[TOTAL Non-Truncated Unadjusted Claims Expenses]], AN_TME_BY[[#All],[Insurance Category Code]],5, AN_TME_BY[[#All],[Advanced Network/Insurance Carrier Org ID]],B297),0), "TRUE", ROUND(F297-SUMIFS(AN_TME_BY[[#All],[TOTAL Non-Truncated Unadjusted Claims Expenses]], AN_TME_BY[[#All],[Insurance Category Code]],5, AN_TME_BY[[#All],[Advanced Network/Insurance Carrier Org ID]],B297),2))</f>
        <v>TRUE</v>
      </c>
      <c r="L297" s="534" t="str">
        <f>IF(ROUND(G297,0)=ROUND(SUMIFS(AN_TME_BY[[#All],[TOTAL Truncated Unadjusted Claims Expenses (A21 -A19)]], AN_TME_BY[[#All],[Insurance Category Code]],5, AN_TME_BY[[#All],[Advanced Network/Insurance Carrier Org ID]],B297),0), "TRUE", ROUND(G297-SUMIFS(AN_TME_BY[[#All],[TOTAL Truncated Unadjusted Claims Expenses (A21 -A19)]], AN_TME_BY[[#All],[Insurance Category Code]],5, AN_TME_BY[[#All],[Advanced Network/Insurance Carrier Org ID]],B297),2))</f>
        <v>TRUE</v>
      </c>
      <c r="M297" s="525" t="str">
        <f t="shared" si="35"/>
        <v>TRUE</v>
      </c>
      <c r="N297" s="533" t="b">
        <f>ROUND(SUMIFS(AN_TME_BY[[#All],[TOTAL Non-Truncated Unadjusted Claims Expenses]], AN_TME_BY[[#All],[Insurance Category Code]],5, AN_TME_BY[[#All],[Advanced Network/Insurance Carrier Org ID]],B297),2)&gt;=ROUND(SUMIFS(AN_TME_BY[[#All],[TOTAL Truncated Unadjusted Claims Expenses (A21 -A19)]], AN_TME_BY[[#All],[Insurance Category Code]],5, AN_TME_BY[[#All],[Advanced Network/Insurance Carrier Org ID]],B297),2)</f>
        <v>1</v>
      </c>
      <c r="O297" s="534" t="b">
        <f>ROUND(SUMIFS(AN_TME_BY[[#All],[TOTAL Truncated Unadjusted Claims Expenses (A21 -A19)]], AN_TME_BY[[#All],[Insurance Category Code]],5, AN_TME_BY[[#All],[Advanced Network/Insurance Carrier Org ID]],B297)+SUMIFS(AN_TME_BY[[#All],[Total Claims Excluded because of Truncation]], AN_TME_BY[[#All],[Insurance Category Code]],5, AN_TME_BY[[#All],[Advanced Network/Insurance Carrier Org ID]],B297),2)=ROUND(SUMIFS(AN_TME_BY[[#All],[TOTAL Non-Truncated Unadjusted Claims Expenses]], AN_TME_BY[[#All],[Insurance Category Code]],5, AN_TME_BY[[#All],[Advanced Network/Insurance Carrier Org ID]],B297),2)</f>
        <v>1</v>
      </c>
      <c r="Q297" s="216">
        <v>118</v>
      </c>
      <c r="R297" s="404">
        <f>ROUND(SUMIFS(Age_Sex_PY[[#All],[Total Member Months by Age/Sex Band]], Age_Sex_PY[[#All],[Advanced Network ID]], $Q297, Age_Sex_PY[[#All],[Insurance Category Code]],5),2)</f>
        <v>0</v>
      </c>
      <c r="S297" s="238">
        <f>ROUND(SUMIFS(Age_Sex_PY[[#All],[Total Dollars Excluded from Spending After Applying Truncation at the Member Level]], Age_Sex_PY[[#All],[Advanced Network ID]], $B297, Age_Sex_PY[[#All],[Insurance Category Code]],5),2)</f>
        <v>0</v>
      </c>
      <c r="T297" s="209">
        <f>ROUND(SUMIFS(Age_Sex_PY[[#All],[Count of Members whose Spending was Truncated]], Age_Sex_PY[[#All],[Advanced Network ID]], $B297, Age_Sex_PY[[#All],[Insurance Category Code]],5),2)</f>
        <v>0</v>
      </c>
      <c r="U297" s="210">
        <f>ROUND(SUMIFS(Age_Sex_PY[[#All],[Total Spending before Truncation is Applied]], Age_Sex_PY[[#All],[Advanced Network ID]], $B297, Age_Sex_PY[[#All],[Insurance Category Code]],5), 2)</f>
        <v>0</v>
      </c>
      <c r="V297" s="212">
        <f>ROUND(SUMIFS(Age_Sex_PY[[#All],[Total Spending After Applying Truncation at the Member Level]], Age_Sex_PY[[#All],[Advanced Network ID]], $B297, Age_Sex_PY[[#All],[Insurance Category Code]],5),2)</f>
        <v>0</v>
      </c>
      <c r="W297" s="525" t="str">
        <f>IF(ROUND(R297,0)=ROUND(SUMIFS(AN_TME_PY[[#All],[Member Months]], AN_TME_PY[[#All],[Insurance Category Code]],5, AN_TME_PY[[#All],[Advanced Network/Insurance Carrier Org ID]],Q297),0), "TRUE", ROUND(R297-SUMIFS(AN_TME_PY[[#All],[Member Months]], AN_TME_PY[[#All],[Insurance Category Code]],5, AN_TME_PY[[#All],[Advanced Network/Insurance Carrier Org ID]],Q297),2))</f>
        <v>TRUE</v>
      </c>
      <c r="X297" s="527" t="str">
        <f>IF(ROUND(S297,0)=ROUND(SUMIFS(AN_TME_PY[[#All],[Total Claims Excluded because of Truncation]], AN_TME_PY[[#All],[Insurance Category Code]],5, AN_TME_PY[[#All],[Advanced Network/Insurance Carrier Org ID]],Q297),0), "TRUE", ROUND(S297-SUMIFS(AN_TME_PY[[#All],[Total Claims Excluded because of Truncation]], AN_TME_PY[[#All],[Insurance Category Code]],5, AN_TME_PY[[#All],[Advanced Network/Insurance Carrier Org ID]],Q297),2))</f>
        <v>TRUE</v>
      </c>
      <c r="Y297" s="537" t="str">
        <f>IF(ROUND(T297,0)=ROUND(SUMIFS(AN_TME_PY[[#All],[Count of Members with Claims Truncated]], AN_TME_PY[[#All],[Insurance Category Code]],5, AN_TME_PY[[#All],[Advanced Network/Insurance Carrier Org ID]],Q297),0), "TRUE", ROUND(T297-SUMIFS(AN_TME_PY[[#All],[Count of Members with Claims Truncated]], AN_TME_PY[[#All],[Insurance Category Code]],5, AN_TME_PY[[#All],[Advanced Network/Insurance Carrier Org ID]],Q297),2))</f>
        <v>TRUE</v>
      </c>
      <c r="Z297" s="528" t="str">
        <f>IF(ROUND(U297,0)=ROUND(SUMIFS(AN_TME_PY[[#All],[TOTAL Non-Truncated Unadjusted Claims Expenses]], AN_TME_PY[[#All],[Insurance Category Code]],5, AN_TME_PY[[#All],[Advanced Network/Insurance Carrier Org ID]],Q297),0), "TRUE", ROUND(U297-SUMIFS(AN_TME_PY[[#All],[TOTAL Non-Truncated Unadjusted Claims Expenses]], AN_TME_PY[[#All],[Insurance Category Code]],5, AN_TME_PY[[#All],[Advanced Network/Insurance Carrier Org ID]],Q297),2))</f>
        <v>TRUE</v>
      </c>
      <c r="AA297" s="529" t="str">
        <f>IF(ROUND(V297,0)=ROUND(SUMIFS(AN_TME_PY[[#All],[TOTAL Truncated Unadjusted Claims Expenses (A21 -A19)]], AN_TME_PY[[#All],[Insurance Category Code]],5, AN_TME_PY[[#All],[Advanced Network/Insurance Carrier Org ID]],Q297),0), "TRUE", ROUND(V297-SUMIFS(AN_TME_PY[[#All],[TOTAL Truncated Unadjusted Claims Expenses (A21 -A19)]], AN_TME_PY[[#All],[Insurance Category Code]],5, AN_TME_PY[[#All],[Advanced Network/Insurance Carrier Org ID]],Q297),2))</f>
        <v>TRUE</v>
      </c>
      <c r="AB297" s="525" t="str">
        <f t="shared" si="38"/>
        <v>TRUE</v>
      </c>
      <c r="AC297" s="528" t="b">
        <f>ROUND(SUMIFS(AN_TME_PY[[#All],[TOTAL Non-Truncated Unadjusted Claims Expenses]], AN_TME_PY[[#All],[Insurance Category Code]],5, AN_TME_PY[[#All],[Advanced Network/Insurance Carrier Org ID]],Q297),2)&gt;=ROUND(SUMIFS(AN_TME_PY[[#All],[TOTAL Truncated Unadjusted Claims Expenses (A21 -A19)]], AN_TME_PY[[#All],[Insurance Category Code]],5, AN_TME_PY[[#All],[Advanced Network/Insurance Carrier Org ID]],Q297),2)</f>
        <v>1</v>
      </c>
      <c r="AD297" s="529" t="b">
        <f>ROUND(SUMIFS(AN_TME_PY[[#All],[TOTAL Truncated Unadjusted Claims Expenses (A21 -A19)]], AN_TME_PY[[#All],[Insurance Category Code]],5, AN_TME_PY[[#All],[Advanced Network/Insurance Carrier Org ID]],Q297)+SUMIFS(AN_TME_PY[[#All],[Total Claims Excluded because of Truncation]], AN_TME_PY[[#All],[Insurance Category Code]],5, AN_TME_PY[[#All],[Advanced Network/Insurance Carrier Org ID]],Q297),2)=ROUND(SUMIFS(AN_TME_PY[[#All],[TOTAL Non-Truncated Unadjusted Claims Expenses]], AN_TME_PY[[#All],[Insurance Category Code]],5, AN_TME_PY[[#All],[Advanced Network/Insurance Carrier Org ID]],Q297),2)</f>
        <v>1</v>
      </c>
      <c r="AF297" s="283" t="str">
        <f t="shared" si="37"/>
        <v>NA</v>
      </c>
    </row>
    <row r="298" spans="2:32" outlineLevel="1" x14ac:dyDescent="0.25">
      <c r="B298" s="216">
        <v>119</v>
      </c>
      <c r="C298" s="404">
        <f>ROUND(SUMIFS(Age_Sex_BY[[#All],[Total Member Months by Age/Sex Band]], Age_Sex_BY[[#All],[Advanced Network ID]], $B298, Age_Sex_BY[[#All],[Insurance Category Code]],5),2)</f>
        <v>0</v>
      </c>
      <c r="D298" s="238">
        <f>ROUND(SUMIFS(Age_Sex_BY[[#All],[Total Dollars Excluded from Spending After Applying Truncation at the Member Level]], Age_Sex_BY[[#All],[Advanced Network ID]], $B298, Age_Sex_BY[[#All],[Insurance Category Code]],5),2)</f>
        <v>0</v>
      </c>
      <c r="E298" s="209">
        <f>ROUND(SUMIFS(Age_Sex_BY[[#All],[Count of Members whose Spending was Truncated]], Age_Sex_BY[[#All],[Advanced Network ID]], $B298, Age_Sex_BY[[#All],[Insurance Category Code]],5),2)</f>
        <v>0</v>
      </c>
      <c r="F298" s="210">
        <f>ROUND(SUMIFS(Age_Sex_BY[[#All],[Total Spending before Truncation is Applied]], Age_Sex_BY[[#All],[Advanced Network ID]], $B298, Age_Sex_BY[[#All],[Insurance Category Code]],5),2)</f>
        <v>0</v>
      </c>
      <c r="G298" s="212">
        <f>ROUND(SUMIFS(Age_Sex_BY[[#All],[Total Spending After Applying Truncation at the Member Level]], Age_Sex_BY[[#All],[Advanced Network ID]], $B298, Age_Sex_BY[[#All],[Insurance Category Code]],5), 2)</f>
        <v>0</v>
      </c>
      <c r="H298" s="525" t="str">
        <f>IF(ROUND(C298,0)=ROUND(SUMIFS(AN_TME_BY[[#All],[Member Months]], AN_TME_BY[[#All],[Insurance Category Code]],5, AN_TME_BY[[#All],[Advanced Network/Insurance Carrier Org ID]],B298),0), "TRUE", ROUND(C298-SUMIFS(AN_TME_BY[[#All],[Member Months]], AN_TME_BY[[#All],[Insurance Category Code]],5, AN_TME_BY[[#All],[Advanced Network/Insurance Carrier Org ID]],B298),2))</f>
        <v>TRUE</v>
      </c>
      <c r="I298" s="533" t="str">
        <f>IF(ROUND(D298,0)=ROUND(SUMIFS(AN_TME_BY[[#All],[Total Claims Excluded because of Truncation]], AN_TME_BY[[#All],[Insurance Category Code]],5, AN_TME_BY[[#All],[Advanced Network/Insurance Carrier Org ID]],B298),0), "TRUE", ROUND(D298-SUMIFS(AN_TME_BY[[#All],[Total Claims Excluded because of Truncation]], AN_TME_BY[[#All],[Insurance Category Code]],5, AN_TME_BY[[#All],[Advanced Network/Insurance Carrier Org ID]],B298),2))</f>
        <v>TRUE</v>
      </c>
      <c r="J298" s="537" t="str">
        <f>IF(ROUND(E298,0)=ROUND(SUMIFS(AN_TME_BY[[#All],[Count of Members with Claims Truncated]], AN_TME_BY[[#All],[Insurance Category Code]],5, AN_TME_BY[[#All],[Advanced Network/Insurance Carrier Org ID]],B298),0), "TRUE", ROUND(E298-SUMIFS(AN_TME_BY[[#All],[Count of Members with Claims Truncated]], AN_TME_BY[[#All],[Insurance Category Code]],5, AN_TME_BY[[#All],[Advanced Network/Insurance Carrier Org ID]],B298),2))</f>
        <v>TRUE</v>
      </c>
      <c r="K298" s="533" t="str">
        <f>IF(ROUND(F298,0)=ROUND(SUMIFS(AN_TME_BY[[#All],[TOTAL Non-Truncated Unadjusted Claims Expenses]], AN_TME_BY[[#All],[Insurance Category Code]],5, AN_TME_BY[[#All],[Advanced Network/Insurance Carrier Org ID]],B298),0), "TRUE", ROUND(F298-SUMIFS(AN_TME_BY[[#All],[TOTAL Non-Truncated Unadjusted Claims Expenses]], AN_TME_BY[[#All],[Insurance Category Code]],5, AN_TME_BY[[#All],[Advanced Network/Insurance Carrier Org ID]],B298),2))</f>
        <v>TRUE</v>
      </c>
      <c r="L298" s="534" t="str">
        <f>IF(ROUND(G298,0)=ROUND(SUMIFS(AN_TME_BY[[#All],[TOTAL Truncated Unadjusted Claims Expenses (A21 -A19)]], AN_TME_BY[[#All],[Insurance Category Code]],5, AN_TME_BY[[#All],[Advanced Network/Insurance Carrier Org ID]],B298),0), "TRUE", ROUND(G298-SUMIFS(AN_TME_BY[[#All],[TOTAL Truncated Unadjusted Claims Expenses (A21 -A19)]], AN_TME_BY[[#All],[Insurance Category Code]],5, AN_TME_BY[[#All],[Advanced Network/Insurance Carrier Org ID]],B298),2))</f>
        <v>TRUE</v>
      </c>
      <c r="M298" s="525" t="str">
        <f t="shared" si="35"/>
        <v>TRUE</v>
      </c>
      <c r="N298" s="533" t="b">
        <f>ROUND(SUMIFS(AN_TME_BY[[#All],[TOTAL Non-Truncated Unadjusted Claims Expenses]], AN_TME_BY[[#All],[Insurance Category Code]],5, AN_TME_BY[[#All],[Advanced Network/Insurance Carrier Org ID]],B298),2)&gt;=ROUND(SUMIFS(AN_TME_BY[[#All],[TOTAL Truncated Unadjusted Claims Expenses (A21 -A19)]], AN_TME_BY[[#All],[Insurance Category Code]],5, AN_TME_BY[[#All],[Advanced Network/Insurance Carrier Org ID]],B298),2)</f>
        <v>1</v>
      </c>
      <c r="O298" s="534" t="b">
        <f>ROUND(SUMIFS(AN_TME_BY[[#All],[TOTAL Truncated Unadjusted Claims Expenses (A21 -A19)]], AN_TME_BY[[#All],[Insurance Category Code]],5, AN_TME_BY[[#All],[Advanced Network/Insurance Carrier Org ID]],B298)+SUMIFS(AN_TME_BY[[#All],[Total Claims Excluded because of Truncation]], AN_TME_BY[[#All],[Insurance Category Code]],5, AN_TME_BY[[#All],[Advanced Network/Insurance Carrier Org ID]],B298),2)=ROUND(SUMIFS(AN_TME_BY[[#All],[TOTAL Non-Truncated Unadjusted Claims Expenses]], AN_TME_BY[[#All],[Insurance Category Code]],5, AN_TME_BY[[#All],[Advanced Network/Insurance Carrier Org ID]],B298),2)</f>
        <v>1</v>
      </c>
      <c r="Q298" s="216">
        <v>119</v>
      </c>
      <c r="R298" s="404">
        <f>ROUND(SUMIFS(Age_Sex_PY[[#All],[Total Member Months by Age/Sex Band]], Age_Sex_PY[[#All],[Advanced Network ID]], $Q298, Age_Sex_PY[[#All],[Insurance Category Code]],5),2)</f>
        <v>0</v>
      </c>
      <c r="S298" s="238">
        <f>ROUND(SUMIFS(Age_Sex_PY[[#All],[Total Dollars Excluded from Spending After Applying Truncation at the Member Level]], Age_Sex_PY[[#All],[Advanced Network ID]], $B298, Age_Sex_PY[[#All],[Insurance Category Code]],5),2)</f>
        <v>0</v>
      </c>
      <c r="T298" s="209">
        <f>ROUND(SUMIFS(Age_Sex_PY[[#All],[Count of Members whose Spending was Truncated]], Age_Sex_PY[[#All],[Advanced Network ID]], $B298, Age_Sex_PY[[#All],[Insurance Category Code]],5),2)</f>
        <v>0</v>
      </c>
      <c r="U298" s="210">
        <f>ROUND(SUMIFS(Age_Sex_PY[[#All],[Total Spending before Truncation is Applied]], Age_Sex_PY[[#All],[Advanced Network ID]], $B298, Age_Sex_PY[[#All],[Insurance Category Code]],5), 2)</f>
        <v>0</v>
      </c>
      <c r="V298" s="212">
        <f>ROUND(SUMIFS(Age_Sex_PY[[#All],[Total Spending After Applying Truncation at the Member Level]], Age_Sex_PY[[#All],[Advanced Network ID]], $B298, Age_Sex_PY[[#All],[Insurance Category Code]],5),2)</f>
        <v>0</v>
      </c>
      <c r="W298" s="525" t="str">
        <f>IF(ROUND(R298,0)=ROUND(SUMIFS(AN_TME_PY[[#All],[Member Months]], AN_TME_PY[[#All],[Insurance Category Code]],5, AN_TME_PY[[#All],[Advanced Network/Insurance Carrier Org ID]],Q298),0), "TRUE", ROUND(R298-SUMIFS(AN_TME_PY[[#All],[Member Months]], AN_TME_PY[[#All],[Insurance Category Code]],5, AN_TME_PY[[#All],[Advanced Network/Insurance Carrier Org ID]],Q298),2))</f>
        <v>TRUE</v>
      </c>
      <c r="X298" s="527" t="str">
        <f>IF(ROUND(S298,0)=ROUND(SUMIFS(AN_TME_PY[[#All],[Total Claims Excluded because of Truncation]], AN_TME_PY[[#All],[Insurance Category Code]],5, AN_TME_PY[[#All],[Advanced Network/Insurance Carrier Org ID]],Q298),0), "TRUE", ROUND(S298-SUMIFS(AN_TME_PY[[#All],[Total Claims Excluded because of Truncation]], AN_TME_PY[[#All],[Insurance Category Code]],5, AN_TME_PY[[#All],[Advanced Network/Insurance Carrier Org ID]],Q298),2))</f>
        <v>TRUE</v>
      </c>
      <c r="Y298" s="537" t="str">
        <f>IF(ROUND(T298,0)=ROUND(SUMIFS(AN_TME_PY[[#All],[Count of Members with Claims Truncated]], AN_TME_PY[[#All],[Insurance Category Code]],5, AN_TME_PY[[#All],[Advanced Network/Insurance Carrier Org ID]],Q298),0), "TRUE", ROUND(T298-SUMIFS(AN_TME_PY[[#All],[Count of Members with Claims Truncated]], AN_TME_PY[[#All],[Insurance Category Code]],5, AN_TME_PY[[#All],[Advanced Network/Insurance Carrier Org ID]],Q298),2))</f>
        <v>TRUE</v>
      </c>
      <c r="Z298" s="528" t="str">
        <f>IF(ROUND(U298,0)=ROUND(SUMIFS(AN_TME_PY[[#All],[TOTAL Non-Truncated Unadjusted Claims Expenses]], AN_TME_PY[[#All],[Insurance Category Code]],5, AN_TME_PY[[#All],[Advanced Network/Insurance Carrier Org ID]],Q298),0), "TRUE", ROUND(U298-SUMIFS(AN_TME_PY[[#All],[TOTAL Non-Truncated Unadjusted Claims Expenses]], AN_TME_PY[[#All],[Insurance Category Code]],5, AN_TME_PY[[#All],[Advanced Network/Insurance Carrier Org ID]],Q298),2))</f>
        <v>TRUE</v>
      </c>
      <c r="AA298" s="529" t="str">
        <f>IF(ROUND(V298,0)=ROUND(SUMIFS(AN_TME_PY[[#All],[TOTAL Truncated Unadjusted Claims Expenses (A21 -A19)]], AN_TME_PY[[#All],[Insurance Category Code]],5, AN_TME_PY[[#All],[Advanced Network/Insurance Carrier Org ID]],Q298),0), "TRUE", ROUND(V298-SUMIFS(AN_TME_PY[[#All],[TOTAL Truncated Unadjusted Claims Expenses (A21 -A19)]], AN_TME_PY[[#All],[Insurance Category Code]],5, AN_TME_PY[[#All],[Advanced Network/Insurance Carrier Org ID]],Q298),2))</f>
        <v>TRUE</v>
      </c>
      <c r="AB298" s="525" t="str">
        <f t="shared" si="38"/>
        <v>TRUE</v>
      </c>
      <c r="AC298" s="528" t="b">
        <f>ROUND(SUMIFS(AN_TME_PY[[#All],[TOTAL Non-Truncated Unadjusted Claims Expenses]], AN_TME_PY[[#All],[Insurance Category Code]],5, AN_TME_PY[[#All],[Advanced Network/Insurance Carrier Org ID]],Q298),2)&gt;=ROUND(SUMIFS(AN_TME_PY[[#All],[TOTAL Truncated Unadjusted Claims Expenses (A21 -A19)]], AN_TME_PY[[#All],[Insurance Category Code]],5, AN_TME_PY[[#All],[Advanced Network/Insurance Carrier Org ID]],Q298),2)</f>
        <v>1</v>
      </c>
      <c r="AD298" s="529" t="b">
        <f>ROUND(SUMIFS(AN_TME_PY[[#All],[TOTAL Truncated Unadjusted Claims Expenses (A21 -A19)]], AN_TME_PY[[#All],[Insurance Category Code]],5, AN_TME_PY[[#All],[Advanced Network/Insurance Carrier Org ID]],Q298)+SUMIFS(AN_TME_PY[[#All],[Total Claims Excluded because of Truncation]], AN_TME_PY[[#All],[Insurance Category Code]],5, AN_TME_PY[[#All],[Advanced Network/Insurance Carrier Org ID]],Q298),2)=ROUND(SUMIFS(AN_TME_PY[[#All],[TOTAL Non-Truncated Unadjusted Claims Expenses]], AN_TME_PY[[#All],[Insurance Category Code]],5, AN_TME_PY[[#All],[Advanced Network/Insurance Carrier Org ID]],Q298),2)</f>
        <v>1</v>
      </c>
      <c r="AF298" s="283" t="str">
        <f t="shared" si="37"/>
        <v>NA</v>
      </c>
    </row>
    <row r="299" spans="2:32" outlineLevel="1" x14ac:dyDescent="0.25">
      <c r="B299" s="216">
        <v>120</v>
      </c>
      <c r="C299" s="404">
        <f>ROUND(SUMIFS(Age_Sex_BY[[#All],[Total Member Months by Age/Sex Band]], Age_Sex_BY[[#All],[Advanced Network ID]], $B299, Age_Sex_BY[[#All],[Insurance Category Code]],5),2)</f>
        <v>0</v>
      </c>
      <c r="D299" s="238">
        <f>ROUND(SUMIFS(Age_Sex_BY[[#All],[Total Dollars Excluded from Spending After Applying Truncation at the Member Level]], Age_Sex_BY[[#All],[Advanced Network ID]], $B299, Age_Sex_BY[[#All],[Insurance Category Code]],5),2)</f>
        <v>0</v>
      </c>
      <c r="E299" s="209">
        <f>ROUND(SUMIFS(Age_Sex_BY[[#All],[Count of Members whose Spending was Truncated]], Age_Sex_BY[[#All],[Advanced Network ID]], $B299, Age_Sex_BY[[#All],[Insurance Category Code]],5),2)</f>
        <v>0</v>
      </c>
      <c r="F299" s="210">
        <f>ROUND(SUMIFS(Age_Sex_BY[[#All],[Total Spending before Truncation is Applied]], Age_Sex_BY[[#All],[Advanced Network ID]], $B299, Age_Sex_BY[[#All],[Insurance Category Code]],5),2)</f>
        <v>0</v>
      </c>
      <c r="G299" s="212">
        <f>ROUND(SUMIFS(Age_Sex_BY[[#All],[Total Spending After Applying Truncation at the Member Level]], Age_Sex_BY[[#All],[Advanced Network ID]], $B299, Age_Sex_BY[[#All],[Insurance Category Code]],5), 2)</f>
        <v>0</v>
      </c>
      <c r="H299" s="525" t="str">
        <f>IF(ROUND(C299,0)=ROUND(SUMIFS(AN_TME_BY[[#All],[Member Months]], AN_TME_BY[[#All],[Insurance Category Code]],5, AN_TME_BY[[#All],[Advanced Network/Insurance Carrier Org ID]],B299),0), "TRUE", ROUND(C299-SUMIFS(AN_TME_BY[[#All],[Member Months]], AN_TME_BY[[#All],[Insurance Category Code]],5, AN_TME_BY[[#All],[Advanced Network/Insurance Carrier Org ID]],B299),2))</f>
        <v>TRUE</v>
      </c>
      <c r="I299" s="533" t="str">
        <f>IF(ROUND(D299,0)=ROUND(SUMIFS(AN_TME_BY[[#All],[Total Claims Excluded because of Truncation]], AN_TME_BY[[#All],[Insurance Category Code]],5, AN_TME_BY[[#All],[Advanced Network/Insurance Carrier Org ID]],B299),0), "TRUE", ROUND(D299-SUMIFS(AN_TME_BY[[#All],[Total Claims Excluded because of Truncation]], AN_TME_BY[[#All],[Insurance Category Code]],5, AN_TME_BY[[#All],[Advanced Network/Insurance Carrier Org ID]],B299),2))</f>
        <v>TRUE</v>
      </c>
      <c r="J299" s="537" t="str">
        <f>IF(ROUND(E299,0)=ROUND(SUMIFS(AN_TME_BY[[#All],[Count of Members with Claims Truncated]], AN_TME_BY[[#All],[Insurance Category Code]],5, AN_TME_BY[[#All],[Advanced Network/Insurance Carrier Org ID]],B299),0), "TRUE", ROUND(E299-SUMIFS(AN_TME_BY[[#All],[Count of Members with Claims Truncated]], AN_TME_BY[[#All],[Insurance Category Code]],5, AN_TME_BY[[#All],[Advanced Network/Insurance Carrier Org ID]],B299),2))</f>
        <v>TRUE</v>
      </c>
      <c r="K299" s="533" t="str">
        <f>IF(ROUND(F299,0)=ROUND(SUMIFS(AN_TME_BY[[#All],[TOTAL Non-Truncated Unadjusted Claims Expenses]], AN_TME_BY[[#All],[Insurance Category Code]],5, AN_TME_BY[[#All],[Advanced Network/Insurance Carrier Org ID]],B299),0), "TRUE", ROUND(F299-SUMIFS(AN_TME_BY[[#All],[TOTAL Non-Truncated Unadjusted Claims Expenses]], AN_TME_BY[[#All],[Insurance Category Code]],5, AN_TME_BY[[#All],[Advanced Network/Insurance Carrier Org ID]],B299),2))</f>
        <v>TRUE</v>
      </c>
      <c r="L299" s="534" t="str">
        <f>IF(ROUND(G299,0)=ROUND(SUMIFS(AN_TME_BY[[#All],[TOTAL Truncated Unadjusted Claims Expenses (A21 -A19)]], AN_TME_BY[[#All],[Insurance Category Code]],5, AN_TME_BY[[#All],[Advanced Network/Insurance Carrier Org ID]],B299),0), "TRUE", ROUND(G299-SUMIFS(AN_TME_BY[[#All],[TOTAL Truncated Unadjusted Claims Expenses (A21 -A19)]], AN_TME_BY[[#All],[Insurance Category Code]],5, AN_TME_BY[[#All],[Advanced Network/Insurance Carrier Org ID]],B299),2))</f>
        <v>TRUE</v>
      </c>
      <c r="M299" s="525" t="str">
        <f t="shared" si="35"/>
        <v>TRUE</v>
      </c>
      <c r="N299" s="533" t="b">
        <f>ROUND(SUMIFS(AN_TME_BY[[#All],[TOTAL Non-Truncated Unadjusted Claims Expenses]], AN_TME_BY[[#All],[Insurance Category Code]],5, AN_TME_BY[[#All],[Advanced Network/Insurance Carrier Org ID]],B299),2)&gt;=ROUND(SUMIFS(AN_TME_BY[[#All],[TOTAL Truncated Unadjusted Claims Expenses (A21 -A19)]], AN_TME_BY[[#All],[Insurance Category Code]],5, AN_TME_BY[[#All],[Advanced Network/Insurance Carrier Org ID]],B299),2)</f>
        <v>1</v>
      </c>
      <c r="O299" s="534" t="b">
        <f>ROUND(SUMIFS(AN_TME_BY[[#All],[TOTAL Truncated Unadjusted Claims Expenses (A21 -A19)]], AN_TME_BY[[#All],[Insurance Category Code]],5, AN_TME_BY[[#All],[Advanced Network/Insurance Carrier Org ID]],B299)+SUMIFS(AN_TME_BY[[#All],[Total Claims Excluded because of Truncation]], AN_TME_BY[[#All],[Insurance Category Code]],5, AN_TME_BY[[#All],[Advanced Network/Insurance Carrier Org ID]],B299),2)=ROUND(SUMIFS(AN_TME_BY[[#All],[TOTAL Non-Truncated Unadjusted Claims Expenses]], AN_TME_BY[[#All],[Insurance Category Code]],5, AN_TME_BY[[#All],[Advanced Network/Insurance Carrier Org ID]],B299),2)</f>
        <v>1</v>
      </c>
      <c r="Q299" s="216">
        <v>120</v>
      </c>
      <c r="R299" s="404">
        <f>ROUND(SUMIFS(Age_Sex_PY[[#All],[Total Member Months by Age/Sex Band]], Age_Sex_PY[[#All],[Advanced Network ID]], $Q299, Age_Sex_PY[[#All],[Insurance Category Code]],5),2)</f>
        <v>0</v>
      </c>
      <c r="S299" s="238">
        <f>ROUND(SUMIFS(Age_Sex_PY[[#All],[Total Dollars Excluded from Spending After Applying Truncation at the Member Level]], Age_Sex_PY[[#All],[Advanced Network ID]], $B299, Age_Sex_PY[[#All],[Insurance Category Code]],5),2)</f>
        <v>0</v>
      </c>
      <c r="T299" s="209">
        <f>ROUND(SUMIFS(Age_Sex_PY[[#All],[Count of Members whose Spending was Truncated]], Age_Sex_PY[[#All],[Advanced Network ID]], $B299, Age_Sex_PY[[#All],[Insurance Category Code]],5),2)</f>
        <v>0</v>
      </c>
      <c r="U299" s="210">
        <f>ROUND(SUMIFS(Age_Sex_PY[[#All],[Total Spending before Truncation is Applied]], Age_Sex_PY[[#All],[Advanced Network ID]], $B299, Age_Sex_PY[[#All],[Insurance Category Code]],5), 2)</f>
        <v>0</v>
      </c>
      <c r="V299" s="212">
        <f>ROUND(SUMIFS(Age_Sex_PY[[#All],[Total Spending After Applying Truncation at the Member Level]], Age_Sex_PY[[#All],[Advanced Network ID]], $B299, Age_Sex_PY[[#All],[Insurance Category Code]],5),2)</f>
        <v>0</v>
      </c>
      <c r="W299" s="525" t="str">
        <f>IF(ROUND(R299,0)=ROUND(SUMIFS(AN_TME_PY[[#All],[Member Months]], AN_TME_PY[[#All],[Insurance Category Code]],5, AN_TME_PY[[#All],[Advanced Network/Insurance Carrier Org ID]],Q299),0), "TRUE", ROUND(R299-SUMIFS(AN_TME_PY[[#All],[Member Months]], AN_TME_PY[[#All],[Insurance Category Code]],5, AN_TME_PY[[#All],[Advanced Network/Insurance Carrier Org ID]],Q299),2))</f>
        <v>TRUE</v>
      </c>
      <c r="X299" s="527" t="str">
        <f>IF(ROUND(S299,0)=ROUND(SUMIFS(AN_TME_PY[[#All],[Total Claims Excluded because of Truncation]], AN_TME_PY[[#All],[Insurance Category Code]],5, AN_TME_PY[[#All],[Advanced Network/Insurance Carrier Org ID]],Q299),0), "TRUE", ROUND(S299-SUMIFS(AN_TME_PY[[#All],[Total Claims Excluded because of Truncation]], AN_TME_PY[[#All],[Insurance Category Code]],5, AN_TME_PY[[#All],[Advanced Network/Insurance Carrier Org ID]],Q299),2))</f>
        <v>TRUE</v>
      </c>
      <c r="Y299" s="537" t="str">
        <f>IF(ROUND(T299,0)=ROUND(SUMIFS(AN_TME_PY[[#All],[Count of Members with Claims Truncated]], AN_TME_PY[[#All],[Insurance Category Code]],5, AN_TME_PY[[#All],[Advanced Network/Insurance Carrier Org ID]],Q299),0), "TRUE", ROUND(T299-SUMIFS(AN_TME_PY[[#All],[Count of Members with Claims Truncated]], AN_TME_PY[[#All],[Insurance Category Code]],5, AN_TME_PY[[#All],[Advanced Network/Insurance Carrier Org ID]],Q299),2))</f>
        <v>TRUE</v>
      </c>
      <c r="Z299" s="528" t="str">
        <f>IF(ROUND(U299,0)=ROUND(SUMIFS(AN_TME_PY[[#All],[TOTAL Non-Truncated Unadjusted Claims Expenses]], AN_TME_PY[[#All],[Insurance Category Code]],5, AN_TME_PY[[#All],[Advanced Network/Insurance Carrier Org ID]],Q299),0), "TRUE", ROUND(U299-SUMIFS(AN_TME_PY[[#All],[TOTAL Non-Truncated Unadjusted Claims Expenses]], AN_TME_PY[[#All],[Insurance Category Code]],5, AN_TME_PY[[#All],[Advanced Network/Insurance Carrier Org ID]],Q299),2))</f>
        <v>TRUE</v>
      </c>
      <c r="AA299" s="529" t="str">
        <f>IF(ROUND(V299,0)=ROUND(SUMIFS(AN_TME_PY[[#All],[TOTAL Truncated Unadjusted Claims Expenses (A21 -A19)]], AN_TME_PY[[#All],[Insurance Category Code]],5, AN_TME_PY[[#All],[Advanced Network/Insurance Carrier Org ID]],Q299),0), "TRUE", ROUND(V299-SUMIFS(AN_TME_PY[[#All],[TOTAL Truncated Unadjusted Claims Expenses (A21 -A19)]], AN_TME_PY[[#All],[Insurance Category Code]],5, AN_TME_PY[[#All],[Advanced Network/Insurance Carrier Org ID]],Q299),2))</f>
        <v>TRUE</v>
      </c>
      <c r="AB299" s="525" t="str">
        <f t="shared" si="38"/>
        <v>TRUE</v>
      </c>
      <c r="AC299" s="528" t="b">
        <f>ROUND(SUMIFS(AN_TME_PY[[#All],[TOTAL Non-Truncated Unadjusted Claims Expenses]], AN_TME_PY[[#All],[Insurance Category Code]],5, AN_TME_PY[[#All],[Advanced Network/Insurance Carrier Org ID]],Q299),2)&gt;=ROUND(SUMIFS(AN_TME_PY[[#All],[TOTAL Truncated Unadjusted Claims Expenses (A21 -A19)]], AN_TME_PY[[#All],[Insurance Category Code]],5, AN_TME_PY[[#All],[Advanced Network/Insurance Carrier Org ID]],Q299),2)</f>
        <v>1</v>
      </c>
      <c r="AD299" s="529" t="b">
        <f>ROUND(SUMIFS(AN_TME_PY[[#All],[TOTAL Truncated Unadjusted Claims Expenses (A21 -A19)]], AN_TME_PY[[#All],[Insurance Category Code]],5, AN_TME_PY[[#All],[Advanced Network/Insurance Carrier Org ID]],Q299)+SUMIFS(AN_TME_PY[[#All],[Total Claims Excluded because of Truncation]], AN_TME_PY[[#All],[Insurance Category Code]],5, AN_TME_PY[[#All],[Advanced Network/Insurance Carrier Org ID]],Q299),2)=ROUND(SUMIFS(AN_TME_PY[[#All],[TOTAL Non-Truncated Unadjusted Claims Expenses]], AN_TME_PY[[#All],[Insurance Category Code]],5, AN_TME_PY[[#All],[Advanced Network/Insurance Carrier Org ID]],Q299),2)</f>
        <v>1</v>
      </c>
      <c r="AF299" s="283" t="str">
        <f t="shared" si="37"/>
        <v>NA</v>
      </c>
    </row>
    <row r="300" spans="2:32" outlineLevel="1" x14ac:dyDescent="0.25">
      <c r="B300" s="216">
        <v>121</v>
      </c>
      <c r="C300" s="404">
        <f>ROUND(SUMIFS(Age_Sex_BY[[#All],[Total Member Months by Age/Sex Band]], Age_Sex_BY[[#All],[Advanced Network ID]], $B300, Age_Sex_BY[[#All],[Insurance Category Code]],5),2)</f>
        <v>0</v>
      </c>
      <c r="D300" s="238">
        <f>ROUND(SUMIFS(Age_Sex_BY[[#All],[Total Dollars Excluded from Spending After Applying Truncation at the Member Level]], Age_Sex_BY[[#All],[Advanced Network ID]], $B300, Age_Sex_BY[[#All],[Insurance Category Code]],5),2)</f>
        <v>0</v>
      </c>
      <c r="E300" s="209">
        <f>ROUND(SUMIFS(Age_Sex_BY[[#All],[Count of Members whose Spending was Truncated]], Age_Sex_BY[[#All],[Advanced Network ID]], $B300, Age_Sex_BY[[#All],[Insurance Category Code]],5),2)</f>
        <v>0</v>
      </c>
      <c r="F300" s="210">
        <f>ROUND(SUMIFS(Age_Sex_BY[[#All],[Total Spending before Truncation is Applied]], Age_Sex_BY[[#All],[Advanced Network ID]], $B300, Age_Sex_BY[[#All],[Insurance Category Code]],5),2)</f>
        <v>0</v>
      </c>
      <c r="G300" s="212">
        <f>ROUND(SUMIFS(Age_Sex_BY[[#All],[Total Spending After Applying Truncation at the Member Level]], Age_Sex_BY[[#All],[Advanced Network ID]], $B300, Age_Sex_BY[[#All],[Insurance Category Code]],5), 2)</f>
        <v>0</v>
      </c>
      <c r="H300" s="525" t="str">
        <f>IF(ROUND(C300,0)=ROUND(SUMIFS(AN_TME_BY[[#All],[Member Months]], AN_TME_BY[[#All],[Insurance Category Code]],5, AN_TME_BY[[#All],[Advanced Network/Insurance Carrier Org ID]],B300),0), "TRUE", ROUND(C300-SUMIFS(AN_TME_BY[[#All],[Member Months]], AN_TME_BY[[#All],[Insurance Category Code]],5, AN_TME_BY[[#All],[Advanced Network/Insurance Carrier Org ID]],B300),2))</f>
        <v>TRUE</v>
      </c>
      <c r="I300" s="533" t="str">
        <f>IF(ROUND(D300,0)=ROUND(SUMIFS(AN_TME_BY[[#All],[Total Claims Excluded because of Truncation]], AN_TME_BY[[#All],[Insurance Category Code]],5, AN_TME_BY[[#All],[Advanced Network/Insurance Carrier Org ID]],B300),0), "TRUE", ROUND(D300-SUMIFS(AN_TME_BY[[#All],[Total Claims Excluded because of Truncation]], AN_TME_BY[[#All],[Insurance Category Code]],5, AN_TME_BY[[#All],[Advanced Network/Insurance Carrier Org ID]],B300),2))</f>
        <v>TRUE</v>
      </c>
      <c r="J300" s="537" t="str">
        <f>IF(ROUND(E300,0)=ROUND(SUMIFS(AN_TME_BY[[#All],[Count of Members with Claims Truncated]], AN_TME_BY[[#All],[Insurance Category Code]],5, AN_TME_BY[[#All],[Advanced Network/Insurance Carrier Org ID]],B300),0), "TRUE", ROUND(E300-SUMIFS(AN_TME_BY[[#All],[Count of Members with Claims Truncated]], AN_TME_BY[[#All],[Insurance Category Code]],5, AN_TME_BY[[#All],[Advanced Network/Insurance Carrier Org ID]],B300),2))</f>
        <v>TRUE</v>
      </c>
      <c r="K300" s="533" t="str">
        <f>IF(ROUND(F300,0)=ROUND(SUMIFS(AN_TME_BY[[#All],[TOTAL Non-Truncated Unadjusted Claims Expenses]], AN_TME_BY[[#All],[Insurance Category Code]],5, AN_TME_BY[[#All],[Advanced Network/Insurance Carrier Org ID]],B300),0), "TRUE", ROUND(F300-SUMIFS(AN_TME_BY[[#All],[TOTAL Non-Truncated Unadjusted Claims Expenses]], AN_TME_BY[[#All],[Insurance Category Code]],5, AN_TME_BY[[#All],[Advanced Network/Insurance Carrier Org ID]],B300),2))</f>
        <v>TRUE</v>
      </c>
      <c r="L300" s="534" t="str">
        <f>IF(ROUND(G300,0)=ROUND(SUMIFS(AN_TME_BY[[#All],[TOTAL Truncated Unadjusted Claims Expenses (A21 -A19)]], AN_TME_BY[[#All],[Insurance Category Code]],5, AN_TME_BY[[#All],[Advanced Network/Insurance Carrier Org ID]],B300),0), "TRUE", ROUND(G300-SUMIFS(AN_TME_BY[[#All],[TOTAL Truncated Unadjusted Claims Expenses (A21 -A19)]], AN_TME_BY[[#All],[Insurance Category Code]],5, AN_TME_BY[[#All],[Advanced Network/Insurance Carrier Org ID]],B300),2))</f>
        <v>TRUE</v>
      </c>
      <c r="M300" s="525" t="str">
        <f t="shared" si="35"/>
        <v>TRUE</v>
      </c>
      <c r="N300" s="533" t="b">
        <f>ROUND(SUMIFS(AN_TME_BY[[#All],[TOTAL Non-Truncated Unadjusted Claims Expenses]], AN_TME_BY[[#All],[Insurance Category Code]],5, AN_TME_BY[[#All],[Advanced Network/Insurance Carrier Org ID]],B300),2)&gt;=ROUND(SUMIFS(AN_TME_BY[[#All],[TOTAL Truncated Unadjusted Claims Expenses (A21 -A19)]], AN_TME_BY[[#All],[Insurance Category Code]],5, AN_TME_BY[[#All],[Advanced Network/Insurance Carrier Org ID]],B300),2)</f>
        <v>1</v>
      </c>
      <c r="O300" s="534" t="b">
        <f>ROUND(SUMIFS(AN_TME_BY[[#All],[TOTAL Truncated Unadjusted Claims Expenses (A21 -A19)]], AN_TME_BY[[#All],[Insurance Category Code]],5, AN_TME_BY[[#All],[Advanced Network/Insurance Carrier Org ID]],B300)+SUMIFS(AN_TME_BY[[#All],[Total Claims Excluded because of Truncation]], AN_TME_BY[[#All],[Insurance Category Code]],5, AN_TME_BY[[#All],[Advanced Network/Insurance Carrier Org ID]],B300),2)=ROUND(SUMIFS(AN_TME_BY[[#All],[TOTAL Non-Truncated Unadjusted Claims Expenses]], AN_TME_BY[[#All],[Insurance Category Code]],5, AN_TME_BY[[#All],[Advanced Network/Insurance Carrier Org ID]],B300),2)</f>
        <v>1</v>
      </c>
      <c r="Q300" s="216">
        <v>121</v>
      </c>
      <c r="R300" s="404">
        <f>ROUND(SUMIFS(Age_Sex_PY[[#All],[Total Member Months by Age/Sex Band]], Age_Sex_PY[[#All],[Advanced Network ID]], $Q300, Age_Sex_PY[[#All],[Insurance Category Code]],5),2)</f>
        <v>0</v>
      </c>
      <c r="S300" s="238">
        <f>ROUND(SUMIFS(Age_Sex_PY[[#All],[Total Dollars Excluded from Spending After Applying Truncation at the Member Level]], Age_Sex_PY[[#All],[Advanced Network ID]], $B300, Age_Sex_PY[[#All],[Insurance Category Code]],5),2)</f>
        <v>0</v>
      </c>
      <c r="T300" s="209">
        <f>ROUND(SUMIFS(Age_Sex_PY[[#All],[Count of Members whose Spending was Truncated]], Age_Sex_PY[[#All],[Advanced Network ID]], $B300, Age_Sex_PY[[#All],[Insurance Category Code]],5),2)</f>
        <v>0</v>
      </c>
      <c r="U300" s="210">
        <f>ROUND(SUMIFS(Age_Sex_PY[[#All],[Total Spending before Truncation is Applied]], Age_Sex_PY[[#All],[Advanced Network ID]], $B300, Age_Sex_PY[[#All],[Insurance Category Code]],5), 2)</f>
        <v>0</v>
      </c>
      <c r="V300" s="212">
        <f>ROUND(SUMIFS(Age_Sex_PY[[#All],[Total Spending After Applying Truncation at the Member Level]], Age_Sex_PY[[#All],[Advanced Network ID]], $B300, Age_Sex_PY[[#All],[Insurance Category Code]],5),2)</f>
        <v>0</v>
      </c>
      <c r="W300" s="525" t="str">
        <f>IF(ROUND(R300,0)=ROUND(SUMIFS(AN_TME_PY[[#All],[Member Months]], AN_TME_PY[[#All],[Insurance Category Code]],5, AN_TME_PY[[#All],[Advanced Network/Insurance Carrier Org ID]],Q300),0), "TRUE", ROUND(R300-SUMIFS(AN_TME_PY[[#All],[Member Months]], AN_TME_PY[[#All],[Insurance Category Code]],5, AN_TME_PY[[#All],[Advanced Network/Insurance Carrier Org ID]],Q300),2))</f>
        <v>TRUE</v>
      </c>
      <c r="X300" s="527" t="str">
        <f>IF(ROUND(S300,0)=ROUND(SUMIFS(AN_TME_PY[[#All],[Total Claims Excluded because of Truncation]], AN_TME_PY[[#All],[Insurance Category Code]],5, AN_TME_PY[[#All],[Advanced Network/Insurance Carrier Org ID]],Q300),0), "TRUE", ROUND(S300-SUMIFS(AN_TME_PY[[#All],[Total Claims Excluded because of Truncation]], AN_TME_PY[[#All],[Insurance Category Code]],5, AN_TME_PY[[#All],[Advanced Network/Insurance Carrier Org ID]],Q300),2))</f>
        <v>TRUE</v>
      </c>
      <c r="Y300" s="537" t="str">
        <f>IF(ROUND(T300,0)=ROUND(SUMIFS(AN_TME_PY[[#All],[Count of Members with Claims Truncated]], AN_TME_PY[[#All],[Insurance Category Code]],5, AN_TME_PY[[#All],[Advanced Network/Insurance Carrier Org ID]],Q300),0), "TRUE", ROUND(T300-SUMIFS(AN_TME_PY[[#All],[Count of Members with Claims Truncated]], AN_TME_PY[[#All],[Insurance Category Code]],5, AN_TME_PY[[#All],[Advanced Network/Insurance Carrier Org ID]],Q300),2))</f>
        <v>TRUE</v>
      </c>
      <c r="Z300" s="528" t="str">
        <f>IF(ROUND(U300,0)=ROUND(SUMIFS(AN_TME_PY[[#All],[TOTAL Non-Truncated Unadjusted Claims Expenses]], AN_TME_PY[[#All],[Insurance Category Code]],5, AN_TME_PY[[#All],[Advanced Network/Insurance Carrier Org ID]],Q300),0), "TRUE", ROUND(U300-SUMIFS(AN_TME_PY[[#All],[TOTAL Non-Truncated Unadjusted Claims Expenses]], AN_TME_PY[[#All],[Insurance Category Code]],5, AN_TME_PY[[#All],[Advanced Network/Insurance Carrier Org ID]],Q300),2))</f>
        <v>TRUE</v>
      </c>
      <c r="AA300" s="529" t="str">
        <f>IF(ROUND(V300,0)=ROUND(SUMIFS(AN_TME_PY[[#All],[TOTAL Truncated Unadjusted Claims Expenses (A21 -A19)]], AN_TME_PY[[#All],[Insurance Category Code]],5, AN_TME_PY[[#All],[Advanced Network/Insurance Carrier Org ID]],Q300),0), "TRUE", ROUND(V300-SUMIFS(AN_TME_PY[[#All],[TOTAL Truncated Unadjusted Claims Expenses (A21 -A19)]], AN_TME_PY[[#All],[Insurance Category Code]],5, AN_TME_PY[[#All],[Advanced Network/Insurance Carrier Org ID]],Q300),2))</f>
        <v>TRUE</v>
      </c>
      <c r="AB300" s="525" t="str">
        <f t="shared" si="38"/>
        <v>TRUE</v>
      </c>
      <c r="AC300" s="528" t="b">
        <f>ROUND(SUMIFS(AN_TME_PY[[#All],[TOTAL Non-Truncated Unadjusted Claims Expenses]], AN_TME_PY[[#All],[Insurance Category Code]],5, AN_TME_PY[[#All],[Advanced Network/Insurance Carrier Org ID]],Q300),2)&gt;=ROUND(SUMIFS(AN_TME_PY[[#All],[TOTAL Truncated Unadjusted Claims Expenses (A21 -A19)]], AN_TME_PY[[#All],[Insurance Category Code]],5, AN_TME_PY[[#All],[Advanced Network/Insurance Carrier Org ID]],Q300),2)</f>
        <v>1</v>
      </c>
      <c r="AD300" s="529" t="b">
        <f>ROUND(SUMIFS(AN_TME_PY[[#All],[TOTAL Truncated Unadjusted Claims Expenses (A21 -A19)]], AN_TME_PY[[#All],[Insurance Category Code]],5, AN_TME_PY[[#All],[Advanced Network/Insurance Carrier Org ID]],Q300)+SUMIFS(AN_TME_PY[[#All],[Total Claims Excluded because of Truncation]], AN_TME_PY[[#All],[Insurance Category Code]],5, AN_TME_PY[[#All],[Advanced Network/Insurance Carrier Org ID]],Q300),2)=ROUND(SUMIFS(AN_TME_PY[[#All],[TOTAL Non-Truncated Unadjusted Claims Expenses]], AN_TME_PY[[#All],[Insurance Category Code]],5, AN_TME_PY[[#All],[Advanced Network/Insurance Carrier Org ID]],Q300),2)</f>
        <v>1</v>
      </c>
      <c r="AF300" s="283" t="str">
        <f t="shared" si="37"/>
        <v>NA</v>
      </c>
    </row>
    <row r="301" spans="2:32" outlineLevel="1" x14ac:dyDescent="0.25">
      <c r="B301" s="216">
        <v>122</v>
      </c>
      <c r="C301" s="404">
        <f>ROUND(SUMIFS(Age_Sex_BY[[#All],[Total Member Months by Age/Sex Band]], Age_Sex_BY[[#All],[Advanced Network ID]], $B301, Age_Sex_BY[[#All],[Insurance Category Code]],5),2)</f>
        <v>0</v>
      </c>
      <c r="D301" s="238">
        <f>ROUND(SUMIFS(Age_Sex_BY[[#All],[Total Dollars Excluded from Spending After Applying Truncation at the Member Level]], Age_Sex_BY[[#All],[Advanced Network ID]], $B301, Age_Sex_BY[[#All],[Insurance Category Code]],5),2)</f>
        <v>0</v>
      </c>
      <c r="E301" s="209">
        <f>ROUND(SUMIFS(Age_Sex_BY[[#All],[Count of Members whose Spending was Truncated]], Age_Sex_BY[[#All],[Advanced Network ID]], $B301, Age_Sex_BY[[#All],[Insurance Category Code]],5),2)</f>
        <v>0</v>
      </c>
      <c r="F301" s="210">
        <f>ROUND(SUMIFS(Age_Sex_BY[[#All],[Total Spending before Truncation is Applied]], Age_Sex_BY[[#All],[Advanced Network ID]], $B301, Age_Sex_BY[[#All],[Insurance Category Code]],5),2)</f>
        <v>0</v>
      </c>
      <c r="G301" s="212">
        <f>ROUND(SUMIFS(Age_Sex_BY[[#All],[Total Spending After Applying Truncation at the Member Level]], Age_Sex_BY[[#All],[Advanced Network ID]], $B301, Age_Sex_BY[[#All],[Insurance Category Code]],5), 2)</f>
        <v>0</v>
      </c>
      <c r="H301" s="525" t="str">
        <f>IF(ROUND(C301,0)=ROUND(SUMIFS(AN_TME_BY[[#All],[Member Months]], AN_TME_BY[[#All],[Insurance Category Code]],5, AN_TME_BY[[#All],[Advanced Network/Insurance Carrier Org ID]],B301),0), "TRUE", ROUND(C301-SUMIFS(AN_TME_BY[[#All],[Member Months]], AN_TME_BY[[#All],[Insurance Category Code]],5, AN_TME_BY[[#All],[Advanced Network/Insurance Carrier Org ID]],B301),2))</f>
        <v>TRUE</v>
      </c>
      <c r="I301" s="533" t="str">
        <f>IF(ROUND(D301,0)=ROUND(SUMIFS(AN_TME_BY[[#All],[Total Claims Excluded because of Truncation]], AN_TME_BY[[#All],[Insurance Category Code]],5, AN_TME_BY[[#All],[Advanced Network/Insurance Carrier Org ID]],B301),0), "TRUE", ROUND(D301-SUMIFS(AN_TME_BY[[#All],[Total Claims Excluded because of Truncation]], AN_TME_BY[[#All],[Insurance Category Code]],5, AN_TME_BY[[#All],[Advanced Network/Insurance Carrier Org ID]],B301),2))</f>
        <v>TRUE</v>
      </c>
      <c r="J301" s="537" t="str">
        <f>IF(ROUND(E301,0)=ROUND(SUMIFS(AN_TME_BY[[#All],[Count of Members with Claims Truncated]], AN_TME_BY[[#All],[Insurance Category Code]],5, AN_TME_BY[[#All],[Advanced Network/Insurance Carrier Org ID]],B301),0), "TRUE", ROUND(E301-SUMIFS(AN_TME_BY[[#All],[Count of Members with Claims Truncated]], AN_TME_BY[[#All],[Insurance Category Code]],5, AN_TME_BY[[#All],[Advanced Network/Insurance Carrier Org ID]],B301),2))</f>
        <v>TRUE</v>
      </c>
      <c r="K301" s="533" t="str">
        <f>IF(ROUND(F301,0)=ROUND(SUMIFS(AN_TME_BY[[#All],[TOTAL Non-Truncated Unadjusted Claims Expenses]], AN_TME_BY[[#All],[Insurance Category Code]],5, AN_TME_BY[[#All],[Advanced Network/Insurance Carrier Org ID]],B301),0), "TRUE", ROUND(F301-SUMIFS(AN_TME_BY[[#All],[TOTAL Non-Truncated Unadjusted Claims Expenses]], AN_TME_BY[[#All],[Insurance Category Code]],5, AN_TME_BY[[#All],[Advanced Network/Insurance Carrier Org ID]],B301),2))</f>
        <v>TRUE</v>
      </c>
      <c r="L301" s="534" t="str">
        <f>IF(ROUND(G301,0)=ROUND(SUMIFS(AN_TME_BY[[#All],[TOTAL Truncated Unadjusted Claims Expenses (A21 -A19)]], AN_TME_BY[[#All],[Insurance Category Code]],5, AN_TME_BY[[#All],[Advanced Network/Insurance Carrier Org ID]],B301),0), "TRUE", ROUND(G301-SUMIFS(AN_TME_BY[[#All],[TOTAL Truncated Unadjusted Claims Expenses (A21 -A19)]], AN_TME_BY[[#All],[Insurance Category Code]],5, AN_TME_BY[[#All],[Advanced Network/Insurance Carrier Org ID]],B301),2))</f>
        <v>TRUE</v>
      </c>
      <c r="M301" s="525" t="str">
        <f t="shared" si="35"/>
        <v>TRUE</v>
      </c>
      <c r="N301" s="533" t="b">
        <f>ROUND(SUMIFS(AN_TME_BY[[#All],[TOTAL Non-Truncated Unadjusted Claims Expenses]], AN_TME_BY[[#All],[Insurance Category Code]],5, AN_TME_BY[[#All],[Advanced Network/Insurance Carrier Org ID]],B301),2)&gt;=ROUND(SUMIFS(AN_TME_BY[[#All],[TOTAL Truncated Unadjusted Claims Expenses (A21 -A19)]], AN_TME_BY[[#All],[Insurance Category Code]],5, AN_TME_BY[[#All],[Advanced Network/Insurance Carrier Org ID]],B301),2)</f>
        <v>1</v>
      </c>
      <c r="O301" s="534" t="b">
        <f>ROUND(SUMIFS(AN_TME_BY[[#All],[TOTAL Truncated Unadjusted Claims Expenses (A21 -A19)]], AN_TME_BY[[#All],[Insurance Category Code]],5, AN_TME_BY[[#All],[Advanced Network/Insurance Carrier Org ID]],B301)+SUMIFS(AN_TME_BY[[#All],[Total Claims Excluded because of Truncation]], AN_TME_BY[[#All],[Insurance Category Code]],5, AN_TME_BY[[#All],[Advanced Network/Insurance Carrier Org ID]],B301),2)=ROUND(SUMIFS(AN_TME_BY[[#All],[TOTAL Non-Truncated Unadjusted Claims Expenses]], AN_TME_BY[[#All],[Insurance Category Code]],5, AN_TME_BY[[#All],[Advanced Network/Insurance Carrier Org ID]],B301),2)</f>
        <v>1</v>
      </c>
      <c r="Q301" s="216">
        <v>122</v>
      </c>
      <c r="R301" s="404">
        <f>ROUND(SUMIFS(Age_Sex_PY[[#All],[Total Member Months by Age/Sex Band]], Age_Sex_PY[[#All],[Advanced Network ID]], $Q301, Age_Sex_PY[[#All],[Insurance Category Code]],5),2)</f>
        <v>0</v>
      </c>
      <c r="S301" s="238">
        <f>ROUND(SUMIFS(Age_Sex_PY[[#All],[Total Dollars Excluded from Spending After Applying Truncation at the Member Level]], Age_Sex_PY[[#All],[Advanced Network ID]], $B301, Age_Sex_PY[[#All],[Insurance Category Code]],5),2)</f>
        <v>0</v>
      </c>
      <c r="T301" s="209">
        <f>ROUND(SUMIFS(Age_Sex_PY[[#All],[Count of Members whose Spending was Truncated]], Age_Sex_PY[[#All],[Advanced Network ID]], $B301, Age_Sex_PY[[#All],[Insurance Category Code]],5),2)</f>
        <v>0</v>
      </c>
      <c r="U301" s="210">
        <f>ROUND(SUMIFS(Age_Sex_PY[[#All],[Total Spending before Truncation is Applied]], Age_Sex_PY[[#All],[Advanced Network ID]], $B301, Age_Sex_PY[[#All],[Insurance Category Code]],5), 2)</f>
        <v>0</v>
      </c>
      <c r="V301" s="212">
        <f>ROUND(SUMIFS(Age_Sex_PY[[#All],[Total Spending After Applying Truncation at the Member Level]], Age_Sex_PY[[#All],[Advanced Network ID]], $B301, Age_Sex_PY[[#All],[Insurance Category Code]],5),2)</f>
        <v>0</v>
      </c>
      <c r="W301" s="525" t="str">
        <f>IF(ROUND(R301,0)=ROUND(SUMIFS(AN_TME_PY[[#All],[Member Months]], AN_TME_PY[[#All],[Insurance Category Code]],5, AN_TME_PY[[#All],[Advanced Network/Insurance Carrier Org ID]],Q301),0), "TRUE", ROUND(R301-SUMIFS(AN_TME_PY[[#All],[Member Months]], AN_TME_PY[[#All],[Insurance Category Code]],5, AN_TME_PY[[#All],[Advanced Network/Insurance Carrier Org ID]],Q301),2))</f>
        <v>TRUE</v>
      </c>
      <c r="X301" s="527" t="str">
        <f>IF(ROUND(S301,0)=ROUND(SUMIFS(AN_TME_PY[[#All],[Total Claims Excluded because of Truncation]], AN_TME_PY[[#All],[Insurance Category Code]],5, AN_TME_PY[[#All],[Advanced Network/Insurance Carrier Org ID]],Q301),0), "TRUE", ROUND(S301-SUMIFS(AN_TME_PY[[#All],[Total Claims Excluded because of Truncation]], AN_TME_PY[[#All],[Insurance Category Code]],5, AN_TME_PY[[#All],[Advanced Network/Insurance Carrier Org ID]],Q301),2))</f>
        <v>TRUE</v>
      </c>
      <c r="Y301" s="537" t="str">
        <f>IF(ROUND(T301,0)=ROUND(SUMIFS(AN_TME_PY[[#All],[Count of Members with Claims Truncated]], AN_TME_PY[[#All],[Insurance Category Code]],5, AN_TME_PY[[#All],[Advanced Network/Insurance Carrier Org ID]],Q301),0), "TRUE", ROUND(T301-SUMIFS(AN_TME_PY[[#All],[Count of Members with Claims Truncated]], AN_TME_PY[[#All],[Insurance Category Code]],5, AN_TME_PY[[#All],[Advanced Network/Insurance Carrier Org ID]],Q301),2))</f>
        <v>TRUE</v>
      </c>
      <c r="Z301" s="528" t="str">
        <f>IF(ROUND(U301,0)=ROUND(SUMIFS(AN_TME_PY[[#All],[TOTAL Non-Truncated Unadjusted Claims Expenses]], AN_TME_PY[[#All],[Insurance Category Code]],5, AN_TME_PY[[#All],[Advanced Network/Insurance Carrier Org ID]],Q301),0), "TRUE", ROUND(U301-SUMIFS(AN_TME_PY[[#All],[TOTAL Non-Truncated Unadjusted Claims Expenses]], AN_TME_PY[[#All],[Insurance Category Code]],5, AN_TME_PY[[#All],[Advanced Network/Insurance Carrier Org ID]],Q301),2))</f>
        <v>TRUE</v>
      </c>
      <c r="AA301" s="529" t="str">
        <f>IF(ROUND(V301,0)=ROUND(SUMIFS(AN_TME_PY[[#All],[TOTAL Truncated Unadjusted Claims Expenses (A21 -A19)]], AN_TME_PY[[#All],[Insurance Category Code]],5, AN_TME_PY[[#All],[Advanced Network/Insurance Carrier Org ID]],Q301),0), "TRUE", ROUND(V301-SUMIFS(AN_TME_PY[[#All],[TOTAL Truncated Unadjusted Claims Expenses (A21 -A19)]], AN_TME_PY[[#All],[Insurance Category Code]],5, AN_TME_PY[[#All],[Advanced Network/Insurance Carrier Org ID]],Q301),2))</f>
        <v>TRUE</v>
      </c>
      <c r="AB301" s="525" t="str">
        <f t="shared" si="38"/>
        <v>TRUE</v>
      </c>
      <c r="AC301" s="528" t="b">
        <f>ROUND(SUMIFS(AN_TME_PY[[#All],[TOTAL Non-Truncated Unadjusted Claims Expenses]], AN_TME_PY[[#All],[Insurance Category Code]],5, AN_TME_PY[[#All],[Advanced Network/Insurance Carrier Org ID]],Q301),2)&gt;=ROUND(SUMIFS(AN_TME_PY[[#All],[TOTAL Truncated Unadjusted Claims Expenses (A21 -A19)]], AN_TME_PY[[#All],[Insurance Category Code]],5, AN_TME_PY[[#All],[Advanced Network/Insurance Carrier Org ID]],Q301),2)</f>
        <v>1</v>
      </c>
      <c r="AD301" s="529" t="b">
        <f>ROUND(SUMIFS(AN_TME_PY[[#All],[TOTAL Truncated Unadjusted Claims Expenses (A21 -A19)]], AN_TME_PY[[#All],[Insurance Category Code]],5, AN_TME_PY[[#All],[Advanced Network/Insurance Carrier Org ID]],Q301)+SUMIFS(AN_TME_PY[[#All],[Total Claims Excluded because of Truncation]], AN_TME_PY[[#All],[Insurance Category Code]],5, AN_TME_PY[[#All],[Advanced Network/Insurance Carrier Org ID]],Q301),2)=ROUND(SUMIFS(AN_TME_PY[[#All],[TOTAL Non-Truncated Unadjusted Claims Expenses]], AN_TME_PY[[#All],[Insurance Category Code]],5, AN_TME_PY[[#All],[Advanced Network/Insurance Carrier Org ID]],Q301),2)</f>
        <v>1</v>
      </c>
      <c r="AF301" s="283" t="str">
        <f t="shared" si="37"/>
        <v>NA</v>
      </c>
    </row>
    <row r="302" spans="2:32" outlineLevel="1" x14ac:dyDescent="0.25">
      <c r="B302" s="216">
        <v>123</v>
      </c>
      <c r="C302" s="404">
        <f>ROUND(SUMIFS(Age_Sex_BY[[#All],[Total Member Months by Age/Sex Band]], Age_Sex_BY[[#All],[Advanced Network ID]], $B302, Age_Sex_BY[[#All],[Insurance Category Code]],5),2)</f>
        <v>0</v>
      </c>
      <c r="D302" s="238">
        <f>ROUND(SUMIFS(Age_Sex_BY[[#All],[Total Dollars Excluded from Spending After Applying Truncation at the Member Level]], Age_Sex_BY[[#All],[Advanced Network ID]], $B302, Age_Sex_BY[[#All],[Insurance Category Code]],5),2)</f>
        <v>0</v>
      </c>
      <c r="E302" s="209">
        <f>ROUND(SUMIFS(Age_Sex_BY[[#All],[Count of Members whose Spending was Truncated]], Age_Sex_BY[[#All],[Advanced Network ID]], $B302, Age_Sex_BY[[#All],[Insurance Category Code]],5),2)</f>
        <v>0</v>
      </c>
      <c r="F302" s="210">
        <f>ROUND(SUMIFS(Age_Sex_BY[[#All],[Total Spending before Truncation is Applied]], Age_Sex_BY[[#All],[Advanced Network ID]], $B302, Age_Sex_BY[[#All],[Insurance Category Code]],5),2)</f>
        <v>0</v>
      </c>
      <c r="G302" s="212">
        <f>ROUND(SUMIFS(Age_Sex_BY[[#All],[Total Spending After Applying Truncation at the Member Level]], Age_Sex_BY[[#All],[Advanced Network ID]], $B302, Age_Sex_BY[[#All],[Insurance Category Code]],5), 2)</f>
        <v>0</v>
      </c>
      <c r="H302" s="525" t="str">
        <f>IF(ROUND(C302,0)=ROUND(SUMIFS(AN_TME_BY[[#All],[Member Months]], AN_TME_BY[[#All],[Insurance Category Code]],5, AN_TME_BY[[#All],[Advanced Network/Insurance Carrier Org ID]],B302),0), "TRUE", ROUND(C302-SUMIFS(AN_TME_BY[[#All],[Member Months]], AN_TME_BY[[#All],[Insurance Category Code]],5, AN_TME_BY[[#All],[Advanced Network/Insurance Carrier Org ID]],B302),2))</f>
        <v>TRUE</v>
      </c>
      <c r="I302" s="533" t="str">
        <f>IF(ROUND(D302,0)=ROUND(SUMIFS(AN_TME_BY[[#All],[Total Claims Excluded because of Truncation]], AN_TME_BY[[#All],[Insurance Category Code]],5, AN_TME_BY[[#All],[Advanced Network/Insurance Carrier Org ID]],B302),0), "TRUE", ROUND(D302-SUMIFS(AN_TME_BY[[#All],[Total Claims Excluded because of Truncation]], AN_TME_BY[[#All],[Insurance Category Code]],5, AN_TME_BY[[#All],[Advanced Network/Insurance Carrier Org ID]],B302),2))</f>
        <v>TRUE</v>
      </c>
      <c r="J302" s="537" t="str">
        <f>IF(ROUND(E302,0)=ROUND(SUMIFS(AN_TME_BY[[#All],[Count of Members with Claims Truncated]], AN_TME_BY[[#All],[Insurance Category Code]],5, AN_TME_BY[[#All],[Advanced Network/Insurance Carrier Org ID]],B302),0), "TRUE", ROUND(E302-SUMIFS(AN_TME_BY[[#All],[Count of Members with Claims Truncated]], AN_TME_BY[[#All],[Insurance Category Code]],5, AN_TME_BY[[#All],[Advanced Network/Insurance Carrier Org ID]],B302),2))</f>
        <v>TRUE</v>
      </c>
      <c r="K302" s="533" t="str">
        <f>IF(ROUND(F302,0)=ROUND(SUMIFS(AN_TME_BY[[#All],[TOTAL Non-Truncated Unadjusted Claims Expenses]], AN_TME_BY[[#All],[Insurance Category Code]],5, AN_TME_BY[[#All],[Advanced Network/Insurance Carrier Org ID]],B302),0), "TRUE", ROUND(F302-SUMIFS(AN_TME_BY[[#All],[TOTAL Non-Truncated Unadjusted Claims Expenses]], AN_TME_BY[[#All],[Insurance Category Code]],5, AN_TME_BY[[#All],[Advanced Network/Insurance Carrier Org ID]],B302),2))</f>
        <v>TRUE</v>
      </c>
      <c r="L302" s="534" t="str">
        <f>IF(ROUND(G302,0)=ROUND(SUMIFS(AN_TME_BY[[#All],[TOTAL Truncated Unadjusted Claims Expenses (A21 -A19)]], AN_TME_BY[[#All],[Insurance Category Code]],5, AN_TME_BY[[#All],[Advanced Network/Insurance Carrier Org ID]],B302),0), "TRUE", ROUND(G302-SUMIFS(AN_TME_BY[[#All],[TOTAL Truncated Unadjusted Claims Expenses (A21 -A19)]], AN_TME_BY[[#All],[Insurance Category Code]],5, AN_TME_BY[[#All],[Advanced Network/Insurance Carrier Org ID]],B302),2))</f>
        <v>TRUE</v>
      </c>
      <c r="M302" s="525" t="str">
        <f t="shared" si="35"/>
        <v>TRUE</v>
      </c>
      <c r="N302" s="533" t="b">
        <f>ROUND(SUMIFS(AN_TME_BY[[#All],[TOTAL Non-Truncated Unadjusted Claims Expenses]], AN_TME_BY[[#All],[Insurance Category Code]],5, AN_TME_BY[[#All],[Advanced Network/Insurance Carrier Org ID]],B302),2)&gt;=ROUND(SUMIFS(AN_TME_BY[[#All],[TOTAL Truncated Unadjusted Claims Expenses (A21 -A19)]], AN_TME_BY[[#All],[Insurance Category Code]],5, AN_TME_BY[[#All],[Advanced Network/Insurance Carrier Org ID]],B302),2)</f>
        <v>1</v>
      </c>
      <c r="O302" s="534" t="b">
        <f>ROUND(SUMIFS(AN_TME_BY[[#All],[TOTAL Truncated Unadjusted Claims Expenses (A21 -A19)]], AN_TME_BY[[#All],[Insurance Category Code]],5, AN_TME_BY[[#All],[Advanced Network/Insurance Carrier Org ID]],B302)+SUMIFS(AN_TME_BY[[#All],[Total Claims Excluded because of Truncation]], AN_TME_BY[[#All],[Insurance Category Code]],5, AN_TME_BY[[#All],[Advanced Network/Insurance Carrier Org ID]],B302),2)=ROUND(SUMIFS(AN_TME_BY[[#All],[TOTAL Non-Truncated Unadjusted Claims Expenses]], AN_TME_BY[[#All],[Insurance Category Code]],5, AN_TME_BY[[#All],[Advanced Network/Insurance Carrier Org ID]],B302),2)</f>
        <v>1</v>
      </c>
      <c r="Q302" s="216">
        <v>123</v>
      </c>
      <c r="R302" s="404">
        <f>ROUND(SUMIFS(Age_Sex_PY[[#All],[Total Member Months by Age/Sex Band]], Age_Sex_PY[[#All],[Advanced Network ID]], $Q302, Age_Sex_PY[[#All],[Insurance Category Code]],5),2)</f>
        <v>0</v>
      </c>
      <c r="S302" s="238">
        <f>ROUND(SUMIFS(Age_Sex_PY[[#All],[Total Dollars Excluded from Spending After Applying Truncation at the Member Level]], Age_Sex_PY[[#All],[Advanced Network ID]], $B302, Age_Sex_PY[[#All],[Insurance Category Code]],5),2)</f>
        <v>0</v>
      </c>
      <c r="T302" s="209">
        <f>ROUND(SUMIFS(Age_Sex_PY[[#All],[Count of Members whose Spending was Truncated]], Age_Sex_PY[[#All],[Advanced Network ID]], $B302, Age_Sex_PY[[#All],[Insurance Category Code]],5),2)</f>
        <v>0</v>
      </c>
      <c r="U302" s="210">
        <f>ROUND(SUMIFS(Age_Sex_PY[[#All],[Total Spending before Truncation is Applied]], Age_Sex_PY[[#All],[Advanced Network ID]], $B302, Age_Sex_PY[[#All],[Insurance Category Code]],5), 2)</f>
        <v>0</v>
      </c>
      <c r="V302" s="212">
        <f>ROUND(SUMIFS(Age_Sex_PY[[#All],[Total Spending After Applying Truncation at the Member Level]], Age_Sex_PY[[#All],[Advanced Network ID]], $B302, Age_Sex_PY[[#All],[Insurance Category Code]],5),2)</f>
        <v>0</v>
      </c>
      <c r="W302" s="525" t="str">
        <f>IF(ROUND(R302,0)=ROUND(SUMIFS(AN_TME_PY[[#All],[Member Months]], AN_TME_PY[[#All],[Insurance Category Code]],5, AN_TME_PY[[#All],[Advanced Network/Insurance Carrier Org ID]],Q302),0), "TRUE", ROUND(R302-SUMIFS(AN_TME_PY[[#All],[Member Months]], AN_TME_PY[[#All],[Insurance Category Code]],5, AN_TME_PY[[#All],[Advanced Network/Insurance Carrier Org ID]],Q302),2))</f>
        <v>TRUE</v>
      </c>
      <c r="X302" s="527" t="str">
        <f>IF(ROUND(S302,0)=ROUND(SUMIFS(AN_TME_PY[[#All],[Total Claims Excluded because of Truncation]], AN_TME_PY[[#All],[Insurance Category Code]],5, AN_TME_PY[[#All],[Advanced Network/Insurance Carrier Org ID]],Q302),0), "TRUE", ROUND(S302-SUMIFS(AN_TME_PY[[#All],[Total Claims Excluded because of Truncation]], AN_TME_PY[[#All],[Insurance Category Code]],5, AN_TME_PY[[#All],[Advanced Network/Insurance Carrier Org ID]],Q302),2))</f>
        <v>TRUE</v>
      </c>
      <c r="Y302" s="537" t="str">
        <f>IF(ROUND(T302,0)=ROUND(SUMIFS(AN_TME_PY[[#All],[Count of Members with Claims Truncated]], AN_TME_PY[[#All],[Insurance Category Code]],5, AN_TME_PY[[#All],[Advanced Network/Insurance Carrier Org ID]],Q302),0), "TRUE", ROUND(T302-SUMIFS(AN_TME_PY[[#All],[Count of Members with Claims Truncated]], AN_TME_PY[[#All],[Insurance Category Code]],5, AN_TME_PY[[#All],[Advanced Network/Insurance Carrier Org ID]],Q302),2))</f>
        <v>TRUE</v>
      </c>
      <c r="Z302" s="528" t="str">
        <f>IF(ROUND(U302,0)=ROUND(SUMIFS(AN_TME_PY[[#All],[TOTAL Non-Truncated Unadjusted Claims Expenses]], AN_TME_PY[[#All],[Insurance Category Code]],5, AN_TME_PY[[#All],[Advanced Network/Insurance Carrier Org ID]],Q302),0), "TRUE", ROUND(U302-SUMIFS(AN_TME_PY[[#All],[TOTAL Non-Truncated Unadjusted Claims Expenses]], AN_TME_PY[[#All],[Insurance Category Code]],5, AN_TME_PY[[#All],[Advanced Network/Insurance Carrier Org ID]],Q302),2))</f>
        <v>TRUE</v>
      </c>
      <c r="AA302" s="529" t="str">
        <f>IF(ROUND(V302,0)=ROUND(SUMIFS(AN_TME_PY[[#All],[TOTAL Truncated Unadjusted Claims Expenses (A21 -A19)]], AN_TME_PY[[#All],[Insurance Category Code]],5, AN_TME_PY[[#All],[Advanced Network/Insurance Carrier Org ID]],Q302),0), "TRUE", ROUND(V302-SUMIFS(AN_TME_PY[[#All],[TOTAL Truncated Unadjusted Claims Expenses (A21 -A19)]], AN_TME_PY[[#All],[Insurance Category Code]],5, AN_TME_PY[[#All],[Advanced Network/Insurance Carrier Org ID]],Q302),2))</f>
        <v>TRUE</v>
      </c>
      <c r="AB302" s="525" t="str">
        <f t="shared" si="38"/>
        <v>TRUE</v>
      </c>
      <c r="AC302" s="528" t="b">
        <f>ROUND(SUMIFS(AN_TME_PY[[#All],[TOTAL Non-Truncated Unadjusted Claims Expenses]], AN_TME_PY[[#All],[Insurance Category Code]],5, AN_TME_PY[[#All],[Advanced Network/Insurance Carrier Org ID]],Q302),2)&gt;=ROUND(SUMIFS(AN_TME_PY[[#All],[TOTAL Truncated Unadjusted Claims Expenses (A21 -A19)]], AN_TME_PY[[#All],[Insurance Category Code]],5, AN_TME_PY[[#All],[Advanced Network/Insurance Carrier Org ID]],Q302),2)</f>
        <v>1</v>
      </c>
      <c r="AD302" s="529" t="b">
        <f>ROUND(SUMIFS(AN_TME_PY[[#All],[TOTAL Truncated Unadjusted Claims Expenses (A21 -A19)]], AN_TME_PY[[#All],[Insurance Category Code]],5, AN_TME_PY[[#All],[Advanced Network/Insurance Carrier Org ID]],Q302)+SUMIFS(AN_TME_PY[[#All],[Total Claims Excluded because of Truncation]], AN_TME_PY[[#All],[Insurance Category Code]],5, AN_TME_PY[[#All],[Advanced Network/Insurance Carrier Org ID]],Q302),2)=ROUND(SUMIFS(AN_TME_PY[[#All],[TOTAL Non-Truncated Unadjusted Claims Expenses]], AN_TME_PY[[#All],[Insurance Category Code]],5, AN_TME_PY[[#All],[Advanced Network/Insurance Carrier Org ID]],Q302),2)</f>
        <v>1</v>
      </c>
      <c r="AF302" s="283" t="str">
        <f t="shared" si="37"/>
        <v>NA</v>
      </c>
    </row>
    <row r="303" spans="2:32" outlineLevel="1" x14ac:dyDescent="0.25">
      <c r="B303" s="216">
        <v>124</v>
      </c>
      <c r="C303" s="404">
        <f>ROUND(SUMIFS(Age_Sex_BY[[#All],[Total Member Months by Age/Sex Band]], Age_Sex_BY[[#All],[Advanced Network ID]], $B303, Age_Sex_BY[[#All],[Insurance Category Code]],5),2)</f>
        <v>0</v>
      </c>
      <c r="D303" s="238">
        <f>ROUND(SUMIFS(Age_Sex_BY[[#All],[Total Dollars Excluded from Spending After Applying Truncation at the Member Level]], Age_Sex_BY[[#All],[Advanced Network ID]], $B303, Age_Sex_BY[[#All],[Insurance Category Code]],5),2)</f>
        <v>0</v>
      </c>
      <c r="E303" s="209">
        <f>ROUND(SUMIFS(Age_Sex_BY[[#All],[Count of Members whose Spending was Truncated]], Age_Sex_BY[[#All],[Advanced Network ID]], $B303, Age_Sex_BY[[#All],[Insurance Category Code]],5),2)</f>
        <v>0</v>
      </c>
      <c r="F303" s="210">
        <f>ROUND(SUMIFS(Age_Sex_BY[[#All],[Total Spending before Truncation is Applied]], Age_Sex_BY[[#All],[Advanced Network ID]], $B303, Age_Sex_BY[[#All],[Insurance Category Code]],5),2)</f>
        <v>0</v>
      </c>
      <c r="G303" s="212">
        <f>ROUND(SUMIFS(Age_Sex_BY[[#All],[Total Spending After Applying Truncation at the Member Level]], Age_Sex_BY[[#All],[Advanced Network ID]], $B303, Age_Sex_BY[[#All],[Insurance Category Code]],5), 2)</f>
        <v>0</v>
      </c>
      <c r="H303" s="525" t="str">
        <f>IF(ROUND(C303,0)=ROUND(SUMIFS(AN_TME_BY[[#All],[Member Months]], AN_TME_BY[[#All],[Insurance Category Code]],5, AN_TME_BY[[#All],[Advanced Network/Insurance Carrier Org ID]],B303),0), "TRUE", ROUND(C303-SUMIFS(AN_TME_BY[[#All],[Member Months]], AN_TME_BY[[#All],[Insurance Category Code]],5, AN_TME_BY[[#All],[Advanced Network/Insurance Carrier Org ID]],B303),2))</f>
        <v>TRUE</v>
      </c>
      <c r="I303" s="533" t="str">
        <f>IF(ROUND(D303,0)=ROUND(SUMIFS(AN_TME_BY[[#All],[Total Claims Excluded because of Truncation]], AN_TME_BY[[#All],[Insurance Category Code]],5, AN_TME_BY[[#All],[Advanced Network/Insurance Carrier Org ID]],B303),0), "TRUE", ROUND(D303-SUMIFS(AN_TME_BY[[#All],[Total Claims Excluded because of Truncation]], AN_TME_BY[[#All],[Insurance Category Code]],5, AN_TME_BY[[#All],[Advanced Network/Insurance Carrier Org ID]],B303),2))</f>
        <v>TRUE</v>
      </c>
      <c r="J303" s="537" t="str">
        <f>IF(ROUND(E303,0)=ROUND(SUMIFS(AN_TME_BY[[#All],[Count of Members with Claims Truncated]], AN_TME_BY[[#All],[Insurance Category Code]],5, AN_TME_BY[[#All],[Advanced Network/Insurance Carrier Org ID]],B303),0), "TRUE", ROUND(E303-SUMIFS(AN_TME_BY[[#All],[Count of Members with Claims Truncated]], AN_TME_BY[[#All],[Insurance Category Code]],5, AN_TME_BY[[#All],[Advanced Network/Insurance Carrier Org ID]],B303),2))</f>
        <v>TRUE</v>
      </c>
      <c r="K303" s="533" t="str">
        <f>IF(ROUND(F303,0)=ROUND(SUMIFS(AN_TME_BY[[#All],[TOTAL Non-Truncated Unadjusted Claims Expenses]], AN_TME_BY[[#All],[Insurance Category Code]],5, AN_TME_BY[[#All],[Advanced Network/Insurance Carrier Org ID]],B303),0), "TRUE", ROUND(F303-SUMIFS(AN_TME_BY[[#All],[TOTAL Non-Truncated Unadjusted Claims Expenses]], AN_TME_BY[[#All],[Insurance Category Code]],5, AN_TME_BY[[#All],[Advanced Network/Insurance Carrier Org ID]],B303),2))</f>
        <v>TRUE</v>
      </c>
      <c r="L303" s="534" t="str">
        <f>IF(ROUND(G303,0)=ROUND(SUMIFS(AN_TME_BY[[#All],[TOTAL Truncated Unadjusted Claims Expenses (A21 -A19)]], AN_TME_BY[[#All],[Insurance Category Code]],5, AN_TME_BY[[#All],[Advanced Network/Insurance Carrier Org ID]],B303),0), "TRUE", ROUND(G303-SUMIFS(AN_TME_BY[[#All],[TOTAL Truncated Unadjusted Claims Expenses (A21 -A19)]], AN_TME_BY[[#All],[Insurance Category Code]],5, AN_TME_BY[[#All],[Advanced Network/Insurance Carrier Org ID]],B303),2))</f>
        <v>TRUE</v>
      </c>
      <c r="M303" s="525" t="str">
        <f t="shared" si="35"/>
        <v>TRUE</v>
      </c>
      <c r="N303" s="533" t="b">
        <f>ROUND(SUMIFS(AN_TME_BY[[#All],[TOTAL Non-Truncated Unadjusted Claims Expenses]], AN_TME_BY[[#All],[Insurance Category Code]],5, AN_TME_BY[[#All],[Advanced Network/Insurance Carrier Org ID]],B303),2)&gt;=ROUND(SUMIFS(AN_TME_BY[[#All],[TOTAL Truncated Unadjusted Claims Expenses (A21 -A19)]], AN_TME_BY[[#All],[Insurance Category Code]],5, AN_TME_BY[[#All],[Advanced Network/Insurance Carrier Org ID]],B303),2)</f>
        <v>1</v>
      </c>
      <c r="O303" s="534" t="b">
        <f>ROUND(SUMIFS(AN_TME_BY[[#All],[TOTAL Truncated Unadjusted Claims Expenses (A21 -A19)]], AN_TME_BY[[#All],[Insurance Category Code]],5, AN_TME_BY[[#All],[Advanced Network/Insurance Carrier Org ID]],B303)+SUMIFS(AN_TME_BY[[#All],[Total Claims Excluded because of Truncation]], AN_TME_BY[[#All],[Insurance Category Code]],5, AN_TME_BY[[#All],[Advanced Network/Insurance Carrier Org ID]],B303),2)=ROUND(SUMIFS(AN_TME_BY[[#All],[TOTAL Non-Truncated Unadjusted Claims Expenses]], AN_TME_BY[[#All],[Insurance Category Code]],5, AN_TME_BY[[#All],[Advanced Network/Insurance Carrier Org ID]],B303),2)</f>
        <v>1</v>
      </c>
      <c r="Q303" s="216">
        <v>124</v>
      </c>
      <c r="R303" s="404">
        <f>ROUND(SUMIFS(Age_Sex_PY[[#All],[Total Member Months by Age/Sex Band]], Age_Sex_PY[[#All],[Advanced Network ID]], $Q303, Age_Sex_PY[[#All],[Insurance Category Code]],5),2)</f>
        <v>0</v>
      </c>
      <c r="S303" s="238">
        <f>ROUND(SUMIFS(Age_Sex_PY[[#All],[Total Dollars Excluded from Spending After Applying Truncation at the Member Level]], Age_Sex_PY[[#All],[Advanced Network ID]], $B303, Age_Sex_PY[[#All],[Insurance Category Code]],5),2)</f>
        <v>0</v>
      </c>
      <c r="T303" s="209">
        <f>ROUND(SUMIFS(Age_Sex_PY[[#All],[Count of Members whose Spending was Truncated]], Age_Sex_PY[[#All],[Advanced Network ID]], $B303, Age_Sex_PY[[#All],[Insurance Category Code]],5),2)</f>
        <v>0</v>
      </c>
      <c r="U303" s="210">
        <f>ROUND(SUMIFS(Age_Sex_PY[[#All],[Total Spending before Truncation is Applied]], Age_Sex_PY[[#All],[Advanced Network ID]], $B303, Age_Sex_PY[[#All],[Insurance Category Code]],5), 2)</f>
        <v>0</v>
      </c>
      <c r="V303" s="212">
        <f>ROUND(SUMIFS(Age_Sex_PY[[#All],[Total Spending After Applying Truncation at the Member Level]], Age_Sex_PY[[#All],[Advanced Network ID]], $B303, Age_Sex_PY[[#All],[Insurance Category Code]],5),2)</f>
        <v>0</v>
      </c>
      <c r="W303" s="525" t="str">
        <f>IF(ROUND(R303,0)=ROUND(SUMIFS(AN_TME_PY[[#All],[Member Months]], AN_TME_PY[[#All],[Insurance Category Code]],5, AN_TME_PY[[#All],[Advanced Network/Insurance Carrier Org ID]],Q303),0), "TRUE", ROUND(R303-SUMIFS(AN_TME_PY[[#All],[Member Months]], AN_TME_PY[[#All],[Insurance Category Code]],5, AN_TME_PY[[#All],[Advanced Network/Insurance Carrier Org ID]],Q303),2))</f>
        <v>TRUE</v>
      </c>
      <c r="X303" s="527" t="str">
        <f>IF(ROUND(S303,0)=ROUND(SUMIFS(AN_TME_PY[[#All],[Total Claims Excluded because of Truncation]], AN_TME_PY[[#All],[Insurance Category Code]],5, AN_TME_PY[[#All],[Advanced Network/Insurance Carrier Org ID]],Q303),0), "TRUE", ROUND(S303-SUMIFS(AN_TME_PY[[#All],[Total Claims Excluded because of Truncation]], AN_TME_PY[[#All],[Insurance Category Code]],5, AN_TME_PY[[#All],[Advanced Network/Insurance Carrier Org ID]],Q303),2))</f>
        <v>TRUE</v>
      </c>
      <c r="Y303" s="537" t="str">
        <f>IF(ROUND(T303,0)=ROUND(SUMIFS(AN_TME_PY[[#All],[Count of Members with Claims Truncated]], AN_TME_PY[[#All],[Insurance Category Code]],5, AN_TME_PY[[#All],[Advanced Network/Insurance Carrier Org ID]],Q303),0), "TRUE", ROUND(T303-SUMIFS(AN_TME_PY[[#All],[Count of Members with Claims Truncated]], AN_TME_PY[[#All],[Insurance Category Code]],5, AN_TME_PY[[#All],[Advanced Network/Insurance Carrier Org ID]],Q303),2))</f>
        <v>TRUE</v>
      </c>
      <c r="Z303" s="528" t="str">
        <f>IF(ROUND(U303,0)=ROUND(SUMIFS(AN_TME_PY[[#All],[TOTAL Non-Truncated Unadjusted Claims Expenses]], AN_TME_PY[[#All],[Insurance Category Code]],5, AN_TME_PY[[#All],[Advanced Network/Insurance Carrier Org ID]],Q303),0), "TRUE", ROUND(U303-SUMIFS(AN_TME_PY[[#All],[TOTAL Non-Truncated Unadjusted Claims Expenses]], AN_TME_PY[[#All],[Insurance Category Code]],5, AN_TME_PY[[#All],[Advanced Network/Insurance Carrier Org ID]],Q303),2))</f>
        <v>TRUE</v>
      </c>
      <c r="AA303" s="529" t="str">
        <f>IF(ROUND(V303,0)=ROUND(SUMIFS(AN_TME_PY[[#All],[TOTAL Truncated Unadjusted Claims Expenses (A21 -A19)]], AN_TME_PY[[#All],[Insurance Category Code]],5, AN_TME_PY[[#All],[Advanced Network/Insurance Carrier Org ID]],Q303),0), "TRUE", ROUND(V303-SUMIFS(AN_TME_PY[[#All],[TOTAL Truncated Unadjusted Claims Expenses (A21 -A19)]], AN_TME_PY[[#All],[Insurance Category Code]],5, AN_TME_PY[[#All],[Advanced Network/Insurance Carrier Org ID]],Q303),2))</f>
        <v>TRUE</v>
      </c>
      <c r="AB303" s="525" t="str">
        <f t="shared" si="38"/>
        <v>TRUE</v>
      </c>
      <c r="AC303" s="528" t="b">
        <f>ROUND(SUMIFS(AN_TME_PY[[#All],[TOTAL Non-Truncated Unadjusted Claims Expenses]], AN_TME_PY[[#All],[Insurance Category Code]],5, AN_TME_PY[[#All],[Advanced Network/Insurance Carrier Org ID]],Q303),2)&gt;=ROUND(SUMIFS(AN_TME_PY[[#All],[TOTAL Truncated Unadjusted Claims Expenses (A21 -A19)]], AN_TME_PY[[#All],[Insurance Category Code]],5, AN_TME_PY[[#All],[Advanced Network/Insurance Carrier Org ID]],Q303),2)</f>
        <v>1</v>
      </c>
      <c r="AD303" s="529" t="b">
        <f>ROUND(SUMIFS(AN_TME_PY[[#All],[TOTAL Truncated Unadjusted Claims Expenses (A21 -A19)]], AN_TME_PY[[#All],[Insurance Category Code]],5, AN_TME_PY[[#All],[Advanced Network/Insurance Carrier Org ID]],Q303)+SUMIFS(AN_TME_PY[[#All],[Total Claims Excluded because of Truncation]], AN_TME_PY[[#All],[Insurance Category Code]],5, AN_TME_PY[[#All],[Advanced Network/Insurance Carrier Org ID]],Q303),2)=ROUND(SUMIFS(AN_TME_PY[[#All],[TOTAL Non-Truncated Unadjusted Claims Expenses]], AN_TME_PY[[#All],[Insurance Category Code]],5, AN_TME_PY[[#All],[Advanced Network/Insurance Carrier Org ID]],Q303),2)</f>
        <v>1</v>
      </c>
      <c r="AF303" s="283" t="str">
        <f t="shared" si="37"/>
        <v>NA</v>
      </c>
    </row>
    <row r="304" spans="2:32" outlineLevel="1" x14ac:dyDescent="0.25">
      <c r="B304" s="216">
        <v>125</v>
      </c>
      <c r="C304" s="404">
        <f>ROUND(SUMIFS(Age_Sex_BY[[#All],[Total Member Months by Age/Sex Band]], Age_Sex_BY[[#All],[Advanced Network ID]], $B304, Age_Sex_BY[[#All],[Insurance Category Code]],5),2)</f>
        <v>0</v>
      </c>
      <c r="D304" s="238">
        <f>ROUND(SUMIFS(Age_Sex_BY[[#All],[Total Dollars Excluded from Spending After Applying Truncation at the Member Level]], Age_Sex_BY[[#All],[Advanced Network ID]], $B304, Age_Sex_BY[[#All],[Insurance Category Code]],5),2)</f>
        <v>0</v>
      </c>
      <c r="E304" s="209">
        <f>ROUND(SUMIFS(Age_Sex_BY[[#All],[Count of Members whose Spending was Truncated]], Age_Sex_BY[[#All],[Advanced Network ID]], $B304, Age_Sex_BY[[#All],[Insurance Category Code]],5),2)</f>
        <v>0</v>
      </c>
      <c r="F304" s="210">
        <f>ROUND(SUMIFS(Age_Sex_BY[[#All],[Total Spending before Truncation is Applied]], Age_Sex_BY[[#All],[Advanced Network ID]], $B304, Age_Sex_BY[[#All],[Insurance Category Code]],5),2)</f>
        <v>0</v>
      </c>
      <c r="G304" s="212">
        <f>ROUND(SUMIFS(Age_Sex_BY[[#All],[Total Spending After Applying Truncation at the Member Level]], Age_Sex_BY[[#All],[Advanced Network ID]], $B304, Age_Sex_BY[[#All],[Insurance Category Code]],5), 2)</f>
        <v>0</v>
      </c>
      <c r="H304" s="525" t="str">
        <f>IF(ROUND(C304,0)=ROUND(SUMIFS(AN_TME_BY[[#All],[Member Months]], AN_TME_BY[[#All],[Insurance Category Code]],5, AN_TME_BY[[#All],[Advanced Network/Insurance Carrier Org ID]],B304),0), "TRUE", ROUND(C304-SUMIFS(AN_TME_BY[[#All],[Member Months]], AN_TME_BY[[#All],[Insurance Category Code]],5, AN_TME_BY[[#All],[Advanced Network/Insurance Carrier Org ID]],B304),2))</f>
        <v>TRUE</v>
      </c>
      <c r="I304" s="533" t="str">
        <f>IF(ROUND(D304,0)=ROUND(SUMIFS(AN_TME_BY[[#All],[Total Claims Excluded because of Truncation]], AN_TME_BY[[#All],[Insurance Category Code]],5, AN_TME_BY[[#All],[Advanced Network/Insurance Carrier Org ID]],B304),0), "TRUE", ROUND(D304-SUMIFS(AN_TME_BY[[#All],[Total Claims Excluded because of Truncation]], AN_TME_BY[[#All],[Insurance Category Code]],5, AN_TME_BY[[#All],[Advanced Network/Insurance Carrier Org ID]],B304),2))</f>
        <v>TRUE</v>
      </c>
      <c r="J304" s="537" t="str">
        <f>IF(ROUND(E304,0)=ROUND(SUMIFS(AN_TME_BY[[#All],[Count of Members with Claims Truncated]], AN_TME_BY[[#All],[Insurance Category Code]],5, AN_TME_BY[[#All],[Advanced Network/Insurance Carrier Org ID]],B304),0), "TRUE", ROUND(E304-SUMIFS(AN_TME_BY[[#All],[Count of Members with Claims Truncated]], AN_TME_BY[[#All],[Insurance Category Code]],5, AN_TME_BY[[#All],[Advanced Network/Insurance Carrier Org ID]],B304),2))</f>
        <v>TRUE</v>
      </c>
      <c r="K304" s="533" t="str">
        <f>IF(ROUND(F304,0)=ROUND(SUMIFS(AN_TME_BY[[#All],[TOTAL Non-Truncated Unadjusted Claims Expenses]], AN_TME_BY[[#All],[Insurance Category Code]],5, AN_TME_BY[[#All],[Advanced Network/Insurance Carrier Org ID]],B304),0), "TRUE", ROUND(F304-SUMIFS(AN_TME_BY[[#All],[TOTAL Non-Truncated Unadjusted Claims Expenses]], AN_TME_BY[[#All],[Insurance Category Code]],5, AN_TME_BY[[#All],[Advanced Network/Insurance Carrier Org ID]],B304),2))</f>
        <v>TRUE</v>
      </c>
      <c r="L304" s="534" t="str">
        <f>IF(ROUND(G304,0)=ROUND(SUMIFS(AN_TME_BY[[#All],[TOTAL Truncated Unadjusted Claims Expenses (A21 -A19)]], AN_TME_BY[[#All],[Insurance Category Code]],5, AN_TME_BY[[#All],[Advanced Network/Insurance Carrier Org ID]],B304),0), "TRUE", ROUND(G304-SUMIFS(AN_TME_BY[[#All],[TOTAL Truncated Unadjusted Claims Expenses (A21 -A19)]], AN_TME_BY[[#All],[Insurance Category Code]],5, AN_TME_BY[[#All],[Advanced Network/Insurance Carrier Org ID]],B304),2))</f>
        <v>TRUE</v>
      </c>
      <c r="M304" s="525" t="str">
        <f t="shared" si="35"/>
        <v>TRUE</v>
      </c>
      <c r="N304" s="533" t="b">
        <f>ROUND(SUMIFS(AN_TME_BY[[#All],[TOTAL Non-Truncated Unadjusted Claims Expenses]], AN_TME_BY[[#All],[Insurance Category Code]],5, AN_TME_BY[[#All],[Advanced Network/Insurance Carrier Org ID]],B304),2)&gt;=ROUND(SUMIFS(AN_TME_BY[[#All],[TOTAL Truncated Unadjusted Claims Expenses (A21 -A19)]], AN_TME_BY[[#All],[Insurance Category Code]],5, AN_TME_BY[[#All],[Advanced Network/Insurance Carrier Org ID]],B304),2)</f>
        <v>1</v>
      </c>
      <c r="O304" s="534" t="b">
        <f>ROUND(SUMIFS(AN_TME_BY[[#All],[TOTAL Truncated Unadjusted Claims Expenses (A21 -A19)]], AN_TME_BY[[#All],[Insurance Category Code]],5, AN_TME_BY[[#All],[Advanced Network/Insurance Carrier Org ID]],B304)+SUMIFS(AN_TME_BY[[#All],[Total Claims Excluded because of Truncation]], AN_TME_BY[[#All],[Insurance Category Code]],5, AN_TME_BY[[#All],[Advanced Network/Insurance Carrier Org ID]],B304),2)=ROUND(SUMIFS(AN_TME_BY[[#All],[TOTAL Non-Truncated Unadjusted Claims Expenses]], AN_TME_BY[[#All],[Insurance Category Code]],5, AN_TME_BY[[#All],[Advanced Network/Insurance Carrier Org ID]],B304),2)</f>
        <v>1</v>
      </c>
      <c r="Q304" s="216">
        <v>125</v>
      </c>
      <c r="R304" s="404">
        <f>ROUND(SUMIFS(Age_Sex_PY[[#All],[Total Member Months by Age/Sex Band]], Age_Sex_PY[[#All],[Advanced Network ID]], $Q304, Age_Sex_PY[[#All],[Insurance Category Code]],5),2)</f>
        <v>0</v>
      </c>
      <c r="S304" s="238">
        <f>ROUND(SUMIFS(Age_Sex_PY[[#All],[Total Dollars Excluded from Spending After Applying Truncation at the Member Level]], Age_Sex_PY[[#All],[Advanced Network ID]], $B304, Age_Sex_PY[[#All],[Insurance Category Code]],5),2)</f>
        <v>0</v>
      </c>
      <c r="T304" s="209">
        <f>ROUND(SUMIFS(Age_Sex_PY[[#All],[Count of Members whose Spending was Truncated]], Age_Sex_PY[[#All],[Advanced Network ID]], $B304, Age_Sex_PY[[#All],[Insurance Category Code]],5),2)</f>
        <v>0</v>
      </c>
      <c r="U304" s="210">
        <f>ROUND(SUMIFS(Age_Sex_PY[[#All],[Total Spending before Truncation is Applied]], Age_Sex_PY[[#All],[Advanced Network ID]], $B304, Age_Sex_PY[[#All],[Insurance Category Code]],5), 2)</f>
        <v>0</v>
      </c>
      <c r="V304" s="212">
        <f>ROUND(SUMIFS(Age_Sex_PY[[#All],[Total Spending After Applying Truncation at the Member Level]], Age_Sex_PY[[#All],[Advanced Network ID]], $B304, Age_Sex_PY[[#All],[Insurance Category Code]],5),2)</f>
        <v>0</v>
      </c>
      <c r="W304" s="525" t="str">
        <f>IF(ROUND(R304,0)=ROUND(SUMIFS(AN_TME_PY[[#All],[Member Months]], AN_TME_PY[[#All],[Insurance Category Code]],5, AN_TME_PY[[#All],[Advanced Network/Insurance Carrier Org ID]],Q304),0), "TRUE", ROUND(R304-SUMIFS(AN_TME_PY[[#All],[Member Months]], AN_TME_PY[[#All],[Insurance Category Code]],5, AN_TME_PY[[#All],[Advanced Network/Insurance Carrier Org ID]],Q304),2))</f>
        <v>TRUE</v>
      </c>
      <c r="X304" s="527" t="str">
        <f>IF(ROUND(S304,0)=ROUND(SUMIFS(AN_TME_PY[[#All],[Total Claims Excluded because of Truncation]], AN_TME_PY[[#All],[Insurance Category Code]],5, AN_TME_PY[[#All],[Advanced Network/Insurance Carrier Org ID]],Q304),0), "TRUE", ROUND(S304-SUMIFS(AN_TME_PY[[#All],[Total Claims Excluded because of Truncation]], AN_TME_PY[[#All],[Insurance Category Code]],5, AN_TME_PY[[#All],[Advanced Network/Insurance Carrier Org ID]],Q304),2))</f>
        <v>TRUE</v>
      </c>
      <c r="Y304" s="537" t="str">
        <f>IF(ROUND(T304,0)=ROUND(SUMIFS(AN_TME_PY[[#All],[Count of Members with Claims Truncated]], AN_TME_PY[[#All],[Insurance Category Code]],5, AN_TME_PY[[#All],[Advanced Network/Insurance Carrier Org ID]],Q304),0), "TRUE", ROUND(T304-SUMIFS(AN_TME_PY[[#All],[Count of Members with Claims Truncated]], AN_TME_PY[[#All],[Insurance Category Code]],5, AN_TME_PY[[#All],[Advanced Network/Insurance Carrier Org ID]],Q304),2))</f>
        <v>TRUE</v>
      </c>
      <c r="Z304" s="528" t="str">
        <f>IF(ROUND(U304,0)=ROUND(SUMIFS(AN_TME_PY[[#All],[TOTAL Non-Truncated Unadjusted Claims Expenses]], AN_TME_PY[[#All],[Insurance Category Code]],5, AN_TME_PY[[#All],[Advanced Network/Insurance Carrier Org ID]],Q304),0), "TRUE", ROUND(U304-SUMIFS(AN_TME_PY[[#All],[TOTAL Non-Truncated Unadjusted Claims Expenses]], AN_TME_PY[[#All],[Insurance Category Code]],5, AN_TME_PY[[#All],[Advanced Network/Insurance Carrier Org ID]],Q304),2))</f>
        <v>TRUE</v>
      </c>
      <c r="AA304" s="529" t="str">
        <f>IF(ROUND(V304,0)=ROUND(SUMIFS(AN_TME_PY[[#All],[TOTAL Truncated Unadjusted Claims Expenses (A21 -A19)]], AN_TME_PY[[#All],[Insurance Category Code]],5, AN_TME_PY[[#All],[Advanced Network/Insurance Carrier Org ID]],Q304),0), "TRUE", ROUND(V304-SUMIFS(AN_TME_PY[[#All],[TOTAL Truncated Unadjusted Claims Expenses (A21 -A19)]], AN_TME_PY[[#All],[Insurance Category Code]],5, AN_TME_PY[[#All],[Advanced Network/Insurance Carrier Org ID]],Q304),2))</f>
        <v>TRUE</v>
      </c>
      <c r="AB304" s="525" t="str">
        <f t="shared" si="38"/>
        <v>TRUE</v>
      </c>
      <c r="AC304" s="528" t="b">
        <f>ROUND(SUMIFS(AN_TME_PY[[#All],[TOTAL Non-Truncated Unadjusted Claims Expenses]], AN_TME_PY[[#All],[Insurance Category Code]],5, AN_TME_PY[[#All],[Advanced Network/Insurance Carrier Org ID]],Q304),2)&gt;=ROUND(SUMIFS(AN_TME_PY[[#All],[TOTAL Truncated Unadjusted Claims Expenses (A21 -A19)]], AN_TME_PY[[#All],[Insurance Category Code]],5, AN_TME_PY[[#All],[Advanced Network/Insurance Carrier Org ID]],Q304),2)</f>
        <v>1</v>
      </c>
      <c r="AD304" s="529" t="b">
        <f>ROUND(SUMIFS(AN_TME_PY[[#All],[TOTAL Truncated Unadjusted Claims Expenses (A21 -A19)]], AN_TME_PY[[#All],[Insurance Category Code]],5, AN_TME_PY[[#All],[Advanced Network/Insurance Carrier Org ID]],Q304)+SUMIFS(AN_TME_PY[[#All],[Total Claims Excluded because of Truncation]], AN_TME_PY[[#All],[Insurance Category Code]],5, AN_TME_PY[[#All],[Advanced Network/Insurance Carrier Org ID]],Q304),2)=ROUND(SUMIFS(AN_TME_PY[[#All],[TOTAL Non-Truncated Unadjusted Claims Expenses]], AN_TME_PY[[#All],[Insurance Category Code]],5, AN_TME_PY[[#All],[Advanced Network/Insurance Carrier Org ID]],Q304),2)</f>
        <v>1</v>
      </c>
      <c r="AF304" s="283" t="str">
        <f t="shared" si="37"/>
        <v>NA</v>
      </c>
    </row>
    <row r="305" spans="2:32" outlineLevel="1" x14ac:dyDescent="0.25">
      <c r="B305" s="216">
        <v>126</v>
      </c>
      <c r="C305" s="404">
        <f>ROUND(SUMIFS(Age_Sex_BY[[#All],[Total Member Months by Age/Sex Band]], Age_Sex_BY[[#All],[Advanced Network ID]], $B305, Age_Sex_BY[[#All],[Insurance Category Code]],5),2)</f>
        <v>0</v>
      </c>
      <c r="D305" s="238">
        <f>ROUND(SUMIFS(Age_Sex_BY[[#All],[Total Dollars Excluded from Spending After Applying Truncation at the Member Level]], Age_Sex_BY[[#All],[Advanced Network ID]], $B305, Age_Sex_BY[[#All],[Insurance Category Code]],5),2)</f>
        <v>0</v>
      </c>
      <c r="E305" s="209">
        <f>ROUND(SUMIFS(Age_Sex_BY[[#All],[Count of Members whose Spending was Truncated]], Age_Sex_BY[[#All],[Advanced Network ID]], $B305, Age_Sex_BY[[#All],[Insurance Category Code]],5),2)</f>
        <v>0</v>
      </c>
      <c r="F305" s="210">
        <f>ROUND(SUMIFS(Age_Sex_BY[[#All],[Total Spending before Truncation is Applied]], Age_Sex_BY[[#All],[Advanced Network ID]], $B305, Age_Sex_BY[[#All],[Insurance Category Code]],5),2)</f>
        <v>0</v>
      </c>
      <c r="G305" s="212">
        <f>ROUND(SUMIFS(Age_Sex_BY[[#All],[Total Spending After Applying Truncation at the Member Level]], Age_Sex_BY[[#All],[Advanced Network ID]], $B305, Age_Sex_BY[[#All],[Insurance Category Code]],5), 2)</f>
        <v>0</v>
      </c>
      <c r="H305" s="525" t="str">
        <f>IF(ROUND(C305,0)=ROUND(SUMIFS(AN_TME_BY[[#All],[Member Months]], AN_TME_BY[[#All],[Insurance Category Code]],5, AN_TME_BY[[#All],[Advanced Network/Insurance Carrier Org ID]],B305),0), "TRUE", ROUND(C305-SUMIFS(AN_TME_BY[[#All],[Member Months]], AN_TME_BY[[#All],[Insurance Category Code]],5, AN_TME_BY[[#All],[Advanced Network/Insurance Carrier Org ID]],B305),2))</f>
        <v>TRUE</v>
      </c>
      <c r="I305" s="533" t="str">
        <f>IF(ROUND(D305,0)=ROUND(SUMIFS(AN_TME_BY[[#All],[Total Claims Excluded because of Truncation]], AN_TME_BY[[#All],[Insurance Category Code]],5, AN_TME_BY[[#All],[Advanced Network/Insurance Carrier Org ID]],B305),0), "TRUE", ROUND(D305-SUMIFS(AN_TME_BY[[#All],[Total Claims Excluded because of Truncation]], AN_TME_BY[[#All],[Insurance Category Code]],5, AN_TME_BY[[#All],[Advanced Network/Insurance Carrier Org ID]],B305),2))</f>
        <v>TRUE</v>
      </c>
      <c r="J305" s="537" t="str">
        <f>IF(ROUND(E305,0)=ROUND(SUMIFS(AN_TME_BY[[#All],[Count of Members with Claims Truncated]], AN_TME_BY[[#All],[Insurance Category Code]],5, AN_TME_BY[[#All],[Advanced Network/Insurance Carrier Org ID]],B305),0), "TRUE", ROUND(E305-SUMIFS(AN_TME_BY[[#All],[Count of Members with Claims Truncated]], AN_TME_BY[[#All],[Insurance Category Code]],5, AN_TME_BY[[#All],[Advanced Network/Insurance Carrier Org ID]],B305),2))</f>
        <v>TRUE</v>
      </c>
      <c r="K305" s="533" t="str">
        <f>IF(ROUND(F305,0)=ROUND(SUMIFS(AN_TME_BY[[#All],[TOTAL Non-Truncated Unadjusted Claims Expenses]], AN_TME_BY[[#All],[Insurance Category Code]],5, AN_TME_BY[[#All],[Advanced Network/Insurance Carrier Org ID]],B305),0), "TRUE", ROUND(F305-SUMIFS(AN_TME_BY[[#All],[TOTAL Non-Truncated Unadjusted Claims Expenses]], AN_TME_BY[[#All],[Insurance Category Code]],5, AN_TME_BY[[#All],[Advanced Network/Insurance Carrier Org ID]],B305),2))</f>
        <v>TRUE</v>
      </c>
      <c r="L305" s="534" t="str">
        <f>IF(ROUND(G305,0)=ROUND(SUMIFS(AN_TME_BY[[#All],[TOTAL Truncated Unadjusted Claims Expenses (A21 -A19)]], AN_TME_BY[[#All],[Insurance Category Code]],5, AN_TME_BY[[#All],[Advanced Network/Insurance Carrier Org ID]],B305),0), "TRUE", ROUND(G305-SUMIFS(AN_TME_BY[[#All],[TOTAL Truncated Unadjusted Claims Expenses (A21 -A19)]], AN_TME_BY[[#All],[Insurance Category Code]],5, AN_TME_BY[[#All],[Advanced Network/Insurance Carrier Org ID]],B305),2))</f>
        <v>TRUE</v>
      </c>
      <c r="M305" s="525" t="str">
        <f t="shared" si="35"/>
        <v>TRUE</v>
      </c>
      <c r="N305" s="533" t="b">
        <f>ROUND(SUMIFS(AN_TME_BY[[#All],[TOTAL Non-Truncated Unadjusted Claims Expenses]], AN_TME_BY[[#All],[Insurance Category Code]],5, AN_TME_BY[[#All],[Advanced Network/Insurance Carrier Org ID]],B305),2)&gt;=ROUND(SUMIFS(AN_TME_BY[[#All],[TOTAL Truncated Unadjusted Claims Expenses (A21 -A19)]], AN_TME_BY[[#All],[Insurance Category Code]],5, AN_TME_BY[[#All],[Advanced Network/Insurance Carrier Org ID]],B305),2)</f>
        <v>1</v>
      </c>
      <c r="O305" s="534" t="b">
        <f>ROUND(SUMIFS(AN_TME_BY[[#All],[TOTAL Truncated Unadjusted Claims Expenses (A21 -A19)]], AN_TME_BY[[#All],[Insurance Category Code]],5, AN_TME_BY[[#All],[Advanced Network/Insurance Carrier Org ID]],B305)+SUMIFS(AN_TME_BY[[#All],[Total Claims Excluded because of Truncation]], AN_TME_BY[[#All],[Insurance Category Code]],5, AN_TME_BY[[#All],[Advanced Network/Insurance Carrier Org ID]],B305),2)=ROUND(SUMIFS(AN_TME_BY[[#All],[TOTAL Non-Truncated Unadjusted Claims Expenses]], AN_TME_BY[[#All],[Insurance Category Code]],5, AN_TME_BY[[#All],[Advanced Network/Insurance Carrier Org ID]],B305),2)</f>
        <v>1</v>
      </c>
      <c r="Q305" s="216">
        <v>126</v>
      </c>
      <c r="R305" s="404">
        <f>ROUND(SUMIFS(Age_Sex_PY[[#All],[Total Member Months by Age/Sex Band]], Age_Sex_PY[[#All],[Advanced Network ID]], $Q305, Age_Sex_PY[[#All],[Insurance Category Code]],5),2)</f>
        <v>0</v>
      </c>
      <c r="S305" s="238">
        <f>ROUND(SUMIFS(Age_Sex_PY[[#All],[Total Dollars Excluded from Spending After Applying Truncation at the Member Level]], Age_Sex_PY[[#All],[Advanced Network ID]], $B305, Age_Sex_PY[[#All],[Insurance Category Code]],5),2)</f>
        <v>0</v>
      </c>
      <c r="T305" s="209">
        <f>ROUND(SUMIFS(Age_Sex_PY[[#All],[Count of Members whose Spending was Truncated]], Age_Sex_PY[[#All],[Advanced Network ID]], $B305, Age_Sex_PY[[#All],[Insurance Category Code]],5),2)</f>
        <v>0</v>
      </c>
      <c r="U305" s="210">
        <f>ROUND(SUMIFS(Age_Sex_PY[[#All],[Total Spending before Truncation is Applied]], Age_Sex_PY[[#All],[Advanced Network ID]], $B305, Age_Sex_PY[[#All],[Insurance Category Code]],5), 2)</f>
        <v>0</v>
      </c>
      <c r="V305" s="212">
        <f>ROUND(SUMIFS(Age_Sex_PY[[#All],[Total Spending After Applying Truncation at the Member Level]], Age_Sex_PY[[#All],[Advanced Network ID]], $B305, Age_Sex_PY[[#All],[Insurance Category Code]],5),2)</f>
        <v>0</v>
      </c>
      <c r="W305" s="525" t="str">
        <f>IF(ROUND(R305,0)=ROUND(SUMIFS(AN_TME_PY[[#All],[Member Months]], AN_TME_PY[[#All],[Insurance Category Code]],5, AN_TME_PY[[#All],[Advanced Network/Insurance Carrier Org ID]],Q305),0), "TRUE", ROUND(R305-SUMIFS(AN_TME_PY[[#All],[Member Months]], AN_TME_PY[[#All],[Insurance Category Code]],5, AN_TME_PY[[#All],[Advanced Network/Insurance Carrier Org ID]],Q305),2))</f>
        <v>TRUE</v>
      </c>
      <c r="X305" s="527" t="str">
        <f>IF(ROUND(S305,0)=ROUND(SUMIFS(AN_TME_PY[[#All],[Total Claims Excluded because of Truncation]], AN_TME_PY[[#All],[Insurance Category Code]],5, AN_TME_PY[[#All],[Advanced Network/Insurance Carrier Org ID]],Q305),0), "TRUE", ROUND(S305-SUMIFS(AN_TME_PY[[#All],[Total Claims Excluded because of Truncation]], AN_TME_PY[[#All],[Insurance Category Code]],5, AN_TME_PY[[#All],[Advanced Network/Insurance Carrier Org ID]],Q305),2))</f>
        <v>TRUE</v>
      </c>
      <c r="Y305" s="537" t="str">
        <f>IF(ROUND(T305,0)=ROUND(SUMIFS(AN_TME_PY[[#All],[Count of Members with Claims Truncated]], AN_TME_PY[[#All],[Insurance Category Code]],5, AN_TME_PY[[#All],[Advanced Network/Insurance Carrier Org ID]],Q305),0), "TRUE", ROUND(T305-SUMIFS(AN_TME_PY[[#All],[Count of Members with Claims Truncated]], AN_TME_PY[[#All],[Insurance Category Code]],5, AN_TME_PY[[#All],[Advanced Network/Insurance Carrier Org ID]],Q305),2))</f>
        <v>TRUE</v>
      </c>
      <c r="Z305" s="528" t="str">
        <f>IF(ROUND(U305,0)=ROUND(SUMIFS(AN_TME_PY[[#All],[TOTAL Non-Truncated Unadjusted Claims Expenses]], AN_TME_PY[[#All],[Insurance Category Code]],5, AN_TME_PY[[#All],[Advanced Network/Insurance Carrier Org ID]],Q305),0), "TRUE", ROUND(U305-SUMIFS(AN_TME_PY[[#All],[TOTAL Non-Truncated Unadjusted Claims Expenses]], AN_TME_PY[[#All],[Insurance Category Code]],5, AN_TME_PY[[#All],[Advanced Network/Insurance Carrier Org ID]],Q305),2))</f>
        <v>TRUE</v>
      </c>
      <c r="AA305" s="529" t="str">
        <f>IF(ROUND(V305,0)=ROUND(SUMIFS(AN_TME_PY[[#All],[TOTAL Truncated Unadjusted Claims Expenses (A21 -A19)]], AN_TME_PY[[#All],[Insurance Category Code]],5, AN_TME_PY[[#All],[Advanced Network/Insurance Carrier Org ID]],Q305),0), "TRUE", ROUND(V305-SUMIFS(AN_TME_PY[[#All],[TOTAL Truncated Unadjusted Claims Expenses (A21 -A19)]], AN_TME_PY[[#All],[Insurance Category Code]],5, AN_TME_PY[[#All],[Advanced Network/Insurance Carrier Org ID]],Q305),2))</f>
        <v>TRUE</v>
      </c>
      <c r="AB305" s="525" t="str">
        <f t="shared" si="38"/>
        <v>TRUE</v>
      </c>
      <c r="AC305" s="528" t="b">
        <f>ROUND(SUMIFS(AN_TME_PY[[#All],[TOTAL Non-Truncated Unadjusted Claims Expenses]], AN_TME_PY[[#All],[Insurance Category Code]],5, AN_TME_PY[[#All],[Advanced Network/Insurance Carrier Org ID]],Q305),2)&gt;=ROUND(SUMIFS(AN_TME_PY[[#All],[TOTAL Truncated Unadjusted Claims Expenses (A21 -A19)]], AN_TME_PY[[#All],[Insurance Category Code]],5, AN_TME_PY[[#All],[Advanced Network/Insurance Carrier Org ID]],Q305),2)</f>
        <v>1</v>
      </c>
      <c r="AD305" s="529" t="b">
        <f>ROUND(SUMIFS(AN_TME_PY[[#All],[TOTAL Truncated Unadjusted Claims Expenses (A21 -A19)]], AN_TME_PY[[#All],[Insurance Category Code]],5, AN_TME_PY[[#All],[Advanced Network/Insurance Carrier Org ID]],Q305)+SUMIFS(AN_TME_PY[[#All],[Total Claims Excluded because of Truncation]], AN_TME_PY[[#All],[Insurance Category Code]],5, AN_TME_PY[[#All],[Advanced Network/Insurance Carrier Org ID]],Q305),2)=ROUND(SUMIFS(AN_TME_PY[[#All],[TOTAL Non-Truncated Unadjusted Claims Expenses]], AN_TME_PY[[#All],[Insurance Category Code]],5, AN_TME_PY[[#All],[Advanced Network/Insurance Carrier Org ID]],Q305),2)</f>
        <v>1</v>
      </c>
      <c r="AF305" s="283" t="str">
        <f t="shared" si="37"/>
        <v>NA</v>
      </c>
    </row>
    <row r="306" spans="2:32" outlineLevel="1" x14ac:dyDescent="0.25">
      <c r="B306" s="216">
        <v>127</v>
      </c>
      <c r="C306" s="404">
        <f>ROUND(SUMIFS(Age_Sex_BY[[#All],[Total Member Months by Age/Sex Band]], Age_Sex_BY[[#All],[Advanced Network ID]], $B306, Age_Sex_BY[[#All],[Insurance Category Code]],5),2)</f>
        <v>0</v>
      </c>
      <c r="D306" s="238">
        <f>ROUND(SUMIFS(Age_Sex_BY[[#All],[Total Dollars Excluded from Spending After Applying Truncation at the Member Level]], Age_Sex_BY[[#All],[Advanced Network ID]], $B306, Age_Sex_BY[[#All],[Insurance Category Code]],5),2)</f>
        <v>0</v>
      </c>
      <c r="E306" s="209">
        <f>ROUND(SUMIFS(Age_Sex_BY[[#All],[Count of Members whose Spending was Truncated]], Age_Sex_BY[[#All],[Advanced Network ID]], $B306, Age_Sex_BY[[#All],[Insurance Category Code]],5),2)</f>
        <v>0</v>
      </c>
      <c r="F306" s="210">
        <f>ROUND(SUMIFS(Age_Sex_BY[[#All],[Total Spending before Truncation is Applied]], Age_Sex_BY[[#All],[Advanced Network ID]], $B306, Age_Sex_BY[[#All],[Insurance Category Code]],5),2)</f>
        <v>0</v>
      </c>
      <c r="G306" s="212">
        <f>ROUND(SUMIFS(Age_Sex_BY[[#All],[Total Spending After Applying Truncation at the Member Level]], Age_Sex_BY[[#All],[Advanced Network ID]], $B306, Age_Sex_BY[[#All],[Insurance Category Code]],5), 2)</f>
        <v>0</v>
      </c>
      <c r="H306" s="525" t="str">
        <f>IF(ROUND(C306,0)=ROUND(SUMIFS(AN_TME_BY[[#All],[Member Months]], AN_TME_BY[[#All],[Insurance Category Code]],5, AN_TME_BY[[#All],[Advanced Network/Insurance Carrier Org ID]],B306),0), "TRUE", ROUND(C306-SUMIFS(AN_TME_BY[[#All],[Member Months]], AN_TME_BY[[#All],[Insurance Category Code]],5, AN_TME_BY[[#All],[Advanced Network/Insurance Carrier Org ID]],B306),2))</f>
        <v>TRUE</v>
      </c>
      <c r="I306" s="533" t="str">
        <f>IF(ROUND(D306,0)=ROUND(SUMIFS(AN_TME_BY[[#All],[Total Claims Excluded because of Truncation]], AN_TME_BY[[#All],[Insurance Category Code]],5, AN_TME_BY[[#All],[Advanced Network/Insurance Carrier Org ID]],B306),0), "TRUE", ROUND(D306-SUMIFS(AN_TME_BY[[#All],[Total Claims Excluded because of Truncation]], AN_TME_BY[[#All],[Insurance Category Code]],5, AN_TME_BY[[#All],[Advanced Network/Insurance Carrier Org ID]],B306),2))</f>
        <v>TRUE</v>
      </c>
      <c r="J306" s="537" t="str">
        <f>IF(ROUND(E306,0)=ROUND(SUMIFS(AN_TME_BY[[#All],[Count of Members with Claims Truncated]], AN_TME_BY[[#All],[Insurance Category Code]],5, AN_TME_BY[[#All],[Advanced Network/Insurance Carrier Org ID]],B306),0), "TRUE", ROUND(E306-SUMIFS(AN_TME_BY[[#All],[Count of Members with Claims Truncated]], AN_TME_BY[[#All],[Insurance Category Code]],5, AN_TME_BY[[#All],[Advanced Network/Insurance Carrier Org ID]],B306),2))</f>
        <v>TRUE</v>
      </c>
      <c r="K306" s="533" t="str">
        <f>IF(ROUND(F306,0)=ROUND(SUMIFS(AN_TME_BY[[#All],[TOTAL Non-Truncated Unadjusted Claims Expenses]], AN_TME_BY[[#All],[Insurance Category Code]],5, AN_TME_BY[[#All],[Advanced Network/Insurance Carrier Org ID]],B306),0), "TRUE", ROUND(F306-SUMIFS(AN_TME_BY[[#All],[TOTAL Non-Truncated Unadjusted Claims Expenses]], AN_TME_BY[[#All],[Insurance Category Code]],5, AN_TME_BY[[#All],[Advanced Network/Insurance Carrier Org ID]],B306),2))</f>
        <v>TRUE</v>
      </c>
      <c r="L306" s="534" t="str">
        <f>IF(ROUND(G306,0)=ROUND(SUMIFS(AN_TME_BY[[#All],[TOTAL Truncated Unadjusted Claims Expenses (A21 -A19)]], AN_TME_BY[[#All],[Insurance Category Code]],5, AN_TME_BY[[#All],[Advanced Network/Insurance Carrier Org ID]],B306),0), "TRUE", ROUND(G306-SUMIFS(AN_TME_BY[[#All],[TOTAL Truncated Unadjusted Claims Expenses (A21 -A19)]], AN_TME_BY[[#All],[Insurance Category Code]],5, AN_TME_BY[[#All],[Advanced Network/Insurance Carrier Org ID]],B306),2))</f>
        <v>TRUE</v>
      </c>
      <c r="M306" s="525" t="str">
        <f t="shared" si="35"/>
        <v>TRUE</v>
      </c>
      <c r="N306" s="533" t="b">
        <f>ROUND(SUMIFS(AN_TME_BY[[#All],[TOTAL Non-Truncated Unadjusted Claims Expenses]], AN_TME_BY[[#All],[Insurance Category Code]],5, AN_TME_BY[[#All],[Advanced Network/Insurance Carrier Org ID]],B306),2)&gt;=ROUND(SUMIFS(AN_TME_BY[[#All],[TOTAL Truncated Unadjusted Claims Expenses (A21 -A19)]], AN_TME_BY[[#All],[Insurance Category Code]],5, AN_TME_BY[[#All],[Advanced Network/Insurance Carrier Org ID]],B306),2)</f>
        <v>1</v>
      </c>
      <c r="O306" s="534" t="b">
        <f>ROUND(SUMIFS(AN_TME_BY[[#All],[TOTAL Truncated Unadjusted Claims Expenses (A21 -A19)]], AN_TME_BY[[#All],[Insurance Category Code]],5, AN_TME_BY[[#All],[Advanced Network/Insurance Carrier Org ID]],B306)+SUMIFS(AN_TME_BY[[#All],[Total Claims Excluded because of Truncation]], AN_TME_BY[[#All],[Insurance Category Code]],5, AN_TME_BY[[#All],[Advanced Network/Insurance Carrier Org ID]],B306),2)=ROUND(SUMIFS(AN_TME_BY[[#All],[TOTAL Non-Truncated Unadjusted Claims Expenses]], AN_TME_BY[[#All],[Insurance Category Code]],5, AN_TME_BY[[#All],[Advanced Network/Insurance Carrier Org ID]],B306),2)</f>
        <v>1</v>
      </c>
      <c r="Q306" s="216">
        <v>127</v>
      </c>
      <c r="R306" s="404">
        <f>ROUND(SUMIFS(Age_Sex_PY[[#All],[Total Member Months by Age/Sex Band]], Age_Sex_PY[[#All],[Advanced Network ID]], $Q306, Age_Sex_PY[[#All],[Insurance Category Code]],5),2)</f>
        <v>0</v>
      </c>
      <c r="S306" s="238">
        <f>ROUND(SUMIFS(Age_Sex_PY[[#All],[Total Dollars Excluded from Spending After Applying Truncation at the Member Level]], Age_Sex_PY[[#All],[Advanced Network ID]], $B306, Age_Sex_PY[[#All],[Insurance Category Code]],5),2)</f>
        <v>0</v>
      </c>
      <c r="T306" s="209">
        <f>ROUND(SUMIFS(Age_Sex_PY[[#All],[Count of Members whose Spending was Truncated]], Age_Sex_PY[[#All],[Advanced Network ID]], $B306, Age_Sex_PY[[#All],[Insurance Category Code]],5),2)</f>
        <v>0</v>
      </c>
      <c r="U306" s="210">
        <f>ROUND(SUMIFS(Age_Sex_PY[[#All],[Total Spending before Truncation is Applied]], Age_Sex_PY[[#All],[Advanced Network ID]], $B306, Age_Sex_PY[[#All],[Insurance Category Code]],5), 2)</f>
        <v>0</v>
      </c>
      <c r="V306" s="212">
        <f>ROUND(SUMIFS(Age_Sex_PY[[#All],[Total Spending After Applying Truncation at the Member Level]], Age_Sex_PY[[#All],[Advanced Network ID]], $B306, Age_Sex_PY[[#All],[Insurance Category Code]],5),2)</f>
        <v>0</v>
      </c>
      <c r="W306" s="525" t="str">
        <f>IF(ROUND(R306,0)=ROUND(SUMIFS(AN_TME_PY[[#All],[Member Months]], AN_TME_PY[[#All],[Insurance Category Code]],5, AN_TME_PY[[#All],[Advanced Network/Insurance Carrier Org ID]],Q306),0), "TRUE", ROUND(R306-SUMIFS(AN_TME_PY[[#All],[Member Months]], AN_TME_PY[[#All],[Insurance Category Code]],5, AN_TME_PY[[#All],[Advanced Network/Insurance Carrier Org ID]],Q306),2))</f>
        <v>TRUE</v>
      </c>
      <c r="X306" s="527" t="str">
        <f>IF(ROUND(S306,0)=ROUND(SUMIFS(AN_TME_PY[[#All],[Total Claims Excluded because of Truncation]], AN_TME_PY[[#All],[Insurance Category Code]],5, AN_TME_PY[[#All],[Advanced Network/Insurance Carrier Org ID]],Q306),0), "TRUE", ROUND(S306-SUMIFS(AN_TME_PY[[#All],[Total Claims Excluded because of Truncation]], AN_TME_PY[[#All],[Insurance Category Code]],5, AN_TME_PY[[#All],[Advanced Network/Insurance Carrier Org ID]],Q306),2))</f>
        <v>TRUE</v>
      </c>
      <c r="Y306" s="537" t="str">
        <f>IF(ROUND(T306,0)=ROUND(SUMIFS(AN_TME_PY[[#All],[Count of Members with Claims Truncated]], AN_TME_PY[[#All],[Insurance Category Code]],5, AN_TME_PY[[#All],[Advanced Network/Insurance Carrier Org ID]],Q306),0), "TRUE", ROUND(T306-SUMIFS(AN_TME_PY[[#All],[Count of Members with Claims Truncated]], AN_TME_PY[[#All],[Insurance Category Code]],5, AN_TME_PY[[#All],[Advanced Network/Insurance Carrier Org ID]],Q306),2))</f>
        <v>TRUE</v>
      </c>
      <c r="Z306" s="528" t="str">
        <f>IF(ROUND(U306,0)=ROUND(SUMIFS(AN_TME_PY[[#All],[TOTAL Non-Truncated Unadjusted Claims Expenses]], AN_TME_PY[[#All],[Insurance Category Code]],5, AN_TME_PY[[#All],[Advanced Network/Insurance Carrier Org ID]],Q306),0), "TRUE", ROUND(U306-SUMIFS(AN_TME_PY[[#All],[TOTAL Non-Truncated Unadjusted Claims Expenses]], AN_TME_PY[[#All],[Insurance Category Code]],5, AN_TME_PY[[#All],[Advanced Network/Insurance Carrier Org ID]],Q306),2))</f>
        <v>TRUE</v>
      </c>
      <c r="AA306" s="529" t="str">
        <f>IF(ROUND(V306,0)=ROUND(SUMIFS(AN_TME_PY[[#All],[TOTAL Truncated Unadjusted Claims Expenses (A21 -A19)]], AN_TME_PY[[#All],[Insurance Category Code]],5, AN_TME_PY[[#All],[Advanced Network/Insurance Carrier Org ID]],Q306),0), "TRUE", ROUND(V306-SUMIFS(AN_TME_PY[[#All],[TOTAL Truncated Unadjusted Claims Expenses (A21 -A19)]], AN_TME_PY[[#All],[Insurance Category Code]],5, AN_TME_PY[[#All],[Advanced Network/Insurance Carrier Org ID]],Q306),2))</f>
        <v>TRUE</v>
      </c>
      <c r="AB306" s="525" t="str">
        <f t="shared" si="38"/>
        <v>TRUE</v>
      </c>
      <c r="AC306" s="528" t="b">
        <f>ROUND(SUMIFS(AN_TME_PY[[#All],[TOTAL Non-Truncated Unadjusted Claims Expenses]], AN_TME_PY[[#All],[Insurance Category Code]],5, AN_TME_PY[[#All],[Advanced Network/Insurance Carrier Org ID]],Q306),2)&gt;=ROUND(SUMIFS(AN_TME_PY[[#All],[TOTAL Truncated Unadjusted Claims Expenses (A21 -A19)]], AN_TME_PY[[#All],[Insurance Category Code]],5, AN_TME_PY[[#All],[Advanced Network/Insurance Carrier Org ID]],Q306),2)</f>
        <v>1</v>
      </c>
      <c r="AD306" s="529" t="b">
        <f>ROUND(SUMIFS(AN_TME_PY[[#All],[TOTAL Truncated Unadjusted Claims Expenses (A21 -A19)]], AN_TME_PY[[#All],[Insurance Category Code]],5, AN_TME_PY[[#All],[Advanced Network/Insurance Carrier Org ID]],Q306)+SUMIFS(AN_TME_PY[[#All],[Total Claims Excluded because of Truncation]], AN_TME_PY[[#All],[Insurance Category Code]],5, AN_TME_PY[[#All],[Advanced Network/Insurance Carrier Org ID]],Q306),2)=ROUND(SUMIFS(AN_TME_PY[[#All],[TOTAL Non-Truncated Unadjusted Claims Expenses]], AN_TME_PY[[#All],[Insurance Category Code]],5, AN_TME_PY[[#All],[Advanced Network/Insurance Carrier Org ID]],Q306),2)</f>
        <v>1</v>
      </c>
      <c r="AF306" s="283" t="str">
        <f t="shared" si="37"/>
        <v>NA</v>
      </c>
    </row>
    <row r="307" spans="2:32" outlineLevel="1" x14ac:dyDescent="0.25">
      <c r="B307" s="216">
        <v>128</v>
      </c>
      <c r="C307" s="404">
        <f>ROUND(SUMIFS(Age_Sex_BY[[#All],[Total Member Months by Age/Sex Band]], Age_Sex_BY[[#All],[Advanced Network ID]], $B307, Age_Sex_BY[[#All],[Insurance Category Code]],5),2)</f>
        <v>0</v>
      </c>
      <c r="D307" s="238">
        <f>ROUND(SUMIFS(Age_Sex_BY[[#All],[Total Dollars Excluded from Spending After Applying Truncation at the Member Level]], Age_Sex_BY[[#All],[Advanced Network ID]], $B307, Age_Sex_BY[[#All],[Insurance Category Code]],5),2)</f>
        <v>0</v>
      </c>
      <c r="E307" s="209">
        <f>ROUND(SUMIFS(Age_Sex_BY[[#All],[Count of Members whose Spending was Truncated]], Age_Sex_BY[[#All],[Advanced Network ID]], $B307, Age_Sex_BY[[#All],[Insurance Category Code]],5),2)</f>
        <v>0</v>
      </c>
      <c r="F307" s="210">
        <f>ROUND(SUMIFS(Age_Sex_BY[[#All],[Total Spending before Truncation is Applied]], Age_Sex_BY[[#All],[Advanced Network ID]], $B307, Age_Sex_BY[[#All],[Insurance Category Code]],5),2)</f>
        <v>0</v>
      </c>
      <c r="G307" s="212">
        <f>ROUND(SUMIFS(Age_Sex_BY[[#All],[Total Spending After Applying Truncation at the Member Level]], Age_Sex_BY[[#All],[Advanced Network ID]], $B307, Age_Sex_BY[[#All],[Insurance Category Code]],5), 2)</f>
        <v>0</v>
      </c>
      <c r="H307" s="525" t="str">
        <f>IF(ROUND(C307,0)=ROUND(SUMIFS(AN_TME_BY[[#All],[Member Months]], AN_TME_BY[[#All],[Insurance Category Code]],5, AN_TME_BY[[#All],[Advanced Network/Insurance Carrier Org ID]],B307),0), "TRUE", ROUND(C307-SUMIFS(AN_TME_BY[[#All],[Member Months]], AN_TME_BY[[#All],[Insurance Category Code]],5, AN_TME_BY[[#All],[Advanced Network/Insurance Carrier Org ID]],B307),2))</f>
        <v>TRUE</v>
      </c>
      <c r="I307" s="533" t="str">
        <f>IF(ROUND(D307,0)=ROUND(SUMIFS(AN_TME_BY[[#All],[Total Claims Excluded because of Truncation]], AN_TME_BY[[#All],[Insurance Category Code]],5, AN_TME_BY[[#All],[Advanced Network/Insurance Carrier Org ID]],B307),0), "TRUE", ROUND(D307-SUMIFS(AN_TME_BY[[#All],[Total Claims Excluded because of Truncation]], AN_TME_BY[[#All],[Insurance Category Code]],5, AN_TME_BY[[#All],[Advanced Network/Insurance Carrier Org ID]],B307),2))</f>
        <v>TRUE</v>
      </c>
      <c r="J307" s="537" t="str">
        <f>IF(ROUND(E307,0)=ROUND(SUMIFS(AN_TME_BY[[#All],[Count of Members with Claims Truncated]], AN_TME_BY[[#All],[Insurance Category Code]],5, AN_TME_BY[[#All],[Advanced Network/Insurance Carrier Org ID]],B307),0), "TRUE", ROUND(E307-SUMIFS(AN_TME_BY[[#All],[Count of Members with Claims Truncated]], AN_TME_BY[[#All],[Insurance Category Code]],5, AN_TME_BY[[#All],[Advanced Network/Insurance Carrier Org ID]],B307),2))</f>
        <v>TRUE</v>
      </c>
      <c r="K307" s="533" t="str">
        <f>IF(ROUND(F307,0)=ROUND(SUMIFS(AN_TME_BY[[#All],[TOTAL Non-Truncated Unadjusted Claims Expenses]], AN_TME_BY[[#All],[Insurance Category Code]],5, AN_TME_BY[[#All],[Advanced Network/Insurance Carrier Org ID]],B307),0), "TRUE", ROUND(F307-SUMIFS(AN_TME_BY[[#All],[TOTAL Non-Truncated Unadjusted Claims Expenses]], AN_TME_BY[[#All],[Insurance Category Code]],5, AN_TME_BY[[#All],[Advanced Network/Insurance Carrier Org ID]],B307),2))</f>
        <v>TRUE</v>
      </c>
      <c r="L307" s="534" t="str">
        <f>IF(ROUND(G307,0)=ROUND(SUMIFS(AN_TME_BY[[#All],[TOTAL Truncated Unadjusted Claims Expenses (A21 -A19)]], AN_TME_BY[[#All],[Insurance Category Code]],5, AN_TME_BY[[#All],[Advanced Network/Insurance Carrier Org ID]],B307),0), "TRUE", ROUND(G307-SUMIFS(AN_TME_BY[[#All],[TOTAL Truncated Unadjusted Claims Expenses (A21 -A19)]], AN_TME_BY[[#All],[Insurance Category Code]],5, AN_TME_BY[[#All],[Advanced Network/Insurance Carrier Org ID]],B307),2))</f>
        <v>TRUE</v>
      </c>
      <c r="M307" s="525" t="str">
        <f t="shared" si="35"/>
        <v>TRUE</v>
      </c>
      <c r="N307" s="533" t="b">
        <f>ROUND(SUMIFS(AN_TME_BY[[#All],[TOTAL Non-Truncated Unadjusted Claims Expenses]], AN_TME_BY[[#All],[Insurance Category Code]],5, AN_TME_BY[[#All],[Advanced Network/Insurance Carrier Org ID]],B307),2)&gt;=ROUND(SUMIFS(AN_TME_BY[[#All],[TOTAL Truncated Unadjusted Claims Expenses (A21 -A19)]], AN_TME_BY[[#All],[Insurance Category Code]],5, AN_TME_BY[[#All],[Advanced Network/Insurance Carrier Org ID]],B307),2)</f>
        <v>1</v>
      </c>
      <c r="O307" s="534" t="b">
        <f>ROUND(SUMIFS(AN_TME_BY[[#All],[TOTAL Truncated Unadjusted Claims Expenses (A21 -A19)]], AN_TME_BY[[#All],[Insurance Category Code]],5, AN_TME_BY[[#All],[Advanced Network/Insurance Carrier Org ID]],B307)+SUMIFS(AN_TME_BY[[#All],[Total Claims Excluded because of Truncation]], AN_TME_BY[[#All],[Insurance Category Code]],5, AN_TME_BY[[#All],[Advanced Network/Insurance Carrier Org ID]],B307),2)=ROUND(SUMIFS(AN_TME_BY[[#All],[TOTAL Non-Truncated Unadjusted Claims Expenses]], AN_TME_BY[[#All],[Insurance Category Code]],5, AN_TME_BY[[#All],[Advanced Network/Insurance Carrier Org ID]],B307),2)</f>
        <v>1</v>
      </c>
      <c r="Q307" s="216">
        <v>128</v>
      </c>
      <c r="R307" s="404">
        <f>ROUND(SUMIFS(Age_Sex_PY[[#All],[Total Member Months by Age/Sex Band]], Age_Sex_PY[[#All],[Advanced Network ID]], $Q307, Age_Sex_PY[[#All],[Insurance Category Code]],5),2)</f>
        <v>0</v>
      </c>
      <c r="S307" s="238">
        <f>ROUND(SUMIFS(Age_Sex_PY[[#All],[Total Dollars Excluded from Spending After Applying Truncation at the Member Level]], Age_Sex_PY[[#All],[Advanced Network ID]], $B307, Age_Sex_PY[[#All],[Insurance Category Code]],5),2)</f>
        <v>0</v>
      </c>
      <c r="T307" s="209">
        <f>ROUND(SUMIFS(Age_Sex_PY[[#All],[Count of Members whose Spending was Truncated]], Age_Sex_PY[[#All],[Advanced Network ID]], $B307, Age_Sex_PY[[#All],[Insurance Category Code]],5),2)</f>
        <v>0</v>
      </c>
      <c r="U307" s="210">
        <f>ROUND(SUMIFS(Age_Sex_PY[[#All],[Total Spending before Truncation is Applied]], Age_Sex_PY[[#All],[Advanced Network ID]], $B307, Age_Sex_PY[[#All],[Insurance Category Code]],5), 2)</f>
        <v>0</v>
      </c>
      <c r="V307" s="212">
        <f>ROUND(SUMIFS(Age_Sex_PY[[#All],[Total Spending After Applying Truncation at the Member Level]], Age_Sex_PY[[#All],[Advanced Network ID]], $B307, Age_Sex_PY[[#All],[Insurance Category Code]],5),2)</f>
        <v>0</v>
      </c>
      <c r="W307" s="525" t="str">
        <f>IF(ROUND(R307,0)=ROUND(SUMIFS(AN_TME_PY[[#All],[Member Months]], AN_TME_PY[[#All],[Insurance Category Code]],5, AN_TME_PY[[#All],[Advanced Network/Insurance Carrier Org ID]],Q307),0), "TRUE", ROUND(R307-SUMIFS(AN_TME_PY[[#All],[Member Months]], AN_TME_PY[[#All],[Insurance Category Code]],5, AN_TME_PY[[#All],[Advanced Network/Insurance Carrier Org ID]],Q307),2))</f>
        <v>TRUE</v>
      </c>
      <c r="X307" s="527" t="str">
        <f>IF(ROUND(S307,0)=ROUND(SUMIFS(AN_TME_PY[[#All],[Total Claims Excluded because of Truncation]], AN_TME_PY[[#All],[Insurance Category Code]],5, AN_TME_PY[[#All],[Advanced Network/Insurance Carrier Org ID]],Q307),0), "TRUE", ROUND(S307-SUMIFS(AN_TME_PY[[#All],[Total Claims Excluded because of Truncation]], AN_TME_PY[[#All],[Insurance Category Code]],5, AN_TME_PY[[#All],[Advanced Network/Insurance Carrier Org ID]],Q307),2))</f>
        <v>TRUE</v>
      </c>
      <c r="Y307" s="537" t="str">
        <f>IF(ROUND(T307,0)=ROUND(SUMIFS(AN_TME_PY[[#All],[Count of Members with Claims Truncated]], AN_TME_PY[[#All],[Insurance Category Code]],5, AN_TME_PY[[#All],[Advanced Network/Insurance Carrier Org ID]],Q307),0), "TRUE", ROUND(T307-SUMIFS(AN_TME_PY[[#All],[Count of Members with Claims Truncated]], AN_TME_PY[[#All],[Insurance Category Code]],5, AN_TME_PY[[#All],[Advanced Network/Insurance Carrier Org ID]],Q307),2))</f>
        <v>TRUE</v>
      </c>
      <c r="Z307" s="528" t="str">
        <f>IF(ROUND(U307,0)=ROUND(SUMIFS(AN_TME_PY[[#All],[TOTAL Non-Truncated Unadjusted Claims Expenses]], AN_TME_PY[[#All],[Insurance Category Code]],5, AN_TME_PY[[#All],[Advanced Network/Insurance Carrier Org ID]],Q307),0), "TRUE", ROUND(U307-SUMIFS(AN_TME_PY[[#All],[TOTAL Non-Truncated Unadjusted Claims Expenses]], AN_TME_PY[[#All],[Insurance Category Code]],5, AN_TME_PY[[#All],[Advanced Network/Insurance Carrier Org ID]],Q307),2))</f>
        <v>TRUE</v>
      </c>
      <c r="AA307" s="529" t="str">
        <f>IF(ROUND(V307,0)=ROUND(SUMIFS(AN_TME_PY[[#All],[TOTAL Truncated Unadjusted Claims Expenses (A21 -A19)]], AN_TME_PY[[#All],[Insurance Category Code]],5, AN_TME_PY[[#All],[Advanced Network/Insurance Carrier Org ID]],Q307),0), "TRUE", ROUND(V307-SUMIFS(AN_TME_PY[[#All],[TOTAL Truncated Unadjusted Claims Expenses (A21 -A19)]], AN_TME_PY[[#All],[Insurance Category Code]],5, AN_TME_PY[[#All],[Advanced Network/Insurance Carrier Org ID]],Q307),2))</f>
        <v>TRUE</v>
      </c>
      <c r="AB307" s="525" t="str">
        <f t="shared" si="38"/>
        <v>TRUE</v>
      </c>
      <c r="AC307" s="528" t="b">
        <f>ROUND(SUMIFS(AN_TME_PY[[#All],[TOTAL Non-Truncated Unadjusted Claims Expenses]], AN_TME_PY[[#All],[Insurance Category Code]],5, AN_TME_PY[[#All],[Advanced Network/Insurance Carrier Org ID]],Q307),2)&gt;=ROUND(SUMIFS(AN_TME_PY[[#All],[TOTAL Truncated Unadjusted Claims Expenses (A21 -A19)]], AN_TME_PY[[#All],[Insurance Category Code]],5, AN_TME_PY[[#All],[Advanced Network/Insurance Carrier Org ID]],Q307),2)</f>
        <v>1</v>
      </c>
      <c r="AD307" s="529" t="b">
        <f>ROUND(SUMIFS(AN_TME_PY[[#All],[TOTAL Truncated Unadjusted Claims Expenses (A21 -A19)]], AN_TME_PY[[#All],[Insurance Category Code]],5, AN_TME_PY[[#All],[Advanced Network/Insurance Carrier Org ID]],Q307)+SUMIFS(AN_TME_PY[[#All],[Total Claims Excluded because of Truncation]], AN_TME_PY[[#All],[Insurance Category Code]],5, AN_TME_PY[[#All],[Advanced Network/Insurance Carrier Org ID]],Q307),2)=ROUND(SUMIFS(AN_TME_PY[[#All],[TOTAL Non-Truncated Unadjusted Claims Expenses]], AN_TME_PY[[#All],[Insurance Category Code]],5, AN_TME_PY[[#All],[Advanced Network/Insurance Carrier Org ID]],Q307),2)</f>
        <v>1</v>
      </c>
      <c r="AF307" s="283" t="str">
        <f t="shared" si="37"/>
        <v>NA</v>
      </c>
    </row>
    <row r="308" spans="2:32" outlineLevel="1" x14ac:dyDescent="0.25">
      <c r="B308" s="216">
        <v>129</v>
      </c>
      <c r="C308" s="404">
        <f>ROUND(SUMIFS(Age_Sex_BY[[#All],[Total Member Months by Age/Sex Band]], Age_Sex_BY[[#All],[Advanced Network ID]], $B308, Age_Sex_BY[[#All],[Insurance Category Code]],5),2)</f>
        <v>0</v>
      </c>
      <c r="D308" s="238">
        <f>ROUND(SUMIFS(Age_Sex_BY[[#All],[Total Dollars Excluded from Spending After Applying Truncation at the Member Level]], Age_Sex_BY[[#All],[Advanced Network ID]], $B308, Age_Sex_BY[[#All],[Insurance Category Code]],5),2)</f>
        <v>0</v>
      </c>
      <c r="E308" s="209">
        <f>ROUND(SUMIFS(Age_Sex_BY[[#All],[Count of Members whose Spending was Truncated]], Age_Sex_BY[[#All],[Advanced Network ID]], $B308, Age_Sex_BY[[#All],[Insurance Category Code]],5),2)</f>
        <v>0</v>
      </c>
      <c r="F308" s="210">
        <f>ROUND(SUMIFS(Age_Sex_BY[[#All],[Total Spending before Truncation is Applied]], Age_Sex_BY[[#All],[Advanced Network ID]], $B308, Age_Sex_BY[[#All],[Insurance Category Code]],5),2)</f>
        <v>0</v>
      </c>
      <c r="G308" s="212">
        <f>ROUND(SUMIFS(Age_Sex_BY[[#All],[Total Spending After Applying Truncation at the Member Level]], Age_Sex_BY[[#All],[Advanced Network ID]], $B308, Age_Sex_BY[[#All],[Insurance Category Code]],5), 2)</f>
        <v>0</v>
      </c>
      <c r="H308" s="525" t="str">
        <f>IF(ROUND(C308,0)=ROUND(SUMIFS(AN_TME_BY[[#All],[Member Months]], AN_TME_BY[[#All],[Insurance Category Code]],5, AN_TME_BY[[#All],[Advanced Network/Insurance Carrier Org ID]],B308),0), "TRUE", ROUND(C308-SUMIFS(AN_TME_BY[[#All],[Member Months]], AN_TME_BY[[#All],[Insurance Category Code]],5, AN_TME_BY[[#All],[Advanced Network/Insurance Carrier Org ID]],B308),2))</f>
        <v>TRUE</v>
      </c>
      <c r="I308" s="533" t="str">
        <f>IF(ROUND(D308,0)=ROUND(SUMIFS(AN_TME_BY[[#All],[Total Claims Excluded because of Truncation]], AN_TME_BY[[#All],[Insurance Category Code]],5, AN_TME_BY[[#All],[Advanced Network/Insurance Carrier Org ID]],B308),0), "TRUE", ROUND(D308-SUMIFS(AN_TME_BY[[#All],[Total Claims Excluded because of Truncation]], AN_TME_BY[[#All],[Insurance Category Code]],5, AN_TME_BY[[#All],[Advanced Network/Insurance Carrier Org ID]],B308),2))</f>
        <v>TRUE</v>
      </c>
      <c r="J308" s="537" t="str">
        <f>IF(ROUND(E308,0)=ROUND(SUMIFS(AN_TME_BY[[#All],[Count of Members with Claims Truncated]], AN_TME_BY[[#All],[Insurance Category Code]],5, AN_TME_BY[[#All],[Advanced Network/Insurance Carrier Org ID]],B308),0), "TRUE", ROUND(E308-SUMIFS(AN_TME_BY[[#All],[Count of Members with Claims Truncated]], AN_TME_BY[[#All],[Insurance Category Code]],5, AN_TME_BY[[#All],[Advanced Network/Insurance Carrier Org ID]],B308),2))</f>
        <v>TRUE</v>
      </c>
      <c r="K308" s="533" t="str">
        <f>IF(ROUND(F308,0)=ROUND(SUMIFS(AN_TME_BY[[#All],[TOTAL Non-Truncated Unadjusted Claims Expenses]], AN_TME_BY[[#All],[Insurance Category Code]],5, AN_TME_BY[[#All],[Advanced Network/Insurance Carrier Org ID]],B308),0), "TRUE", ROUND(F308-SUMIFS(AN_TME_BY[[#All],[TOTAL Non-Truncated Unadjusted Claims Expenses]], AN_TME_BY[[#All],[Insurance Category Code]],5, AN_TME_BY[[#All],[Advanced Network/Insurance Carrier Org ID]],B308),2))</f>
        <v>TRUE</v>
      </c>
      <c r="L308" s="534" t="str">
        <f>IF(ROUND(G308,0)=ROUND(SUMIFS(AN_TME_BY[[#All],[TOTAL Truncated Unadjusted Claims Expenses (A21 -A19)]], AN_TME_BY[[#All],[Insurance Category Code]],5, AN_TME_BY[[#All],[Advanced Network/Insurance Carrier Org ID]],B308),0), "TRUE", ROUND(G308-SUMIFS(AN_TME_BY[[#All],[TOTAL Truncated Unadjusted Claims Expenses (A21 -A19)]], AN_TME_BY[[#All],[Insurance Category Code]],5, AN_TME_BY[[#All],[Advanced Network/Insurance Carrier Org ID]],B308),2))</f>
        <v>TRUE</v>
      </c>
      <c r="M308" s="525" t="str">
        <f t="shared" si="35"/>
        <v>TRUE</v>
      </c>
      <c r="N308" s="533" t="b">
        <f>ROUND(SUMIFS(AN_TME_BY[[#All],[TOTAL Non-Truncated Unadjusted Claims Expenses]], AN_TME_BY[[#All],[Insurance Category Code]],5, AN_TME_BY[[#All],[Advanced Network/Insurance Carrier Org ID]],B308),2)&gt;=ROUND(SUMIFS(AN_TME_BY[[#All],[TOTAL Truncated Unadjusted Claims Expenses (A21 -A19)]], AN_TME_BY[[#All],[Insurance Category Code]],5, AN_TME_BY[[#All],[Advanced Network/Insurance Carrier Org ID]],B308),2)</f>
        <v>1</v>
      </c>
      <c r="O308" s="534" t="b">
        <f>ROUND(SUMIFS(AN_TME_BY[[#All],[TOTAL Truncated Unadjusted Claims Expenses (A21 -A19)]], AN_TME_BY[[#All],[Insurance Category Code]],5, AN_TME_BY[[#All],[Advanced Network/Insurance Carrier Org ID]],B308)+SUMIFS(AN_TME_BY[[#All],[Total Claims Excluded because of Truncation]], AN_TME_BY[[#All],[Insurance Category Code]],5, AN_TME_BY[[#All],[Advanced Network/Insurance Carrier Org ID]],B308),2)=ROUND(SUMIFS(AN_TME_BY[[#All],[TOTAL Non-Truncated Unadjusted Claims Expenses]], AN_TME_BY[[#All],[Insurance Category Code]],5, AN_TME_BY[[#All],[Advanced Network/Insurance Carrier Org ID]],B308),2)</f>
        <v>1</v>
      </c>
      <c r="Q308" s="216">
        <v>129</v>
      </c>
      <c r="R308" s="404">
        <f>ROUND(SUMIFS(Age_Sex_PY[[#All],[Total Member Months by Age/Sex Band]], Age_Sex_PY[[#All],[Advanced Network ID]], $Q308, Age_Sex_PY[[#All],[Insurance Category Code]],5),2)</f>
        <v>0</v>
      </c>
      <c r="S308" s="238">
        <f>ROUND(SUMIFS(Age_Sex_PY[[#All],[Total Dollars Excluded from Spending After Applying Truncation at the Member Level]], Age_Sex_PY[[#All],[Advanced Network ID]], $B308, Age_Sex_PY[[#All],[Insurance Category Code]],5),2)</f>
        <v>0</v>
      </c>
      <c r="T308" s="209">
        <f>ROUND(SUMIFS(Age_Sex_PY[[#All],[Count of Members whose Spending was Truncated]], Age_Sex_PY[[#All],[Advanced Network ID]], $B308, Age_Sex_PY[[#All],[Insurance Category Code]],5),2)</f>
        <v>0</v>
      </c>
      <c r="U308" s="210">
        <f>ROUND(SUMIFS(Age_Sex_PY[[#All],[Total Spending before Truncation is Applied]], Age_Sex_PY[[#All],[Advanced Network ID]], $B308, Age_Sex_PY[[#All],[Insurance Category Code]],5), 2)</f>
        <v>0</v>
      </c>
      <c r="V308" s="212">
        <f>ROUND(SUMIFS(Age_Sex_PY[[#All],[Total Spending After Applying Truncation at the Member Level]], Age_Sex_PY[[#All],[Advanced Network ID]], $B308, Age_Sex_PY[[#All],[Insurance Category Code]],5),2)</f>
        <v>0</v>
      </c>
      <c r="W308" s="525" t="str">
        <f>IF(ROUND(R308,0)=ROUND(SUMIFS(AN_TME_PY[[#All],[Member Months]], AN_TME_PY[[#All],[Insurance Category Code]],5, AN_TME_PY[[#All],[Advanced Network/Insurance Carrier Org ID]],Q308),0), "TRUE", ROUND(R308-SUMIFS(AN_TME_PY[[#All],[Member Months]], AN_TME_PY[[#All],[Insurance Category Code]],5, AN_TME_PY[[#All],[Advanced Network/Insurance Carrier Org ID]],Q308),2))</f>
        <v>TRUE</v>
      </c>
      <c r="X308" s="527" t="str">
        <f>IF(ROUND(S308,0)=ROUND(SUMIFS(AN_TME_PY[[#All],[Total Claims Excluded because of Truncation]], AN_TME_PY[[#All],[Insurance Category Code]],5, AN_TME_PY[[#All],[Advanced Network/Insurance Carrier Org ID]],Q308),0), "TRUE", ROUND(S308-SUMIFS(AN_TME_PY[[#All],[Total Claims Excluded because of Truncation]], AN_TME_PY[[#All],[Insurance Category Code]],5, AN_TME_PY[[#All],[Advanced Network/Insurance Carrier Org ID]],Q308),2))</f>
        <v>TRUE</v>
      </c>
      <c r="Y308" s="537" t="str">
        <f>IF(ROUND(T308,0)=ROUND(SUMIFS(AN_TME_PY[[#All],[Count of Members with Claims Truncated]], AN_TME_PY[[#All],[Insurance Category Code]],5, AN_TME_PY[[#All],[Advanced Network/Insurance Carrier Org ID]],Q308),0), "TRUE", ROUND(T308-SUMIFS(AN_TME_PY[[#All],[Count of Members with Claims Truncated]], AN_TME_PY[[#All],[Insurance Category Code]],5, AN_TME_PY[[#All],[Advanced Network/Insurance Carrier Org ID]],Q308),2))</f>
        <v>TRUE</v>
      </c>
      <c r="Z308" s="528" t="str">
        <f>IF(ROUND(U308,0)=ROUND(SUMIFS(AN_TME_PY[[#All],[TOTAL Non-Truncated Unadjusted Claims Expenses]], AN_TME_PY[[#All],[Insurance Category Code]],5, AN_TME_PY[[#All],[Advanced Network/Insurance Carrier Org ID]],Q308),0), "TRUE", ROUND(U308-SUMIFS(AN_TME_PY[[#All],[TOTAL Non-Truncated Unadjusted Claims Expenses]], AN_TME_PY[[#All],[Insurance Category Code]],5, AN_TME_PY[[#All],[Advanced Network/Insurance Carrier Org ID]],Q308),2))</f>
        <v>TRUE</v>
      </c>
      <c r="AA308" s="529" t="str">
        <f>IF(ROUND(V308,0)=ROUND(SUMIFS(AN_TME_PY[[#All],[TOTAL Truncated Unadjusted Claims Expenses (A21 -A19)]], AN_TME_PY[[#All],[Insurance Category Code]],5, AN_TME_PY[[#All],[Advanced Network/Insurance Carrier Org ID]],Q308),0), "TRUE", ROUND(V308-SUMIFS(AN_TME_PY[[#All],[TOTAL Truncated Unadjusted Claims Expenses (A21 -A19)]], AN_TME_PY[[#All],[Insurance Category Code]],5, AN_TME_PY[[#All],[Advanced Network/Insurance Carrier Org ID]],Q308),2))</f>
        <v>TRUE</v>
      </c>
      <c r="AB308" s="525" t="str">
        <f t="shared" si="38"/>
        <v>TRUE</v>
      </c>
      <c r="AC308" s="528" t="b">
        <f>ROUND(SUMIFS(AN_TME_PY[[#All],[TOTAL Non-Truncated Unadjusted Claims Expenses]], AN_TME_PY[[#All],[Insurance Category Code]],5, AN_TME_PY[[#All],[Advanced Network/Insurance Carrier Org ID]],Q308),2)&gt;=ROUND(SUMIFS(AN_TME_PY[[#All],[TOTAL Truncated Unadjusted Claims Expenses (A21 -A19)]], AN_TME_PY[[#All],[Insurance Category Code]],5, AN_TME_PY[[#All],[Advanced Network/Insurance Carrier Org ID]],Q308),2)</f>
        <v>1</v>
      </c>
      <c r="AD308" s="529" t="b">
        <f>ROUND(SUMIFS(AN_TME_PY[[#All],[TOTAL Truncated Unadjusted Claims Expenses (A21 -A19)]], AN_TME_PY[[#All],[Insurance Category Code]],5, AN_TME_PY[[#All],[Advanced Network/Insurance Carrier Org ID]],Q308)+SUMIFS(AN_TME_PY[[#All],[Total Claims Excluded because of Truncation]], AN_TME_PY[[#All],[Insurance Category Code]],5, AN_TME_PY[[#All],[Advanced Network/Insurance Carrier Org ID]],Q308),2)=ROUND(SUMIFS(AN_TME_PY[[#All],[TOTAL Non-Truncated Unadjusted Claims Expenses]], AN_TME_PY[[#All],[Insurance Category Code]],5, AN_TME_PY[[#All],[Advanced Network/Insurance Carrier Org ID]],Q308),2)</f>
        <v>1</v>
      </c>
      <c r="AF308" s="283" t="str">
        <f t="shared" si="37"/>
        <v>NA</v>
      </c>
    </row>
    <row r="309" spans="2:32" outlineLevel="1" x14ac:dyDescent="0.25">
      <c r="B309" s="216">
        <v>130</v>
      </c>
      <c r="C309" s="404">
        <f>ROUND(SUMIFS(Age_Sex_BY[[#All],[Total Member Months by Age/Sex Band]], Age_Sex_BY[[#All],[Advanced Network ID]], $B309, Age_Sex_BY[[#All],[Insurance Category Code]],5),2)</f>
        <v>0</v>
      </c>
      <c r="D309" s="238">
        <f>ROUND(SUMIFS(Age_Sex_BY[[#All],[Total Dollars Excluded from Spending After Applying Truncation at the Member Level]], Age_Sex_BY[[#All],[Advanced Network ID]], $B309, Age_Sex_BY[[#All],[Insurance Category Code]],5),2)</f>
        <v>0</v>
      </c>
      <c r="E309" s="209">
        <f>ROUND(SUMIFS(Age_Sex_BY[[#All],[Count of Members whose Spending was Truncated]], Age_Sex_BY[[#All],[Advanced Network ID]], $B309, Age_Sex_BY[[#All],[Insurance Category Code]],5),2)</f>
        <v>0</v>
      </c>
      <c r="F309" s="210">
        <f>ROUND(SUMIFS(Age_Sex_BY[[#All],[Total Spending before Truncation is Applied]], Age_Sex_BY[[#All],[Advanced Network ID]], $B309, Age_Sex_BY[[#All],[Insurance Category Code]],5),2)</f>
        <v>0</v>
      </c>
      <c r="G309" s="212">
        <f>ROUND(SUMIFS(Age_Sex_BY[[#All],[Total Spending After Applying Truncation at the Member Level]], Age_Sex_BY[[#All],[Advanced Network ID]], $B309, Age_Sex_BY[[#All],[Insurance Category Code]],5), 2)</f>
        <v>0</v>
      </c>
      <c r="H309" s="525" t="str">
        <f>IF(ROUND(C309,0)=ROUND(SUMIFS(AN_TME_BY[[#All],[Member Months]], AN_TME_BY[[#All],[Insurance Category Code]],5, AN_TME_BY[[#All],[Advanced Network/Insurance Carrier Org ID]],B309),0), "TRUE", ROUND(C309-SUMIFS(AN_TME_BY[[#All],[Member Months]], AN_TME_BY[[#All],[Insurance Category Code]],5, AN_TME_BY[[#All],[Advanced Network/Insurance Carrier Org ID]],B309),2))</f>
        <v>TRUE</v>
      </c>
      <c r="I309" s="533" t="str">
        <f>IF(ROUND(D309,0)=ROUND(SUMIFS(AN_TME_BY[[#All],[Total Claims Excluded because of Truncation]], AN_TME_BY[[#All],[Insurance Category Code]],5, AN_TME_BY[[#All],[Advanced Network/Insurance Carrier Org ID]],B309),0), "TRUE", ROUND(D309-SUMIFS(AN_TME_BY[[#All],[Total Claims Excluded because of Truncation]], AN_TME_BY[[#All],[Insurance Category Code]],5, AN_TME_BY[[#All],[Advanced Network/Insurance Carrier Org ID]],B309),2))</f>
        <v>TRUE</v>
      </c>
      <c r="J309" s="537" t="str">
        <f>IF(ROUND(E309,0)=ROUND(SUMIFS(AN_TME_BY[[#All],[Count of Members with Claims Truncated]], AN_TME_BY[[#All],[Insurance Category Code]],5, AN_TME_BY[[#All],[Advanced Network/Insurance Carrier Org ID]],B309),0), "TRUE", ROUND(E309-SUMIFS(AN_TME_BY[[#All],[Count of Members with Claims Truncated]], AN_TME_BY[[#All],[Insurance Category Code]],5, AN_TME_BY[[#All],[Advanced Network/Insurance Carrier Org ID]],B309),2))</f>
        <v>TRUE</v>
      </c>
      <c r="K309" s="533" t="str">
        <f>IF(ROUND(F309,0)=ROUND(SUMIFS(AN_TME_BY[[#All],[TOTAL Non-Truncated Unadjusted Claims Expenses]], AN_TME_BY[[#All],[Insurance Category Code]],5, AN_TME_BY[[#All],[Advanced Network/Insurance Carrier Org ID]],B309),0), "TRUE", ROUND(F309-SUMIFS(AN_TME_BY[[#All],[TOTAL Non-Truncated Unadjusted Claims Expenses]], AN_TME_BY[[#All],[Insurance Category Code]],5, AN_TME_BY[[#All],[Advanced Network/Insurance Carrier Org ID]],B309),2))</f>
        <v>TRUE</v>
      </c>
      <c r="L309" s="534" t="str">
        <f>IF(ROUND(G309,0)=ROUND(SUMIFS(AN_TME_BY[[#All],[TOTAL Truncated Unadjusted Claims Expenses (A21 -A19)]], AN_TME_BY[[#All],[Insurance Category Code]],5, AN_TME_BY[[#All],[Advanced Network/Insurance Carrier Org ID]],B309),0), "TRUE", ROUND(G309-SUMIFS(AN_TME_BY[[#All],[TOTAL Truncated Unadjusted Claims Expenses (A21 -A19)]], AN_TME_BY[[#All],[Insurance Category Code]],5, AN_TME_BY[[#All],[Advanced Network/Insurance Carrier Org ID]],B309),2))</f>
        <v>TRUE</v>
      </c>
      <c r="M309" s="525" t="str">
        <f t="shared" si="35"/>
        <v>TRUE</v>
      </c>
      <c r="N309" s="533" t="b">
        <f>ROUND(SUMIFS(AN_TME_BY[[#All],[TOTAL Non-Truncated Unadjusted Claims Expenses]], AN_TME_BY[[#All],[Insurance Category Code]],5, AN_TME_BY[[#All],[Advanced Network/Insurance Carrier Org ID]],B309),2)&gt;=ROUND(SUMIFS(AN_TME_BY[[#All],[TOTAL Truncated Unadjusted Claims Expenses (A21 -A19)]], AN_TME_BY[[#All],[Insurance Category Code]],5, AN_TME_BY[[#All],[Advanced Network/Insurance Carrier Org ID]],B309),2)</f>
        <v>1</v>
      </c>
      <c r="O309" s="534" t="b">
        <f>ROUND(SUMIFS(AN_TME_BY[[#All],[TOTAL Truncated Unadjusted Claims Expenses (A21 -A19)]], AN_TME_BY[[#All],[Insurance Category Code]],5, AN_TME_BY[[#All],[Advanced Network/Insurance Carrier Org ID]],B309)+SUMIFS(AN_TME_BY[[#All],[Total Claims Excluded because of Truncation]], AN_TME_BY[[#All],[Insurance Category Code]],5, AN_TME_BY[[#All],[Advanced Network/Insurance Carrier Org ID]],B309),2)=ROUND(SUMIFS(AN_TME_BY[[#All],[TOTAL Non-Truncated Unadjusted Claims Expenses]], AN_TME_BY[[#All],[Insurance Category Code]],5, AN_TME_BY[[#All],[Advanced Network/Insurance Carrier Org ID]],B309),2)</f>
        <v>1</v>
      </c>
      <c r="Q309" s="216">
        <v>130</v>
      </c>
      <c r="R309" s="404">
        <f>ROUND(SUMIFS(Age_Sex_PY[[#All],[Total Member Months by Age/Sex Band]], Age_Sex_PY[[#All],[Advanced Network ID]], $Q309, Age_Sex_PY[[#All],[Insurance Category Code]],5),2)</f>
        <v>0</v>
      </c>
      <c r="S309" s="238">
        <f>ROUND(SUMIFS(Age_Sex_PY[[#All],[Total Dollars Excluded from Spending After Applying Truncation at the Member Level]], Age_Sex_PY[[#All],[Advanced Network ID]], $B309, Age_Sex_PY[[#All],[Insurance Category Code]],5),2)</f>
        <v>0</v>
      </c>
      <c r="T309" s="209">
        <f>ROUND(SUMIFS(Age_Sex_PY[[#All],[Count of Members whose Spending was Truncated]], Age_Sex_PY[[#All],[Advanced Network ID]], $B309, Age_Sex_PY[[#All],[Insurance Category Code]],5),2)</f>
        <v>0</v>
      </c>
      <c r="U309" s="210">
        <f>ROUND(SUMIFS(Age_Sex_PY[[#All],[Total Spending before Truncation is Applied]], Age_Sex_PY[[#All],[Advanced Network ID]], $B309, Age_Sex_PY[[#All],[Insurance Category Code]],5), 2)</f>
        <v>0</v>
      </c>
      <c r="V309" s="212">
        <f>ROUND(SUMIFS(Age_Sex_PY[[#All],[Total Spending After Applying Truncation at the Member Level]], Age_Sex_PY[[#All],[Advanced Network ID]], $B309, Age_Sex_PY[[#All],[Insurance Category Code]],5),2)</f>
        <v>0</v>
      </c>
      <c r="W309" s="525" t="str">
        <f>IF(ROUND(R309,0)=ROUND(SUMIFS(AN_TME_PY[[#All],[Member Months]], AN_TME_PY[[#All],[Insurance Category Code]],5, AN_TME_PY[[#All],[Advanced Network/Insurance Carrier Org ID]],Q309),0), "TRUE", ROUND(R309-SUMIFS(AN_TME_PY[[#All],[Member Months]], AN_TME_PY[[#All],[Insurance Category Code]],5, AN_TME_PY[[#All],[Advanced Network/Insurance Carrier Org ID]],Q309),2))</f>
        <v>TRUE</v>
      </c>
      <c r="X309" s="527" t="str">
        <f>IF(ROUND(S309,0)=ROUND(SUMIFS(AN_TME_PY[[#All],[Total Claims Excluded because of Truncation]], AN_TME_PY[[#All],[Insurance Category Code]],5, AN_TME_PY[[#All],[Advanced Network/Insurance Carrier Org ID]],Q309),0), "TRUE", ROUND(S309-SUMIFS(AN_TME_PY[[#All],[Total Claims Excluded because of Truncation]], AN_TME_PY[[#All],[Insurance Category Code]],5, AN_TME_PY[[#All],[Advanced Network/Insurance Carrier Org ID]],Q309),2))</f>
        <v>TRUE</v>
      </c>
      <c r="Y309" s="537" t="str">
        <f>IF(ROUND(T309,0)=ROUND(SUMIFS(AN_TME_PY[[#All],[Count of Members with Claims Truncated]], AN_TME_PY[[#All],[Insurance Category Code]],5, AN_TME_PY[[#All],[Advanced Network/Insurance Carrier Org ID]],Q309),0), "TRUE", ROUND(T309-SUMIFS(AN_TME_PY[[#All],[Count of Members with Claims Truncated]], AN_TME_PY[[#All],[Insurance Category Code]],5, AN_TME_PY[[#All],[Advanced Network/Insurance Carrier Org ID]],Q309),2))</f>
        <v>TRUE</v>
      </c>
      <c r="Z309" s="528" t="str">
        <f>IF(ROUND(U309,0)=ROUND(SUMIFS(AN_TME_PY[[#All],[TOTAL Non-Truncated Unadjusted Claims Expenses]], AN_TME_PY[[#All],[Insurance Category Code]],5, AN_TME_PY[[#All],[Advanced Network/Insurance Carrier Org ID]],Q309),0), "TRUE", ROUND(U309-SUMIFS(AN_TME_PY[[#All],[TOTAL Non-Truncated Unadjusted Claims Expenses]], AN_TME_PY[[#All],[Insurance Category Code]],5, AN_TME_PY[[#All],[Advanced Network/Insurance Carrier Org ID]],Q309),2))</f>
        <v>TRUE</v>
      </c>
      <c r="AA309" s="529" t="str">
        <f>IF(ROUND(V309,0)=ROUND(SUMIFS(AN_TME_PY[[#All],[TOTAL Truncated Unadjusted Claims Expenses (A21 -A19)]], AN_TME_PY[[#All],[Insurance Category Code]],5, AN_TME_PY[[#All],[Advanced Network/Insurance Carrier Org ID]],Q309),0), "TRUE", ROUND(V309-SUMIFS(AN_TME_PY[[#All],[TOTAL Truncated Unadjusted Claims Expenses (A21 -A19)]], AN_TME_PY[[#All],[Insurance Category Code]],5, AN_TME_PY[[#All],[Advanced Network/Insurance Carrier Org ID]],Q309),2))</f>
        <v>TRUE</v>
      </c>
      <c r="AB309" s="525" t="str">
        <f t="shared" si="38"/>
        <v>TRUE</v>
      </c>
      <c r="AC309" s="528" t="b">
        <f>ROUND(SUMIFS(AN_TME_PY[[#All],[TOTAL Non-Truncated Unadjusted Claims Expenses]], AN_TME_PY[[#All],[Insurance Category Code]],5, AN_TME_PY[[#All],[Advanced Network/Insurance Carrier Org ID]],Q309),2)&gt;=ROUND(SUMIFS(AN_TME_PY[[#All],[TOTAL Truncated Unadjusted Claims Expenses (A21 -A19)]], AN_TME_PY[[#All],[Insurance Category Code]],5, AN_TME_PY[[#All],[Advanced Network/Insurance Carrier Org ID]],Q309),2)</f>
        <v>1</v>
      </c>
      <c r="AD309" s="529" t="b">
        <f>ROUND(SUMIFS(AN_TME_PY[[#All],[TOTAL Truncated Unadjusted Claims Expenses (A21 -A19)]], AN_TME_PY[[#All],[Insurance Category Code]],5, AN_TME_PY[[#All],[Advanced Network/Insurance Carrier Org ID]],Q309)+SUMIFS(AN_TME_PY[[#All],[Total Claims Excluded because of Truncation]], AN_TME_PY[[#All],[Insurance Category Code]],5, AN_TME_PY[[#All],[Advanced Network/Insurance Carrier Org ID]],Q309),2)=ROUND(SUMIFS(AN_TME_PY[[#All],[TOTAL Non-Truncated Unadjusted Claims Expenses]], AN_TME_PY[[#All],[Insurance Category Code]],5, AN_TME_PY[[#All],[Advanced Network/Insurance Carrier Org ID]],Q309),2)</f>
        <v>1</v>
      </c>
      <c r="AF309" s="283" t="str">
        <f t="shared" si="37"/>
        <v>NA</v>
      </c>
    </row>
    <row r="310" spans="2:32" outlineLevel="1" x14ac:dyDescent="0.25">
      <c r="B310" s="216">
        <v>131</v>
      </c>
      <c r="C310" s="404">
        <f>ROUND(SUMIFS(Age_Sex_BY[[#All],[Total Member Months by Age/Sex Band]], Age_Sex_BY[[#All],[Advanced Network ID]], $B310, Age_Sex_BY[[#All],[Insurance Category Code]],5),2)</f>
        <v>0</v>
      </c>
      <c r="D310" s="238">
        <f>ROUND(SUMIFS(Age_Sex_BY[[#All],[Total Dollars Excluded from Spending After Applying Truncation at the Member Level]], Age_Sex_BY[[#All],[Advanced Network ID]], $B310, Age_Sex_BY[[#All],[Insurance Category Code]],5),2)</f>
        <v>0</v>
      </c>
      <c r="E310" s="209">
        <f>ROUND(SUMIFS(Age_Sex_BY[[#All],[Count of Members whose Spending was Truncated]], Age_Sex_BY[[#All],[Advanced Network ID]], $B310, Age_Sex_BY[[#All],[Insurance Category Code]],5),2)</f>
        <v>0</v>
      </c>
      <c r="F310" s="210">
        <f>ROUND(SUMIFS(Age_Sex_BY[[#All],[Total Spending before Truncation is Applied]], Age_Sex_BY[[#All],[Advanced Network ID]], $B310, Age_Sex_BY[[#All],[Insurance Category Code]],5),2)</f>
        <v>0</v>
      </c>
      <c r="G310" s="212">
        <f>ROUND(SUMIFS(Age_Sex_BY[[#All],[Total Spending After Applying Truncation at the Member Level]], Age_Sex_BY[[#All],[Advanced Network ID]], $B310, Age_Sex_BY[[#All],[Insurance Category Code]],5), 2)</f>
        <v>0</v>
      </c>
      <c r="H310" s="525" t="str">
        <f>IF(ROUND(C310,0)=ROUND(SUMIFS(AN_TME_BY[[#All],[Member Months]], AN_TME_BY[[#All],[Insurance Category Code]],5, AN_TME_BY[[#All],[Advanced Network/Insurance Carrier Org ID]],B310),0), "TRUE", ROUND(C310-SUMIFS(AN_TME_BY[[#All],[Member Months]], AN_TME_BY[[#All],[Insurance Category Code]],5, AN_TME_BY[[#All],[Advanced Network/Insurance Carrier Org ID]],B310),2))</f>
        <v>TRUE</v>
      </c>
      <c r="I310" s="533" t="str">
        <f>IF(ROUND(D310,0)=ROUND(SUMIFS(AN_TME_BY[[#All],[Total Claims Excluded because of Truncation]], AN_TME_BY[[#All],[Insurance Category Code]],5, AN_TME_BY[[#All],[Advanced Network/Insurance Carrier Org ID]],B310),0), "TRUE", ROUND(D310-SUMIFS(AN_TME_BY[[#All],[Total Claims Excluded because of Truncation]], AN_TME_BY[[#All],[Insurance Category Code]],5, AN_TME_BY[[#All],[Advanced Network/Insurance Carrier Org ID]],B310),2))</f>
        <v>TRUE</v>
      </c>
      <c r="J310" s="537" t="str">
        <f>IF(ROUND(E310,0)=ROUND(SUMIFS(AN_TME_BY[[#All],[Count of Members with Claims Truncated]], AN_TME_BY[[#All],[Insurance Category Code]],5, AN_TME_BY[[#All],[Advanced Network/Insurance Carrier Org ID]],B310),0), "TRUE", ROUND(E310-SUMIFS(AN_TME_BY[[#All],[Count of Members with Claims Truncated]], AN_TME_BY[[#All],[Insurance Category Code]],5, AN_TME_BY[[#All],[Advanced Network/Insurance Carrier Org ID]],B310),2))</f>
        <v>TRUE</v>
      </c>
      <c r="K310" s="533" t="str">
        <f>IF(ROUND(F310,0)=ROUND(SUMIFS(AN_TME_BY[[#All],[TOTAL Non-Truncated Unadjusted Claims Expenses]], AN_TME_BY[[#All],[Insurance Category Code]],5, AN_TME_BY[[#All],[Advanced Network/Insurance Carrier Org ID]],B310),0), "TRUE", ROUND(F310-SUMIFS(AN_TME_BY[[#All],[TOTAL Non-Truncated Unadjusted Claims Expenses]], AN_TME_BY[[#All],[Insurance Category Code]],5, AN_TME_BY[[#All],[Advanced Network/Insurance Carrier Org ID]],B310),2))</f>
        <v>TRUE</v>
      </c>
      <c r="L310" s="534" t="str">
        <f>IF(ROUND(G310,0)=ROUND(SUMIFS(AN_TME_BY[[#All],[TOTAL Truncated Unadjusted Claims Expenses (A21 -A19)]], AN_TME_BY[[#All],[Insurance Category Code]],5, AN_TME_BY[[#All],[Advanced Network/Insurance Carrier Org ID]],B310),0), "TRUE", ROUND(G310-SUMIFS(AN_TME_BY[[#All],[TOTAL Truncated Unadjusted Claims Expenses (A21 -A19)]], AN_TME_BY[[#All],[Insurance Category Code]],5, AN_TME_BY[[#All],[Advanced Network/Insurance Carrier Org ID]],B310),2))</f>
        <v>TRUE</v>
      </c>
      <c r="M310" s="525" t="str">
        <f t="shared" si="35"/>
        <v>TRUE</v>
      </c>
      <c r="N310" s="533" t="b">
        <f>ROUND(SUMIFS(AN_TME_BY[[#All],[TOTAL Non-Truncated Unadjusted Claims Expenses]], AN_TME_BY[[#All],[Insurance Category Code]],5, AN_TME_BY[[#All],[Advanced Network/Insurance Carrier Org ID]],B310),2)&gt;=ROUND(SUMIFS(AN_TME_BY[[#All],[TOTAL Truncated Unadjusted Claims Expenses (A21 -A19)]], AN_TME_BY[[#All],[Insurance Category Code]],5, AN_TME_BY[[#All],[Advanced Network/Insurance Carrier Org ID]],B310),2)</f>
        <v>1</v>
      </c>
      <c r="O310" s="534" t="b">
        <f>ROUND(SUMIFS(AN_TME_BY[[#All],[TOTAL Truncated Unadjusted Claims Expenses (A21 -A19)]], AN_TME_BY[[#All],[Insurance Category Code]],5, AN_TME_BY[[#All],[Advanced Network/Insurance Carrier Org ID]],B310)+SUMIFS(AN_TME_BY[[#All],[Total Claims Excluded because of Truncation]], AN_TME_BY[[#All],[Insurance Category Code]],5, AN_TME_BY[[#All],[Advanced Network/Insurance Carrier Org ID]],B310),2)=ROUND(SUMIFS(AN_TME_BY[[#All],[TOTAL Non-Truncated Unadjusted Claims Expenses]], AN_TME_BY[[#All],[Insurance Category Code]],5, AN_TME_BY[[#All],[Advanced Network/Insurance Carrier Org ID]],B310),2)</f>
        <v>1</v>
      </c>
      <c r="Q310" s="216">
        <v>131</v>
      </c>
      <c r="R310" s="404">
        <f>ROUND(SUMIFS(Age_Sex_PY[[#All],[Total Member Months by Age/Sex Band]], Age_Sex_PY[[#All],[Advanced Network ID]], $Q310, Age_Sex_PY[[#All],[Insurance Category Code]],5),2)</f>
        <v>0</v>
      </c>
      <c r="S310" s="238">
        <f>ROUND(SUMIFS(Age_Sex_PY[[#All],[Total Dollars Excluded from Spending After Applying Truncation at the Member Level]], Age_Sex_PY[[#All],[Advanced Network ID]], $B310, Age_Sex_PY[[#All],[Insurance Category Code]],5),2)</f>
        <v>0</v>
      </c>
      <c r="T310" s="209">
        <f>ROUND(SUMIFS(Age_Sex_PY[[#All],[Count of Members whose Spending was Truncated]], Age_Sex_PY[[#All],[Advanced Network ID]], $B310, Age_Sex_PY[[#All],[Insurance Category Code]],5),2)</f>
        <v>0</v>
      </c>
      <c r="U310" s="210">
        <f>ROUND(SUMIFS(Age_Sex_PY[[#All],[Total Spending before Truncation is Applied]], Age_Sex_PY[[#All],[Advanced Network ID]], $B310, Age_Sex_PY[[#All],[Insurance Category Code]],5), 2)</f>
        <v>0</v>
      </c>
      <c r="V310" s="212">
        <f>ROUND(SUMIFS(Age_Sex_PY[[#All],[Total Spending After Applying Truncation at the Member Level]], Age_Sex_PY[[#All],[Advanced Network ID]], $B310, Age_Sex_PY[[#All],[Insurance Category Code]],5),2)</f>
        <v>0</v>
      </c>
      <c r="W310" s="525" t="str">
        <f>IF(ROUND(R310,0)=ROUND(SUMIFS(AN_TME_PY[[#All],[Member Months]], AN_TME_PY[[#All],[Insurance Category Code]],5, AN_TME_PY[[#All],[Advanced Network/Insurance Carrier Org ID]],Q310),0), "TRUE", ROUND(R310-SUMIFS(AN_TME_PY[[#All],[Member Months]], AN_TME_PY[[#All],[Insurance Category Code]],5, AN_TME_PY[[#All],[Advanced Network/Insurance Carrier Org ID]],Q310),2))</f>
        <v>TRUE</v>
      </c>
      <c r="X310" s="527" t="str">
        <f>IF(ROUND(S310,0)=ROUND(SUMIFS(AN_TME_PY[[#All],[Total Claims Excluded because of Truncation]], AN_TME_PY[[#All],[Insurance Category Code]],5, AN_TME_PY[[#All],[Advanced Network/Insurance Carrier Org ID]],Q310),0), "TRUE", ROUND(S310-SUMIFS(AN_TME_PY[[#All],[Total Claims Excluded because of Truncation]], AN_TME_PY[[#All],[Insurance Category Code]],5, AN_TME_PY[[#All],[Advanced Network/Insurance Carrier Org ID]],Q310),2))</f>
        <v>TRUE</v>
      </c>
      <c r="Y310" s="537" t="str">
        <f>IF(ROUND(T310,0)=ROUND(SUMIFS(AN_TME_PY[[#All],[Count of Members with Claims Truncated]], AN_TME_PY[[#All],[Insurance Category Code]],5, AN_TME_PY[[#All],[Advanced Network/Insurance Carrier Org ID]],Q310),0), "TRUE", ROUND(T310-SUMIFS(AN_TME_PY[[#All],[Count of Members with Claims Truncated]], AN_TME_PY[[#All],[Insurance Category Code]],5, AN_TME_PY[[#All],[Advanced Network/Insurance Carrier Org ID]],Q310),2))</f>
        <v>TRUE</v>
      </c>
      <c r="Z310" s="528" t="str">
        <f>IF(ROUND(U310,0)=ROUND(SUMIFS(AN_TME_PY[[#All],[TOTAL Non-Truncated Unadjusted Claims Expenses]], AN_TME_PY[[#All],[Insurance Category Code]],5, AN_TME_PY[[#All],[Advanced Network/Insurance Carrier Org ID]],Q310),0), "TRUE", ROUND(U310-SUMIFS(AN_TME_PY[[#All],[TOTAL Non-Truncated Unadjusted Claims Expenses]], AN_TME_PY[[#All],[Insurance Category Code]],5, AN_TME_PY[[#All],[Advanced Network/Insurance Carrier Org ID]],Q310),2))</f>
        <v>TRUE</v>
      </c>
      <c r="AA310" s="529" t="str">
        <f>IF(ROUND(V310,0)=ROUND(SUMIFS(AN_TME_PY[[#All],[TOTAL Truncated Unadjusted Claims Expenses (A21 -A19)]], AN_TME_PY[[#All],[Insurance Category Code]],5, AN_TME_PY[[#All],[Advanced Network/Insurance Carrier Org ID]],Q310),0), "TRUE", ROUND(V310-SUMIFS(AN_TME_PY[[#All],[TOTAL Truncated Unadjusted Claims Expenses (A21 -A19)]], AN_TME_PY[[#All],[Insurance Category Code]],5, AN_TME_PY[[#All],[Advanced Network/Insurance Carrier Org ID]],Q310),2))</f>
        <v>TRUE</v>
      </c>
      <c r="AB310" s="525" t="str">
        <f t="shared" si="38"/>
        <v>TRUE</v>
      </c>
      <c r="AC310" s="528" t="b">
        <f>ROUND(SUMIFS(AN_TME_PY[[#All],[TOTAL Non-Truncated Unadjusted Claims Expenses]], AN_TME_PY[[#All],[Insurance Category Code]],5, AN_TME_PY[[#All],[Advanced Network/Insurance Carrier Org ID]],Q310),2)&gt;=ROUND(SUMIFS(AN_TME_PY[[#All],[TOTAL Truncated Unadjusted Claims Expenses (A21 -A19)]], AN_TME_PY[[#All],[Insurance Category Code]],5, AN_TME_PY[[#All],[Advanced Network/Insurance Carrier Org ID]],Q310),2)</f>
        <v>1</v>
      </c>
      <c r="AD310" s="529" t="b">
        <f>ROUND(SUMIFS(AN_TME_PY[[#All],[TOTAL Truncated Unadjusted Claims Expenses (A21 -A19)]], AN_TME_PY[[#All],[Insurance Category Code]],5, AN_TME_PY[[#All],[Advanced Network/Insurance Carrier Org ID]],Q310)+SUMIFS(AN_TME_PY[[#All],[Total Claims Excluded because of Truncation]], AN_TME_PY[[#All],[Insurance Category Code]],5, AN_TME_PY[[#All],[Advanced Network/Insurance Carrier Org ID]],Q310),2)=ROUND(SUMIFS(AN_TME_PY[[#All],[TOTAL Non-Truncated Unadjusted Claims Expenses]], AN_TME_PY[[#All],[Insurance Category Code]],5, AN_TME_PY[[#All],[Advanced Network/Insurance Carrier Org ID]],Q310),2)</f>
        <v>1</v>
      </c>
      <c r="AF310" s="283" t="str">
        <f t="shared" si="37"/>
        <v>NA</v>
      </c>
    </row>
    <row r="311" spans="2:32" outlineLevel="1" x14ac:dyDescent="0.25">
      <c r="B311" s="216">
        <v>132</v>
      </c>
      <c r="C311" s="404">
        <f>ROUND(SUMIFS(Age_Sex_BY[[#All],[Total Member Months by Age/Sex Band]], Age_Sex_BY[[#All],[Advanced Network ID]], $B311, Age_Sex_BY[[#All],[Insurance Category Code]],5),2)</f>
        <v>0</v>
      </c>
      <c r="D311" s="238">
        <f>ROUND(SUMIFS(Age_Sex_BY[[#All],[Total Dollars Excluded from Spending After Applying Truncation at the Member Level]], Age_Sex_BY[[#All],[Advanced Network ID]], $B311, Age_Sex_BY[[#All],[Insurance Category Code]],5),2)</f>
        <v>0</v>
      </c>
      <c r="E311" s="209">
        <f>ROUND(SUMIFS(Age_Sex_BY[[#All],[Count of Members whose Spending was Truncated]], Age_Sex_BY[[#All],[Advanced Network ID]], $B311, Age_Sex_BY[[#All],[Insurance Category Code]],5),2)</f>
        <v>0</v>
      </c>
      <c r="F311" s="210">
        <f>ROUND(SUMIFS(Age_Sex_BY[[#All],[Total Spending before Truncation is Applied]], Age_Sex_BY[[#All],[Advanced Network ID]], $B311, Age_Sex_BY[[#All],[Insurance Category Code]],5),2)</f>
        <v>0</v>
      </c>
      <c r="G311" s="212">
        <f>ROUND(SUMIFS(Age_Sex_BY[[#All],[Total Spending After Applying Truncation at the Member Level]], Age_Sex_BY[[#All],[Advanced Network ID]], $B311, Age_Sex_BY[[#All],[Insurance Category Code]],5), 2)</f>
        <v>0</v>
      </c>
      <c r="H311" s="525" t="str">
        <f>IF(ROUND(C311,0)=ROUND(SUMIFS(AN_TME_BY[[#All],[Member Months]], AN_TME_BY[[#All],[Insurance Category Code]],5, AN_TME_BY[[#All],[Advanced Network/Insurance Carrier Org ID]],B311),0), "TRUE", ROUND(C311-SUMIFS(AN_TME_BY[[#All],[Member Months]], AN_TME_BY[[#All],[Insurance Category Code]],5, AN_TME_BY[[#All],[Advanced Network/Insurance Carrier Org ID]],B311),2))</f>
        <v>TRUE</v>
      </c>
      <c r="I311" s="533" t="str">
        <f>IF(ROUND(D311,0)=ROUND(SUMIFS(AN_TME_BY[[#All],[Total Claims Excluded because of Truncation]], AN_TME_BY[[#All],[Insurance Category Code]],5, AN_TME_BY[[#All],[Advanced Network/Insurance Carrier Org ID]],B311),0), "TRUE", ROUND(D311-SUMIFS(AN_TME_BY[[#All],[Total Claims Excluded because of Truncation]], AN_TME_BY[[#All],[Insurance Category Code]],5, AN_TME_BY[[#All],[Advanced Network/Insurance Carrier Org ID]],B311),2))</f>
        <v>TRUE</v>
      </c>
      <c r="J311" s="537" t="str">
        <f>IF(ROUND(E311,0)=ROUND(SUMIFS(AN_TME_BY[[#All],[Count of Members with Claims Truncated]], AN_TME_BY[[#All],[Insurance Category Code]],5, AN_TME_BY[[#All],[Advanced Network/Insurance Carrier Org ID]],B311),0), "TRUE", ROUND(E311-SUMIFS(AN_TME_BY[[#All],[Count of Members with Claims Truncated]], AN_TME_BY[[#All],[Insurance Category Code]],5, AN_TME_BY[[#All],[Advanced Network/Insurance Carrier Org ID]],B311),2))</f>
        <v>TRUE</v>
      </c>
      <c r="K311" s="533" t="str">
        <f>IF(ROUND(F311,0)=ROUND(SUMIFS(AN_TME_BY[[#All],[TOTAL Non-Truncated Unadjusted Claims Expenses]], AN_TME_BY[[#All],[Insurance Category Code]],5, AN_TME_BY[[#All],[Advanced Network/Insurance Carrier Org ID]],B311),0), "TRUE", ROUND(F311-SUMIFS(AN_TME_BY[[#All],[TOTAL Non-Truncated Unadjusted Claims Expenses]], AN_TME_BY[[#All],[Insurance Category Code]],5, AN_TME_BY[[#All],[Advanced Network/Insurance Carrier Org ID]],B311),2))</f>
        <v>TRUE</v>
      </c>
      <c r="L311" s="534" t="str">
        <f>IF(ROUND(G311,0)=ROUND(SUMIFS(AN_TME_BY[[#All],[TOTAL Truncated Unadjusted Claims Expenses (A21 -A19)]], AN_TME_BY[[#All],[Insurance Category Code]],5, AN_TME_BY[[#All],[Advanced Network/Insurance Carrier Org ID]],B311),0), "TRUE", ROUND(G311-SUMIFS(AN_TME_BY[[#All],[TOTAL Truncated Unadjusted Claims Expenses (A21 -A19)]], AN_TME_BY[[#All],[Insurance Category Code]],5, AN_TME_BY[[#All],[Advanced Network/Insurance Carrier Org ID]],B311),2))</f>
        <v>TRUE</v>
      </c>
      <c r="M311" s="525" t="str">
        <f t="shared" ref="M311:M313" si="39">IF(E311=0, "TRUE",IF((C311/12)&gt;E311,"TRUE",(C311/12)-E311))</f>
        <v>TRUE</v>
      </c>
      <c r="N311" s="533" t="b">
        <f>ROUND(SUMIFS(AN_TME_BY[[#All],[TOTAL Non-Truncated Unadjusted Claims Expenses]], AN_TME_BY[[#All],[Insurance Category Code]],5, AN_TME_BY[[#All],[Advanced Network/Insurance Carrier Org ID]],B311),2)&gt;=ROUND(SUMIFS(AN_TME_BY[[#All],[TOTAL Truncated Unadjusted Claims Expenses (A21 -A19)]], AN_TME_BY[[#All],[Insurance Category Code]],5, AN_TME_BY[[#All],[Advanced Network/Insurance Carrier Org ID]],B311),2)</f>
        <v>1</v>
      </c>
      <c r="O311" s="534" t="b">
        <f>ROUND(SUMIFS(AN_TME_BY[[#All],[TOTAL Truncated Unadjusted Claims Expenses (A21 -A19)]], AN_TME_BY[[#All],[Insurance Category Code]],5, AN_TME_BY[[#All],[Advanced Network/Insurance Carrier Org ID]],B311)+SUMIFS(AN_TME_BY[[#All],[Total Claims Excluded because of Truncation]], AN_TME_BY[[#All],[Insurance Category Code]],5, AN_TME_BY[[#All],[Advanced Network/Insurance Carrier Org ID]],B311),2)=ROUND(SUMIFS(AN_TME_BY[[#All],[TOTAL Non-Truncated Unadjusted Claims Expenses]], AN_TME_BY[[#All],[Insurance Category Code]],5, AN_TME_BY[[#All],[Advanced Network/Insurance Carrier Org ID]],B311),2)</f>
        <v>1</v>
      </c>
      <c r="Q311" s="216">
        <v>132</v>
      </c>
      <c r="R311" s="404">
        <f>ROUND(SUMIFS(Age_Sex_PY[[#All],[Total Member Months by Age/Sex Band]], Age_Sex_PY[[#All],[Advanced Network ID]], $Q311, Age_Sex_PY[[#All],[Insurance Category Code]],5),2)</f>
        <v>0</v>
      </c>
      <c r="S311" s="238">
        <f>ROUND(SUMIFS(Age_Sex_PY[[#All],[Total Dollars Excluded from Spending After Applying Truncation at the Member Level]], Age_Sex_PY[[#All],[Advanced Network ID]], $B311, Age_Sex_PY[[#All],[Insurance Category Code]],5),2)</f>
        <v>0</v>
      </c>
      <c r="T311" s="209">
        <f>ROUND(SUMIFS(Age_Sex_PY[[#All],[Count of Members whose Spending was Truncated]], Age_Sex_PY[[#All],[Advanced Network ID]], $B311, Age_Sex_PY[[#All],[Insurance Category Code]],5),2)</f>
        <v>0</v>
      </c>
      <c r="U311" s="210">
        <f>ROUND(SUMIFS(Age_Sex_PY[[#All],[Total Spending before Truncation is Applied]], Age_Sex_PY[[#All],[Advanced Network ID]], $B311, Age_Sex_PY[[#All],[Insurance Category Code]],5), 2)</f>
        <v>0</v>
      </c>
      <c r="V311" s="212">
        <f>ROUND(SUMIFS(Age_Sex_PY[[#All],[Total Spending After Applying Truncation at the Member Level]], Age_Sex_PY[[#All],[Advanced Network ID]], $B311, Age_Sex_PY[[#All],[Insurance Category Code]],5),2)</f>
        <v>0</v>
      </c>
      <c r="W311" s="525" t="str">
        <f>IF(ROUND(R311,0)=ROUND(SUMIFS(AN_TME_PY[[#All],[Member Months]], AN_TME_PY[[#All],[Insurance Category Code]],5, AN_TME_PY[[#All],[Advanced Network/Insurance Carrier Org ID]],Q311),0), "TRUE", ROUND(R311-SUMIFS(AN_TME_PY[[#All],[Member Months]], AN_TME_PY[[#All],[Insurance Category Code]],5, AN_TME_PY[[#All],[Advanced Network/Insurance Carrier Org ID]],Q311),2))</f>
        <v>TRUE</v>
      </c>
      <c r="X311" s="527" t="str">
        <f>IF(ROUND(S311,0)=ROUND(SUMIFS(AN_TME_PY[[#All],[Total Claims Excluded because of Truncation]], AN_TME_PY[[#All],[Insurance Category Code]],5, AN_TME_PY[[#All],[Advanced Network/Insurance Carrier Org ID]],Q311),0), "TRUE", ROUND(S311-SUMIFS(AN_TME_PY[[#All],[Total Claims Excluded because of Truncation]], AN_TME_PY[[#All],[Insurance Category Code]],5, AN_TME_PY[[#All],[Advanced Network/Insurance Carrier Org ID]],Q311),2))</f>
        <v>TRUE</v>
      </c>
      <c r="Y311" s="537" t="str">
        <f>IF(ROUND(T311,0)=ROUND(SUMIFS(AN_TME_PY[[#All],[Count of Members with Claims Truncated]], AN_TME_PY[[#All],[Insurance Category Code]],5, AN_TME_PY[[#All],[Advanced Network/Insurance Carrier Org ID]],Q311),0), "TRUE", ROUND(T311-SUMIFS(AN_TME_PY[[#All],[Count of Members with Claims Truncated]], AN_TME_PY[[#All],[Insurance Category Code]],5, AN_TME_PY[[#All],[Advanced Network/Insurance Carrier Org ID]],Q311),2))</f>
        <v>TRUE</v>
      </c>
      <c r="Z311" s="528" t="str">
        <f>IF(ROUND(U311,0)=ROUND(SUMIFS(AN_TME_PY[[#All],[TOTAL Non-Truncated Unadjusted Claims Expenses]], AN_TME_PY[[#All],[Insurance Category Code]],5, AN_TME_PY[[#All],[Advanced Network/Insurance Carrier Org ID]],Q311),0), "TRUE", ROUND(U311-SUMIFS(AN_TME_PY[[#All],[TOTAL Non-Truncated Unadjusted Claims Expenses]], AN_TME_PY[[#All],[Insurance Category Code]],5, AN_TME_PY[[#All],[Advanced Network/Insurance Carrier Org ID]],Q311),2))</f>
        <v>TRUE</v>
      </c>
      <c r="AA311" s="529" t="str">
        <f>IF(ROUND(V311,0)=ROUND(SUMIFS(AN_TME_PY[[#All],[TOTAL Truncated Unadjusted Claims Expenses (A21 -A19)]], AN_TME_PY[[#All],[Insurance Category Code]],5, AN_TME_PY[[#All],[Advanced Network/Insurance Carrier Org ID]],Q311),0), "TRUE", ROUND(V311-SUMIFS(AN_TME_PY[[#All],[TOTAL Truncated Unadjusted Claims Expenses (A21 -A19)]], AN_TME_PY[[#All],[Insurance Category Code]],5, AN_TME_PY[[#All],[Advanced Network/Insurance Carrier Org ID]],Q311),2))</f>
        <v>TRUE</v>
      </c>
      <c r="AB311" s="525" t="str">
        <f t="shared" ref="AB311:AB313" si="40">IF(T311=0, "TRUE",IF((R311/12)&gt;T311,"TRUE",(R311/12)-T311))</f>
        <v>TRUE</v>
      </c>
      <c r="AC311" s="528" t="b">
        <f>ROUND(SUMIFS(AN_TME_PY[[#All],[TOTAL Non-Truncated Unadjusted Claims Expenses]], AN_TME_PY[[#All],[Insurance Category Code]],5, AN_TME_PY[[#All],[Advanced Network/Insurance Carrier Org ID]],Q311),2)&gt;=ROUND(SUMIFS(AN_TME_PY[[#All],[TOTAL Truncated Unadjusted Claims Expenses (A21 -A19)]], AN_TME_PY[[#All],[Insurance Category Code]],5, AN_TME_PY[[#All],[Advanced Network/Insurance Carrier Org ID]],Q311),2)</f>
        <v>1</v>
      </c>
      <c r="AD311" s="529" t="b">
        <f>ROUND(SUMIFS(AN_TME_PY[[#All],[TOTAL Truncated Unadjusted Claims Expenses (A21 -A19)]], AN_TME_PY[[#All],[Insurance Category Code]],5, AN_TME_PY[[#All],[Advanced Network/Insurance Carrier Org ID]],Q311)+SUMIFS(AN_TME_PY[[#All],[Total Claims Excluded because of Truncation]], AN_TME_PY[[#All],[Insurance Category Code]],5, AN_TME_PY[[#All],[Advanced Network/Insurance Carrier Org ID]],Q311),2)=ROUND(SUMIFS(AN_TME_PY[[#All],[TOTAL Non-Truncated Unadjusted Claims Expenses]], AN_TME_PY[[#All],[Insurance Category Code]],5, AN_TME_PY[[#All],[Advanced Network/Insurance Carrier Org ID]],Q311),2)</f>
        <v>1</v>
      </c>
      <c r="AF311" s="283" t="str">
        <f t="shared" ref="AF311:AF313" si="41">IFERROR(R311/C311-1, "NA")</f>
        <v>NA</v>
      </c>
    </row>
    <row r="312" spans="2:32" outlineLevel="1" x14ac:dyDescent="0.25">
      <c r="B312" s="216">
        <v>133</v>
      </c>
      <c r="C312" s="404">
        <f>ROUND(SUMIFS(Age_Sex_BY[[#All],[Total Member Months by Age/Sex Band]], Age_Sex_BY[[#All],[Advanced Network ID]], $B312, Age_Sex_BY[[#All],[Insurance Category Code]],5),2)</f>
        <v>0</v>
      </c>
      <c r="D312" s="238">
        <f>ROUND(SUMIFS(Age_Sex_BY[[#All],[Total Dollars Excluded from Spending After Applying Truncation at the Member Level]], Age_Sex_BY[[#All],[Advanced Network ID]], $B312, Age_Sex_BY[[#All],[Insurance Category Code]],5),2)</f>
        <v>0</v>
      </c>
      <c r="E312" s="209">
        <f>ROUND(SUMIFS(Age_Sex_BY[[#All],[Count of Members whose Spending was Truncated]], Age_Sex_BY[[#All],[Advanced Network ID]], $B312, Age_Sex_BY[[#All],[Insurance Category Code]],5),2)</f>
        <v>0</v>
      </c>
      <c r="F312" s="210">
        <f>ROUND(SUMIFS(Age_Sex_BY[[#All],[Total Spending before Truncation is Applied]], Age_Sex_BY[[#All],[Advanced Network ID]], $B312, Age_Sex_BY[[#All],[Insurance Category Code]],5),2)</f>
        <v>0</v>
      </c>
      <c r="G312" s="212">
        <f>ROUND(SUMIFS(Age_Sex_BY[[#All],[Total Spending After Applying Truncation at the Member Level]], Age_Sex_BY[[#All],[Advanced Network ID]], $B312, Age_Sex_BY[[#All],[Insurance Category Code]],5), 2)</f>
        <v>0</v>
      </c>
      <c r="H312" s="525" t="str">
        <f>IF(ROUND(C312,0)=ROUND(SUMIFS(AN_TME_BY[[#All],[Member Months]], AN_TME_BY[[#All],[Insurance Category Code]],5, AN_TME_BY[[#All],[Advanced Network/Insurance Carrier Org ID]],B312),0), "TRUE", ROUND(C312-SUMIFS(AN_TME_BY[[#All],[Member Months]], AN_TME_BY[[#All],[Insurance Category Code]],5, AN_TME_BY[[#All],[Advanced Network/Insurance Carrier Org ID]],B312),2))</f>
        <v>TRUE</v>
      </c>
      <c r="I312" s="533" t="str">
        <f>IF(ROUND(D312,0)=ROUND(SUMIFS(AN_TME_BY[[#All],[Total Claims Excluded because of Truncation]], AN_TME_BY[[#All],[Insurance Category Code]],5, AN_TME_BY[[#All],[Advanced Network/Insurance Carrier Org ID]],B312),0), "TRUE", ROUND(D312-SUMIFS(AN_TME_BY[[#All],[Total Claims Excluded because of Truncation]], AN_TME_BY[[#All],[Insurance Category Code]],5, AN_TME_BY[[#All],[Advanced Network/Insurance Carrier Org ID]],B312),2))</f>
        <v>TRUE</v>
      </c>
      <c r="J312" s="537" t="str">
        <f>IF(ROUND(E312,0)=ROUND(SUMIFS(AN_TME_BY[[#All],[Count of Members with Claims Truncated]], AN_TME_BY[[#All],[Insurance Category Code]],5, AN_TME_BY[[#All],[Advanced Network/Insurance Carrier Org ID]],B312),0), "TRUE", ROUND(E312-SUMIFS(AN_TME_BY[[#All],[Count of Members with Claims Truncated]], AN_TME_BY[[#All],[Insurance Category Code]],5, AN_TME_BY[[#All],[Advanced Network/Insurance Carrier Org ID]],B312),2))</f>
        <v>TRUE</v>
      </c>
      <c r="K312" s="533" t="str">
        <f>IF(ROUND(F312,0)=ROUND(SUMIFS(AN_TME_BY[[#All],[TOTAL Non-Truncated Unadjusted Claims Expenses]], AN_TME_BY[[#All],[Insurance Category Code]],5, AN_TME_BY[[#All],[Advanced Network/Insurance Carrier Org ID]],B312),0), "TRUE", ROUND(F312-SUMIFS(AN_TME_BY[[#All],[TOTAL Non-Truncated Unadjusted Claims Expenses]], AN_TME_BY[[#All],[Insurance Category Code]],5, AN_TME_BY[[#All],[Advanced Network/Insurance Carrier Org ID]],B312),2))</f>
        <v>TRUE</v>
      </c>
      <c r="L312" s="534" t="str">
        <f>IF(ROUND(G312,0)=ROUND(SUMIFS(AN_TME_BY[[#All],[TOTAL Truncated Unadjusted Claims Expenses (A21 -A19)]], AN_TME_BY[[#All],[Insurance Category Code]],5, AN_TME_BY[[#All],[Advanced Network/Insurance Carrier Org ID]],B312),0), "TRUE", ROUND(G312-SUMIFS(AN_TME_BY[[#All],[TOTAL Truncated Unadjusted Claims Expenses (A21 -A19)]], AN_TME_BY[[#All],[Insurance Category Code]],5, AN_TME_BY[[#All],[Advanced Network/Insurance Carrier Org ID]],B312),2))</f>
        <v>TRUE</v>
      </c>
      <c r="M312" s="525" t="str">
        <f t="shared" si="39"/>
        <v>TRUE</v>
      </c>
      <c r="N312" s="533" t="b">
        <f>ROUND(SUMIFS(AN_TME_BY[[#All],[TOTAL Non-Truncated Unadjusted Claims Expenses]], AN_TME_BY[[#All],[Insurance Category Code]],5, AN_TME_BY[[#All],[Advanced Network/Insurance Carrier Org ID]],B312),2)&gt;=ROUND(SUMIFS(AN_TME_BY[[#All],[TOTAL Truncated Unadjusted Claims Expenses (A21 -A19)]], AN_TME_BY[[#All],[Insurance Category Code]],5, AN_TME_BY[[#All],[Advanced Network/Insurance Carrier Org ID]],B312),2)</f>
        <v>1</v>
      </c>
      <c r="O312" s="534" t="b">
        <f>ROUND(SUMIFS(AN_TME_BY[[#All],[TOTAL Truncated Unadjusted Claims Expenses (A21 -A19)]], AN_TME_BY[[#All],[Insurance Category Code]],5, AN_TME_BY[[#All],[Advanced Network/Insurance Carrier Org ID]],B312)+SUMIFS(AN_TME_BY[[#All],[Total Claims Excluded because of Truncation]], AN_TME_BY[[#All],[Insurance Category Code]],5, AN_TME_BY[[#All],[Advanced Network/Insurance Carrier Org ID]],B312),2)=ROUND(SUMIFS(AN_TME_BY[[#All],[TOTAL Non-Truncated Unadjusted Claims Expenses]], AN_TME_BY[[#All],[Insurance Category Code]],5, AN_TME_BY[[#All],[Advanced Network/Insurance Carrier Org ID]],B312),2)</f>
        <v>1</v>
      </c>
      <c r="Q312" s="216">
        <v>133</v>
      </c>
      <c r="R312" s="404">
        <f>ROUND(SUMIFS(Age_Sex_PY[[#All],[Total Member Months by Age/Sex Band]], Age_Sex_PY[[#All],[Advanced Network ID]], $Q312, Age_Sex_PY[[#All],[Insurance Category Code]],5),2)</f>
        <v>0</v>
      </c>
      <c r="S312" s="238">
        <f>ROUND(SUMIFS(Age_Sex_PY[[#All],[Total Dollars Excluded from Spending After Applying Truncation at the Member Level]], Age_Sex_PY[[#All],[Advanced Network ID]], $B312, Age_Sex_PY[[#All],[Insurance Category Code]],5),2)</f>
        <v>0</v>
      </c>
      <c r="T312" s="209">
        <f>ROUND(SUMIFS(Age_Sex_PY[[#All],[Count of Members whose Spending was Truncated]], Age_Sex_PY[[#All],[Advanced Network ID]], $B312, Age_Sex_PY[[#All],[Insurance Category Code]],5),2)</f>
        <v>0</v>
      </c>
      <c r="U312" s="210">
        <f>ROUND(SUMIFS(Age_Sex_PY[[#All],[Total Spending before Truncation is Applied]], Age_Sex_PY[[#All],[Advanced Network ID]], $B312, Age_Sex_PY[[#All],[Insurance Category Code]],5), 2)</f>
        <v>0</v>
      </c>
      <c r="V312" s="212">
        <f>ROUND(SUMIFS(Age_Sex_PY[[#All],[Total Spending After Applying Truncation at the Member Level]], Age_Sex_PY[[#All],[Advanced Network ID]], $B312, Age_Sex_PY[[#All],[Insurance Category Code]],5),2)</f>
        <v>0</v>
      </c>
      <c r="W312" s="525" t="str">
        <f>IF(ROUND(R312,0)=ROUND(SUMIFS(AN_TME_PY[[#All],[Member Months]], AN_TME_PY[[#All],[Insurance Category Code]],5, AN_TME_PY[[#All],[Advanced Network/Insurance Carrier Org ID]],Q312),0), "TRUE", ROUND(R312-SUMIFS(AN_TME_PY[[#All],[Member Months]], AN_TME_PY[[#All],[Insurance Category Code]],5, AN_TME_PY[[#All],[Advanced Network/Insurance Carrier Org ID]],Q312),2))</f>
        <v>TRUE</v>
      </c>
      <c r="X312" s="527" t="str">
        <f>IF(ROUND(S312,0)=ROUND(SUMIFS(AN_TME_PY[[#All],[Total Claims Excluded because of Truncation]], AN_TME_PY[[#All],[Insurance Category Code]],5, AN_TME_PY[[#All],[Advanced Network/Insurance Carrier Org ID]],Q312),0), "TRUE", ROUND(S312-SUMIFS(AN_TME_PY[[#All],[Total Claims Excluded because of Truncation]], AN_TME_PY[[#All],[Insurance Category Code]],5, AN_TME_PY[[#All],[Advanced Network/Insurance Carrier Org ID]],Q312),2))</f>
        <v>TRUE</v>
      </c>
      <c r="Y312" s="537" t="str">
        <f>IF(ROUND(T312,0)=ROUND(SUMIFS(AN_TME_PY[[#All],[Count of Members with Claims Truncated]], AN_TME_PY[[#All],[Insurance Category Code]],5, AN_TME_PY[[#All],[Advanced Network/Insurance Carrier Org ID]],Q312),0), "TRUE", ROUND(T312-SUMIFS(AN_TME_PY[[#All],[Count of Members with Claims Truncated]], AN_TME_PY[[#All],[Insurance Category Code]],5, AN_TME_PY[[#All],[Advanced Network/Insurance Carrier Org ID]],Q312),2))</f>
        <v>TRUE</v>
      </c>
      <c r="Z312" s="528" t="str">
        <f>IF(ROUND(U312,0)=ROUND(SUMIFS(AN_TME_PY[[#All],[TOTAL Non-Truncated Unadjusted Claims Expenses]], AN_TME_PY[[#All],[Insurance Category Code]],5, AN_TME_PY[[#All],[Advanced Network/Insurance Carrier Org ID]],Q312),0), "TRUE", ROUND(U312-SUMIFS(AN_TME_PY[[#All],[TOTAL Non-Truncated Unadjusted Claims Expenses]], AN_TME_PY[[#All],[Insurance Category Code]],5, AN_TME_PY[[#All],[Advanced Network/Insurance Carrier Org ID]],Q312),2))</f>
        <v>TRUE</v>
      </c>
      <c r="AA312" s="529" t="str">
        <f>IF(ROUND(V312,0)=ROUND(SUMIFS(AN_TME_PY[[#All],[TOTAL Truncated Unadjusted Claims Expenses (A21 -A19)]], AN_TME_PY[[#All],[Insurance Category Code]],5, AN_TME_PY[[#All],[Advanced Network/Insurance Carrier Org ID]],Q312),0), "TRUE", ROUND(V312-SUMIFS(AN_TME_PY[[#All],[TOTAL Truncated Unadjusted Claims Expenses (A21 -A19)]], AN_TME_PY[[#All],[Insurance Category Code]],5, AN_TME_PY[[#All],[Advanced Network/Insurance Carrier Org ID]],Q312),2))</f>
        <v>TRUE</v>
      </c>
      <c r="AB312" s="525" t="str">
        <f t="shared" si="40"/>
        <v>TRUE</v>
      </c>
      <c r="AC312" s="528" t="b">
        <f>ROUND(SUMIFS(AN_TME_PY[[#All],[TOTAL Non-Truncated Unadjusted Claims Expenses]], AN_TME_PY[[#All],[Insurance Category Code]],5, AN_TME_PY[[#All],[Advanced Network/Insurance Carrier Org ID]],Q312),2)&gt;=ROUND(SUMIFS(AN_TME_PY[[#All],[TOTAL Truncated Unadjusted Claims Expenses (A21 -A19)]], AN_TME_PY[[#All],[Insurance Category Code]],5, AN_TME_PY[[#All],[Advanced Network/Insurance Carrier Org ID]],Q312),2)</f>
        <v>1</v>
      </c>
      <c r="AD312" s="529" t="b">
        <f>ROUND(SUMIFS(AN_TME_PY[[#All],[TOTAL Truncated Unadjusted Claims Expenses (A21 -A19)]], AN_TME_PY[[#All],[Insurance Category Code]],5, AN_TME_PY[[#All],[Advanced Network/Insurance Carrier Org ID]],Q312)+SUMIFS(AN_TME_PY[[#All],[Total Claims Excluded because of Truncation]], AN_TME_PY[[#All],[Insurance Category Code]],5, AN_TME_PY[[#All],[Advanced Network/Insurance Carrier Org ID]],Q312),2)=ROUND(SUMIFS(AN_TME_PY[[#All],[TOTAL Non-Truncated Unadjusted Claims Expenses]], AN_TME_PY[[#All],[Insurance Category Code]],5, AN_TME_PY[[#All],[Advanced Network/Insurance Carrier Org ID]],Q312),2)</f>
        <v>1</v>
      </c>
      <c r="AF312" s="283" t="str">
        <f t="shared" si="41"/>
        <v>NA</v>
      </c>
    </row>
    <row r="313" spans="2:32" outlineLevel="1" x14ac:dyDescent="0.25">
      <c r="B313" s="216">
        <v>134</v>
      </c>
      <c r="C313" s="404">
        <f>ROUND(SUMIFS(Age_Sex_BY[[#All],[Total Member Months by Age/Sex Band]], Age_Sex_BY[[#All],[Advanced Network ID]], $B313, Age_Sex_BY[[#All],[Insurance Category Code]],5),2)</f>
        <v>0</v>
      </c>
      <c r="D313" s="238">
        <f>ROUND(SUMIFS(Age_Sex_BY[[#All],[Total Dollars Excluded from Spending After Applying Truncation at the Member Level]], Age_Sex_BY[[#All],[Advanced Network ID]], $B313, Age_Sex_BY[[#All],[Insurance Category Code]],5),2)</f>
        <v>0</v>
      </c>
      <c r="E313" s="209">
        <f>ROUND(SUMIFS(Age_Sex_BY[[#All],[Count of Members whose Spending was Truncated]], Age_Sex_BY[[#All],[Advanced Network ID]], $B313, Age_Sex_BY[[#All],[Insurance Category Code]],5),2)</f>
        <v>0</v>
      </c>
      <c r="F313" s="210">
        <f>ROUND(SUMIFS(Age_Sex_BY[[#All],[Total Spending before Truncation is Applied]], Age_Sex_BY[[#All],[Advanced Network ID]], $B313, Age_Sex_BY[[#All],[Insurance Category Code]],5),2)</f>
        <v>0</v>
      </c>
      <c r="G313" s="212">
        <f>ROUND(SUMIFS(Age_Sex_BY[[#All],[Total Spending After Applying Truncation at the Member Level]], Age_Sex_BY[[#All],[Advanced Network ID]], $B313, Age_Sex_BY[[#All],[Insurance Category Code]],5), 2)</f>
        <v>0</v>
      </c>
      <c r="H313" s="525" t="str">
        <f>IF(ROUND(C313,0)=ROUND(SUMIFS(AN_TME_BY[[#All],[Member Months]], AN_TME_BY[[#All],[Insurance Category Code]],5, AN_TME_BY[[#All],[Advanced Network/Insurance Carrier Org ID]],B313),0), "TRUE", ROUND(C313-SUMIFS(AN_TME_BY[[#All],[Member Months]], AN_TME_BY[[#All],[Insurance Category Code]],5, AN_TME_BY[[#All],[Advanced Network/Insurance Carrier Org ID]],B313),2))</f>
        <v>TRUE</v>
      </c>
      <c r="I313" s="533" t="str">
        <f>IF(ROUND(D313,0)=ROUND(SUMIFS(AN_TME_BY[[#All],[Total Claims Excluded because of Truncation]], AN_TME_BY[[#All],[Insurance Category Code]],5, AN_TME_BY[[#All],[Advanced Network/Insurance Carrier Org ID]],B313),0), "TRUE", ROUND(D313-SUMIFS(AN_TME_BY[[#All],[Total Claims Excluded because of Truncation]], AN_TME_BY[[#All],[Insurance Category Code]],5, AN_TME_BY[[#All],[Advanced Network/Insurance Carrier Org ID]],B313),2))</f>
        <v>TRUE</v>
      </c>
      <c r="J313" s="537" t="str">
        <f>IF(ROUND(E313,0)=ROUND(SUMIFS(AN_TME_BY[[#All],[Count of Members with Claims Truncated]], AN_TME_BY[[#All],[Insurance Category Code]],5, AN_TME_BY[[#All],[Advanced Network/Insurance Carrier Org ID]],B313),0), "TRUE", ROUND(E313-SUMIFS(AN_TME_BY[[#All],[Count of Members with Claims Truncated]], AN_TME_BY[[#All],[Insurance Category Code]],5, AN_TME_BY[[#All],[Advanced Network/Insurance Carrier Org ID]],B313),2))</f>
        <v>TRUE</v>
      </c>
      <c r="K313" s="533" t="str">
        <f>IF(ROUND(F313,0)=ROUND(SUMIFS(AN_TME_BY[[#All],[TOTAL Non-Truncated Unadjusted Claims Expenses]], AN_TME_BY[[#All],[Insurance Category Code]],5, AN_TME_BY[[#All],[Advanced Network/Insurance Carrier Org ID]],B313),0), "TRUE", ROUND(F313-SUMIFS(AN_TME_BY[[#All],[TOTAL Non-Truncated Unadjusted Claims Expenses]], AN_TME_BY[[#All],[Insurance Category Code]],5, AN_TME_BY[[#All],[Advanced Network/Insurance Carrier Org ID]],B313),2))</f>
        <v>TRUE</v>
      </c>
      <c r="L313" s="534" t="str">
        <f>IF(ROUND(G313,0)=ROUND(SUMIFS(AN_TME_BY[[#All],[TOTAL Truncated Unadjusted Claims Expenses (A21 -A19)]], AN_TME_BY[[#All],[Insurance Category Code]],5, AN_TME_BY[[#All],[Advanced Network/Insurance Carrier Org ID]],B313),0), "TRUE", ROUND(G313-SUMIFS(AN_TME_BY[[#All],[TOTAL Truncated Unadjusted Claims Expenses (A21 -A19)]], AN_TME_BY[[#All],[Insurance Category Code]],5, AN_TME_BY[[#All],[Advanced Network/Insurance Carrier Org ID]],B313),2))</f>
        <v>TRUE</v>
      </c>
      <c r="M313" s="525" t="str">
        <f t="shared" si="39"/>
        <v>TRUE</v>
      </c>
      <c r="N313" s="533" t="b">
        <f>ROUND(SUMIFS(AN_TME_BY[[#All],[TOTAL Non-Truncated Unadjusted Claims Expenses]], AN_TME_BY[[#All],[Insurance Category Code]],5, AN_TME_BY[[#All],[Advanced Network/Insurance Carrier Org ID]],B313),2)&gt;=ROUND(SUMIFS(AN_TME_BY[[#All],[TOTAL Truncated Unadjusted Claims Expenses (A21 -A19)]], AN_TME_BY[[#All],[Insurance Category Code]],5, AN_TME_BY[[#All],[Advanced Network/Insurance Carrier Org ID]],B313),2)</f>
        <v>1</v>
      </c>
      <c r="O313" s="534" t="b">
        <f>ROUND(SUMIFS(AN_TME_BY[[#All],[TOTAL Truncated Unadjusted Claims Expenses (A21 -A19)]], AN_TME_BY[[#All],[Insurance Category Code]],5, AN_TME_BY[[#All],[Advanced Network/Insurance Carrier Org ID]],B313)+SUMIFS(AN_TME_BY[[#All],[Total Claims Excluded because of Truncation]], AN_TME_BY[[#All],[Insurance Category Code]],5, AN_TME_BY[[#All],[Advanced Network/Insurance Carrier Org ID]],B313),2)=ROUND(SUMIFS(AN_TME_BY[[#All],[TOTAL Non-Truncated Unadjusted Claims Expenses]], AN_TME_BY[[#All],[Insurance Category Code]],5, AN_TME_BY[[#All],[Advanced Network/Insurance Carrier Org ID]],B313),2)</f>
        <v>1</v>
      </c>
      <c r="Q313" s="216">
        <v>134</v>
      </c>
      <c r="R313" s="404">
        <f>ROUND(SUMIFS(Age_Sex_PY[[#All],[Total Member Months by Age/Sex Band]], Age_Sex_PY[[#All],[Advanced Network ID]], $Q313, Age_Sex_PY[[#All],[Insurance Category Code]],5),2)</f>
        <v>0</v>
      </c>
      <c r="S313" s="238">
        <f>ROUND(SUMIFS(Age_Sex_PY[[#All],[Total Dollars Excluded from Spending After Applying Truncation at the Member Level]], Age_Sex_PY[[#All],[Advanced Network ID]], $B313, Age_Sex_PY[[#All],[Insurance Category Code]],5),2)</f>
        <v>0</v>
      </c>
      <c r="T313" s="209">
        <f>ROUND(SUMIFS(Age_Sex_PY[[#All],[Count of Members whose Spending was Truncated]], Age_Sex_PY[[#All],[Advanced Network ID]], $B313, Age_Sex_PY[[#All],[Insurance Category Code]],5),2)</f>
        <v>0</v>
      </c>
      <c r="U313" s="210">
        <f>ROUND(SUMIFS(Age_Sex_PY[[#All],[Total Spending before Truncation is Applied]], Age_Sex_PY[[#All],[Advanced Network ID]], $B313, Age_Sex_PY[[#All],[Insurance Category Code]],5), 2)</f>
        <v>0</v>
      </c>
      <c r="V313" s="212">
        <f>ROUND(SUMIFS(Age_Sex_PY[[#All],[Total Spending After Applying Truncation at the Member Level]], Age_Sex_PY[[#All],[Advanced Network ID]], $B313, Age_Sex_PY[[#All],[Insurance Category Code]],5),2)</f>
        <v>0</v>
      </c>
      <c r="W313" s="525" t="str">
        <f>IF(ROUND(R313,0)=ROUND(SUMIFS(AN_TME_PY[[#All],[Member Months]], AN_TME_PY[[#All],[Insurance Category Code]],5, AN_TME_PY[[#All],[Advanced Network/Insurance Carrier Org ID]],Q313),0), "TRUE", ROUND(R313-SUMIFS(AN_TME_PY[[#All],[Member Months]], AN_TME_PY[[#All],[Insurance Category Code]],5, AN_TME_PY[[#All],[Advanced Network/Insurance Carrier Org ID]],Q313),2))</f>
        <v>TRUE</v>
      </c>
      <c r="X313" s="527" t="str">
        <f>IF(ROUND(S313,0)=ROUND(SUMIFS(AN_TME_PY[[#All],[Total Claims Excluded because of Truncation]], AN_TME_PY[[#All],[Insurance Category Code]],5, AN_TME_PY[[#All],[Advanced Network/Insurance Carrier Org ID]],Q313),0), "TRUE", ROUND(S313-SUMIFS(AN_TME_PY[[#All],[Total Claims Excluded because of Truncation]], AN_TME_PY[[#All],[Insurance Category Code]],5, AN_TME_PY[[#All],[Advanced Network/Insurance Carrier Org ID]],Q313),2))</f>
        <v>TRUE</v>
      </c>
      <c r="Y313" s="537" t="str">
        <f>IF(ROUND(T313,0)=ROUND(SUMIFS(AN_TME_PY[[#All],[Count of Members with Claims Truncated]], AN_TME_PY[[#All],[Insurance Category Code]],5, AN_TME_PY[[#All],[Advanced Network/Insurance Carrier Org ID]],Q313),0), "TRUE", ROUND(T313-SUMIFS(AN_TME_PY[[#All],[Count of Members with Claims Truncated]], AN_TME_PY[[#All],[Insurance Category Code]],5, AN_TME_PY[[#All],[Advanced Network/Insurance Carrier Org ID]],Q313),2))</f>
        <v>TRUE</v>
      </c>
      <c r="Z313" s="528" t="str">
        <f>IF(ROUND(U313,0)=ROUND(SUMIFS(AN_TME_PY[[#All],[TOTAL Non-Truncated Unadjusted Claims Expenses]], AN_TME_PY[[#All],[Insurance Category Code]],5, AN_TME_PY[[#All],[Advanced Network/Insurance Carrier Org ID]],Q313),0), "TRUE", ROUND(U313-SUMIFS(AN_TME_PY[[#All],[TOTAL Non-Truncated Unadjusted Claims Expenses]], AN_TME_PY[[#All],[Insurance Category Code]],5, AN_TME_PY[[#All],[Advanced Network/Insurance Carrier Org ID]],Q313),2))</f>
        <v>TRUE</v>
      </c>
      <c r="AA313" s="529" t="str">
        <f>IF(ROUND(V313,0)=ROUND(SUMIFS(AN_TME_PY[[#All],[TOTAL Truncated Unadjusted Claims Expenses (A21 -A19)]], AN_TME_PY[[#All],[Insurance Category Code]],5, AN_TME_PY[[#All],[Advanced Network/Insurance Carrier Org ID]],Q313),0), "TRUE", ROUND(V313-SUMIFS(AN_TME_PY[[#All],[TOTAL Truncated Unadjusted Claims Expenses (A21 -A19)]], AN_TME_PY[[#All],[Insurance Category Code]],5, AN_TME_PY[[#All],[Advanced Network/Insurance Carrier Org ID]],Q313),2))</f>
        <v>TRUE</v>
      </c>
      <c r="AB313" s="525" t="str">
        <f t="shared" si="40"/>
        <v>TRUE</v>
      </c>
      <c r="AC313" s="528" t="b">
        <f>ROUND(SUMIFS(AN_TME_PY[[#All],[TOTAL Non-Truncated Unadjusted Claims Expenses]], AN_TME_PY[[#All],[Insurance Category Code]],5, AN_TME_PY[[#All],[Advanced Network/Insurance Carrier Org ID]],Q313),2)&gt;=ROUND(SUMIFS(AN_TME_PY[[#All],[TOTAL Truncated Unadjusted Claims Expenses (A21 -A19)]], AN_TME_PY[[#All],[Insurance Category Code]],5, AN_TME_PY[[#All],[Advanced Network/Insurance Carrier Org ID]],Q313),2)</f>
        <v>1</v>
      </c>
      <c r="AD313" s="529" t="b">
        <f>ROUND(SUMIFS(AN_TME_PY[[#All],[TOTAL Truncated Unadjusted Claims Expenses (A21 -A19)]], AN_TME_PY[[#All],[Insurance Category Code]],5, AN_TME_PY[[#All],[Advanced Network/Insurance Carrier Org ID]],Q313)+SUMIFS(AN_TME_PY[[#All],[Total Claims Excluded because of Truncation]], AN_TME_PY[[#All],[Insurance Category Code]],5, AN_TME_PY[[#All],[Advanced Network/Insurance Carrier Org ID]],Q313),2)=ROUND(SUMIFS(AN_TME_PY[[#All],[TOTAL Non-Truncated Unadjusted Claims Expenses]], AN_TME_PY[[#All],[Insurance Category Code]],5, AN_TME_PY[[#All],[Advanced Network/Insurance Carrier Org ID]],Q313),2)</f>
        <v>1</v>
      </c>
      <c r="AF313" s="283" t="str">
        <f t="shared" si="41"/>
        <v>NA</v>
      </c>
    </row>
    <row r="314" spans="2:32" ht="15.75" outlineLevel="1" thickBot="1" x14ac:dyDescent="0.3">
      <c r="B314" s="217">
        <v>999</v>
      </c>
      <c r="C314" s="405">
        <f>ROUND(SUMIFS(Age_Sex_BY[[#All],[Total Member Months by Age/Sex Band]], Age_Sex_BY[[#All],[Advanced Network ID]], $B314, Age_Sex_BY[[#All],[Insurance Category Code]],5),2)</f>
        <v>0</v>
      </c>
      <c r="D314" s="240">
        <f>ROUND(SUMIFS(Age_Sex_BY[[#All],[Total Dollars Excluded from Spending After Applying Truncation at the Member Level]], Age_Sex_BY[[#All],[Advanced Network ID]], $B314, Age_Sex_BY[[#All],[Insurance Category Code]],5),2)</f>
        <v>0</v>
      </c>
      <c r="E314" s="213">
        <f>ROUND(SUMIFS(Age_Sex_BY[[#All],[Count of Members whose Spending was Truncated]], Age_Sex_BY[[#All],[Advanced Network ID]], $B314, Age_Sex_BY[[#All],[Insurance Category Code]],5),2)</f>
        <v>0</v>
      </c>
      <c r="F314" s="214">
        <f>ROUND(SUMIFS(Age_Sex_BY[[#All],[Total Spending before Truncation is Applied]], Age_Sex_BY[[#All],[Advanced Network ID]], $B314, Age_Sex_BY[[#All],[Insurance Category Code]],5),2)</f>
        <v>0</v>
      </c>
      <c r="G314" s="215">
        <f>ROUND(SUMIFS(Age_Sex_BY[[#All],[Total Spending After Applying Truncation at the Member Level]], Age_Sex_BY[[#All],[Advanced Network ID]], $B314, Age_Sex_BY[[#All],[Insurance Category Code]],5), 2)</f>
        <v>0</v>
      </c>
      <c r="H314" s="526" t="str">
        <f>IF(ROUND(C314,0)=ROUND(SUMIFS(AN_TME_BY[[#All],[Member Months]], AN_TME_BY[[#All],[Insurance Category Code]],5, AN_TME_BY[[#All],[Advanced Network/Insurance Carrier Org ID]],B314),0), "TRUE", ROUND(C314-SUMIFS(AN_TME_BY[[#All],[Member Months]], AN_TME_BY[[#All],[Insurance Category Code]],5, AN_TME_BY[[#All],[Advanced Network/Insurance Carrier Org ID]],B314),2))</f>
        <v>TRUE</v>
      </c>
      <c r="I314" s="535" t="str">
        <f>IF(ROUND(D314,0)=ROUND(SUMIFS(AN_TME_BY[[#All],[Total Claims Excluded because of Truncation]], AN_TME_BY[[#All],[Insurance Category Code]],5, AN_TME_BY[[#All],[Advanced Network/Insurance Carrier Org ID]],B314),0), "TRUE", ROUND(D314-SUMIFS(AN_TME_BY[[#All],[Total Claims Excluded because of Truncation]], AN_TME_BY[[#All],[Insurance Category Code]],5, AN_TME_BY[[#All],[Advanced Network/Insurance Carrier Org ID]],B314),2))</f>
        <v>TRUE</v>
      </c>
      <c r="J314" s="538" t="str">
        <f>IF(ROUND(E314,0)=ROUND(SUMIFS(AN_TME_BY[[#All],[Count of Members with Claims Truncated]], AN_TME_BY[[#All],[Insurance Category Code]],5, AN_TME_BY[[#All],[Advanced Network/Insurance Carrier Org ID]],B314),0), "TRUE", ROUND(E314-SUMIFS(AN_TME_BY[[#All],[Count of Members with Claims Truncated]], AN_TME_BY[[#All],[Insurance Category Code]],5, AN_TME_BY[[#All],[Advanced Network/Insurance Carrier Org ID]],B314),2))</f>
        <v>TRUE</v>
      </c>
      <c r="K314" s="535" t="str">
        <f>IF(ROUND(F314,0)=ROUND(SUMIFS(AN_TME_BY[[#All],[TOTAL Non-Truncated Unadjusted Claims Expenses]], AN_TME_BY[[#All],[Insurance Category Code]],5, AN_TME_BY[[#All],[Advanced Network/Insurance Carrier Org ID]],B314),0), "TRUE", ROUND(F314-SUMIFS(AN_TME_BY[[#All],[TOTAL Non-Truncated Unadjusted Claims Expenses]], AN_TME_BY[[#All],[Insurance Category Code]],5, AN_TME_BY[[#All],[Advanced Network/Insurance Carrier Org ID]],B314),2))</f>
        <v>TRUE</v>
      </c>
      <c r="L314" s="536" t="str">
        <f>IF(ROUND(G314,0)=ROUND(SUMIFS(AN_TME_BY[[#All],[TOTAL Truncated Unadjusted Claims Expenses (A21 -A19)]], AN_TME_BY[[#All],[Insurance Category Code]],5, AN_TME_BY[[#All],[Advanced Network/Insurance Carrier Org ID]],B314),0), "TRUE", ROUND(G314-SUMIFS(AN_TME_BY[[#All],[TOTAL Truncated Unadjusted Claims Expenses (A21 -A19)]], AN_TME_BY[[#All],[Insurance Category Code]],5, AN_TME_BY[[#All],[Advanced Network/Insurance Carrier Org ID]],B314),2))</f>
        <v>TRUE</v>
      </c>
      <c r="M314" s="526" t="str">
        <f t="shared" si="35"/>
        <v>TRUE</v>
      </c>
      <c r="N314" s="535" t="b">
        <f>ROUND(SUMIFS(AN_TME_BY[[#All],[TOTAL Non-Truncated Unadjusted Claims Expenses]], AN_TME_BY[[#All],[Insurance Category Code]],5, AN_TME_BY[[#All],[Advanced Network/Insurance Carrier Org ID]],B314),2)&gt;=ROUND(SUMIFS(AN_TME_BY[[#All],[TOTAL Truncated Unadjusted Claims Expenses (A21 -A19)]], AN_TME_BY[[#All],[Insurance Category Code]],5, AN_TME_BY[[#All],[Advanced Network/Insurance Carrier Org ID]],B314),2)</f>
        <v>1</v>
      </c>
      <c r="O314" s="536" t="b">
        <f>ROUND(SUMIFS(AN_TME_BY[[#All],[TOTAL Truncated Unadjusted Claims Expenses (A21 -A19)]], AN_TME_BY[[#All],[Insurance Category Code]],5, AN_TME_BY[[#All],[Advanced Network/Insurance Carrier Org ID]],B314)+SUMIFS(AN_TME_BY[[#All],[Total Claims Excluded because of Truncation]], AN_TME_BY[[#All],[Insurance Category Code]],5, AN_TME_BY[[#All],[Advanced Network/Insurance Carrier Org ID]],B314),2)=ROUND(SUMIFS(AN_TME_BY[[#All],[TOTAL Non-Truncated Unadjusted Claims Expenses]], AN_TME_BY[[#All],[Insurance Category Code]],5, AN_TME_BY[[#All],[Advanced Network/Insurance Carrier Org ID]],B314),2)</f>
        <v>1</v>
      </c>
      <c r="Q314" s="217">
        <v>999</v>
      </c>
      <c r="R314" s="405">
        <f>ROUND(SUMIFS(Age_Sex_PY[[#All],[Total Member Months by Age/Sex Band]], Age_Sex_PY[[#All],[Advanced Network ID]], $Q314, Age_Sex_PY[[#All],[Insurance Category Code]],5),2)</f>
        <v>0</v>
      </c>
      <c r="S314" s="240">
        <f>ROUND(SUMIFS(Age_Sex_PY[[#All],[Total Dollars Excluded from Spending After Applying Truncation at the Member Level]], Age_Sex_PY[[#All],[Advanced Network ID]], $B314, Age_Sex_PY[[#All],[Insurance Category Code]],5),2)</f>
        <v>0</v>
      </c>
      <c r="T314" s="213">
        <f>ROUND(SUMIFS(Age_Sex_PY[[#All],[Count of Members whose Spending was Truncated]], Age_Sex_PY[[#All],[Advanced Network ID]], $B314, Age_Sex_PY[[#All],[Insurance Category Code]],5),2)</f>
        <v>0</v>
      </c>
      <c r="U314" s="214">
        <f>ROUND(SUMIFS(Age_Sex_PY[[#All],[Total Spending before Truncation is Applied]], Age_Sex_PY[[#All],[Advanced Network ID]], $B314, Age_Sex_PY[[#All],[Insurance Category Code]],5), 2)</f>
        <v>0</v>
      </c>
      <c r="V314" s="215">
        <f>ROUND(SUMIFS(Age_Sex_PY[[#All],[Total Spending After Applying Truncation at the Member Level]], Age_Sex_PY[[#All],[Advanced Network ID]], $B314, Age_Sex_PY[[#All],[Insurance Category Code]],5),2)</f>
        <v>0</v>
      </c>
      <c r="W314" s="526" t="str">
        <f>IF(ROUND(R314,0)=ROUND(SUMIFS(AN_TME_PY[[#All],[Member Months]], AN_TME_PY[[#All],[Insurance Category Code]],5, AN_TME_PY[[#All],[Advanced Network/Insurance Carrier Org ID]],Q314),0), "TRUE", ROUND(R314-SUMIFS(AN_TME_PY[[#All],[Member Months]], AN_TME_PY[[#All],[Insurance Category Code]],5, AN_TME_PY[[#All],[Advanced Network/Insurance Carrier Org ID]],Q314),2))</f>
        <v>TRUE</v>
      </c>
      <c r="X314" s="530" t="str">
        <f>IF(ROUND(S314,0)=ROUND(SUMIFS(AN_TME_PY[[#All],[Total Claims Excluded because of Truncation]], AN_TME_PY[[#All],[Insurance Category Code]],5, AN_TME_PY[[#All],[Advanced Network/Insurance Carrier Org ID]],Q314),0), "TRUE", ROUND(S314-SUMIFS(AN_TME_PY[[#All],[Total Claims Excluded because of Truncation]], AN_TME_PY[[#All],[Insurance Category Code]],5, AN_TME_PY[[#All],[Advanced Network/Insurance Carrier Org ID]],Q314),2))</f>
        <v>TRUE</v>
      </c>
      <c r="Y314" s="538" t="str">
        <f>IF(ROUND(T314,0)=ROUND(SUMIFS(AN_TME_PY[[#All],[Count of Members with Claims Truncated]], AN_TME_PY[[#All],[Insurance Category Code]],5, AN_TME_PY[[#All],[Advanced Network/Insurance Carrier Org ID]],Q314),0), "TRUE", ROUND(T314-SUMIFS(AN_TME_PY[[#All],[Count of Members with Claims Truncated]], AN_TME_PY[[#All],[Insurance Category Code]],5, AN_TME_PY[[#All],[Advanced Network/Insurance Carrier Org ID]],Q314),2))</f>
        <v>TRUE</v>
      </c>
      <c r="Z314" s="531" t="str">
        <f>IF(ROUND(U314,0)=ROUND(SUMIFS(AN_TME_PY[[#All],[TOTAL Non-Truncated Unadjusted Claims Expenses]], AN_TME_PY[[#All],[Insurance Category Code]],5, AN_TME_PY[[#All],[Advanced Network/Insurance Carrier Org ID]],Q314),0), "TRUE", ROUND(U314-SUMIFS(AN_TME_PY[[#All],[TOTAL Non-Truncated Unadjusted Claims Expenses]], AN_TME_PY[[#All],[Insurance Category Code]],5, AN_TME_PY[[#All],[Advanced Network/Insurance Carrier Org ID]],Q314),2))</f>
        <v>TRUE</v>
      </c>
      <c r="AA314" s="532" t="str">
        <f>IF(ROUND(V314,0)=ROUND(SUMIFS(AN_TME_PY[[#All],[TOTAL Truncated Unadjusted Claims Expenses (A21 -A19)]], AN_TME_PY[[#All],[Insurance Category Code]],5, AN_TME_PY[[#All],[Advanced Network/Insurance Carrier Org ID]],Q314),0), "TRUE", ROUND(V314-SUMIFS(AN_TME_PY[[#All],[TOTAL Truncated Unadjusted Claims Expenses (A21 -A19)]], AN_TME_PY[[#All],[Insurance Category Code]],5, AN_TME_PY[[#All],[Advanced Network/Insurance Carrier Org ID]],Q314),2))</f>
        <v>TRUE</v>
      </c>
      <c r="AB314" s="526" t="str">
        <f t="shared" si="38"/>
        <v>TRUE</v>
      </c>
      <c r="AC314" s="531" t="b">
        <f>ROUND(SUMIFS(AN_TME_PY[[#All],[TOTAL Non-Truncated Unadjusted Claims Expenses]], AN_TME_PY[[#All],[Insurance Category Code]],5, AN_TME_PY[[#All],[Advanced Network/Insurance Carrier Org ID]],Q314),2)&gt;=ROUND(SUMIFS(AN_TME_PY[[#All],[TOTAL Truncated Unadjusted Claims Expenses (A21 -A19)]], AN_TME_PY[[#All],[Insurance Category Code]],5, AN_TME_PY[[#All],[Advanced Network/Insurance Carrier Org ID]],Q314),2)</f>
        <v>1</v>
      </c>
      <c r="AD314" s="532" t="b">
        <f>ROUND(SUMIFS(AN_TME_PY[[#All],[TOTAL Truncated Unadjusted Claims Expenses (A21 -A19)]], AN_TME_PY[[#All],[Insurance Category Code]],5, AN_TME_PY[[#All],[Advanced Network/Insurance Carrier Org ID]],Q314)+SUMIFS(AN_TME_PY[[#All],[Total Claims Excluded because of Truncation]], AN_TME_PY[[#All],[Insurance Category Code]],5, AN_TME_PY[[#All],[Advanced Network/Insurance Carrier Org ID]],Q314),2)=ROUND(SUMIFS(AN_TME_PY[[#All],[TOTAL Non-Truncated Unadjusted Claims Expenses]], AN_TME_PY[[#All],[Insurance Category Code]],5, AN_TME_PY[[#All],[Advanced Network/Insurance Carrier Org ID]],Q314),2)</f>
        <v>1</v>
      </c>
      <c r="AF314" s="284" t="str">
        <f t="shared" si="37"/>
        <v>NA</v>
      </c>
    </row>
    <row r="315" spans="2:32" outlineLevel="1" x14ac:dyDescent="0.25">
      <c r="B315" s="30"/>
      <c r="C315" s="30"/>
      <c r="D315" s="14"/>
      <c r="E315" s="113"/>
    </row>
    <row r="316" spans="2:32" outlineLevel="1" x14ac:dyDescent="0.25">
      <c r="B316" s="318" t="s">
        <v>384</v>
      </c>
      <c r="C316" s="14"/>
      <c r="D316" s="113"/>
      <c r="L316" s="211"/>
      <c r="M316" s="211"/>
      <c r="N316" s="211"/>
      <c r="O316" s="211"/>
      <c r="Q316" s="318" t="s">
        <v>384</v>
      </c>
    </row>
    <row r="317" spans="2:32" ht="19.5" outlineLevel="1" thickBot="1" x14ac:dyDescent="0.35">
      <c r="B317" s="249"/>
      <c r="C317" s="211"/>
      <c r="D317" s="14"/>
      <c r="E317" s="113"/>
      <c r="Q317" s="249"/>
      <c r="R317" s="211"/>
      <c r="S317" s="14"/>
      <c r="T317" s="113"/>
    </row>
    <row r="318" spans="2:32" ht="24" outlineLevel="1" thickBot="1" x14ac:dyDescent="0.4">
      <c r="B318" s="269" t="s">
        <v>420</v>
      </c>
      <c r="C318" s="640" t="s">
        <v>402</v>
      </c>
      <c r="D318" s="641"/>
      <c r="E318" s="641"/>
      <c r="F318" s="641"/>
      <c r="G318" s="642"/>
      <c r="H318" s="643" t="s">
        <v>403</v>
      </c>
      <c r="I318" s="644"/>
      <c r="J318" s="644"/>
      <c r="K318" s="644"/>
      <c r="L318" s="645"/>
      <c r="M318" s="637" t="s">
        <v>404</v>
      </c>
      <c r="N318" s="638"/>
      <c r="O318" s="639"/>
      <c r="Q318" s="269"/>
      <c r="R318" s="640" t="s">
        <v>405</v>
      </c>
      <c r="S318" s="641"/>
      <c r="T318" s="641"/>
      <c r="U318" s="641"/>
      <c r="V318" s="642"/>
      <c r="W318" s="643" t="s">
        <v>406</v>
      </c>
      <c r="X318" s="644"/>
      <c r="Y318" s="644"/>
      <c r="Z318" s="644"/>
      <c r="AA318" s="645"/>
      <c r="AB318" s="637" t="s">
        <v>404</v>
      </c>
      <c r="AC318" s="638"/>
      <c r="AD318" s="639"/>
    </row>
    <row r="319" spans="2:32" ht="97.5" customHeight="1" outlineLevel="1" thickBot="1" x14ac:dyDescent="0.3">
      <c r="B319" s="259" t="s">
        <v>247</v>
      </c>
      <c r="C319" s="258" t="s">
        <v>156</v>
      </c>
      <c r="D319" s="320" t="s">
        <v>248</v>
      </c>
      <c r="E319" s="320" t="s">
        <v>407</v>
      </c>
      <c r="F319" s="320" t="s">
        <v>157</v>
      </c>
      <c r="G319" s="321" t="s">
        <v>159</v>
      </c>
      <c r="H319" s="322" t="s">
        <v>212</v>
      </c>
      <c r="I319" s="323" t="s">
        <v>408</v>
      </c>
      <c r="J319" s="323" t="s">
        <v>409</v>
      </c>
      <c r="K319" s="323" t="s">
        <v>410</v>
      </c>
      <c r="L319" s="324" t="s">
        <v>411</v>
      </c>
      <c r="M319" s="325" t="s">
        <v>412</v>
      </c>
      <c r="N319" s="326" t="s">
        <v>413</v>
      </c>
      <c r="O319" s="327" t="s">
        <v>414</v>
      </c>
      <c r="Q319" s="328" t="s">
        <v>247</v>
      </c>
      <c r="R319" s="258" t="s">
        <v>156</v>
      </c>
      <c r="S319" s="320" t="s">
        <v>248</v>
      </c>
      <c r="T319" s="320" t="s">
        <v>407</v>
      </c>
      <c r="U319" s="320" t="s">
        <v>157</v>
      </c>
      <c r="V319" s="321" t="s">
        <v>159</v>
      </c>
      <c r="W319" s="322" t="s">
        <v>212</v>
      </c>
      <c r="X319" s="323" t="s">
        <v>408</v>
      </c>
      <c r="Y319" s="323" t="s">
        <v>409</v>
      </c>
      <c r="Z319" s="323" t="s">
        <v>410</v>
      </c>
      <c r="AA319" s="324" t="s">
        <v>411</v>
      </c>
      <c r="AB319" s="325" t="s">
        <v>412</v>
      </c>
      <c r="AC319" s="326" t="s">
        <v>413</v>
      </c>
      <c r="AD319" s="327" t="s">
        <v>414</v>
      </c>
      <c r="AF319" s="281" t="s">
        <v>415</v>
      </c>
    </row>
    <row r="320" spans="2:32" outlineLevel="1" x14ac:dyDescent="0.25">
      <c r="B320" s="216">
        <v>100</v>
      </c>
      <c r="C320" s="404">
        <f>ROUND(SUMIFS(Age_Sex_BY[[#All],[Total Member Months by Age/Sex Band]], Age_Sex_BY[[#All],[Advanced Network ID]], $B320, Age_Sex_BY[[#All],[Insurance Category Code]],6),2)</f>
        <v>0</v>
      </c>
      <c r="D320" s="238">
        <f>ROUND(SUMIFS(Age_Sex_BY[[#All],[Total Dollars Excluded from Spending After Applying Truncation at the Member Level]], Age_Sex_BY[[#All],[Advanced Network ID]], $B320, Age_Sex_BY[[#All],[Insurance Category Code]],6),2)</f>
        <v>0</v>
      </c>
      <c r="E320" s="209">
        <f>ROUND(SUMIFS(Age_Sex_BY[[#All],[Count of Members whose Spending was Truncated]], Age_Sex_BY[[#All],[Advanced Network ID]], $B320, Age_Sex_BY[[#All],[Insurance Category Code]],6),2)</f>
        <v>0</v>
      </c>
      <c r="F320" s="210">
        <f>ROUND(SUMIFS(Age_Sex_BY[[#All],[Total Spending before Truncation is Applied]], Age_Sex_BY[[#All],[Advanced Network ID]], $B320, Age_Sex_BY[[#All],[Insurance Category Code]],6),2)</f>
        <v>0</v>
      </c>
      <c r="G320" s="212">
        <f>ROUND(SUMIFS(Age_Sex_BY[[#All],[Total Spending After Applying Truncation at the Member Level]], Age_Sex_BY[[#All],[Advanced Network ID]], $B320, Age_Sex_BY[[#All],[Insurance Category Code]],6),2)</f>
        <v>0</v>
      </c>
      <c r="H320" s="525" t="str">
        <f>IF(ROUND(C320,0)=ROUND(SUMIFS(AN_TME_BY[[#All],[Member Months]], AN_TME_BY[[#All],[Insurance Category Code]],6, AN_TME_BY[[#All],[Advanced Network/Insurance Carrier Org ID]],B320),0), "TRUE", ROUND(C320-SUMIFS(AN_TME_BY[[#All],[Member Months]], AN_TME_BY[[#All],[Insurance Category Code]],6, AN_TME_BY[[#All],[Advanced Network/Insurance Carrier Org ID]],B320),2))</f>
        <v>TRUE</v>
      </c>
      <c r="I320" s="533" t="str">
        <f>IF(ROUND(D320,0)=ROUND(SUMIFS(AN_TME_BY[[#All],[Total Claims Excluded because of Truncation]], AN_TME_BY[[#All],[Insurance Category Code]],6, AN_TME_BY[[#All],[Advanced Network/Insurance Carrier Org ID]],B320),0), "TRUE", ROUND(D320-SUMIFS(AN_TME_BY[[#All],[Total Claims Excluded because of Truncation]], AN_TME_BY[[#All],[Insurance Category Code]],6, AN_TME_BY[[#All],[Advanced Network/Insurance Carrier Org ID]],B320),2))</f>
        <v>TRUE</v>
      </c>
      <c r="J320" s="537" t="str">
        <f>IF(ROUND(E320,0)=ROUND(SUMIFS(AN_TME_BY[[#All],[Count of Members with Claims Truncated]], AN_TME_BY[[#All],[Insurance Category Code]],6, AN_TME_BY[[#All],[Advanced Network/Insurance Carrier Org ID]],B320),0), "TRUE", ROUND(E320-SUMIFS(AN_TME_BY[[#All],[Count of Members with Claims Truncated]], AN_TME_BY[[#All],[Insurance Category Code]],6, AN_TME_BY[[#All],[Advanced Network/Insurance Carrier Org ID]],B320),2))</f>
        <v>TRUE</v>
      </c>
      <c r="K320" s="533" t="str">
        <f>IF(ROUND(F320,0)=ROUND(SUMIFS(AN_TME_BY[[#All],[TOTAL Non-Truncated Unadjusted Claims Expenses]], AN_TME_BY[[#All],[Insurance Category Code]],6, AN_TME_BY[[#All],[Advanced Network/Insurance Carrier Org ID]],B320),0), "TRUE", ROUND(F320-SUMIFS(AN_TME_BY[[#All],[TOTAL Non-Truncated Unadjusted Claims Expenses]], AN_TME_BY[[#All],[Insurance Category Code]],6, AN_TME_BY[[#All],[Advanced Network/Insurance Carrier Org ID]],B320),2))</f>
        <v>TRUE</v>
      </c>
      <c r="L320" s="534" t="str">
        <f>IF(ROUND(G320,0)=ROUND(SUMIFS(AN_TME_BY[[#All],[TOTAL Truncated Unadjusted Claims Expenses (A21 -A19)]], AN_TME_BY[[#All],[Insurance Category Code]],6, AN_TME_BY[[#All],[Advanced Network/Insurance Carrier Org ID]],B320),0), "TRUE", ROUND(G320-SUMIFS(AN_TME_BY[[#All],[TOTAL Truncated Unadjusted Claims Expenses (A21 -A19)]], AN_TME_BY[[#All],[Insurance Category Code]],6, AN_TME_BY[[#All],[Advanced Network/Insurance Carrier Org ID]],B320),2))</f>
        <v>TRUE</v>
      </c>
      <c r="M320" s="525" t="str">
        <f t="shared" ref="M320:M355" si="42">IF(E320=0, "TRUE",IF((C320/12)&gt;E320,"TRUE",(C320/12)-E320))</f>
        <v>TRUE</v>
      </c>
      <c r="N320" s="533" t="b">
        <f>ROUND(SUMIFS(AN_TME_BY[[#All],[TOTAL Non-Truncated Unadjusted Claims Expenses]], AN_TME_BY[[#All],[Insurance Category Code]],6, AN_TME_BY[[#All],[Advanced Network/Insurance Carrier Org ID]],B320),2)&gt;=ROUND(SUMIFS(AN_TME_BY[[#All],[TOTAL Truncated Unadjusted Claims Expenses (A21 -A19)]], AN_TME_BY[[#All],[Insurance Category Code]],6, AN_TME_BY[[#All],[Advanced Network/Insurance Carrier Org ID]],B320),2)</f>
        <v>1</v>
      </c>
      <c r="O320" s="534" t="b">
        <f>ROUND(SUMIFS(AN_TME_BY[[#All],[TOTAL Truncated Unadjusted Claims Expenses (A21 -A19)]], AN_TME_BY[[#All],[Insurance Category Code]],6, AN_TME_BY[[#All],[Advanced Network/Insurance Carrier Org ID]],B320)+SUMIFS(AN_TME_BY[[#All],[Total Claims Excluded because of Truncation]], AN_TME_BY[[#All],[Insurance Category Code]],6, AN_TME_BY[[#All],[Advanced Network/Insurance Carrier Org ID]],B320),2)=ROUND(SUMIFS(AN_TME_BY[[#All],[TOTAL Non-Truncated Unadjusted Claims Expenses]], AN_TME_BY[[#All],[Insurance Category Code]],6, AN_TME_BY[[#All],[Advanced Network/Insurance Carrier Org ID]],B320),2)</f>
        <v>1</v>
      </c>
      <c r="Q320" s="216">
        <v>100</v>
      </c>
      <c r="R320" s="404">
        <f>ROUND(SUMIFS(Age_Sex_PY[[#All],[Total Member Months by Age/Sex Band]], Age_Sex_PY[[#All],[Advanced Network ID]], $Q320, Age_Sex_PY[[#All],[Insurance Category Code]],6),2)</f>
        <v>0</v>
      </c>
      <c r="S320" s="238">
        <f>ROUND(SUMIFS(Age_Sex_PY[[#All],[Total Dollars Excluded from Spending After Applying Truncation at the Member Level]], Age_Sex_PY[[#All],[Advanced Network ID]], $B320, Age_Sex_PY[[#All],[Insurance Category Code]],6),2)</f>
        <v>0</v>
      </c>
      <c r="T320" s="209">
        <f>ROUND(SUMIFS(Age_Sex_PY[[#All],[Count of Members whose Spending was Truncated]], Age_Sex_PY[[#All],[Advanced Network ID]], $B320, Age_Sex_PY[[#All],[Insurance Category Code]],6),2)</f>
        <v>0</v>
      </c>
      <c r="U320" s="210">
        <f>ROUND(SUMIFS(Age_Sex_PY[[#All],[Total Spending before Truncation is Applied]], Age_Sex_PY[[#All],[Advanced Network ID]], $B320, Age_Sex_PY[[#All],[Insurance Category Code]],6),2)</f>
        <v>0</v>
      </c>
      <c r="V320" s="212">
        <f>ROUND(SUMIFS(Age_Sex_PY[[#All],[Total Spending After Applying Truncation at the Member Level]], Age_Sex_PY[[#All],[Advanced Network ID]], $B320, Age_Sex_PY[[#All],[Insurance Category Code]],6),2)</f>
        <v>0</v>
      </c>
      <c r="W320" s="525" t="str">
        <f>IF(ROUND(R320,0)=ROUND(SUMIFS(AN_TME_PY[[#All],[Member Months]], AN_TME_PY[[#All],[Insurance Category Code]],6, AN_TME_PY[[#All],[Advanced Network/Insurance Carrier Org ID]],Q320),0), "TRUE", ROUND(R320-SUMIFS(AN_TME_PY[[#All],[Member Months]], AN_TME_PY[[#All],[Insurance Category Code]],6, AN_TME_PY[[#All],[Advanced Network/Insurance Carrier Org ID]],Q320),2))</f>
        <v>TRUE</v>
      </c>
      <c r="X320" s="533" t="str">
        <f>IF(ROUND(S320,0)=ROUND(SUMIFS(AN_TME_PY[[#All],[Total Claims Excluded because of Truncation]], AN_TME_PY[[#All],[Insurance Category Code]],6, AN_TME_PY[[#All],[Advanced Network/Insurance Carrier Org ID]],Q320),0), "TRUE", ROUND(S320-SUMIFS(AN_TME_PY[[#All],[Total Claims Excluded because of Truncation]], AN_TME_PY[[#All],[Insurance Category Code]],6, AN_TME_PY[[#All],[Advanced Network/Insurance Carrier Org ID]],Q320),2))</f>
        <v>TRUE</v>
      </c>
      <c r="Y320" s="537" t="str">
        <f>IF(ROUND(T320,0)=ROUND(SUMIFS(AN_TME_PY[[#All],[Count of Members with Claims Truncated]], AN_TME_PY[[#All],[Insurance Category Code]],6, AN_TME_PY[[#All],[Advanced Network/Insurance Carrier Org ID]],Q320),0), "TRUE", ROUND(T320-SUMIFS(AN_TME_PY[[#All],[Count of Members with Claims Truncated]], AN_TME_PY[[#All],[Insurance Category Code]],6, AN_TME_PY[[#All],[Advanced Network/Insurance Carrier Org ID]],Q320),2))</f>
        <v>TRUE</v>
      </c>
      <c r="Z320" s="533" t="str">
        <f>IF(ROUND(U320,0)=ROUND(SUMIFS(AN_TME_PY[[#All],[TOTAL Non-Truncated Unadjusted Claims Expenses]], AN_TME_PY[[#All],[Insurance Category Code]],6, AN_TME_PY[[#All],[Advanced Network/Insurance Carrier Org ID]],Q320),0), "TRUE", ROUND(U320-SUMIFS(AN_TME_PY[[#All],[TOTAL Non-Truncated Unadjusted Claims Expenses]], AN_TME_PY[[#All],[Insurance Category Code]],6, AN_TME_PY[[#All],[Advanced Network/Insurance Carrier Org ID]],Q320),2))</f>
        <v>TRUE</v>
      </c>
      <c r="AA320" s="534" t="str">
        <f>IF(ROUND(V320,0)=ROUND(SUMIFS(AN_TME_PY[[#All],[TOTAL Truncated Unadjusted Claims Expenses (A21 -A19)]], AN_TME_PY[[#All],[Insurance Category Code]],6, AN_TME_PY[[#All],[Advanced Network/Insurance Carrier Org ID]],Q320),0), "TRUE", ROUND(V320-SUMIFS(AN_TME_PY[[#All],[TOTAL Truncated Unadjusted Claims Expenses (A21 -A19)]], AN_TME_PY[[#All],[Insurance Category Code]],6, AN_TME_PY[[#All],[Advanced Network/Insurance Carrier Org ID]],Q320),2))</f>
        <v>TRUE</v>
      </c>
      <c r="AB320" s="525" t="str">
        <f t="shared" ref="AB320" si="43">IF(T320=0, "TRUE",IF((R320/12)&gt;T320,"TRUE",(R320/12)-T320))</f>
        <v>TRUE</v>
      </c>
      <c r="AC320" s="533" t="b">
        <f>ROUND(SUMIFS(AN_TME_PY[[#All],[TOTAL Non-Truncated Unadjusted Claims Expenses]], AN_TME_PY[[#All],[Insurance Category Code]],6, AN_TME_PY[[#All],[Advanced Network/Insurance Carrier Org ID]],Q320),2)&gt;=ROUND(SUMIFS(AN_TME_PY[[#All],[TOTAL Truncated Unadjusted Claims Expenses (A21 -A19)]], AN_TME_PY[[#All],[Insurance Category Code]],6, AN_TME_PY[[#All],[Advanced Network/Insurance Carrier Org ID]],Q320),2)</f>
        <v>1</v>
      </c>
      <c r="AD320" s="534" t="b">
        <f>ROUND(SUMIFS(AN_TME_PY[[#All],[TOTAL Truncated Unadjusted Claims Expenses (A21 -A19)]], AN_TME_PY[[#All],[Insurance Category Code]],6, AN_TME_PY[[#All],[Advanced Network/Insurance Carrier Org ID]],Q320)+SUMIFS(AN_TME_PY[[#All],[Total Claims Excluded because of Truncation]], AN_TME_PY[[#All],[Insurance Category Code]],6, AN_TME_PY[[#All],[Advanced Network/Insurance Carrier Org ID]],Q320),2)=ROUND(SUMIFS(AN_TME_PY[[#All],[TOTAL Non-Truncated Unadjusted Claims Expenses]], AN_TME_PY[[#All],[Insurance Category Code]],6, AN_TME_PY[[#All],[Advanced Network/Insurance Carrier Org ID]],Q320),2)</f>
        <v>1</v>
      </c>
      <c r="AF320" s="282" t="str">
        <f t="shared" ref="AF320:AF355" si="44">IFERROR(R320/C320-1, "NA")</f>
        <v>NA</v>
      </c>
    </row>
    <row r="321" spans="2:32" outlineLevel="1" x14ac:dyDescent="0.25">
      <c r="B321" s="216">
        <v>101</v>
      </c>
      <c r="C321" s="404">
        <f>ROUND(SUMIFS(Age_Sex_BY[[#All],[Total Member Months by Age/Sex Band]], Age_Sex_BY[[#All],[Advanced Network ID]], $B321, Age_Sex_BY[[#All],[Insurance Category Code]],6),2)</f>
        <v>0</v>
      </c>
      <c r="D321" s="238">
        <f>ROUND(SUMIFS(Age_Sex_BY[[#All],[Total Dollars Excluded from Spending After Applying Truncation at the Member Level]], Age_Sex_BY[[#All],[Advanced Network ID]], $B321, Age_Sex_BY[[#All],[Insurance Category Code]],6),2)</f>
        <v>0</v>
      </c>
      <c r="E321" s="209">
        <f>ROUND(SUMIFS(Age_Sex_BY[[#All],[Count of Members whose Spending was Truncated]], Age_Sex_BY[[#All],[Advanced Network ID]], $B321, Age_Sex_BY[[#All],[Insurance Category Code]],6),2)</f>
        <v>0</v>
      </c>
      <c r="F321" s="210">
        <f>ROUND(SUMIFS(Age_Sex_BY[[#All],[Total Spending before Truncation is Applied]], Age_Sex_BY[[#All],[Advanced Network ID]], $B321, Age_Sex_BY[[#All],[Insurance Category Code]],6),2)</f>
        <v>0</v>
      </c>
      <c r="G321" s="212">
        <f>ROUND(SUMIFS(Age_Sex_BY[[#All],[Total Spending After Applying Truncation at the Member Level]], Age_Sex_BY[[#All],[Advanced Network ID]], $B321, Age_Sex_BY[[#All],[Insurance Category Code]],6),2)</f>
        <v>0</v>
      </c>
      <c r="H321" s="525" t="str">
        <f>IF(ROUND(C321,0)=ROUND(SUMIFS(AN_TME_BY[[#All],[Member Months]], AN_TME_BY[[#All],[Insurance Category Code]],6, AN_TME_BY[[#All],[Advanced Network/Insurance Carrier Org ID]],B321),0), "TRUE", ROUND(C321-SUMIFS(AN_TME_BY[[#All],[Member Months]], AN_TME_BY[[#All],[Insurance Category Code]],6, AN_TME_BY[[#All],[Advanced Network/Insurance Carrier Org ID]],B321),2))</f>
        <v>TRUE</v>
      </c>
      <c r="I321" s="533" t="str">
        <f>IF(ROUND(D321,0)=ROUND(SUMIFS(AN_TME_BY[[#All],[Total Claims Excluded because of Truncation]], AN_TME_BY[[#All],[Insurance Category Code]],6, AN_TME_BY[[#All],[Advanced Network/Insurance Carrier Org ID]],B321),0), "TRUE", ROUND(D321-SUMIFS(AN_TME_BY[[#All],[Total Claims Excluded because of Truncation]], AN_TME_BY[[#All],[Insurance Category Code]],6, AN_TME_BY[[#All],[Advanced Network/Insurance Carrier Org ID]],B321),2))</f>
        <v>TRUE</v>
      </c>
      <c r="J321" s="537" t="str">
        <f>IF(ROUND(E321,0)=ROUND(SUMIFS(AN_TME_BY[[#All],[Count of Members with Claims Truncated]], AN_TME_BY[[#All],[Insurance Category Code]],6, AN_TME_BY[[#All],[Advanced Network/Insurance Carrier Org ID]],B321),0), "TRUE", ROUND(E321-SUMIFS(AN_TME_BY[[#All],[Count of Members with Claims Truncated]], AN_TME_BY[[#All],[Insurance Category Code]],6, AN_TME_BY[[#All],[Advanced Network/Insurance Carrier Org ID]],B321),2))</f>
        <v>TRUE</v>
      </c>
      <c r="K321" s="533" t="str">
        <f>IF(ROUND(F321,0)=ROUND(SUMIFS(AN_TME_BY[[#All],[TOTAL Non-Truncated Unadjusted Claims Expenses]], AN_TME_BY[[#All],[Insurance Category Code]],6, AN_TME_BY[[#All],[Advanced Network/Insurance Carrier Org ID]],B321),0), "TRUE", ROUND(F321-SUMIFS(AN_TME_BY[[#All],[TOTAL Non-Truncated Unadjusted Claims Expenses]], AN_TME_BY[[#All],[Insurance Category Code]],6, AN_TME_BY[[#All],[Advanced Network/Insurance Carrier Org ID]],B321),2))</f>
        <v>TRUE</v>
      </c>
      <c r="L321" s="534" t="str">
        <f>IF(ROUND(G321,0)=ROUND(SUMIFS(AN_TME_BY[[#All],[TOTAL Truncated Unadjusted Claims Expenses (A21 -A19)]], AN_TME_BY[[#All],[Insurance Category Code]],6, AN_TME_BY[[#All],[Advanced Network/Insurance Carrier Org ID]],B321),0), "TRUE", ROUND(G321-SUMIFS(AN_TME_BY[[#All],[TOTAL Truncated Unadjusted Claims Expenses (A21 -A19)]], AN_TME_BY[[#All],[Insurance Category Code]],6, AN_TME_BY[[#All],[Advanced Network/Insurance Carrier Org ID]],B321),2))</f>
        <v>TRUE</v>
      </c>
      <c r="M321" s="525" t="str">
        <f t="shared" si="42"/>
        <v>TRUE</v>
      </c>
      <c r="N321" s="533" t="b">
        <f>ROUND(SUMIFS(AN_TME_BY[[#All],[TOTAL Non-Truncated Unadjusted Claims Expenses]], AN_TME_BY[[#All],[Insurance Category Code]],6, AN_TME_BY[[#All],[Advanced Network/Insurance Carrier Org ID]],B321),2)&gt;=ROUND(SUMIFS(AN_TME_BY[[#All],[TOTAL Truncated Unadjusted Claims Expenses (A21 -A19)]], AN_TME_BY[[#All],[Insurance Category Code]],6, AN_TME_BY[[#All],[Advanced Network/Insurance Carrier Org ID]],B321),2)</f>
        <v>1</v>
      </c>
      <c r="O321" s="534" t="b">
        <f>ROUND(SUMIFS(AN_TME_BY[[#All],[TOTAL Truncated Unadjusted Claims Expenses (A21 -A19)]], AN_TME_BY[[#All],[Insurance Category Code]],6, AN_TME_BY[[#All],[Advanced Network/Insurance Carrier Org ID]],B321)+SUMIFS(AN_TME_BY[[#All],[Total Claims Excluded because of Truncation]], AN_TME_BY[[#All],[Insurance Category Code]],6, AN_TME_BY[[#All],[Advanced Network/Insurance Carrier Org ID]],B321),2)=ROUND(SUMIFS(AN_TME_BY[[#All],[TOTAL Non-Truncated Unadjusted Claims Expenses]], AN_TME_BY[[#All],[Insurance Category Code]],6, AN_TME_BY[[#All],[Advanced Network/Insurance Carrier Org ID]],B321),2)</f>
        <v>1</v>
      </c>
      <c r="Q321" s="216">
        <v>101</v>
      </c>
      <c r="R321" s="404">
        <f>ROUND(SUMIFS(Age_Sex_PY[[#All],[Total Member Months by Age/Sex Band]], Age_Sex_PY[[#All],[Advanced Network ID]], $Q321, Age_Sex_PY[[#All],[Insurance Category Code]],6),2)</f>
        <v>0</v>
      </c>
      <c r="S321" s="238">
        <f>ROUND(SUMIFS(Age_Sex_PY[[#All],[Total Dollars Excluded from Spending After Applying Truncation at the Member Level]], Age_Sex_PY[[#All],[Advanced Network ID]], $B321, Age_Sex_PY[[#All],[Insurance Category Code]],6),2)</f>
        <v>0</v>
      </c>
      <c r="T321" s="209">
        <f>ROUND(SUMIFS(Age_Sex_PY[[#All],[Count of Members whose Spending was Truncated]], Age_Sex_PY[[#All],[Advanced Network ID]], $B321, Age_Sex_PY[[#All],[Insurance Category Code]],6),2)</f>
        <v>0</v>
      </c>
      <c r="U321" s="210">
        <f>ROUND(SUMIFS(Age_Sex_PY[[#All],[Total Spending before Truncation is Applied]], Age_Sex_PY[[#All],[Advanced Network ID]], $B321, Age_Sex_PY[[#All],[Insurance Category Code]],6),2)</f>
        <v>0</v>
      </c>
      <c r="V321" s="212">
        <f>ROUND(SUMIFS(Age_Sex_PY[[#All],[Total Spending After Applying Truncation at the Member Level]], Age_Sex_PY[[#All],[Advanced Network ID]], $B321, Age_Sex_PY[[#All],[Insurance Category Code]],6),2)</f>
        <v>0</v>
      </c>
      <c r="W321" s="525" t="str">
        <f>IF(ROUND(R321,0)=ROUND(SUMIFS(AN_TME_PY[[#All],[Member Months]], AN_TME_PY[[#All],[Insurance Category Code]],6, AN_TME_PY[[#All],[Advanced Network/Insurance Carrier Org ID]],Q321),0), "TRUE", ROUND(R321-SUMIFS(AN_TME_PY[[#All],[Member Months]], AN_TME_PY[[#All],[Insurance Category Code]],6, AN_TME_PY[[#All],[Advanced Network/Insurance Carrier Org ID]],Q321),2))</f>
        <v>TRUE</v>
      </c>
      <c r="X321" s="533" t="str">
        <f>IF(ROUND(S321,0)=ROUND(SUMIFS(AN_TME_PY[[#All],[Total Claims Excluded because of Truncation]], AN_TME_PY[[#All],[Insurance Category Code]],6, AN_TME_PY[[#All],[Advanced Network/Insurance Carrier Org ID]],Q321),0), "TRUE", ROUND(S321-SUMIFS(AN_TME_PY[[#All],[Total Claims Excluded because of Truncation]], AN_TME_PY[[#All],[Insurance Category Code]],6, AN_TME_PY[[#All],[Advanced Network/Insurance Carrier Org ID]],Q321),2))</f>
        <v>TRUE</v>
      </c>
      <c r="Y321" s="537" t="str">
        <f>IF(ROUND(T321,0)=ROUND(SUMIFS(AN_TME_PY[[#All],[Count of Members with Claims Truncated]], AN_TME_PY[[#All],[Insurance Category Code]],6, AN_TME_PY[[#All],[Advanced Network/Insurance Carrier Org ID]],Q321),0), "TRUE", ROUND(T321-SUMIFS(AN_TME_PY[[#All],[Count of Members with Claims Truncated]], AN_TME_PY[[#All],[Insurance Category Code]],6, AN_TME_PY[[#All],[Advanced Network/Insurance Carrier Org ID]],Q321),2))</f>
        <v>TRUE</v>
      </c>
      <c r="Z321" s="533" t="str">
        <f>IF(ROUND(U321,0)=ROUND(SUMIFS(AN_TME_PY[[#All],[TOTAL Non-Truncated Unadjusted Claims Expenses]], AN_TME_PY[[#All],[Insurance Category Code]],6, AN_TME_PY[[#All],[Advanced Network/Insurance Carrier Org ID]],Q321),0), "TRUE", ROUND(U321-SUMIFS(AN_TME_PY[[#All],[TOTAL Non-Truncated Unadjusted Claims Expenses]], AN_TME_PY[[#All],[Insurance Category Code]],6, AN_TME_PY[[#All],[Advanced Network/Insurance Carrier Org ID]],Q321),2))</f>
        <v>TRUE</v>
      </c>
      <c r="AA321" s="534" t="str">
        <f>IF(ROUND(V321,0)=ROUND(SUMIFS(AN_TME_PY[[#All],[TOTAL Truncated Unadjusted Claims Expenses (A21 -A19)]], AN_TME_PY[[#All],[Insurance Category Code]],6, AN_TME_PY[[#All],[Advanced Network/Insurance Carrier Org ID]],Q321),0), "TRUE", ROUND(V321-SUMIFS(AN_TME_PY[[#All],[TOTAL Truncated Unadjusted Claims Expenses (A21 -A19)]], AN_TME_PY[[#All],[Insurance Category Code]],6, AN_TME_PY[[#All],[Advanced Network/Insurance Carrier Org ID]],Q321),2))</f>
        <v>TRUE</v>
      </c>
      <c r="AB321" s="525" t="str">
        <f t="shared" ref="AB321:AB355" si="45">IF(T321=0, "TRUE",IF((R321/12)&gt;T321,"TRUE",(R321/12)-T321))</f>
        <v>TRUE</v>
      </c>
      <c r="AC321" s="533" t="b">
        <f>ROUND(SUMIFS(AN_TME_PY[[#All],[TOTAL Non-Truncated Unadjusted Claims Expenses]], AN_TME_PY[[#All],[Insurance Category Code]],6, AN_TME_PY[[#All],[Advanced Network/Insurance Carrier Org ID]],Q321),2)&gt;=ROUND(SUMIFS(AN_TME_PY[[#All],[TOTAL Truncated Unadjusted Claims Expenses (A21 -A19)]], AN_TME_PY[[#All],[Insurance Category Code]],6, AN_TME_PY[[#All],[Advanced Network/Insurance Carrier Org ID]],Q321),2)</f>
        <v>1</v>
      </c>
      <c r="AD321" s="534" t="b">
        <f>ROUND(SUMIFS(AN_TME_PY[[#All],[TOTAL Truncated Unadjusted Claims Expenses (A21 -A19)]], AN_TME_PY[[#All],[Insurance Category Code]],6, AN_TME_PY[[#All],[Advanced Network/Insurance Carrier Org ID]],Q321)+SUMIFS(AN_TME_PY[[#All],[Total Claims Excluded because of Truncation]], AN_TME_PY[[#All],[Insurance Category Code]],6, AN_TME_PY[[#All],[Advanced Network/Insurance Carrier Org ID]],Q321),2)=ROUND(SUMIFS(AN_TME_PY[[#All],[TOTAL Non-Truncated Unadjusted Claims Expenses]], AN_TME_PY[[#All],[Insurance Category Code]],6, AN_TME_PY[[#All],[Advanced Network/Insurance Carrier Org ID]],Q321),2)</f>
        <v>1</v>
      </c>
      <c r="AF321" s="283" t="str">
        <f t="shared" si="44"/>
        <v>NA</v>
      </c>
    </row>
    <row r="322" spans="2:32" outlineLevel="1" x14ac:dyDescent="0.25">
      <c r="B322" s="216">
        <v>102</v>
      </c>
      <c r="C322" s="404">
        <f>ROUND(SUMIFS(Age_Sex_BY[[#All],[Total Member Months by Age/Sex Band]], Age_Sex_BY[[#All],[Advanced Network ID]], $B322, Age_Sex_BY[[#All],[Insurance Category Code]],6),2)</f>
        <v>0</v>
      </c>
      <c r="D322" s="238">
        <f>ROUND(SUMIFS(Age_Sex_BY[[#All],[Total Dollars Excluded from Spending After Applying Truncation at the Member Level]], Age_Sex_BY[[#All],[Advanced Network ID]], $B322, Age_Sex_BY[[#All],[Insurance Category Code]],6),2)</f>
        <v>0</v>
      </c>
      <c r="E322" s="209">
        <f>ROUND(SUMIFS(Age_Sex_BY[[#All],[Count of Members whose Spending was Truncated]], Age_Sex_BY[[#All],[Advanced Network ID]], $B322, Age_Sex_BY[[#All],[Insurance Category Code]],6),2)</f>
        <v>0</v>
      </c>
      <c r="F322" s="210">
        <f>ROUND(SUMIFS(Age_Sex_BY[[#All],[Total Spending before Truncation is Applied]], Age_Sex_BY[[#All],[Advanced Network ID]], $B322, Age_Sex_BY[[#All],[Insurance Category Code]],6),2)</f>
        <v>0</v>
      </c>
      <c r="G322" s="212">
        <f>ROUND(SUMIFS(Age_Sex_BY[[#All],[Total Spending After Applying Truncation at the Member Level]], Age_Sex_BY[[#All],[Advanced Network ID]], $B322, Age_Sex_BY[[#All],[Insurance Category Code]],6),2)</f>
        <v>0</v>
      </c>
      <c r="H322" s="525" t="str">
        <f>IF(ROUND(C322,0)=ROUND(SUMIFS(AN_TME_BY[[#All],[Member Months]], AN_TME_BY[[#All],[Insurance Category Code]],6, AN_TME_BY[[#All],[Advanced Network/Insurance Carrier Org ID]],B322),0), "TRUE", ROUND(C322-SUMIFS(AN_TME_BY[[#All],[Member Months]], AN_TME_BY[[#All],[Insurance Category Code]],6, AN_TME_BY[[#All],[Advanced Network/Insurance Carrier Org ID]],B322),2))</f>
        <v>TRUE</v>
      </c>
      <c r="I322" s="533" t="str">
        <f>IF(ROUND(D322,0)=ROUND(SUMIFS(AN_TME_BY[[#All],[Total Claims Excluded because of Truncation]], AN_TME_BY[[#All],[Insurance Category Code]],6, AN_TME_BY[[#All],[Advanced Network/Insurance Carrier Org ID]],B322),0), "TRUE", ROUND(D322-SUMIFS(AN_TME_BY[[#All],[Total Claims Excluded because of Truncation]], AN_TME_BY[[#All],[Insurance Category Code]],6, AN_TME_BY[[#All],[Advanced Network/Insurance Carrier Org ID]],B322),2))</f>
        <v>TRUE</v>
      </c>
      <c r="J322" s="537" t="str">
        <f>IF(ROUND(E322,0)=ROUND(SUMIFS(AN_TME_BY[[#All],[Count of Members with Claims Truncated]], AN_TME_BY[[#All],[Insurance Category Code]],6, AN_TME_BY[[#All],[Advanced Network/Insurance Carrier Org ID]],B322),0), "TRUE", ROUND(E322-SUMIFS(AN_TME_BY[[#All],[Count of Members with Claims Truncated]], AN_TME_BY[[#All],[Insurance Category Code]],6, AN_TME_BY[[#All],[Advanced Network/Insurance Carrier Org ID]],B322),2))</f>
        <v>TRUE</v>
      </c>
      <c r="K322" s="533" t="str">
        <f>IF(ROUND(F322,0)=ROUND(SUMIFS(AN_TME_BY[[#All],[TOTAL Non-Truncated Unadjusted Claims Expenses]], AN_TME_BY[[#All],[Insurance Category Code]],6, AN_TME_BY[[#All],[Advanced Network/Insurance Carrier Org ID]],B322),0), "TRUE", ROUND(F322-SUMIFS(AN_TME_BY[[#All],[TOTAL Non-Truncated Unadjusted Claims Expenses]], AN_TME_BY[[#All],[Insurance Category Code]],6, AN_TME_BY[[#All],[Advanced Network/Insurance Carrier Org ID]],B322),2))</f>
        <v>TRUE</v>
      </c>
      <c r="L322" s="534" t="str">
        <f>IF(ROUND(G322,0)=ROUND(SUMIFS(AN_TME_BY[[#All],[TOTAL Truncated Unadjusted Claims Expenses (A21 -A19)]], AN_TME_BY[[#All],[Insurance Category Code]],6, AN_TME_BY[[#All],[Advanced Network/Insurance Carrier Org ID]],B322),0), "TRUE", ROUND(G322-SUMIFS(AN_TME_BY[[#All],[TOTAL Truncated Unadjusted Claims Expenses (A21 -A19)]], AN_TME_BY[[#All],[Insurance Category Code]],6, AN_TME_BY[[#All],[Advanced Network/Insurance Carrier Org ID]],B322),2))</f>
        <v>TRUE</v>
      </c>
      <c r="M322" s="525" t="str">
        <f t="shared" si="42"/>
        <v>TRUE</v>
      </c>
      <c r="N322" s="533" t="b">
        <f>ROUND(SUMIFS(AN_TME_BY[[#All],[TOTAL Non-Truncated Unadjusted Claims Expenses]], AN_TME_BY[[#All],[Insurance Category Code]],6, AN_TME_BY[[#All],[Advanced Network/Insurance Carrier Org ID]],B322),2)&gt;=ROUND(SUMIFS(AN_TME_BY[[#All],[TOTAL Truncated Unadjusted Claims Expenses (A21 -A19)]], AN_TME_BY[[#All],[Insurance Category Code]],6, AN_TME_BY[[#All],[Advanced Network/Insurance Carrier Org ID]],B322),2)</f>
        <v>1</v>
      </c>
      <c r="O322" s="534" t="b">
        <f>ROUND(SUMIFS(AN_TME_BY[[#All],[TOTAL Truncated Unadjusted Claims Expenses (A21 -A19)]], AN_TME_BY[[#All],[Insurance Category Code]],6, AN_TME_BY[[#All],[Advanced Network/Insurance Carrier Org ID]],B322)+SUMIFS(AN_TME_BY[[#All],[Total Claims Excluded because of Truncation]], AN_TME_BY[[#All],[Insurance Category Code]],6, AN_TME_BY[[#All],[Advanced Network/Insurance Carrier Org ID]],B322),2)=ROUND(SUMIFS(AN_TME_BY[[#All],[TOTAL Non-Truncated Unadjusted Claims Expenses]], AN_TME_BY[[#All],[Insurance Category Code]],6, AN_TME_BY[[#All],[Advanced Network/Insurance Carrier Org ID]],B322),2)</f>
        <v>1</v>
      </c>
      <c r="Q322" s="216">
        <v>102</v>
      </c>
      <c r="R322" s="404">
        <f>ROUND(SUMIFS(Age_Sex_PY[[#All],[Total Member Months by Age/Sex Band]], Age_Sex_PY[[#All],[Advanced Network ID]], $Q322, Age_Sex_PY[[#All],[Insurance Category Code]],6),2)</f>
        <v>0</v>
      </c>
      <c r="S322" s="238">
        <f>ROUND(SUMIFS(Age_Sex_PY[[#All],[Total Dollars Excluded from Spending After Applying Truncation at the Member Level]], Age_Sex_PY[[#All],[Advanced Network ID]], $B322, Age_Sex_PY[[#All],[Insurance Category Code]],6),2)</f>
        <v>0</v>
      </c>
      <c r="T322" s="209">
        <f>ROUND(SUMIFS(Age_Sex_PY[[#All],[Count of Members whose Spending was Truncated]], Age_Sex_PY[[#All],[Advanced Network ID]], $B322, Age_Sex_PY[[#All],[Insurance Category Code]],6),2)</f>
        <v>0</v>
      </c>
      <c r="U322" s="210">
        <f>ROUND(SUMIFS(Age_Sex_PY[[#All],[Total Spending before Truncation is Applied]], Age_Sex_PY[[#All],[Advanced Network ID]], $B322, Age_Sex_PY[[#All],[Insurance Category Code]],6),2)</f>
        <v>0</v>
      </c>
      <c r="V322" s="212">
        <f>ROUND(SUMIFS(Age_Sex_PY[[#All],[Total Spending After Applying Truncation at the Member Level]], Age_Sex_PY[[#All],[Advanced Network ID]], $B322, Age_Sex_PY[[#All],[Insurance Category Code]],6),2)</f>
        <v>0</v>
      </c>
      <c r="W322" s="525" t="str">
        <f>IF(ROUND(R322,0)=ROUND(SUMIFS(AN_TME_PY[[#All],[Member Months]], AN_TME_PY[[#All],[Insurance Category Code]],6, AN_TME_PY[[#All],[Advanced Network/Insurance Carrier Org ID]],Q322),0), "TRUE", ROUND(R322-SUMIFS(AN_TME_PY[[#All],[Member Months]], AN_TME_PY[[#All],[Insurance Category Code]],6, AN_TME_PY[[#All],[Advanced Network/Insurance Carrier Org ID]],Q322),2))</f>
        <v>TRUE</v>
      </c>
      <c r="X322" s="533" t="str">
        <f>IF(ROUND(S322,0)=ROUND(SUMIFS(AN_TME_PY[[#All],[Total Claims Excluded because of Truncation]], AN_TME_PY[[#All],[Insurance Category Code]],6, AN_TME_PY[[#All],[Advanced Network/Insurance Carrier Org ID]],Q322),0), "TRUE", ROUND(S322-SUMIFS(AN_TME_PY[[#All],[Total Claims Excluded because of Truncation]], AN_TME_PY[[#All],[Insurance Category Code]],6, AN_TME_PY[[#All],[Advanced Network/Insurance Carrier Org ID]],Q322),2))</f>
        <v>TRUE</v>
      </c>
      <c r="Y322" s="537" t="str">
        <f>IF(ROUND(T322,0)=ROUND(SUMIFS(AN_TME_PY[[#All],[Count of Members with Claims Truncated]], AN_TME_PY[[#All],[Insurance Category Code]],6, AN_TME_PY[[#All],[Advanced Network/Insurance Carrier Org ID]],Q322),0), "TRUE", ROUND(T322-SUMIFS(AN_TME_PY[[#All],[Count of Members with Claims Truncated]], AN_TME_PY[[#All],[Insurance Category Code]],6, AN_TME_PY[[#All],[Advanced Network/Insurance Carrier Org ID]],Q322),2))</f>
        <v>TRUE</v>
      </c>
      <c r="Z322" s="533" t="str">
        <f>IF(ROUND(U322,0)=ROUND(SUMIFS(AN_TME_PY[[#All],[TOTAL Non-Truncated Unadjusted Claims Expenses]], AN_TME_PY[[#All],[Insurance Category Code]],6, AN_TME_PY[[#All],[Advanced Network/Insurance Carrier Org ID]],Q322),0), "TRUE", ROUND(U322-SUMIFS(AN_TME_PY[[#All],[TOTAL Non-Truncated Unadjusted Claims Expenses]], AN_TME_PY[[#All],[Insurance Category Code]],6, AN_TME_PY[[#All],[Advanced Network/Insurance Carrier Org ID]],Q322),2))</f>
        <v>TRUE</v>
      </c>
      <c r="AA322" s="534" t="str">
        <f>IF(ROUND(V322,0)=ROUND(SUMIFS(AN_TME_PY[[#All],[TOTAL Truncated Unadjusted Claims Expenses (A21 -A19)]], AN_TME_PY[[#All],[Insurance Category Code]],6, AN_TME_PY[[#All],[Advanced Network/Insurance Carrier Org ID]],Q322),0), "TRUE", ROUND(V322-SUMIFS(AN_TME_PY[[#All],[TOTAL Truncated Unadjusted Claims Expenses (A21 -A19)]], AN_TME_PY[[#All],[Insurance Category Code]],6, AN_TME_PY[[#All],[Advanced Network/Insurance Carrier Org ID]],Q322),2))</f>
        <v>TRUE</v>
      </c>
      <c r="AB322" s="525" t="str">
        <f t="shared" si="45"/>
        <v>TRUE</v>
      </c>
      <c r="AC322" s="533" t="b">
        <f>ROUND(SUMIFS(AN_TME_PY[[#All],[TOTAL Non-Truncated Unadjusted Claims Expenses]], AN_TME_PY[[#All],[Insurance Category Code]],6, AN_TME_PY[[#All],[Advanced Network/Insurance Carrier Org ID]],Q322),2)&gt;=ROUND(SUMIFS(AN_TME_PY[[#All],[TOTAL Truncated Unadjusted Claims Expenses (A21 -A19)]], AN_TME_PY[[#All],[Insurance Category Code]],6, AN_TME_PY[[#All],[Advanced Network/Insurance Carrier Org ID]],Q322),2)</f>
        <v>1</v>
      </c>
      <c r="AD322" s="534" t="b">
        <f>ROUND(SUMIFS(AN_TME_PY[[#All],[TOTAL Truncated Unadjusted Claims Expenses (A21 -A19)]], AN_TME_PY[[#All],[Insurance Category Code]],6, AN_TME_PY[[#All],[Advanced Network/Insurance Carrier Org ID]],Q322)+SUMIFS(AN_TME_PY[[#All],[Total Claims Excluded because of Truncation]], AN_TME_PY[[#All],[Insurance Category Code]],6, AN_TME_PY[[#All],[Advanced Network/Insurance Carrier Org ID]],Q322),2)=ROUND(SUMIFS(AN_TME_PY[[#All],[TOTAL Non-Truncated Unadjusted Claims Expenses]], AN_TME_PY[[#All],[Insurance Category Code]],6, AN_TME_PY[[#All],[Advanced Network/Insurance Carrier Org ID]],Q322),2)</f>
        <v>1</v>
      </c>
      <c r="AF322" s="283" t="str">
        <f t="shared" si="44"/>
        <v>NA</v>
      </c>
    </row>
    <row r="323" spans="2:32" outlineLevel="1" x14ac:dyDescent="0.25">
      <c r="B323" s="216">
        <v>103</v>
      </c>
      <c r="C323" s="404">
        <f>ROUND(SUMIFS(Age_Sex_BY[[#All],[Total Member Months by Age/Sex Band]], Age_Sex_BY[[#All],[Advanced Network ID]], $B323, Age_Sex_BY[[#All],[Insurance Category Code]],6),2)</f>
        <v>0</v>
      </c>
      <c r="D323" s="238">
        <f>ROUND(SUMIFS(Age_Sex_BY[[#All],[Total Dollars Excluded from Spending After Applying Truncation at the Member Level]], Age_Sex_BY[[#All],[Advanced Network ID]], $B323, Age_Sex_BY[[#All],[Insurance Category Code]],6),2)</f>
        <v>0</v>
      </c>
      <c r="E323" s="209">
        <f>ROUND(SUMIFS(Age_Sex_BY[[#All],[Count of Members whose Spending was Truncated]], Age_Sex_BY[[#All],[Advanced Network ID]], $B323, Age_Sex_BY[[#All],[Insurance Category Code]],6),2)</f>
        <v>0</v>
      </c>
      <c r="F323" s="210">
        <f>ROUND(SUMIFS(Age_Sex_BY[[#All],[Total Spending before Truncation is Applied]], Age_Sex_BY[[#All],[Advanced Network ID]], $B323, Age_Sex_BY[[#All],[Insurance Category Code]],6),2)</f>
        <v>0</v>
      </c>
      <c r="G323" s="212">
        <f>ROUND(SUMIFS(Age_Sex_BY[[#All],[Total Spending After Applying Truncation at the Member Level]], Age_Sex_BY[[#All],[Advanced Network ID]], $B323, Age_Sex_BY[[#All],[Insurance Category Code]],6),2)</f>
        <v>0</v>
      </c>
      <c r="H323" s="525" t="str">
        <f>IF(ROUND(C323,0)=ROUND(SUMIFS(AN_TME_BY[[#All],[Member Months]], AN_TME_BY[[#All],[Insurance Category Code]],6, AN_TME_BY[[#All],[Advanced Network/Insurance Carrier Org ID]],B323),0), "TRUE", ROUND(C323-SUMIFS(AN_TME_BY[[#All],[Member Months]], AN_TME_BY[[#All],[Insurance Category Code]],6, AN_TME_BY[[#All],[Advanced Network/Insurance Carrier Org ID]],B323),2))</f>
        <v>TRUE</v>
      </c>
      <c r="I323" s="533" t="str">
        <f>IF(ROUND(D323,0)=ROUND(SUMIFS(AN_TME_BY[[#All],[Total Claims Excluded because of Truncation]], AN_TME_BY[[#All],[Insurance Category Code]],6, AN_TME_BY[[#All],[Advanced Network/Insurance Carrier Org ID]],B323),0), "TRUE", ROUND(D323-SUMIFS(AN_TME_BY[[#All],[Total Claims Excluded because of Truncation]], AN_TME_BY[[#All],[Insurance Category Code]],6, AN_TME_BY[[#All],[Advanced Network/Insurance Carrier Org ID]],B323),2))</f>
        <v>TRUE</v>
      </c>
      <c r="J323" s="537" t="str">
        <f>IF(ROUND(E323,0)=ROUND(SUMIFS(AN_TME_BY[[#All],[Count of Members with Claims Truncated]], AN_TME_BY[[#All],[Insurance Category Code]],6, AN_TME_BY[[#All],[Advanced Network/Insurance Carrier Org ID]],B323),0), "TRUE", ROUND(E323-SUMIFS(AN_TME_BY[[#All],[Count of Members with Claims Truncated]], AN_TME_BY[[#All],[Insurance Category Code]],6, AN_TME_BY[[#All],[Advanced Network/Insurance Carrier Org ID]],B323),2))</f>
        <v>TRUE</v>
      </c>
      <c r="K323" s="533" t="str">
        <f>IF(ROUND(F323,0)=ROUND(SUMIFS(AN_TME_BY[[#All],[TOTAL Non-Truncated Unadjusted Claims Expenses]], AN_TME_BY[[#All],[Insurance Category Code]],6, AN_TME_BY[[#All],[Advanced Network/Insurance Carrier Org ID]],B323),0), "TRUE", ROUND(F323-SUMIFS(AN_TME_BY[[#All],[TOTAL Non-Truncated Unadjusted Claims Expenses]], AN_TME_BY[[#All],[Insurance Category Code]],6, AN_TME_BY[[#All],[Advanced Network/Insurance Carrier Org ID]],B323),2))</f>
        <v>TRUE</v>
      </c>
      <c r="L323" s="534" t="str">
        <f>IF(ROUND(G323,0)=ROUND(SUMIFS(AN_TME_BY[[#All],[TOTAL Truncated Unadjusted Claims Expenses (A21 -A19)]], AN_TME_BY[[#All],[Insurance Category Code]],6, AN_TME_BY[[#All],[Advanced Network/Insurance Carrier Org ID]],B323),0), "TRUE", ROUND(G323-SUMIFS(AN_TME_BY[[#All],[TOTAL Truncated Unadjusted Claims Expenses (A21 -A19)]], AN_TME_BY[[#All],[Insurance Category Code]],6, AN_TME_BY[[#All],[Advanced Network/Insurance Carrier Org ID]],B323),2))</f>
        <v>TRUE</v>
      </c>
      <c r="M323" s="525" t="str">
        <f t="shared" si="42"/>
        <v>TRUE</v>
      </c>
      <c r="N323" s="533" t="b">
        <f>ROUND(SUMIFS(AN_TME_BY[[#All],[TOTAL Non-Truncated Unadjusted Claims Expenses]], AN_TME_BY[[#All],[Insurance Category Code]],6, AN_TME_BY[[#All],[Advanced Network/Insurance Carrier Org ID]],B323),2)&gt;=ROUND(SUMIFS(AN_TME_BY[[#All],[TOTAL Truncated Unadjusted Claims Expenses (A21 -A19)]], AN_TME_BY[[#All],[Insurance Category Code]],6, AN_TME_BY[[#All],[Advanced Network/Insurance Carrier Org ID]],B323),2)</f>
        <v>1</v>
      </c>
      <c r="O323" s="534" t="b">
        <f>ROUND(SUMIFS(AN_TME_BY[[#All],[TOTAL Truncated Unadjusted Claims Expenses (A21 -A19)]], AN_TME_BY[[#All],[Insurance Category Code]],6, AN_TME_BY[[#All],[Advanced Network/Insurance Carrier Org ID]],B323)+SUMIFS(AN_TME_BY[[#All],[Total Claims Excluded because of Truncation]], AN_TME_BY[[#All],[Insurance Category Code]],6, AN_TME_BY[[#All],[Advanced Network/Insurance Carrier Org ID]],B323),2)=ROUND(SUMIFS(AN_TME_BY[[#All],[TOTAL Non-Truncated Unadjusted Claims Expenses]], AN_TME_BY[[#All],[Insurance Category Code]],6, AN_TME_BY[[#All],[Advanced Network/Insurance Carrier Org ID]],B323),2)</f>
        <v>1</v>
      </c>
      <c r="Q323" s="216">
        <v>103</v>
      </c>
      <c r="R323" s="404">
        <f>ROUND(SUMIFS(Age_Sex_PY[[#All],[Total Member Months by Age/Sex Band]], Age_Sex_PY[[#All],[Advanced Network ID]], $Q323, Age_Sex_PY[[#All],[Insurance Category Code]],6),2)</f>
        <v>0</v>
      </c>
      <c r="S323" s="238">
        <f>ROUND(SUMIFS(Age_Sex_PY[[#All],[Total Dollars Excluded from Spending After Applying Truncation at the Member Level]], Age_Sex_PY[[#All],[Advanced Network ID]], $B323, Age_Sex_PY[[#All],[Insurance Category Code]],6),2)</f>
        <v>0</v>
      </c>
      <c r="T323" s="209">
        <f>ROUND(SUMIFS(Age_Sex_PY[[#All],[Count of Members whose Spending was Truncated]], Age_Sex_PY[[#All],[Advanced Network ID]], $B323, Age_Sex_PY[[#All],[Insurance Category Code]],6),2)</f>
        <v>0</v>
      </c>
      <c r="U323" s="210">
        <f>ROUND(SUMIFS(Age_Sex_PY[[#All],[Total Spending before Truncation is Applied]], Age_Sex_PY[[#All],[Advanced Network ID]], $B323, Age_Sex_PY[[#All],[Insurance Category Code]],6),2)</f>
        <v>0</v>
      </c>
      <c r="V323" s="212">
        <f>ROUND(SUMIFS(Age_Sex_PY[[#All],[Total Spending After Applying Truncation at the Member Level]], Age_Sex_PY[[#All],[Advanced Network ID]], $B323, Age_Sex_PY[[#All],[Insurance Category Code]],6),2)</f>
        <v>0</v>
      </c>
      <c r="W323" s="525" t="str">
        <f>IF(ROUND(R323,0)=ROUND(SUMIFS(AN_TME_PY[[#All],[Member Months]], AN_TME_PY[[#All],[Insurance Category Code]],6, AN_TME_PY[[#All],[Advanced Network/Insurance Carrier Org ID]],Q323),0), "TRUE", ROUND(R323-SUMIFS(AN_TME_PY[[#All],[Member Months]], AN_TME_PY[[#All],[Insurance Category Code]],6, AN_TME_PY[[#All],[Advanced Network/Insurance Carrier Org ID]],Q323),2))</f>
        <v>TRUE</v>
      </c>
      <c r="X323" s="533" t="str">
        <f>IF(ROUND(S323,0)=ROUND(SUMIFS(AN_TME_PY[[#All],[Total Claims Excluded because of Truncation]], AN_TME_PY[[#All],[Insurance Category Code]],6, AN_TME_PY[[#All],[Advanced Network/Insurance Carrier Org ID]],Q323),0), "TRUE", ROUND(S323-SUMIFS(AN_TME_PY[[#All],[Total Claims Excluded because of Truncation]], AN_TME_PY[[#All],[Insurance Category Code]],6, AN_TME_PY[[#All],[Advanced Network/Insurance Carrier Org ID]],Q323),2))</f>
        <v>TRUE</v>
      </c>
      <c r="Y323" s="537" t="str">
        <f>IF(ROUND(T323,0)=ROUND(SUMIFS(AN_TME_PY[[#All],[Count of Members with Claims Truncated]], AN_TME_PY[[#All],[Insurance Category Code]],6, AN_TME_PY[[#All],[Advanced Network/Insurance Carrier Org ID]],Q323),0), "TRUE", ROUND(T323-SUMIFS(AN_TME_PY[[#All],[Count of Members with Claims Truncated]], AN_TME_PY[[#All],[Insurance Category Code]],6, AN_TME_PY[[#All],[Advanced Network/Insurance Carrier Org ID]],Q323),2))</f>
        <v>TRUE</v>
      </c>
      <c r="Z323" s="533" t="str">
        <f>IF(ROUND(U323,0)=ROUND(SUMIFS(AN_TME_PY[[#All],[TOTAL Non-Truncated Unadjusted Claims Expenses]], AN_TME_PY[[#All],[Insurance Category Code]],6, AN_TME_PY[[#All],[Advanced Network/Insurance Carrier Org ID]],Q323),0), "TRUE", ROUND(U323-SUMIFS(AN_TME_PY[[#All],[TOTAL Non-Truncated Unadjusted Claims Expenses]], AN_TME_PY[[#All],[Insurance Category Code]],6, AN_TME_PY[[#All],[Advanced Network/Insurance Carrier Org ID]],Q323),2))</f>
        <v>TRUE</v>
      </c>
      <c r="AA323" s="534" t="str">
        <f>IF(ROUND(V323,0)=ROUND(SUMIFS(AN_TME_PY[[#All],[TOTAL Truncated Unadjusted Claims Expenses (A21 -A19)]], AN_TME_PY[[#All],[Insurance Category Code]],6, AN_TME_PY[[#All],[Advanced Network/Insurance Carrier Org ID]],Q323),0), "TRUE", ROUND(V323-SUMIFS(AN_TME_PY[[#All],[TOTAL Truncated Unadjusted Claims Expenses (A21 -A19)]], AN_TME_PY[[#All],[Insurance Category Code]],6, AN_TME_PY[[#All],[Advanced Network/Insurance Carrier Org ID]],Q323),2))</f>
        <v>TRUE</v>
      </c>
      <c r="AB323" s="525" t="str">
        <f t="shared" si="45"/>
        <v>TRUE</v>
      </c>
      <c r="AC323" s="533" t="b">
        <f>ROUND(SUMIFS(AN_TME_PY[[#All],[TOTAL Non-Truncated Unadjusted Claims Expenses]], AN_TME_PY[[#All],[Insurance Category Code]],6, AN_TME_PY[[#All],[Advanced Network/Insurance Carrier Org ID]],Q323),2)&gt;=ROUND(SUMIFS(AN_TME_PY[[#All],[TOTAL Truncated Unadjusted Claims Expenses (A21 -A19)]], AN_TME_PY[[#All],[Insurance Category Code]],6, AN_TME_PY[[#All],[Advanced Network/Insurance Carrier Org ID]],Q323),2)</f>
        <v>1</v>
      </c>
      <c r="AD323" s="534" t="b">
        <f>ROUND(SUMIFS(AN_TME_PY[[#All],[TOTAL Truncated Unadjusted Claims Expenses (A21 -A19)]], AN_TME_PY[[#All],[Insurance Category Code]],6, AN_TME_PY[[#All],[Advanced Network/Insurance Carrier Org ID]],Q323)+SUMIFS(AN_TME_PY[[#All],[Total Claims Excluded because of Truncation]], AN_TME_PY[[#All],[Insurance Category Code]],6, AN_TME_PY[[#All],[Advanced Network/Insurance Carrier Org ID]],Q323),2)=ROUND(SUMIFS(AN_TME_PY[[#All],[TOTAL Non-Truncated Unadjusted Claims Expenses]], AN_TME_PY[[#All],[Insurance Category Code]],6, AN_TME_PY[[#All],[Advanced Network/Insurance Carrier Org ID]],Q323),2)</f>
        <v>1</v>
      </c>
      <c r="AF323" s="283" t="str">
        <f t="shared" si="44"/>
        <v>NA</v>
      </c>
    </row>
    <row r="324" spans="2:32" outlineLevel="1" x14ac:dyDescent="0.25">
      <c r="B324" s="216">
        <v>104</v>
      </c>
      <c r="C324" s="404">
        <f>ROUND(SUMIFS(Age_Sex_BY[[#All],[Total Member Months by Age/Sex Band]], Age_Sex_BY[[#All],[Advanced Network ID]], $B324, Age_Sex_BY[[#All],[Insurance Category Code]],6),2)</f>
        <v>0</v>
      </c>
      <c r="D324" s="238">
        <f>ROUND(SUMIFS(Age_Sex_BY[[#All],[Total Dollars Excluded from Spending After Applying Truncation at the Member Level]], Age_Sex_BY[[#All],[Advanced Network ID]], $B324, Age_Sex_BY[[#All],[Insurance Category Code]],6),2)</f>
        <v>0</v>
      </c>
      <c r="E324" s="209">
        <f>ROUND(SUMIFS(Age_Sex_BY[[#All],[Count of Members whose Spending was Truncated]], Age_Sex_BY[[#All],[Advanced Network ID]], $B324, Age_Sex_BY[[#All],[Insurance Category Code]],6),2)</f>
        <v>0</v>
      </c>
      <c r="F324" s="210">
        <f>ROUND(SUMIFS(Age_Sex_BY[[#All],[Total Spending before Truncation is Applied]], Age_Sex_BY[[#All],[Advanced Network ID]], $B324, Age_Sex_BY[[#All],[Insurance Category Code]],6),2)</f>
        <v>0</v>
      </c>
      <c r="G324" s="212">
        <f>ROUND(SUMIFS(Age_Sex_BY[[#All],[Total Spending After Applying Truncation at the Member Level]], Age_Sex_BY[[#All],[Advanced Network ID]], $B324, Age_Sex_BY[[#All],[Insurance Category Code]],6),2)</f>
        <v>0</v>
      </c>
      <c r="H324" s="525" t="str">
        <f>IF(ROUND(C324,0)=ROUND(SUMIFS(AN_TME_BY[[#All],[Member Months]], AN_TME_BY[[#All],[Insurance Category Code]],6, AN_TME_BY[[#All],[Advanced Network/Insurance Carrier Org ID]],B324),0), "TRUE", ROUND(C324-SUMIFS(AN_TME_BY[[#All],[Member Months]], AN_TME_BY[[#All],[Insurance Category Code]],6, AN_TME_BY[[#All],[Advanced Network/Insurance Carrier Org ID]],B324),2))</f>
        <v>TRUE</v>
      </c>
      <c r="I324" s="533" t="str">
        <f>IF(ROUND(D324,0)=ROUND(SUMIFS(AN_TME_BY[[#All],[Total Claims Excluded because of Truncation]], AN_TME_BY[[#All],[Insurance Category Code]],6, AN_TME_BY[[#All],[Advanced Network/Insurance Carrier Org ID]],B324),0), "TRUE", ROUND(D324-SUMIFS(AN_TME_BY[[#All],[Total Claims Excluded because of Truncation]], AN_TME_BY[[#All],[Insurance Category Code]],6, AN_TME_BY[[#All],[Advanced Network/Insurance Carrier Org ID]],B324),2))</f>
        <v>TRUE</v>
      </c>
      <c r="J324" s="537" t="str">
        <f>IF(ROUND(E324,0)=ROUND(SUMIFS(AN_TME_BY[[#All],[Count of Members with Claims Truncated]], AN_TME_BY[[#All],[Insurance Category Code]],6, AN_TME_BY[[#All],[Advanced Network/Insurance Carrier Org ID]],B324),0), "TRUE", ROUND(E324-SUMIFS(AN_TME_BY[[#All],[Count of Members with Claims Truncated]], AN_TME_BY[[#All],[Insurance Category Code]],6, AN_TME_BY[[#All],[Advanced Network/Insurance Carrier Org ID]],B324),2))</f>
        <v>TRUE</v>
      </c>
      <c r="K324" s="533" t="str">
        <f>IF(ROUND(F324,0)=ROUND(SUMIFS(AN_TME_BY[[#All],[TOTAL Non-Truncated Unadjusted Claims Expenses]], AN_TME_BY[[#All],[Insurance Category Code]],6, AN_TME_BY[[#All],[Advanced Network/Insurance Carrier Org ID]],B324),0), "TRUE", ROUND(F324-SUMIFS(AN_TME_BY[[#All],[TOTAL Non-Truncated Unadjusted Claims Expenses]], AN_TME_BY[[#All],[Insurance Category Code]],6, AN_TME_BY[[#All],[Advanced Network/Insurance Carrier Org ID]],B324),2))</f>
        <v>TRUE</v>
      </c>
      <c r="L324" s="534" t="str">
        <f>IF(ROUND(G324,0)=ROUND(SUMIFS(AN_TME_BY[[#All],[TOTAL Truncated Unadjusted Claims Expenses (A21 -A19)]], AN_TME_BY[[#All],[Insurance Category Code]],6, AN_TME_BY[[#All],[Advanced Network/Insurance Carrier Org ID]],B324),0), "TRUE", ROUND(G324-SUMIFS(AN_TME_BY[[#All],[TOTAL Truncated Unadjusted Claims Expenses (A21 -A19)]], AN_TME_BY[[#All],[Insurance Category Code]],6, AN_TME_BY[[#All],[Advanced Network/Insurance Carrier Org ID]],B324),2))</f>
        <v>TRUE</v>
      </c>
      <c r="M324" s="525" t="str">
        <f t="shared" si="42"/>
        <v>TRUE</v>
      </c>
      <c r="N324" s="533" t="b">
        <f>ROUND(SUMIFS(AN_TME_BY[[#All],[TOTAL Non-Truncated Unadjusted Claims Expenses]], AN_TME_BY[[#All],[Insurance Category Code]],6, AN_TME_BY[[#All],[Advanced Network/Insurance Carrier Org ID]],B324),2)&gt;=ROUND(SUMIFS(AN_TME_BY[[#All],[TOTAL Truncated Unadjusted Claims Expenses (A21 -A19)]], AN_TME_BY[[#All],[Insurance Category Code]],6, AN_TME_BY[[#All],[Advanced Network/Insurance Carrier Org ID]],B324),2)</f>
        <v>1</v>
      </c>
      <c r="O324" s="534" t="b">
        <f>ROUND(SUMIFS(AN_TME_BY[[#All],[TOTAL Truncated Unadjusted Claims Expenses (A21 -A19)]], AN_TME_BY[[#All],[Insurance Category Code]],6, AN_TME_BY[[#All],[Advanced Network/Insurance Carrier Org ID]],B324)+SUMIFS(AN_TME_BY[[#All],[Total Claims Excluded because of Truncation]], AN_TME_BY[[#All],[Insurance Category Code]],6, AN_TME_BY[[#All],[Advanced Network/Insurance Carrier Org ID]],B324),2)=ROUND(SUMIFS(AN_TME_BY[[#All],[TOTAL Non-Truncated Unadjusted Claims Expenses]], AN_TME_BY[[#All],[Insurance Category Code]],6, AN_TME_BY[[#All],[Advanced Network/Insurance Carrier Org ID]],B324),2)</f>
        <v>1</v>
      </c>
      <c r="Q324" s="216">
        <v>104</v>
      </c>
      <c r="R324" s="404">
        <f>ROUND(SUMIFS(Age_Sex_PY[[#All],[Total Member Months by Age/Sex Band]], Age_Sex_PY[[#All],[Advanced Network ID]], $Q324, Age_Sex_PY[[#All],[Insurance Category Code]],6),2)</f>
        <v>0</v>
      </c>
      <c r="S324" s="238">
        <f>ROUND(SUMIFS(Age_Sex_PY[[#All],[Total Dollars Excluded from Spending After Applying Truncation at the Member Level]], Age_Sex_PY[[#All],[Advanced Network ID]], $B324, Age_Sex_PY[[#All],[Insurance Category Code]],6),2)</f>
        <v>0</v>
      </c>
      <c r="T324" s="209">
        <f>ROUND(SUMIFS(Age_Sex_PY[[#All],[Count of Members whose Spending was Truncated]], Age_Sex_PY[[#All],[Advanced Network ID]], $B324, Age_Sex_PY[[#All],[Insurance Category Code]],6),2)</f>
        <v>0</v>
      </c>
      <c r="U324" s="210">
        <f>ROUND(SUMIFS(Age_Sex_PY[[#All],[Total Spending before Truncation is Applied]], Age_Sex_PY[[#All],[Advanced Network ID]], $B324, Age_Sex_PY[[#All],[Insurance Category Code]],6),2)</f>
        <v>0</v>
      </c>
      <c r="V324" s="212">
        <f>ROUND(SUMIFS(Age_Sex_PY[[#All],[Total Spending After Applying Truncation at the Member Level]], Age_Sex_PY[[#All],[Advanced Network ID]], $B324, Age_Sex_PY[[#All],[Insurance Category Code]],6),2)</f>
        <v>0</v>
      </c>
      <c r="W324" s="525" t="str">
        <f>IF(ROUND(R324,0)=ROUND(SUMIFS(AN_TME_PY[[#All],[Member Months]], AN_TME_PY[[#All],[Insurance Category Code]],6, AN_TME_PY[[#All],[Advanced Network/Insurance Carrier Org ID]],Q324),0), "TRUE", ROUND(R324-SUMIFS(AN_TME_PY[[#All],[Member Months]], AN_TME_PY[[#All],[Insurance Category Code]],6, AN_TME_PY[[#All],[Advanced Network/Insurance Carrier Org ID]],Q324),2))</f>
        <v>TRUE</v>
      </c>
      <c r="X324" s="533" t="str">
        <f>IF(ROUND(S324,0)=ROUND(SUMIFS(AN_TME_PY[[#All],[Total Claims Excluded because of Truncation]], AN_TME_PY[[#All],[Insurance Category Code]],6, AN_TME_PY[[#All],[Advanced Network/Insurance Carrier Org ID]],Q324),0), "TRUE", ROUND(S324-SUMIFS(AN_TME_PY[[#All],[Total Claims Excluded because of Truncation]], AN_TME_PY[[#All],[Insurance Category Code]],6, AN_TME_PY[[#All],[Advanced Network/Insurance Carrier Org ID]],Q324),2))</f>
        <v>TRUE</v>
      </c>
      <c r="Y324" s="537" t="str">
        <f>IF(ROUND(T324,0)=ROUND(SUMIFS(AN_TME_PY[[#All],[Count of Members with Claims Truncated]], AN_TME_PY[[#All],[Insurance Category Code]],6, AN_TME_PY[[#All],[Advanced Network/Insurance Carrier Org ID]],Q324),0), "TRUE", ROUND(T324-SUMIFS(AN_TME_PY[[#All],[Count of Members with Claims Truncated]], AN_TME_PY[[#All],[Insurance Category Code]],6, AN_TME_PY[[#All],[Advanced Network/Insurance Carrier Org ID]],Q324),2))</f>
        <v>TRUE</v>
      </c>
      <c r="Z324" s="533" t="str">
        <f>IF(ROUND(U324,0)=ROUND(SUMIFS(AN_TME_PY[[#All],[TOTAL Non-Truncated Unadjusted Claims Expenses]], AN_TME_PY[[#All],[Insurance Category Code]],6, AN_TME_PY[[#All],[Advanced Network/Insurance Carrier Org ID]],Q324),0), "TRUE", ROUND(U324-SUMIFS(AN_TME_PY[[#All],[TOTAL Non-Truncated Unadjusted Claims Expenses]], AN_TME_PY[[#All],[Insurance Category Code]],6, AN_TME_PY[[#All],[Advanced Network/Insurance Carrier Org ID]],Q324),2))</f>
        <v>TRUE</v>
      </c>
      <c r="AA324" s="534" t="str">
        <f>IF(ROUND(V324,0)=ROUND(SUMIFS(AN_TME_PY[[#All],[TOTAL Truncated Unadjusted Claims Expenses (A21 -A19)]], AN_TME_PY[[#All],[Insurance Category Code]],6, AN_TME_PY[[#All],[Advanced Network/Insurance Carrier Org ID]],Q324),0), "TRUE", ROUND(V324-SUMIFS(AN_TME_PY[[#All],[TOTAL Truncated Unadjusted Claims Expenses (A21 -A19)]], AN_TME_PY[[#All],[Insurance Category Code]],6, AN_TME_PY[[#All],[Advanced Network/Insurance Carrier Org ID]],Q324),2))</f>
        <v>TRUE</v>
      </c>
      <c r="AB324" s="525" t="str">
        <f t="shared" si="45"/>
        <v>TRUE</v>
      </c>
      <c r="AC324" s="533" t="b">
        <f>ROUND(SUMIFS(AN_TME_PY[[#All],[TOTAL Non-Truncated Unadjusted Claims Expenses]], AN_TME_PY[[#All],[Insurance Category Code]],6, AN_TME_PY[[#All],[Advanced Network/Insurance Carrier Org ID]],Q324),2)&gt;=ROUND(SUMIFS(AN_TME_PY[[#All],[TOTAL Truncated Unadjusted Claims Expenses (A21 -A19)]], AN_TME_PY[[#All],[Insurance Category Code]],6, AN_TME_PY[[#All],[Advanced Network/Insurance Carrier Org ID]],Q324),2)</f>
        <v>1</v>
      </c>
      <c r="AD324" s="534" t="b">
        <f>ROUND(SUMIFS(AN_TME_PY[[#All],[TOTAL Truncated Unadjusted Claims Expenses (A21 -A19)]], AN_TME_PY[[#All],[Insurance Category Code]],6, AN_TME_PY[[#All],[Advanced Network/Insurance Carrier Org ID]],Q324)+SUMIFS(AN_TME_PY[[#All],[Total Claims Excluded because of Truncation]], AN_TME_PY[[#All],[Insurance Category Code]],6, AN_TME_PY[[#All],[Advanced Network/Insurance Carrier Org ID]],Q324),2)=ROUND(SUMIFS(AN_TME_PY[[#All],[TOTAL Non-Truncated Unadjusted Claims Expenses]], AN_TME_PY[[#All],[Insurance Category Code]],6, AN_TME_PY[[#All],[Advanced Network/Insurance Carrier Org ID]],Q324),2)</f>
        <v>1</v>
      </c>
      <c r="AF324" s="283" t="str">
        <f t="shared" si="44"/>
        <v>NA</v>
      </c>
    </row>
    <row r="325" spans="2:32" outlineLevel="1" x14ac:dyDescent="0.25">
      <c r="B325" s="216">
        <v>105</v>
      </c>
      <c r="C325" s="404">
        <f>ROUND(SUMIFS(Age_Sex_BY[[#All],[Total Member Months by Age/Sex Band]], Age_Sex_BY[[#All],[Advanced Network ID]], $B325, Age_Sex_BY[[#All],[Insurance Category Code]],6),2)</f>
        <v>0</v>
      </c>
      <c r="D325" s="238">
        <f>ROUND(SUMIFS(Age_Sex_BY[[#All],[Total Dollars Excluded from Spending After Applying Truncation at the Member Level]], Age_Sex_BY[[#All],[Advanced Network ID]], $B325, Age_Sex_BY[[#All],[Insurance Category Code]],6),2)</f>
        <v>0</v>
      </c>
      <c r="E325" s="209">
        <f>ROUND(SUMIFS(Age_Sex_BY[[#All],[Count of Members whose Spending was Truncated]], Age_Sex_BY[[#All],[Advanced Network ID]], $B325, Age_Sex_BY[[#All],[Insurance Category Code]],6),2)</f>
        <v>0</v>
      </c>
      <c r="F325" s="210">
        <f>ROUND(SUMIFS(Age_Sex_BY[[#All],[Total Spending before Truncation is Applied]], Age_Sex_BY[[#All],[Advanced Network ID]], $B325, Age_Sex_BY[[#All],[Insurance Category Code]],6),2)</f>
        <v>0</v>
      </c>
      <c r="G325" s="212">
        <f>ROUND(SUMIFS(Age_Sex_BY[[#All],[Total Spending After Applying Truncation at the Member Level]], Age_Sex_BY[[#All],[Advanced Network ID]], $B325, Age_Sex_BY[[#All],[Insurance Category Code]],6),2)</f>
        <v>0</v>
      </c>
      <c r="H325" s="525" t="str">
        <f>IF(ROUND(C325,0)=ROUND(SUMIFS(AN_TME_BY[[#All],[Member Months]], AN_TME_BY[[#All],[Insurance Category Code]],6, AN_TME_BY[[#All],[Advanced Network/Insurance Carrier Org ID]],B325),0), "TRUE", ROUND(C325-SUMIFS(AN_TME_BY[[#All],[Member Months]], AN_TME_BY[[#All],[Insurance Category Code]],6, AN_TME_BY[[#All],[Advanced Network/Insurance Carrier Org ID]],B325),2))</f>
        <v>TRUE</v>
      </c>
      <c r="I325" s="533" t="str">
        <f>IF(ROUND(D325,0)=ROUND(SUMIFS(AN_TME_BY[[#All],[Total Claims Excluded because of Truncation]], AN_TME_BY[[#All],[Insurance Category Code]],6, AN_TME_BY[[#All],[Advanced Network/Insurance Carrier Org ID]],B325),0), "TRUE", ROUND(D325-SUMIFS(AN_TME_BY[[#All],[Total Claims Excluded because of Truncation]], AN_TME_BY[[#All],[Insurance Category Code]],6, AN_TME_BY[[#All],[Advanced Network/Insurance Carrier Org ID]],B325),2))</f>
        <v>TRUE</v>
      </c>
      <c r="J325" s="537" t="str">
        <f>IF(ROUND(E325,0)=ROUND(SUMIFS(AN_TME_BY[[#All],[Count of Members with Claims Truncated]], AN_TME_BY[[#All],[Insurance Category Code]],6, AN_TME_BY[[#All],[Advanced Network/Insurance Carrier Org ID]],B325),0), "TRUE", ROUND(E325-SUMIFS(AN_TME_BY[[#All],[Count of Members with Claims Truncated]], AN_TME_BY[[#All],[Insurance Category Code]],6, AN_TME_BY[[#All],[Advanced Network/Insurance Carrier Org ID]],B325),2))</f>
        <v>TRUE</v>
      </c>
      <c r="K325" s="533" t="str">
        <f>IF(ROUND(F325,0)=ROUND(SUMIFS(AN_TME_BY[[#All],[TOTAL Non-Truncated Unadjusted Claims Expenses]], AN_TME_BY[[#All],[Insurance Category Code]],6, AN_TME_BY[[#All],[Advanced Network/Insurance Carrier Org ID]],B325),0), "TRUE", ROUND(F325-SUMIFS(AN_TME_BY[[#All],[TOTAL Non-Truncated Unadjusted Claims Expenses]], AN_TME_BY[[#All],[Insurance Category Code]],6, AN_TME_BY[[#All],[Advanced Network/Insurance Carrier Org ID]],B325),2))</f>
        <v>TRUE</v>
      </c>
      <c r="L325" s="534" t="str">
        <f>IF(ROUND(G325,0)=ROUND(SUMIFS(AN_TME_BY[[#All],[TOTAL Truncated Unadjusted Claims Expenses (A21 -A19)]], AN_TME_BY[[#All],[Insurance Category Code]],6, AN_TME_BY[[#All],[Advanced Network/Insurance Carrier Org ID]],B325),0), "TRUE", ROUND(G325-SUMIFS(AN_TME_BY[[#All],[TOTAL Truncated Unadjusted Claims Expenses (A21 -A19)]], AN_TME_BY[[#All],[Insurance Category Code]],6, AN_TME_BY[[#All],[Advanced Network/Insurance Carrier Org ID]],B325),2))</f>
        <v>TRUE</v>
      </c>
      <c r="M325" s="525" t="str">
        <f t="shared" si="42"/>
        <v>TRUE</v>
      </c>
      <c r="N325" s="533" t="b">
        <f>ROUND(SUMIFS(AN_TME_BY[[#All],[TOTAL Non-Truncated Unadjusted Claims Expenses]], AN_TME_BY[[#All],[Insurance Category Code]],6, AN_TME_BY[[#All],[Advanced Network/Insurance Carrier Org ID]],B325),2)&gt;=ROUND(SUMIFS(AN_TME_BY[[#All],[TOTAL Truncated Unadjusted Claims Expenses (A21 -A19)]], AN_TME_BY[[#All],[Insurance Category Code]],6, AN_TME_BY[[#All],[Advanced Network/Insurance Carrier Org ID]],B325),2)</f>
        <v>1</v>
      </c>
      <c r="O325" s="534" t="b">
        <f>ROUND(SUMIFS(AN_TME_BY[[#All],[TOTAL Truncated Unadjusted Claims Expenses (A21 -A19)]], AN_TME_BY[[#All],[Insurance Category Code]],6, AN_TME_BY[[#All],[Advanced Network/Insurance Carrier Org ID]],B325)+SUMIFS(AN_TME_BY[[#All],[Total Claims Excluded because of Truncation]], AN_TME_BY[[#All],[Insurance Category Code]],6, AN_TME_BY[[#All],[Advanced Network/Insurance Carrier Org ID]],B325),2)=ROUND(SUMIFS(AN_TME_BY[[#All],[TOTAL Non-Truncated Unadjusted Claims Expenses]], AN_TME_BY[[#All],[Insurance Category Code]],6, AN_TME_BY[[#All],[Advanced Network/Insurance Carrier Org ID]],B325),2)</f>
        <v>1</v>
      </c>
      <c r="Q325" s="216">
        <v>105</v>
      </c>
      <c r="R325" s="404">
        <f>ROUND(SUMIFS(Age_Sex_PY[[#All],[Total Member Months by Age/Sex Band]], Age_Sex_PY[[#All],[Advanced Network ID]], $Q325, Age_Sex_PY[[#All],[Insurance Category Code]],6),2)</f>
        <v>0</v>
      </c>
      <c r="S325" s="238">
        <f>ROUND(SUMIFS(Age_Sex_PY[[#All],[Total Dollars Excluded from Spending After Applying Truncation at the Member Level]], Age_Sex_PY[[#All],[Advanced Network ID]], $B325, Age_Sex_PY[[#All],[Insurance Category Code]],6),2)</f>
        <v>0</v>
      </c>
      <c r="T325" s="209">
        <f>ROUND(SUMIFS(Age_Sex_PY[[#All],[Count of Members whose Spending was Truncated]], Age_Sex_PY[[#All],[Advanced Network ID]], $B325, Age_Sex_PY[[#All],[Insurance Category Code]],6),2)</f>
        <v>0</v>
      </c>
      <c r="U325" s="210">
        <f>ROUND(SUMIFS(Age_Sex_PY[[#All],[Total Spending before Truncation is Applied]], Age_Sex_PY[[#All],[Advanced Network ID]], $B325, Age_Sex_PY[[#All],[Insurance Category Code]],6),2)</f>
        <v>0</v>
      </c>
      <c r="V325" s="212">
        <f>ROUND(SUMIFS(Age_Sex_PY[[#All],[Total Spending After Applying Truncation at the Member Level]], Age_Sex_PY[[#All],[Advanced Network ID]], $B325, Age_Sex_PY[[#All],[Insurance Category Code]],6),2)</f>
        <v>0</v>
      </c>
      <c r="W325" s="525" t="str">
        <f>IF(ROUND(R325,0)=ROUND(SUMIFS(AN_TME_PY[[#All],[Member Months]], AN_TME_PY[[#All],[Insurance Category Code]],6, AN_TME_PY[[#All],[Advanced Network/Insurance Carrier Org ID]],Q325),0), "TRUE", ROUND(R325-SUMIFS(AN_TME_PY[[#All],[Member Months]], AN_TME_PY[[#All],[Insurance Category Code]],6, AN_TME_PY[[#All],[Advanced Network/Insurance Carrier Org ID]],Q325),2))</f>
        <v>TRUE</v>
      </c>
      <c r="X325" s="533" t="str">
        <f>IF(ROUND(S325,0)=ROUND(SUMIFS(AN_TME_PY[[#All],[Total Claims Excluded because of Truncation]], AN_TME_PY[[#All],[Insurance Category Code]],6, AN_TME_PY[[#All],[Advanced Network/Insurance Carrier Org ID]],Q325),0), "TRUE", ROUND(S325-SUMIFS(AN_TME_PY[[#All],[Total Claims Excluded because of Truncation]], AN_TME_PY[[#All],[Insurance Category Code]],6, AN_TME_PY[[#All],[Advanced Network/Insurance Carrier Org ID]],Q325),2))</f>
        <v>TRUE</v>
      </c>
      <c r="Y325" s="537" t="str">
        <f>IF(ROUND(T325,0)=ROUND(SUMIFS(AN_TME_PY[[#All],[Count of Members with Claims Truncated]], AN_TME_PY[[#All],[Insurance Category Code]],6, AN_TME_PY[[#All],[Advanced Network/Insurance Carrier Org ID]],Q325),0), "TRUE", ROUND(T325-SUMIFS(AN_TME_PY[[#All],[Count of Members with Claims Truncated]], AN_TME_PY[[#All],[Insurance Category Code]],6, AN_TME_PY[[#All],[Advanced Network/Insurance Carrier Org ID]],Q325),2))</f>
        <v>TRUE</v>
      </c>
      <c r="Z325" s="533" t="str">
        <f>IF(ROUND(U325,0)=ROUND(SUMIFS(AN_TME_PY[[#All],[TOTAL Non-Truncated Unadjusted Claims Expenses]], AN_TME_PY[[#All],[Insurance Category Code]],6, AN_TME_PY[[#All],[Advanced Network/Insurance Carrier Org ID]],Q325),0), "TRUE", ROUND(U325-SUMIFS(AN_TME_PY[[#All],[TOTAL Non-Truncated Unadjusted Claims Expenses]], AN_TME_PY[[#All],[Insurance Category Code]],6, AN_TME_PY[[#All],[Advanced Network/Insurance Carrier Org ID]],Q325),2))</f>
        <v>TRUE</v>
      </c>
      <c r="AA325" s="534" t="str">
        <f>IF(ROUND(V325,0)=ROUND(SUMIFS(AN_TME_PY[[#All],[TOTAL Truncated Unadjusted Claims Expenses (A21 -A19)]], AN_TME_PY[[#All],[Insurance Category Code]],6, AN_TME_PY[[#All],[Advanced Network/Insurance Carrier Org ID]],Q325),0), "TRUE", ROUND(V325-SUMIFS(AN_TME_PY[[#All],[TOTAL Truncated Unadjusted Claims Expenses (A21 -A19)]], AN_TME_PY[[#All],[Insurance Category Code]],6, AN_TME_PY[[#All],[Advanced Network/Insurance Carrier Org ID]],Q325),2))</f>
        <v>TRUE</v>
      </c>
      <c r="AB325" s="525" t="str">
        <f t="shared" si="45"/>
        <v>TRUE</v>
      </c>
      <c r="AC325" s="533" t="b">
        <f>ROUND(SUMIFS(AN_TME_PY[[#All],[TOTAL Non-Truncated Unadjusted Claims Expenses]], AN_TME_PY[[#All],[Insurance Category Code]],6, AN_TME_PY[[#All],[Advanced Network/Insurance Carrier Org ID]],Q325),2)&gt;=ROUND(SUMIFS(AN_TME_PY[[#All],[TOTAL Truncated Unadjusted Claims Expenses (A21 -A19)]], AN_TME_PY[[#All],[Insurance Category Code]],6, AN_TME_PY[[#All],[Advanced Network/Insurance Carrier Org ID]],Q325),2)</f>
        <v>1</v>
      </c>
      <c r="AD325" s="534" t="b">
        <f>ROUND(SUMIFS(AN_TME_PY[[#All],[TOTAL Truncated Unadjusted Claims Expenses (A21 -A19)]], AN_TME_PY[[#All],[Insurance Category Code]],6, AN_TME_PY[[#All],[Advanced Network/Insurance Carrier Org ID]],Q325)+SUMIFS(AN_TME_PY[[#All],[Total Claims Excluded because of Truncation]], AN_TME_PY[[#All],[Insurance Category Code]],6, AN_TME_PY[[#All],[Advanced Network/Insurance Carrier Org ID]],Q325),2)=ROUND(SUMIFS(AN_TME_PY[[#All],[TOTAL Non-Truncated Unadjusted Claims Expenses]], AN_TME_PY[[#All],[Insurance Category Code]],6, AN_TME_PY[[#All],[Advanced Network/Insurance Carrier Org ID]],Q325),2)</f>
        <v>1</v>
      </c>
      <c r="AF325" s="283" t="str">
        <f t="shared" si="44"/>
        <v>NA</v>
      </c>
    </row>
    <row r="326" spans="2:32" outlineLevel="1" x14ac:dyDescent="0.25">
      <c r="B326" s="216">
        <v>106</v>
      </c>
      <c r="C326" s="404">
        <f>ROUND(SUMIFS(Age_Sex_BY[[#All],[Total Member Months by Age/Sex Band]], Age_Sex_BY[[#All],[Advanced Network ID]], $B326, Age_Sex_BY[[#All],[Insurance Category Code]],6),2)</f>
        <v>0</v>
      </c>
      <c r="D326" s="238">
        <f>ROUND(SUMIFS(Age_Sex_BY[[#All],[Total Dollars Excluded from Spending After Applying Truncation at the Member Level]], Age_Sex_BY[[#All],[Advanced Network ID]], $B326, Age_Sex_BY[[#All],[Insurance Category Code]],6),2)</f>
        <v>0</v>
      </c>
      <c r="E326" s="209">
        <f>ROUND(SUMIFS(Age_Sex_BY[[#All],[Count of Members whose Spending was Truncated]], Age_Sex_BY[[#All],[Advanced Network ID]], $B326, Age_Sex_BY[[#All],[Insurance Category Code]],6),2)</f>
        <v>0</v>
      </c>
      <c r="F326" s="210">
        <f>ROUND(SUMIFS(Age_Sex_BY[[#All],[Total Spending before Truncation is Applied]], Age_Sex_BY[[#All],[Advanced Network ID]], $B326, Age_Sex_BY[[#All],[Insurance Category Code]],6),2)</f>
        <v>0</v>
      </c>
      <c r="G326" s="212">
        <f>ROUND(SUMIFS(Age_Sex_BY[[#All],[Total Spending After Applying Truncation at the Member Level]], Age_Sex_BY[[#All],[Advanced Network ID]], $B326, Age_Sex_BY[[#All],[Insurance Category Code]],6),2)</f>
        <v>0</v>
      </c>
      <c r="H326" s="525" t="str">
        <f>IF(ROUND(C326,0)=ROUND(SUMIFS(AN_TME_BY[[#All],[Member Months]], AN_TME_BY[[#All],[Insurance Category Code]],6, AN_TME_BY[[#All],[Advanced Network/Insurance Carrier Org ID]],B326),0), "TRUE", ROUND(C326-SUMIFS(AN_TME_BY[[#All],[Member Months]], AN_TME_BY[[#All],[Insurance Category Code]],6, AN_TME_BY[[#All],[Advanced Network/Insurance Carrier Org ID]],B326),2))</f>
        <v>TRUE</v>
      </c>
      <c r="I326" s="533" t="str">
        <f>IF(ROUND(D326,0)=ROUND(SUMIFS(AN_TME_BY[[#All],[Total Claims Excluded because of Truncation]], AN_TME_BY[[#All],[Insurance Category Code]],6, AN_TME_BY[[#All],[Advanced Network/Insurance Carrier Org ID]],B326),0), "TRUE", ROUND(D326-SUMIFS(AN_TME_BY[[#All],[Total Claims Excluded because of Truncation]], AN_TME_BY[[#All],[Insurance Category Code]],6, AN_TME_BY[[#All],[Advanced Network/Insurance Carrier Org ID]],B326),2))</f>
        <v>TRUE</v>
      </c>
      <c r="J326" s="537" t="str">
        <f>IF(ROUND(E326,0)=ROUND(SUMIFS(AN_TME_BY[[#All],[Count of Members with Claims Truncated]], AN_TME_BY[[#All],[Insurance Category Code]],6, AN_TME_BY[[#All],[Advanced Network/Insurance Carrier Org ID]],B326),0), "TRUE", ROUND(E326-SUMIFS(AN_TME_BY[[#All],[Count of Members with Claims Truncated]], AN_TME_BY[[#All],[Insurance Category Code]],6, AN_TME_BY[[#All],[Advanced Network/Insurance Carrier Org ID]],B326),2))</f>
        <v>TRUE</v>
      </c>
      <c r="K326" s="533" t="str">
        <f>IF(ROUND(F326,0)=ROUND(SUMIFS(AN_TME_BY[[#All],[TOTAL Non-Truncated Unadjusted Claims Expenses]], AN_TME_BY[[#All],[Insurance Category Code]],6, AN_TME_BY[[#All],[Advanced Network/Insurance Carrier Org ID]],B326),0), "TRUE", ROUND(F326-SUMIFS(AN_TME_BY[[#All],[TOTAL Non-Truncated Unadjusted Claims Expenses]], AN_TME_BY[[#All],[Insurance Category Code]],6, AN_TME_BY[[#All],[Advanced Network/Insurance Carrier Org ID]],B326),2))</f>
        <v>TRUE</v>
      </c>
      <c r="L326" s="534" t="str">
        <f>IF(ROUND(G326,0)=ROUND(SUMIFS(AN_TME_BY[[#All],[TOTAL Truncated Unadjusted Claims Expenses (A21 -A19)]], AN_TME_BY[[#All],[Insurance Category Code]],6, AN_TME_BY[[#All],[Advanced Network/Insurance Carrier Org ID]],B326),0), "TRUE", ROUND(G326-SUMIFS(AN_TME_BY[[#All],[TOTAL Truncated Unadjusted Claims Expenses (A21 -A19)]], AN_TME_BY[[#All],[Insurance Category Code]],6, AN_TME_BY[[#All],[Advanced Network/Insurance Carrier Org ID]],B326),2))</f>
        <v>TRUE</v>
      </c>
      <c r="M326" s="525" t="str">
        <f t="shared" si="42"/>
        <v>TRUE</v>
      </c>
      <c r="N326" s="533" t="b">
        <f>ROUND(SUMIFS(AN_TME_BY[[#All],[TOTAL Non-Truncated Unadjusted Claims Expenses]], AN_TME_BY[[#All],[Insurance Category Code]],6, AN_TME_BY[[#All],[Advanced Network/Insurance Carrier Org ID]],B326),2)&gt;=ROUND(SUMIFS(AN_TME_BY[[#All],[TOTAL Truncated Unadjusted Claims Expenses (A21 -A19)]], AN_TME_BY[[#All],[Insurance Category Code]],6, AN_TME_BY[[#All],[Advanced Network/Insurance Carrier Org ID]],B326),2)</f>
        <v>1</v>
      </c>
      <c r="O326" s="534" t="b">
        <f>ROUND(SUMIFS(AN_TME_BY[[#All],[TOTAL Truncated Unadjusted Claims Expenses (A21 -A19)]], AN_TME_BY[[#All],[Insurance Category Code]],6, AN_TME_BY[[#All],[Advanced Network/Insurance Carrier Org ID]],B326)+SUMIFS(AN_TME_BY[[#All],[Total Claims Excluded because of Truncation]], AN_TME_BY[[#All],[Insurance Category Code]],6, AN_TME_BY[[#All],[Advanced Network/Insurance Carrier Org ID]],B326),2)=ROUND(SUMIFS(AN_TME_BY[[#All],[TOTAL Non-Truncated Unadjusted Claims Expenses]], AN_TME_BY[[#All],[Insurance Category Code]],6, AN_TME_BY[[#All],[Advanced Network/Insurance Carrier Org ID]],B326),2)</f>
        <v>1</v>
      </c>
      <c r="Q326" s="216">
        <v>106</v>
      </c>
      <c r="R326" s="404">
        <f>ROUND(SUMIFS(Age_Sex_PY[[#All],[Total Member Months by Age/Sex Band]], Age_Sex_PY[[#All],[Advanced Network ID]], $Q326, Age_Sex_PY[[#All],[Insurance Category Code]],6),2)</f>
        <v>0</v>
      </c>
      <c r="S326" s="238">
        <f>ROUND(SUMIFS(Age_Sex_PY[[#All],[Total Dollars Excluded from Spending After Applying Truncation at the Member Level]], Age_Sex_PY[[#All],[Advanced Network ID]], $B326, Age_Sex_PY[[#All],[Insurance Category Code]],6),2)</f>
        <v>0</v>
      </c>
      <c r="T326" s="209">
        <f>ROUND(SUMIFS(Age_Sex_PY[[#All],[Count of Members whose Spending was Truncated]], Age_Sex_PY[[#All],[Advanced Network ID]], $B326, Age_Sex_PY[[#All],[Insurance Category Code]],6),2)</f>
        <v>0</v>
      </c>
      <c r="U326" s="210">
        <f>ROUND(SUMIFS(Age_Sex_PY[[#All],[Total Spending before Truncation is Applied]], Age_Sex_PY[[#All],[Advanced Network ID]], $B326, Age_Sex_PY[[#All],[Insurance Category Code]],6),2)</f>
        <v>0</v>
      </c>
      <c r="V326" s="212">
        <f>ROUND(SUMIFS(Age_Sex_PY[[#All],[Total Spending After Applying Truncation at the Member Level]], Age_Sex_PY[[#All],[Advanced Network ID]], $B326, Age_Sex_PY[[#All],[Insurance Category Code]],6),2)</f>
        <v>0</v>
      </c>
      <c r="W326" s="525" t="str">
        <f>IF(ROUND(R326,0)=ROUND(SUMIFS(AN_TME_PY[[#All],[Member Months]], AN_TME_PY[[#All],[Insurance Category Code]],6, AN_TME_PY[[#All],[Advanced Network/Insurance Carrier Org ID]],Q326),0), "TRUE", ROUND(R326-SUMIFS(AN_TME_PY[[#All],[Member Months]], AN_TME_PY[[#All],[Insurance Category Code]],6, AN_TME_PY[[#All],[Advanced Network/Insurance Carrier Org ID]],Q326),2))</f>
        <v>TRUE</v>
      </c>
      <c r="X326" s="533" t="str">
        <f>IF(ROUND(S326,0)=ROUND(SUMIFS(AN_TME_PY[[#All],[Total Claims Excluded because of Truncation]], AN_TME_PY[[#All],[Insurance Category Code]],6, AN_TME_PY[[#All],[Advanced Network/Insurance Carrier Org ID]],Q326),0), "TRUE", ROUND(S326-SUMIFS(AN_TME_PY[[#All],[Total Claims Excluded because of Truncation]], AN_TME_PY[[#All],[Insurance Category Code]],6, AN_TME_PY[[#All],[Advanced Network/Insurance Carrier Org ID]],Q326),2))</f>
        <v>TRUE</v>
      </c>
      <c r="Y326" s="537" t="str">
        <f>IF(ROUND(T326,0)=ROUND(SUMIFS(AN_TME_PY[[#All],[Count of Members with Claims Truncated]], AN_TME_PY[[#All],[Insurance Category Code]],6, AN_TME_PY[[#All],[Advanced Network/Insurance Carrier Org ID]],Q326),0), "TRUE", ROUND(T326-SUMIFS(AN_TME_PY[[#All],[Count of Members with Claims Truncated]], AN_TME_PY[[#All],[Insurance Category Code]],6, AN_TME_PY[[#All],[Advanced Network/Insurance Carrier Org ID]],Q326),2))</f>
        <v>TRUE</v>
      </c>
      <c r="Z326" s="533" t="str">
        <f>IF(ROUND(U326,0)=ROUND(SUMIFS(AN_TME_PY[[#All],[TOTAL Non-Truncated Unadjusted Claims Expenses]], AN_TME_PY[[#All],[Insurance Category Code]],6, AN_TME_PY[[#All],[Advanced Network/Insurance Carrier Org ID]],Q326),0), "TRUE", ROUND(U326-SUMIFS(AN_TME_PY[[#All],[TOTAL Non-Truncated Unadjusted Claims Expenses]], AN_TME_PY[[#All],[Insurance Category Code]],6, AN_TME_PY[[#All],[Advanced Network/Insurance Carrier Org ID]],Q326),2))</f>
        <v>TRUE</v>
      </c>
      <c r="AA326" s="534" t="str">
        <f>IF(ROUND(V326,0)=ROUND(SUMIFS(AN_TME_PY[[#All],[TOTAL Truncated Unadjusted Claims Expenses (A21 -A19)]], AN_TME_PY[[#All],[Insurance Category Code]],6, AN_TME_PY[[#All],[Advanced Network/Insurance Carrier Org ID]],Q326),0), "TRUE", ROUND(V326-SUMIFS(AN_TME_PY[[#All],[TOTAL Truncated Unadjusted Claims Expenses (A21 -A19)]], AN_TME_PY[[#All],[Insurance Category Code]],6, AN_TME_PY[[#All],[Advanced Network/Insurance Carrier Org ID]],Q326),2))</f>
        <v>TRUE</v>
      </c>
      <c r="AB326" s="525" t="str">
        <f t="shared" si="45"/>
        <v>TRUE</v>
      </c>
      <c r="AC326" s="533" t="b">
        <f>ROUND(SUMIFS(AN_TME_PY[[#All],[TOTAL Non-Truncated Unadjusted Claims Expenses]], AN_TME_PY[[#All],[Insurance Category Code]],6, AN_TME_PY[[#All],[Advanced Network/Insurance Carrier Org ID]],Q326),2)&gt;=ROUND(SUMIFS(AN_TME_PY[[#All],[TOTAL Truncated Unadjusted Claims Expenses (A21 -A19)]], AN_TME_PY[[#All],[Insurance Category Code]],6, AN_TME_PY[[#All],[Advanced Network/Insurance Carrier Org ID]],Q326),2)</f>
        <v>1</v>
      </c>
      <c r="AD326" s="534" t="b">
        <f>ROUND(SUMIFS(AN_TME_PY[[#All],[TOTAL Truncated Unadjusted Claims Expenses (A21 -A19)]], AN_TME_PY[[#All],[Insurance Category Code]],6, AN_TME_PY[[#All],[Advanced Network/Insurance Carrier Org ID]],Q326)+SUMIFS(AN_TME_PY[[#All],[Total Claims Excluded because of Truncation]], AN_TME_PY[[#All],[Insurance Category Code]],6, AN_TME_PY[[#All],[Advanced Network/Insurance Carrier Org ID]],Q326),2)=ROUND(SUMIFS(AN_TME_PY[[#All],[TOTAL Non-Truncated Unadjusted Claims Expenses]], AN_TME_PY[[#All],[Insurance Category Code]],6, AN_TME_PY[[#All],[Advanced Network/Insurance Carrier Org ID]],Q326),2)</f>
        <v>1</v>
      </c>
      <c r="AF326" s="283" t="str">
        <f t="shared" si="44"/>
        <v>NA</v>
      </c>
    </row>
    <row r="327" spans="2:32" outlineLevel="1" x14ac:dyDescent="0.25">
      <c r="B327" s="216">
        <v>107</v>
      </c>
      <c r="C327" s="404">
        <f>ROUND(SUMIFS(Age_Sex_BY[[#All],[Total Member Months by Age/Sex Band]], Age_Sex_BY[[#All],[Advanced Network ID]], $B327, Age_Sex_BY[[#All],[Insurance Category Code]],6),2)</f>
        <v>0</v>
      </c>
      <c r="D327" s="238">
        <f>ROUND(SUMIFS(Age_Sex_BY[[#All],[Total Dollars Excluded from Spending After Applying Truncation at the Member Level]], Age_Sex_BY[[#All],[Advanced Network ID]], $B327, Age_Sex_BY[[#All],[Insurance Category Code]],6),2)</f>
        <v>0</v>
      </c>
      <c r="E327" s="209">
        <f>ROUND(SUMIFS(Age_Sex_BY[[#All],[Count of Members whose Spending was Truncated]], Age_Sex_BY[[#All],[Advanced Network ID]], $B327, Age_Sex_BY[[#All],[Insurance Category Code]],6),2)</f>
        <v>0</v>
      </c>
      <c r="F327" s="210">
        <f>ROUND(SUMIFS(Age_Sex_BY[[#All],[Total Spending before Truncation is Applied]], Age_Sex_BY[[#All],[Advanced Network ID]], $B327, Age_Sex_BY[[#All],[Insurance Category Code]],6),2)</f>
        <v>0</v>
      </c>
      <c r="G327" s="212">
        <f>ROUND(SUMIFS(Age_Sex_BY[[#All],[Total Spending After Applying Truncation at the Member Level]], Age_Sex_BY[[#All],[Advanced Network ID]], $B327, Age_Sex_BY[[#All],[Insurance Category Code]],6),2)</f>
        <v>0</v>
      </c>
      <c r="H327" s="525" t="str">
        <f>IF(ROUND(C327,0)=ROUND(SUMIFS(AN_TME_BY[[#All],[Member Months]], AN_TME_BY[[#All],[Insurance Category Code]],6, AN_TME_BY[[#All],[Advanced Network/Insurance Carrier Org ID]],B327),0), "TRUE", ROUND(C327-SUMIFS(AN_TME_BY[[#All],[Member Months]], AN_TME_BY[[#All],[Insurance Category Code]],6, AN_TME_BY[[#All],[Advanced Network/Insurance Carrier Org ID]],B327),2))</f>
        <v>TRUE</v>
      </c>
      <c r="I327" s="533" t="str">
        <f>IF(ROUND(D327,0)=ROUND(SUMIFS(AN_TME_BY[[#All],[Total Claims Excluded because of Truncation]], AN_TME_BY[[#All],[Insurance Category Code]],6, AN_TME_BY[[#All],[Advanced Network/Insurance Carrier Org ID]],B327),0), "TRUE", ROUND(D327-SUMIFS(AN_TME_BY[[#All],[Total Claims Excluded because of Truncation]], AN_TME_BY[[#All],[Insurance Category Code]],6, AN_TME_BY[[#All],[Advanced Network/Insurance Carrier Org ID]],B327),2))</f>
        <v>TRUE</v>
      </c>
      <c r="J327" s="537" t="str">
        <f>IF(ROUND(E327,0)=ROUND(SUMIFS(AN_TME_BY[[#All],[Count of Members with Claims Truncated]], AN_TME_BY[[#All],[Insurance Category Code]],6, AN_TME_BY[[#All],[Advanced Network/Insurance Carrier Org ID]],B327),0), "TRUE", ROUND(E327-SUMIFS(AN_TME_BY[[#All],[Count of Members with Claims Truncated]], AN_TME_BY[[#All],[Insurance Category Code]],6, AN_TME_BY[[#All],[Advanced Network/Insurance Carrier Org ID]],B327),2))</f>
        <v>TRUE</v>
      </c>
      <c r="K327" s="533" t="str">
        <f>IF(ROUND(F327,0)=ROUND(SUMIFS(AN_TME_BY[[#All],[TOTAL Non-Truncated Unadjusted Claims Expenses]], AN_TME_BY[[#All],[Insurance Category Code]],6, AN_TME_BY[[#All],[Advanced Network/Insurance Carrier Org ID]],B327),0), "TRUE", ROUND(F327-SUMIFS(AN_TME_BY[[#All],[TOTAL Non-Truncated Unadjusted Claims Expenses]], AN_TME_BY[[#All],[Insurance Category Code]],6, AN_TME_BY[[#All],[Advanced Network/Insurance Carrier Org ID]],B327),2))</f>
        <v>TRUE</v>
      </c>
      <c r="L327" s="534" t="str">
        <f>IF(ROUND(G327,0)=ROUND(SUMIFS(AN_TME_BY[[#All],[TOTAL Truncated Unadjusted Claims Expenses (A21 -A19)]], AN_TME_BY[[#All],[Insurance Category Code]],6, AN_TME_BY[[#All],[Advanced Network/Insurance Carrier Org ID]],B327),0), "TRUE", ROUND(G327-SUMIFS(AN_TME_BY[[#All],[TOTAL Truncated Unadjusted Claims Expenses (A21 -A19)]], AN_TME_BY[[#All],[Insurance Category Code]],6, AN_TME_BY[[#All],[Advanced Network/Insurance Carrier Org ID]],B327),2))</f>
        <v>TRUE</v>
      </c>
      <c r="M327" s="525" t="str">
        <f t="shared" si="42"/>
        <v>TRUE</v>
      </c>
      <c r="N327" s="533" t="b">
        <f>ROUND(SUMIFS(AN_TME_BY[[#All],[TOTAL Non-Truncated Unadjusted Claims Expenses]], AN_TME_BY[[#All],[Insurance Category Code]],6, AN_TME_BY[[#All],[Advanced Network/Insurance Carrier Org ID]],B327),2)&gt;=ROUND(SUMIFS(AN_TME_BY[[#All],[TOTAL Truncated Unadjusted Claims Expenses (A21 -A19)]], AN_TME_BY[[#All],[Insurance Category Code]],6, AN_TME_BY[[#All],[Advanced Network/Insurance Carrier Org ID]],B327),2)</f>
        <v>1</v>
      </c>
      <c r="O327" s="534" t="b">
        <f>ROUND(SUMIFS(AN_TME_BY[[#All],[TOTAL Truncated Unadjusted Claims Expenses (A21 -A19)]], AN_TME_BY[[#All],[Insurance Category Code]],6, AN_TME_BY[[#All],[Advanced Network/Insurance Carrier Org ID]],B327)+SUMIFS(AN_TME_BY[[#All],[Total Claims Excluded because of Truncation]], AN_TME_BY[[#All],[Insurance Category Code]],6, AN_TME_BY[[#All],[Advanced Network/Insurance Carrier Org ID]],B327),2)=ROUND(SUMIFS(AN_TME_BY[[#All],[TOTAL Non-Truncated Unadjusted Claims Expenses]], AN_TME_BY[[#All],[Insurance Category Code]],6, AN_TME_BY[[#All],[Advanced Network/Insurance Carrier Org ID]],B327),2)</f>
        <v>1</v>
      </c>
      <c r="Q327" s="216">
        <v>107</v>
      </c>
      <c r="R327" s="404">
        <f>ROUND(SUMIFS(Age_Sex_PY[[#All],[Total Member Months by Age/Sex Band]], Age_Sex_PY[[#All],[Advanced Network ID]], $Q327, Age_Sex_PY[[#All],[Insurance Category Code]],6),2)</f>
        <v>0</v>
      </c>
      <c r="S327" s="238">
        <f>ROUND(SUMIFS(Age_Sex_PY[[#All],[Total Dollars Excluded from Spending After Applying Truncation at the Member Level]], Age_Sex_PY[[#All],[Advanced Network ID]], $B327, Age_Sex_PY[[#All],[Insurance Category Code]],6),2)</f>
        <v>0</v>
      </c>
      <c r="T327" s="209">
        <f>ROUND(SUMIFS(Age_Sex_PY[[#All],[Count of Members whose Spending was Truncated]], Age_Sex_PY[[#All],[Advanced Network ID]], $B327, Age_Sex_PY[[#All],[Insurance Category Code]],6),2)</f>
        <v>0</v>
      </c>
      <c r="U327" s="210">
        <f>ROUND(SUMIFS(Age_Sex_PY[[#All],[Total Spending before Truncation is Applied]], Age_Sex_PY[[#All],[Advanced Network ID]], $B327, Age_Sex_PY[[#All],[Insurance Category Code]],6),2)</f>
        <v>0</v>
      </c>
      <c r="V327" s="212">
        <f>ROUND(SUMIFS(Age_Sex_PY[[#All],[Total Spending After Applying Truncation at the Member Level]], Age_Sex_PY[[#All],[Advanced Network ID]], $B327, Age_Sex_PY[[#All],[Insurance Category Code]],6),2)</f>
        <v>0</v>
      </c>
      <c r="W327" s="525" t="str">
        <f>IF(ROUND(R327,0)=ROUND(SUMIFS(AN_TME_PY[[#All],[Member Months]], AN_TME_PY[[#All],[Insurance Category Code]],6, AN_TME_PY[[#All],[Advanced Network/Insurance Carrier Org ID]],Q327),0), "TRUE", ROUND(R327-SUMIFS(AN_TME_PY[[#All],[Member Months]], AN_TME_PY[[#All],[Insurance Category Code]],6, AN_TME_PY[[#All],[Advanced Network/Insurance Carrier Org ID]],Q327),2))</f>
        <v>TRUE</v>
      </c>
      <c r="X327" s="533" t="str">
        <f>IF(ROUND(S327,0)=ROUND(SUMIFS(AN_TME_PY[[#All],[Total Claims Excluded because of Truncation]], AN_TME_PY[[#All],[Insurance Category Code]],6, AN_TME_PY[[#All],[Advanced Network/Insurance Carrier Org ID]],Q327),0), "TRUE", ROUND(S327-SUMIFS(AN_TME_PY[[#All],[Total Claims Excluded because of Truncation]], AN_TME_PY[[#All],[Insurance Category Code]],6, AN_TME_PY[[#All],[Advanced Network/Insurance Carrier Org ID]],Q327),2))</f>
        <v>TRUE</v>
      </c>
      <c r="Y327" s="537" t="str">
        <f>IF(ROUND(T327,0)=ROUND(SUMIFS(AN_TME_PY[[#All],[Count of Members with Claims Truncated]], AN_TME_PY[[#All],[Insurance Category Code]],6, AN_TME_PY[[#All],[Advanced Network/Insurance Carrier Org ID]],Q327),0), "TRUE", ROUND(T327-SUMIFS(AN_TME_PY[[#All],[Count of Members with Claims Truncated]], AN_TME_PY[[#All],[Insurance Category Code]],6, AN_TME_PY[[#All],[Advanced Network/Insurance Carrier Org ID]],Q327),2))</f>
        <v>TRUE</v>
      </c>
      <c r="Z327" s="533" t="str">
        <f>IF(ROUND(U327,0)=ROUND(SUMIFS(AN_TME_PY[[#All],[TOTAL Non-Truncated Unadjusted Claims Expenses]], AN_TME_PY[[#All],[Insurance Category Code]],6, AN_TME_PY[[#All],[Advanced Network/Insurance Carrier Org ID]],Q327),0), "TRUE", ROUND(U327-SUMIFS(AN_TME_PY[[#All],[TOTAL Non-Truncated Unadjusted Claims Expenses]], AN_TME_PY[[#All],[Insurance Category Code]],6, AN_TME_PY[[#All],[Advanced Network/Insurance Carrier Org ID]],Q327),2))</f>
        <v>TRUE</v>
      </c>
      <c r="AA327" s="534" t="str">
        <f>IF(ROUND(V327,0)=ROUND(SUMIFS(AN_TME_PY[[#All],[TOTAL Truncated Unadjusted Claims Expenses (A21 -A19)]], AN_TME_PY[[#All],[Insurance Category Code]],6, AN_TME_PY[[#All],[Advanced Network/Insurance Carrier Org ID]],Q327),0), "TRUE", ROUND(V327-SUMIFS(AN_TME_PY[[#All],[TOTAL Truncated Unadjusted Claims Expenses (A21 -A19)]], AN_TME_PY[[#All],[Insurance Category Code]],6, AN_TME_PY[[#All],[Advanced Network/Insurance Carrier Org ID]],Q327),2))</f>
        <v>TRUE</v>
      </c>
      <c r="AB327" s="525" t="str">
        <f t="shared" si="45"/>
        <v>TRUE</v>
      </c>
      <c r="AC327" s="533" t="b">
        <f>ROUND(SUMIFS(AN_TME_PY[[#All],[TOTAL Non-Truncated Unadjusted Claims Expenses]], AN_TME_PY[[#All],[Insurance Category Code]],6, AN_TME_PY[[#All],[Advanced Network/Insurance Carrier Org ID]],Q327),2)&gt;=ROUND(SUMIFS(AN_TME_PY[[#All],[TOTAL Truncated Unadjusted Claims Expenses (A21 -A19)]], AN_TME_PY[[#All],[Insurance Category Code]],6, AN_TME_PY[[#All],[Advanced Network/Insurance Carrier Org ID]],Q327),2)</f>
        <v>1</v>
      </c>
      <c r="AD327" s="534" t="b">
        <f>ROUND(SUMIFS(AN_TME_PY[[#All],[TOTAL Truncated Unadjusted Claims Expenses (A21 -A19)]], AN_TME_PY[[#All],[Insurance Category Code]],6, AN_TME_PY[[#All],[Advanced Network/Insurance Carrier Org ID]],Q327)+SUMIFS(AN_TME_PY[[#All],[Total Claims Excluded because of Truncation]], AN_TME_PY[[#All],[Insurance Category Code]],6, AN_TME_PY[[#All],[Advanced Network/Insurance Carrier Org ID]],Q327),2)=ROUND(SUMIFS(AN_TME_PY[[#All],[TOTAL Non-Truncated Unadjusted Claims Expenses]], AN_TME_PY[[#All],[Insurance Category Code]],6, AN_TME_PY[[#All],[Advanced Network/Insurance Carrier Org ID]],Q327),2)</f>
        <v>1</v>
      </c>
      <c r="AF327" s="283" t="str">
        <f t="shared" si="44"/>
        <v>NA</v>
      </c>
    </row>
    <row r="328" spans="2:32" outlineLevel="1" x14ac:dyDescent="0.25">
      <c r="B328" s="216">
        <v>108</v>
      </c>
      <c r="C328" s="404">
        <f>ROUND(SUMIFS(Age_Sex_BY[[#All],[Total Member Months by Age/Sex Band]], Age_Sex_BY[[#All],[Advanced Network ID]], $B328, Age_Sex_BY[[#All],[Insurance Category Code]],6),2)</f>
        <v>0</v>
      </c>
      <c r="D328" s="238">
        <f>ROUND(SUMIFS(Age_Sex_BY[[#All],[Total Dollars Excluded from Spending After Applying Truncation at the Member Level]], Age_Sex_BY[[#All],[Advanced Network ID]], $B328, Age_Sex_BY[[#All],[Insurance Category Code]],6),2)</f>
        <v>0</v>
      </c>
      <c r="E328" s="209">
        <f>ROUND(SUMIFS(Age_Sex_BY[[#All],[Count of Members whose Spending was Truncated]], Age_Sex_BY[[#All],[Advanced Network ID]], $B328, Age_Sex_BY[[#All],[Insurance Category Code]],6),2)</f>
        <v>0</v>
      </c>
      <c r="F328" s="210">
        <f>ROUND(SUMIFS(Age_Sex_BY[[#All],[Total Spending before Truncation is Applied]], Age_Sex_BY[[#All],[Advanced Network ID]], $B328, Age_Sex_BY[[#All],[Insurance Category Code]],6),2)</f>
        <v>0</v>
      </c>
      <c r="G328" s="212">
        <f>ROUND(SUMIFS(Age_Sex_BY[[#All],[Total Spending After Applying Truncation at the Member Level]], Age_Sex_BY[[#All],[Advanced Network ID]], $B328, Age_Sex_BY[[#All],[Insurance Category Code]],6),2)</f>
        <v>0</v>
      </c>
      <c r="H328" s="525" t="str">
        <f>IF(ROUND(C328,0)=ROUND(SUMIFS(AN_TME_BY[[#All],[Member Months]], AN_TME_BY[[#All],[Insurance Category Code]],6, AN_TME_BY[[#All],[Advanced Network/Insurance Carrier Org ID]],B328),0), "TRUE", ROUND(C328-SUMIFS(AN_TME_BY[[#All],[Member Months]], AN_TME_BY[[#All],[Insurance Category Code]],6, AN_TME_BY[[#All],[Advanced Network/Insurance Carrier Org ID]],B328),2))</f>
        <v>TRUE</v>
      </c>
      <c r="I328" s="533" t="str">
        <f>IF(ROUND(D328,0)=ROUND(SUMIFS(AN_TME_BY[[#All],[Total Claims Excluded because of Truncation]], AN_TME_BY[[#All],[Insurance Category Code]],6, AN_TME_BY[[#All],[Advanced Network/Insurance Carrier Org ID]],B328),0), "TRUE", ROUND(D328-SUMIFS(AN_TME_BY[[#All],[Total Claims Excluded because of Truncation]], AN_TME_BY[[#All],[Insurance Category Code]],6, AN_TME_BY[[#All],[Advanced Network/Insurance Carrier Org ID]],B328),2))</f>
        <v>TRUE</v>
      </c>
      <c r="J328" s="537" t="str">
        <f>IF(ROUND(E328,0)=ROUND(SUMIFS(AN_TME_BY[[#All],[Count of Members with Claims Truncated]], AN_TME_BY[[#All],[Insurance Category Code]],6, AN_TME_BY[[#All],[Advanced Network/Insurance Carrier Org ID]],B328),0), "TRUE", ROUND(E328-SUMIFS(AN_TME_BY[[#All],[Count of Members with Claims Truncated]], AN_TME_BY[[#All],[Insurance Category Code]],6, AN_TME_BY[[#All],[Advanced Network/Insurance Carrier Org ID]],B328),2))</f>
        <v>TRUE</v>
      </c>
      <c r="K328" s="533" t="str">
        <f>IF(ROUND(F328,0)=ROUND(SUMIFS(AN_TME_BY[[#All],[TOTAL Non-Truncated Unadjusted Claims Expenses]], AN_TME_BY[[#All],[Insurance Category Code]],6, AN_TME_BY[[#All],[Advanced Network/Insurance Carrier Org ID]],B328),0), "TRUE", ROUND(F328-SUMIFS(AN_TME_BY[[#All],[TOTAL Non-Truncated Unadjusted Claims Expenses]], AN_TME_BY[[#All],[Insurance Category Code]],6, AN_TME_BY[[#All],[Advanced Network/Insurance Carrier Org ID]],B328),2))</f>
        <v>TRUE</v>
      </c>
      <c r="L328" s="534" t="str">
        <f>IF(ROUND(G328,0)=ROUND(SUMIFS(AN_TME_BY[[#All],[TOTAL Truncated Unadjusted Claims Expenses (A21 -A19)]], AN_TME_BY[[#All],[Insurance Category Code]],6, AN_TME_BY[[#All],[Advanced Network/Insurance Carrier Org ID]],B328),0), "TRUE", ROUND(G328-SUMIFS(AN_TME_BY[[#All],[TOTAL Truncated Unadjusted Claims Expenses (A21 -A19)]], AN_TME_BY[[#All],[Insurance Category Code]],6, AN_TME_BY[[#All],[Advanced Network/Insurance Carrier Org ID]],B328),2))</f>
        <v>TRUE</v>
      </c>
      <c r="M328" s="525" t="str">
        <f t="shared" si="42"/>
        <v>TRUE</v>
      </c>
      <c r="N328" s="533" t="b">
        <f>ROUND(SUMIFS(AN_TME_BY[[#All],[TOTAL Non-Truncated Unadjusted Claims Expenses]], AN_TME_BY[[#All],[Insurance Category Code]],6, AN_TME_BY[[#All],[Advanced Network/Insurance Carrier Org ID]],B328),2)&gt;=ROUND(SUMIFS(AN_TME_BY[[#All],[TOTAL Truncated Unadjusted Claims Expenses (A21 -A19)]], AN_TME_BY[[#All],[Insurance Category Code]],6, AN_TME_BY[[#All],[Advanced Network/Insurance Carrier Org ID]],B328),2)</f>
        <v>1</v>
      </c>
      <c r="O328" s="534" t="b">
        <f>ROUND(SUMIFS(AN_TME_BY[[#All],[TOTAL Truncated Unadjusted Claims Expenses (A21 -A19)]], AN_TME_BY[[#All],[Insurance Category Code]],6, AN_TME_BY[[#All],[Advanced Network/Insurance Carrier Org ID]],B328)+SUMIFS(AN_TME_BY[[#All],[Total Claims Excluded because of Truncation]], AN_TME_BY[[#All],[Insurance Category Code]],6, AN_TME_BY[[#All],[Advanced Network/Insurance Carrier Org ID]],B328),2)=ROUND(SUMIFS(AN_TME_BY[[#All],[TOTAL Non-Truncated Unadjusted Claims Expenses]], AN_TME_BY[[#All],[Insurance Category Code]],6, AN_TME_BY[[#All],[Advanced Network/Insurance Carrier Org ID]],B328),2)</f>
        <v>1</v>
      </c>
      <c r="Q328" s="216">
        <v>108</v>
      </c>
      <c r="R328" s="404">
        <f>ROUND(SUMIFS(Age_Sex_PY[[#All],[Total Member Months by Age/Sex Band]], Age_Sex_PY[[#All],[Advanced Network ID]], $Q328, Age_Sex_PY[[#All],[Insurance Category Code]],6),2)</f>
        <v>0</v>
      </c>
      <c r="S328" s="238">
        <f>ROUND(SUMIFS(Age_Sex_PY[[#All],[Total Dollars Excluded from Spending After Applying Truncation at the Member Level]], Age_Sex_PY[[#All],[Advanced Network ID]], $B328, Age_Sex_PY[[#All],[Insurance Category Code]],6),2)</f>
        <v>0</v>
      </c>
      <c r="T328" s="209">
        <f>ROUND(SUMIFS(Age_Sex_PY[[#All],[Count of Members whose Spending was Truncated]], Age_Sex_PY[[#All],[Advanced Network ID]], $B328, Age_Sex_PY[[#All],[Insurance Category Code]],6),2)</f>
        <v>0</v>
      </c>
      <c r="U328" s="210">
        <f>ROUND(SUMIFS(Age_Sex_PY[[#All],[Total Spending before Truncation is Applied]], Age_Sex_PY[[#All],[Advanced Network ID]], $B328, Age_Sex_PY[[#All],[Insurance Category Code]],6),2)</f>
        <v>0</v>
      </c>
      <c r="V328" s="212">
        <f>ROUND(SUMIFS(Age_Sex_PY[[#All],[Total Spending After Applying Truncation at the Member Level]], Age_Sex_PY[[#All],[Advanced Network ID]], $B328, Age_Sex_PY[[#All],[Insurance Category Code]],6),2)</f>
        <v>0</v>
      </c>
      <c r="W328" s="525" t="str">
        <f>IF(ROUND(R328,0)=ROUND(SUMIFS(AN_TME_PY[[#All],[Member Months]], AN_TME_PY[[#All],[Insurance Category Code]],6, AN_TME_PY[[#All],[Advanced Network/Insurance Carrier Org ID]],Q328),0), "TRUE", ROUND(R328-SUMIFS(AN_TME_PY[[#All],[Member Months]], AN_TME_PY[[#All],[Insurance Category Code]],6, AN_TME_PY[[#All],[Advanced Network/Insurance Carrier Org ID]],Q328),2))</f>
        <v>TRUE</v>
      </c>
      <c r="X328" s="533" t="str">
        <f>IF(ROUND(S328,0)=ROUND(SUMIFS(AN_TME_PY[[#All],[Total Claims Excluded because of Truncation]], AN_TME_PY[[#All],[Insurance Category Code]],6, AN_TME_PY[[#All],[Advanced Network/Insurance Carrier Org ID]],Q328),0), "TRUE", ROUND(S328-SUMIFS(AN_TME_PY[[#All],[Total Claims Excluded because of Truncation]], AN_TME_PY[[#All],[Insurance Category Code]],6, AN_TME_PY[[#All],[Advanced Network/Insurance Carrier Org ID]],Q328),2))</f>
        <v>TRUE</v>
      </c>
      <c r="Y328" s="537" t="str">
        <f>IF(ROUND(T328,0)=ROUND(SUMIFS(AN_TME_PY[[#All],[Count of Members with Claims Truncated]], AN_TME_PY[[#All],[Insurance Category Code]],6, AN_TME_PY[[#All],[Advanced Network/Insurance Carrier Org ID]],Q328),0), "TRUE", ROUND(T328-SUMIFS(AN_TME_PY[[#All],[Count of Members with Claims Truncated]], AN_TME_PY[[#All],[Insurance Category Code]],6, AN_TME_PY[[#All],[Advanced Network/Insurance Carrier Org ID]],Q328),2))</f>
        <v>TRUE</v>
      </c>
      <c r="Z328" s="533" t="str">
        <f>IF(ROUND(U328,0)=ROUND(SUMIFS(AN_TME_PY[[#All],[TOTAL Non-Truncated Unadjusted Claims Expenses]], AN_TME_PY[[#All],[Insurance Category Code]],6, AN_TME_PY[[#All],[Advanced Network/Insurance Carrier Org ID]],Q328),0), "TRUE", ROUND(U328-SUMIFS(AN_TME_PY[[#All],[TOTAL Non-Truncated Unadjusted Claims Expenses]], AN_TME_PY[[#All],[Insurance Category Code]],6, AN_TME_PY[[#All],[Advanced Network/Insurance Carrier Org ID]],Q328),2))</f>
        <v>TRUE</v>
      </c>
      <c r="AA328" s="534" t="str">
        <f>IF(ROUND(V328,0)=ROUND(SUMIFS(AN_TME_PY[[#All],[TOTAL Truncated Unadjusted Claims Expenses (A21 -A19)]], AN_TME_PY[[#All],[Insurance Category Code]],6, AN_TME_PY[[#All],[Advanced Network/Insurance Carrier Org ID]],Q328),0), "TRUE", ROUND(V328-SUMIFS(AN_TME_PY[[#All],[TOTAL Truncated Unadjusted Claims Expenses (A21 -A19)]], AN_TME_PY[[#All],[Insurance Category Code]],6, AN_TME_PY[[#All],[Advanced Network/Insurance Carrier Org ID]],Q328),2))</f>
        <v>TRUE</v>
      </c>
      <c r="AB328" s="525" t="str">
        <f t="shared" si="45"/>
        <v>TRUE</v>
      </c>
      <c r="AC328" s="533" t="b">
        <f>ROUND(SUMIFS(AN_TME_PY[[#All],[TOTAL Non-Truncated Unadjusted Claims Expenses]], AN_TME_PY[[#All],[Insurance Category Code]],6, AN_TME_PY[[#All],[Advanced Network/Insurance Carrier Org ID]],Q328),2)&gt;=ROUND(SUMIFS(AN_TME_PY[[#All],[TOTAL Truncated Unadjusted Claims Expenses (A21 -A19)]], AN_TME_PY[[#All],[Insurance Category Code]],6, AN_TME_PY[[#All],[Advanced Network/Insurance Carrier Org ID]],Q328),2)</f>
        <v>1</v>
      </c>
      <c r="AD328" s="534" t="b">
        <f>ROUND(SUMIFS(AN_TME_PY[[#All],[TOTAL Truncated Unadjusted Claims Expenses (A21 -A19)]], AN_TME_PY[[#All],[Insurance Category Code]],6, AN_TME_PY[[#All],[Advanced Network/Insurance Carrier Org ID]],Q328)+SUMIFS(AN_TME_PY[[#All],[Total Claims Excluded because of Truncation]], AN_TME_PY[[#All],[Insurance Category Code]],6, AN_TME_PY[[#All],[Advanced Network/Insurance Carrier Org ID]],Q328),2)=ROUND(SUMIFS(AN_TME_PY[[#All],[TOTAL Non-Truncated Unadjusted Claims Expenses]], AN_TME_PY[[#All],[Insurance Category Code]],6, AN_TME_PY[[#All],[Advanced Network/Insurance Carrier Org ID]],Q328),2)</f>
        <v>1</v>
      </c>
      <c r="AF328" s="283" t="str">
        <f t="shared" si="44"/>
        <v>NA</v>
      </c>
    </row>
    <row r="329" spans="2:32" outlineLevel="1" x14ac:dyDescent="0.25">
      <c r="B329" s="216">
        <v>109</v>
      </c>
      <c r="C329" s="404">
        <f>ROUND(SUMIFS(Age_Sex_BY[[#All],[Total Member Months by Age/Sex Band]], Age_Sex_BY[[#All],[Advanced Network ID]], $B329, Age_Sex_BY[[#All],[Insurance Category Code]],6),2)</f>
        <v>0</v>
      </c>
      <c r="D329" s="238">
        <f>ROUND(SUMIFS(Age_Sex_BY[[#All],[Total Dollars Excluded from Spending After Applying Truncation at the Member Level]], Age_Sex_BY[[#All],[Advanced Network ID]], $B329, Age_Sex_BY[[#All],[Insurance Category Code]],6),2)</f>
        <v>0</v>
      </c>
      <c r="E329" s="209">
        <f>ROUND(SUMIFS(Age_Sex_BY[[#All],[Count of Members whose Spending was Truncated]], Age_Sex_BY[[#All],[Advanced Network ID]], $B329, Age_Sex_BY[[#All],[Insurance Category Code]],6),2)</f>
        <v>0</v>
      </c>
      <c r="F329" s="210">
        <f>ROUND(SUMIFS(Age_Sex_BY[[#All],[Total Spending before Truncation is Applied]], Age_Sex_BY[[#All],[Advanced Network ID]], $B329, Age_Sex_BY[[#All],[Insurance Category Code]],6),2)</f>
        <v>0</v>
      </c>
      <c r="G329" s="212">
        <f>ROUND(SUMIFS(Age_Sex_BY[[#All],[Total Spending After Applying Truncation at the Member Level]], Age_Sex_BY[[#All],[Advanced Network ID]], $B329, Age_Sex_BY[[#All],[Insurance Category Code]],6),2)</f>
        <v>0</v>
      </c>
      <c r="H329" s="525" t="str">
        <f>IF(ROUND(C329,0)=ROUND(SUMIFS(AN_TME_BY[[#All],[Member Months]], AN_TME_BY[[#All],[Insurance Category Code]],6, AN_TME_BY[[#All],[Advanced Network/Insurance Carrier Org ID]],B329),0), "TRUE", ROUND(C329-SUMIFS(AN_TME_BY[[#All],[Member Months]], AN_TME_BY[[#All],[Insurance Category Code]],6, AN_TME_BY[[#All],[Advanced Network/Insurance Carrier Org ID]],B329),2))</f>
        <v>TRUE</v>
      </c>
      <c r="I329" s="533" t="str">
        <f>IF(ROUND(D329,0)=ROUND(SUMIFS(AN_TME_BY[[#All],[Total Claims Excluded because of Truncation]], AN_TME_BY[[#All],[Insurance Category Code]],6, AN_TME_BY[[#All],[Advanced Network/Insurance Carrier Org ID]],B329),0), "TRUE", ROUND(D329-SUMIFS(AN_TME_BY[[#All],[Total Claims Excluded because of Truncation]], AN_TME_BY[[#All],[Insurance Category Code]],6, AN_TME_BY[[#All],[Advanced Network/Insurance Carrier Org ID]],B329),2))</f>
        <v>TRUE</v>
      </c>
      <c r="J329" s="537" t="str">
        <f>IF(ROUND(E329,0)=ROUND(SUMIFS(AN_TME_BY[[#All],[Count of Members with Claims Truncated]], AN_TME_BY[[#All],[Insurance Category Code]],6, AN_TME_BY[[#All],[Advanced Network/Insurance Carrier Org ID]],B329),0), "TRUE", ROUND(E329-SUMIFS(AN_TME_BY[[#All],[Count of Members with Claims Truncated]], AN_TME_BY[[#All],[Insurance Category Code]],6, AN_TME_BY[[#All],[Advanced Network/Insurance Carrier Org ID]],B329),2))</f>
        <v>TRUE</v>
      </c>
      <c r="K329" s="533" t="str">
        <f>IF(ROUND(F329,0)=ROUND(SUMIFS(AN_TME_BY[[#All],[TOTAL Non-Truncated Unadjusted Claims Expenses]], AN_TME_BY[[#All],[Insurance Category Code]],6, AN_TME_BY[[#All],[Advanced Network/Insurance Carrier Org ID]],B329),0), "TRUE", ROUND(F329-SUMIFS(AN_TME_BY[[#All],[TOTAL Non-Truncated Unadjusted Claims Expenses]], AN_TME_BY[[#All],[Insurance Category Code]],6, AN_TME_BY[[#All],[Advanced Network/Insurance Carrier Org ID]],B329),2))</f>
        <v>TRUE</v>
      </c>
      <c r="L329" s="534" t="str">
        <f>IF(ROUND(G329,0)=ROUND(SUMIFS(AN_TME_BY[[#All],[TOTAL Truncated Unadjusted Claims Expenses (A21 -A19)]], AN_TME_BY[[#All],[Insurance Category Code]],6, AN_TME_BY[[#All],[Advanced Network/Insurance Carrier Org ID]],B329),0), "TRUE", ROUND(G329-SUMIFS(AN_TME_BY[[#All],[TOTAL Truncated Unadjusted Claims Expenses (A21 -A19)]], AN_TME_BY[[#All],[Insurance Category Code]],6, AN_TME_BY[[#All],[Advanced Network/Insurance Carrier Org ID]],B329),2))</f>
        <v>TRUE</v>
      </c>
      <c r="M329" s="525" t="str">
        <f t="shared" si="42"/>
        <v>TRUE</v>
      </c>
      <c r="N329" s="533" t="b">
        <f>ROUND(SUMIFS(AN_TME_BY[[#All],[TOTAL Non-Truncated Unadjusted Claims Expenses]], AN_TME_BY[[#All],[Insurance Category Code]],6, AN_TME_BY[[#All],[Advanced Network/Insurance Carrier Org ID]],B329),2)&gt;=ROUND(SUMIFS(AN_TME_BY[[#All],[TOTAL Truncated Unadjusted Claims Expenses (A21 -A19)]], AN_TME_BY[[#All],[Insurance Category Code]],6, AN_TME_BY[[#All],[Advanced Network/Insurance Carrier Org ID]],B329),2)</f>
        <v>1</v>
      </c>
      <c r="O329" s="534" t="b">
        <f>ROUND(SUMIFS(AN_TME_BY[[#All],[TOTAL Truncated Unadjusted Claims Expenses (A21 -A19)]], AN_TME_BY[[#All],[Insurance Category Code]],6, AN_TME_BY[[#All],[Advanced Network/Insurance Carrier Org ID]],B329)+SUMIFS(AN_TME_BY[[#All],[Total Claims Excluded because of Truncation]], AN_TME_BY[[#All],[Insurance Category Code]],6, AN_TME_BY[[#All],[Advanced Network/Insurance Carrier Org ID]],B329),2)=ROUND(SUMIFS(AN_TME_BY[[#All],[TOTAL Non-Truncated Unadjusted Claims Expenses]], AN_TME_BY[[#All],[Insurance Category Code]],6, AN_TME_BY[[#All],[Advanced Network/Insurance Carrier Org ID]],B329),2)</f>
        <v>1</v>
      </c>
      <c r="Q329" s="216">
        <v>109</v>
      </c>
      <c r="R329" s="404">
        <f>ROUND(SUMIFS(Age_Sex_PY[[#All],[Total Member Months by Age/Sex Band]], Age_Sex_PY[[#All],[Advanced Network ID]], $Q329, Age_Sex_PY[[#All],[Insurance Category Code]],6),2)</f>
        <v>0</v>
      </c>
      <c r="S329" s="238">
        <f>ROUND(SUMIFS(Age_Sex_PY[[#All],[Total Dollars Excluded from Spending After Applying Truncation at the Member Level]], Age_Sex_PY[[#All],[Advanced Network ID]], $B329, Age_Sex_PY[[#All],[Insurance Category Code]],6),2)</f>
        <v>0</v>
      </c>
      <c r="T329" s="209">
        <f>ROUND(SUMIFS(Age_Sex_PY[[#All],[Count of Members whose Spending was Truncated]], Age_Sex_PY[[#All],[Advanced Network ID]], $B329, Age_Sex_PY[[#All],[Insurance Category Code]],6),2)</f>
        <v>0</v>
      </c>
      <c r="U329" s="210">
        <f>ROUND(SUMIFS(Age_Sex_PY[[#All],[Total Spending before Truncation is Applied]], Age_Sex_PY[[#All],[Advanced Network ID]], $B329, Age_Sex_PY[[#All],[Insurance Category Code]],6),2)</f>
        <v>0</v>
      </c>
      <c r="V329" s="212">
        <f>ROUND(SUMIFS(Age_Sex_PY[[#All],[Total Spending After Applying Truncation at the Member Level]], Age_Sex_PY[[#All],[Advanced Network ID]], $B329, Age_Sex_PY[[#All],[Insurance Category Code]],6),2)</f>
        <v>0</v>
      </c>
      <c r="W329" s="525" t="str">
        <f>IF(ROUND(R329,0)=ROUND(SUMIFS(AN_TME_PY[[#All],[Member Months]], AN_TME_PY[[#All],[Insurance Category Code]],6, AN_TME_PY[[#All],[Advanced Network/Insurance Carrier Org ID]],Q329),0), "TRUE", ROUND(R329-SUMIFS(AN_TME_PY[[#All],[Member Months]], AN_TME_PY[[#All],[Insurance Category Code]],6, AN_TME_PY[[#All],[Advanced Network/Insurance Carrier Org ID]],Q329),2))</f>
        <v>TRUE</v>
      </c>
      <c r="X329" s="533" t="str">
        <f>IF(ROUND(S329,0)=ROUND(SUMIFS(AN_TME_PY[[#All],[Total Claims Excluded because of Truncation]], AN_TME_PY[[#All],[Insurance Category Code]],6, AN_TME_PY[[#All],[Advanced Network/Insurance Carrier Org ID]],Q329),0), "TRUE", ROUND(S329-SUMIFS(AN_TME_PY[[#All],[Total Claims Excluded because of Truncation]], AN_TME_PY[[#All],[Insurance Category Code]],6, AN_TME_PY[[#All],[Advanced Network/Insurance Carrier Org ID]],Q329),2))</f>
        <v>TRUE</v>
      </c>
      <c r="Y329" s="537" t="str">
        <f>IF(ROUND(T329,0)=ROUND(SUMIFS(AN_TME_PY[[#All],[Count of Members with Claims Truncated]], AN_TME_PY[[#All],[Insurance Category Code]],6, AN_TME_PY[[#All],[Advanced Network/Insurance Carrier Org ID]],Q329),0), "TRUE", ROUND(T329-SUMIFS(AN_TME_PY[[#All],[Count of Members with Claims Truncated]], AN_TME_PY[[#All],[Insurance Category Code]],6, AN_TME_PY[[#All],[Advanced Network/Insurance Carrier Org ID]],Q329),2))</f>
        <v>TRUE</v>
      </c>
      <c r="Z329" s="533" t="str">
        <f>IF(ROUND(U329,0)=ROUND(SUMIFS(AN_TME_PY[[#All],[TOTAL Non-Truncated Unadjusted Claims Expenses]], AN_TME_PY[[#All],[Insurance Category Code]],6, AN_TME_PY[[#All],[Advanced Network/Insurance Carrier Org ID]],Q329),0), "TRUE", ROUND(U329-SUMIFS(AN_TME_PY[[#All],[TOTAL Non-Truncated Unadjusted Claims Expenses]], AN_TME_PY[[#All],[Insurance Category Code]],6, AN_TME_PY[[#All],[Advanced Network/Insurance Carrier Org ID]],Q329),2))</f>
        <v>TRUE</v>
      </c>
      <c r="AA329" s="534" t="str">
        <f>IF(ROUND(V329,0)=ROUND(SUMIFS(AN_TME_PY[[#All],[TOTAL Truncated Unadjusted Claims Expenses (A21 -A19)]], AN_TME_PY[[#All],[Insurance Category Code]],6, AN_TME_PY[[#All],[Advanced Network/Insurance Carrier Org ID]],Q329),0), "TRUE", ROUND(V329-SUMIFS(AN_TME_PY[[#All],[TOTAL Truncated Unadjusted Claims Expenses (A21 -A19)]], AN_TME_PY[[#All],[Insurance Category Code]],6, AN_TME_PY[[#All],[Advanced Network/Insurance Carrier Org ID]],Q329),2))</f>
        <v>TRUE</v>
      </c>
      <c r="AB329" s="525" t="str">
        <f t="shared" si="45"/>
        <v>TRUE</v>
      </c>
      <c r="AC329" s="533" t="b">
        <f>ROUND(SUMIFS(AN_TME_PY[[#All],[TOTAL Non-Truncated Unadjusted Claims Expenses]], AN_TME_PY[[#All],[Insurance Category Code]],6, AN_TME_PY[[#All],[Advanced Network/Insurance Carrier Org ID]],Q329),2)&gt;=ROUND(SUMIFS(AN_TME_PY[[#All],[TOTAL Truncated Unadjusted Claims Expenses (A21 -A19)]], AN_TME_PY[[#All],[Insurance Category Code]],6, AN_TME_PY[[#All],[Advanced Network/Insurance Carrier Org ID]],Q329),2)</f>
        <v>1</v>
      </c>
      <c r="AD329" s="534" t="b">
        <f>ROUND(SUMIFS(AN_TME_PY[[#All],[TOTAL Truncated Unadjusted Claims Expenses (A21 -A19)]], AN_TME_PY[[#All],[Insurance Category Code]],6, AN_TME_PY[[#All],[Advanced Network/Insurance Carrier Org ID]],Q329)+SUMIFS(AN_TME_PY[[#All],[Total Claims Excluded because of Truncation]], AN_TME_PY[[#All],[Insurance Category Code]],6, AN_TME_PY[[#All],[Advanced Network/Insurance Carrier Org ID]],Q329),2)=ROUND(SUMIFS(AN_TME_PY[[#All],[TOTAL Non-Truncated Unadjusted Claims Expenses]], AN_TME_PY[[#All],[Insurance Category Code]],6, AN_TME_PY[[#All],[Advanced Network/Insurance Carrier Org ID]],Q329),2)</f>
        <v>1</v>
      </c>
      <c r="AF329" s="283" t="str">
        <f t="shared" si="44"/>
        <v>NA</v>
      </c>
    </row>
    <row r="330" spans="2:32" outlineLevel="1" x14ac:dyDescent="0.25">
      <c r="B330" s="216">
        <v>110</v>
      </c>
      <c r="C330" s="404">
        <f>ROUND(SUMIFS(Age_Sex_BY[[#All],[Total Member Months by Age/Sex Band]], Age_Sex_BY[[#All],[Advanced Network ID]], $B330, Age_Sex_BY[[#All],[Insurance Category Code]],6),2)</f>
        <v>0</v>
      </c>
      <c r="D330" s="238">
        <f>ROUND(SUMIFS(Age_Sex_BY[[#All],[Total Dollars Excluded from Spending After Applying Truncation at the Member Level]], Age_Sex_BY[[#All],[Advanced Network ID]], $B330, Age_Sex_BY[[#All],[Insurance Category Code]],6),2)</f>
        <v>0</v>
      </c>
      <c r="E330" s="209">
        <f>ROUND(SUMIFS(Age_Sex_BY[[#All],[Count of Members whose Spending was Truncated]], Age_Sex_BY[[#All],[Advanced Network ID]], $B330, Age_Sex_BY[[#All],[Insurance Category Code]],6),2)</f>
        <v>0</v>
      </c>
      <c r="F330" s="210">
        <f>ROUND(SUMIFS(Age_Sex_BY[[#All],[Total Spending before Truncation is Applied]], Age_Sex_BY[[#All],[Advanced Network ID]], $B330, Age_Sex_BY[[#All],[Insurance Category Code]],6),2)</f>
        <v>0</v>
      </c>
      <c r="G330" s="212">
        <f>ROUND(SUMIFS(Age_Sex_BY[[#All],[Total Spending After Applying Truncation at the Member Level]], Age_Sex_BY[[#All],[Advanced Network ID]], $B330, Age_Sex_BY[[#All],[Insurance Category Code]],6),2)</f>
        <v>0</v>
      </c>
      <c r="H330" s="525" t="str">
        <f>IF(ROUND(C330,0)=ROUND(SUMIFS(AN_TME_BY[[#All],[Member Months]], AN_TME_BY[[#All],[Insurance Category Code]],6, AN_TME_BY[[#All],[Advanced Network/Insurance Carrier Org ID]],B330),0), "TRUE", ROUND(C330-SUMIFS(AN_TME_BY[[#All],[Member Months]], AN_TME_BY[[#All],[Insurance Category Code]],6, AN_TME_BY[[#All],[Advanced Network/Insurance Carrier Org ID]],B330),2))</f>
        <v>TRUE</v>
      </c>
      <c r="I330" s="533" t="str">
        <f>IF(ROUND(D330,0)=ROUND(SUMIFS(AN_TME_BY[[#All],[Total Claims Excluded because of Truncation]], AN_TME_BY[[#All],[Insurance Category Code]],6, AN_TME_BY[[#All],[Advanced Network/Insurance Carrier Org ID]],B330),0), "TRUE", ROUND(D330-SUMIFS(AN_TME_BY[[#All],[Total Claims Excluded because of Truncation]], AN_TME_BY[[#All],[Insurance Category Code]],6, AN_TME_BY[[#All],[Advanced Network/Insurance Carrier Org ID]],B330),2))</f>
        <v>TRUE</v>
      </c>
      <c r="J330" s="537" t="str">
        <f>IF(ROUND(E330,0)=ROUND(SUMIFS(AN_TME_BY[[#All],[Count of Members with Claims Truncated]], AN_TME_BY[[#All],[Insurance Category Code]],6, AN_TME_BY[[#All],[Advanced Network/Insurance Carrier Org ID]],B330),0), "TRUE", ROUND(E330-SUMIFS(AN_TME_BY[[#All],[Count of Members with Claims Truncated]], AN_TME_BY[[#All],[Insurance Category Code]],6, AN_TME_BY[[#All],[Advanced Network/Insurance Carrier Org ID]],B330),2))</f>
        <v>TRUE</v>
      </c>
      <c r="K330" s="533" t="str">
        <f>IF(ROUND(F330,0)=ROUND(SUMIFS(AN_TME_BY[[#All],[TOTAL Non-Truncated Unadjusted Claims Expenses]], AN_TME_BY[[#All],[Insurance Category Code]],6, AN_TME_BY[[#All],[Advanced Network/Insurance Carrier Org ID]],B330),0), "TRUE", ROUND(F330-SUMIFS(AN_TME_BY[[#All],[TOTAL Non-Truncated Unadjusted Claims Expenses]], AN_TME_BY[[#All],[Insurance Category Code]],6, AN_TME_BY[[#All],[Advanced Network/Insurance Carrier Org ID]],B330),2))</f>
        <v>TRUE</v>
      </c>
      <c r="L330" s="534" t="str">
        <f>IF(ROUND(G330,0)=ROUND(SUMIFS(AN_TME_BY[[#All],[TOTAL Truncated Unadjusted Claims Expenses (A21 -A19)]], AN_TME_BY[[#All],[Insurance Category Code]],6, AN_TME_BY[[#All],[Advanced Network/Insurance Carrier Org ID]],B330),0), "TRUE", ROUND(G330-SUMIFS(AN_TME_BY[[#All],[TOTAL Truncated Unadjusted Claims Expenses (A21 -A19)]], AN_TME_BY[[#All],[Insurance Category Code]],6, AN_TME_BY[[#All],[Advanced Network/Insurance Carrier Org ID]],B330),2))</f>
        <v>TRUE</v>
      </c>
      <c r="M330" s="525" t="str">
        <f t="shared" si="42"/>
        <v>TRUE</v>
      </c>
      <c r="N330" s="533" t="b">
        <f>ROUND(SUMIFS(AN_TME_BY[[#All],[TOTAL Non-Truncated Unadjusted Claims Expenses]], AN_TME_BY[[#All],[Insurance Category Code]],6, AN_TME_BY[[#All],[Advanced Network/Insurance Carrier Org ID]],B330),2)&gt;=ROUND(SUMIFS(AN_TME_BY[[#All],[TOTAL Truncated Unadjusted Claims Expenses (A21 -A19)]], AN_TME_BY[[#All],[Insurance Category Code]],6, AN_TME_BY[[#All],[Advanced Network/Insurance Carrier Org ID]],B330),2)</f>
        <v>1</v>
      </c>
      <c r="O330" s="534" t="b">
        <f>ROUND(SUMIFS(AN_TME_BY[[#All],[TOTAL Truncated Unadjusted Claims Expenses (A21 -A19)]], AN_TME_BY[[#All],[Insurance Category Code]],6, AN_TME_BY[[#All],[Advanced Network/Insurance Carrier Org ID]],B330)+SUMIFS(AN_TME_BY[[#All],[Total Claims Excluded because of Truncation]], AN_TME_BY[[#All],[Insurance Category Code]],6, AN_TME_BY[[#All],[Advanced Network/Insurance Carrier Org ID]],B330),2)=ROUND(SUMIFS(AN_TME_BY[[#All],[TOTAL Non-Truncated Unadjusted Claims Expenses]], AN_TME_BY[[#All],[Insurance Category Code]],6, AN_TME_BY[[#All],[Advanced Network/Insurance Carrier Org ID]],B330),2)</f>
        <v>1</v>
      </c>
      <c r="Q330" s="216">
        <v>110</v>
      </c>
      <c r="R330" s="404">
        <f>ROUND(SUMIFS(Age_Sex_PY[[#All],[Total Member Months by Age/Sex Band]], Age_Sex_PY[[#All],[Advanced Network ID]], $Q330, Age_Sex_PY[[#All],[Insurance Category Code]],6),2)</f>
        <v>0</v>
      </c>
      <c r="S330" s="238">
        <f>ROUND(SUMIFS(Age_Sex_PY[[#All],[Total Dollars Excluded from Spending After Applying Truncation at the Member Level]], Age_Sex_PY[[#All],[Advanced Network ID]], $B330, Age_Sex_PY[[#All],[Insurance Category Code]],6),2)</f>
        <v>0</v>
      </c>
      <c r="T330" s="209">
        <f>ROUND(SUMIFS(Age_Sex_PY[[#All],[Count of Members whose Spending was Truncated]], Age_Sex_PY[[#All],[Advanced Network ID]], $B330, Age_Sex_PY[[#All],[Insurance Category Code]],6),2)</f>
        <v>0</v>
      </c>
      <c r="U330" s="210">
        <f>ROUND(SUMIFS(Age_Sex_PY[[#All],[Total Spending before Truncation is Applied]], Age_Sex_PY[[#All],[Advanced Network ID]], $B330, Age_Sex_PY[[#All],[Insurance Category Code]],6),2)</f>
        <v>0</v>
      </c>
      <c r="V330" s="212">
        <f>ROUND(SUMIFS(Age_Sex_PY[[#All],[Total Spending After Applying Truncation at the Member Level]], Age_Sex_PY[[#All],[Advanced Network ID]], $B330, Age_Sex_PY[[#All],[Insurance Category Code]],6),2)</f>
        <v>0</v>
      </c>
      <c r="W330" s="525" t="str">
        <f>IF(ROUND(R330,0)=ROUND(SUMIFS(AN_TME_PY[[#All],[Member Months]], AN_TME_PY[[#All],[Insurance Category Code]],6, AN_TME_PY[[#All],[Advanced Network/Insurance Carrier Org ID]],Q330),0), "TRUE", ROUND(R330-SUMIFS(AN_TME_PY[[#All],[Member Months]], AN_TME_PY[[#All],[Insurance Category Code]],6, AN_TME_PY[[#All],[Advanced Network/Insurance Carrier Org ID]],Q330),2))</f>
        <v>TRUE</v>
      </c>
      <c r="X330" s="533" t="str">
        <f>IF(ROUND(S330,0)=ROUND(SUMIFS(AN_TME_PY[[#All],[Total Claims Excluded because of Truncation]], AN_TME_PY[[#All],[Insurance Category Code]],6, AN_TME_PY[[#All],[Advanced Network/Insurance Carrier Org ID]],Q330),0), "TRUE", ROUND(S330-SUMIFS(AN_TME_PY[[#All],[Total Claims Excluded because of Truncation]], AN_TME_PY[[#All],[Insurance Category Code]],6, AN_TME_PY[[#All],[Advanced Network/Insurance Carrier Org ID]],Q330),2))</f>
        <v>TRUE</v>
      </c>
      <c r="Y330" s="537" t="str">
        <f>IF(ROUND(T330,0)=ROUND(SUMIFS(AN_TME_PY[[#All],[Count of Members with Claims Truncated]], AN_TME_PY[[#All],[Insurance Category Code]],6, AN_TME_PY[[#All],[Advanced Network/Insurance Carrier Org ID]],Q330),0), "TRUE", ROUND(T330-SUMIFS(AN_TME_PY[[#All],[Count of Members with Claims Truncated]], AN_TME_PY[[#All],[Insurance Category Code]],6, AN_TME_PY[[#All],[Advanced Network/Insurance Carrier Org ID]],Q330),2))</f>
        <v>TRUE</v>
      </c>
      <c r="Z330" s="533" t="str">
        <f>IF(ROUND(U330,0)=ROUND(SUMIFS(AN_TME_PY[[#All],[TOTAL Non-Truncated Unadjusted Claims Expenses]], AN_TME_PY[[#All],[Insurance Category Code]],6, AN_TME_PY[[#All],[Advanced Network/Insurance Carrier Org ID]],Q330),0), "TRUE", ROUND(U330-SUMIFS(AN_TME_PY[[#All],[TOTAL Non-Truncated Unadjusted Claims Expenses]], AN_TME_PY[[#All],[Insurance Category Code]],6, AN_TME_PY[[#All],[Advanced Network/Insurance Carrier Org ID]],Q330),2))</f>
        <v>TRUE</v>
      </c>
      <c r="AA330" s="534" t="str">
        <f>IF(ROUND(V330,0)=ROUND(SUMIFS(AN_TME_PY[[#All],[TOTAL Truncated Unadjusted Claims Expenses (A21 -A19)]], AN_TME_PY[[#All],[Insurance Category Code]],6, AN_TME_PY[[#All],[Advanced Network/Insurance Carrier Org ID]],Q330),0), "TRUE", ROUND(V330-SUMIFS(AN_TME_PY[[#All],[TOTAL Truncated Unadjusted Claims Expenses (A21 -A19)]], AN_TME_PY[[#All],[Insurance Category Code]],6, AN_TME_PY[[#All],[Advanced Network/Insurance Carrier Org ID]],Q330),2))</f>
        <v>TRUE</v>
      </c>
      <c r="AB330" s="525" t="str">
        <f t="shared" si="45"/>
        <v>TRUE</v>
      </c>
      <c r="AC330" s="533" t="b">
        <f>ROUND(SUMIFS(AN_TME_PY[[#All],[TOTAL Non-Truncated Unadjusted Claims Expenses]], AN_TME_PY[[#All],[Insurance Category Code]],6, AN_TME_PY[[#All],[Advanced Network/Insurance Carrier Org ID]],Q330),2)&gt;=ROUND(SUMIFS(AN_TME_PY[[#All],[TOTAL Truncated Unadjusted Claims Expenses (A21 -A19)]], AN_TME_PY[[#All],[Insurance Category Code]],6, AN_TME_PY[[#All],[Advanced Network/Insurance Carrier Org ID]],Q330),2)</f>
        <v>1</v>
      </c>
      <c r="AD330" s="534" t="b">
        <f>ROUND(SUMIFS(AN_TME_PY[[#All],[TOTAL Truncated Unadjusted Claims Expenses (A21 -A19)]], AN_TME_PY[[#All],[Insurance Category Code]],6, AN_TME_PY[[#All],[Advanced Network/Insurance Carrier Org ID]],Q330)+SUMIFS(AN_TME_PY[[#All],[Total Claims Excluded because of Truncation]], AN_TME_PY[[#All],[Insurance Category Code]],6, AN_TME_PY[[#All],[Advanced Network/Insurance Carrier Org ID]],Q330),2)=ROUND(SUMIFS(AN_TME_PY[[#All],[TOTAL Non-Truncated Unadjusted Claims Expenses]], AN_TME_PY[[#All],[Insurance Category Code]],6, AN_TME_PY[[#All],[Advanced Network/Insurance Carrier Org ID]],Q330),2)</f>
        <v>1</v>
      </c>
      <c r="AF330" s="283" t="str">
        <f t="shared" si="44"/>
        <v>NA</v>
      </c>
    </row>
    <row r="331" spans="2:32" outlineLevel="1" x14ac:dyDescent="0.25">
      <c r="B331" s="216">
        <v>111</v>
      </c>
      <c r="C331" s="404">
        <f>ROUND(SUMIFS(Age_Sex_BY[[#All],[Total Member Months by Age/Sex Band]], Age_Sex_BY[[#All],[Advanced Network ID]], $B331, Age_Sex_BY[[#All],[Insurance Category Code]],6),2)</f>
        <v>0</v>
      </c>
      <c r="D331" s="238">
        <f>ROUND(SUMIFS(Age_Sex_BY[[#All],[Total Dollars Excluded from Spending After Applying Truncation at the Member Level]], Age_Sex_BY[[#All],[Advanced Network ID]], $B331, Age_Sex_BY[[#All],[Insurance Category Code]],6),2)</f>
        <v>0</v>
      </c>
      <c r="E331" s="209">
        <f>ROUND(SUMIFS(Age_Sex_BY[[#All],[Count of Members whose Spending was Truncated]], Age_Sex_BY[[#All],[Advanced Network ID]], $B331, Age_Sex_BY[[#All],[Insurance Category Code]],6),2)</f>
        <v>0</v>
      </c>
      <c r="F331" s="210">
        <f>ROUND(SUMIFS(Age_Sex_BY[[#All],[Total Spending before Truncation is Applied]], Age_Sex_BY[[#All],[Advanced Network ID]], $B331, Age_Sex_BY[[#All],[Insurance Category Code]],6),2)</f>
        <v>0</v>
      </c>
      <c r="G331" s="212">
        <f>ROUND(SUMIFS(Age_Sex_BY[[#All],[Total Spending After Applying Truncation at the Member Level]], Age_Sex_BY[[#All],[Advanced Network ID]], $B331, Age_Sex_BY[[#All],[Insurance Category Code]],6),2)</f>
        <v>0</v>
      </c>
      <c r="H331" s="525" t="str">
        <f>IF(ROUND(C331,0)=ROUND(SUMIFS(AN_TME_BY[[#All],[Member Months]], AN_TME_BY[[#All],[Insurance Category Code]],6, AN_TME_BY[[#All],[Advanced Network/Insurance Carrier Org ID]],B331),0), "TRUE", ROUND(C331-SUMIFS(AN_TME_BY[[#All],[Member Months]], AN_TME_BY[[#All],[Insurance Category Code]],6, AN_TME_BY[[#All],[Advanced Network/Insurance Carrier Org ID]],B331),2))</f>
        <v>TRUE</v>
      </c>
      <c r="I331" s="533" t="str">
        <f>IF(ROUND(D331,0)=ROUND(SUMIFS(AN_TME_BY[[#All],[Total Claims Excluded because of Truncation]], AN_TME_BY[[#All],[Insurance Category Code]],6, AN_TME_BY[[#All],[Advanced Network/Insurance Carrier Org ID]],B331),0), "TRUE", ROUND(D331-SUMIFS(AN_TME_BY[[#All],[Total Claims Excluded because of Truncation]], AN_TME_BY[[#All],[Insurance Category Code]],6, AN_TME_BY[[#All],[Advanced Network/Insurance Carrier Org ID]],B331),2))</f>
        <v>TRUE</v>
      </c>
      <c r="J331" s="537" t="str">
        <f>IF(ROUND(E331,0)=ROUND(SUMIFS(AN_TME_BY[[#All],[Count of Members with Claims Truncated]], AN_TME_BY[[#All],[Insurance Category Code]],6, AN_TME_BY[[#All],[Advanced Network/Insurance Carrier Org ID]],B331),0), "TRUE", ROUND(E331-SUMIFS(AN_TME_BY[[#All],[Count of Members with Claims Truncated]], AN_TME_BY[[#All],[Insurance Category Code]],6, AN_TME_BY[[#All],[Advanced Network/Insurance Carrier Org ID]],B331),2))</f>
        <v>TRUE</v>
      </c>
      <c r="K331" s="533" t="str">
        <f>IF(ROUND(F331,0)=ROUND(SUMIFS(AN_TME_BY[[#All],[TOTAL Non-Truncated Unadjusted Claims Expenses]], AN_TME_BY[[#All],[Insurance Category Code]],6, AN_TME_BY[[#All],[Advanced Network/Insurance Carrier Org ID]],B331),0), "TRUE", ROUND(F331-SUMIFS(AN_TME_BY[[#All],[TOTAL Non-Truncated Unadjusted Claims Expenses]], AN_TME_BY[[#All],[Insurance Category Code]],6, AN_TME_BY[[#All],[Advanced Network/Insurance Carrier Org ID]],B331),2))</f>
        <v>TRUE</v>
      </c>
      <c r="L331" s="534" t="str">
        <f>IF(ROUND(G331,0)=ROUND(SUMIFS(AN_TME_BY[[#All],[TOTAL Truncated Unadjusted Claims Expenses (A21 -A19)]], AN_TME_BY[[#All],[Insurance Category Code]],6, AN_TME_BY[[#All],[Advanced Network/Insurance Carrier Org ID]],B331),0), "TRUE", ROUND(G331-SUMIFS(AN_TME_BY[[#All],[TOTAL Truncated Unadjusted Claims Expenses (A21 -A19)]], AN_TME_BY[[#All],[Insurance Category Code]],6, AN_TME_BY[[#All],[Advanced Network/Insurance Carrier Org ID]],B331),2))</f>
        <v>TRUE</v>
      </c>
      <c r="M331" s="525" t="str">
        <f t="shared" si="42"/>
        <v>TRUE</v>
      </c>
      <c r="N331" s="533" t="b">
        <f>ROUND(SUMIFS(AN_TME_BY[[#All],[TOTAL Non-Truncated Unadjusted Claims Expenses]], AN_TME_BY[[#All],[Insurance Category Code]],6, AN_TME_BY[[#All],[Advanced Network/Insurance Carrier Org ID]],B331),2)&gt;=ROUND(SUMIFS(AN_TME_BY[[#All],[TOTAL Truncated Unadjusted Claims Expenses (A21 -A19)]], AN_TME_BY[[#All],[Insurance Category Code]],6, AN_TME_BY[[#All],[Advanced Network/Insurance Carrier Org ID]],B331),2)</f>
        <v>1</v>
      </c>
      <c r="O331" s="534" t="b">
        <f>ROUND(SUMIFS(AN_TME_BY[[#All],[TOTAL Truncated Unadjusted Claims Expenses (A21 -A19)]], AN_TME_BY[[#All],[Insurance Category Code]],6, AN_TME_BY[[#All],[Advanced Network/Insurance Carrier Org ID]],B331)+SUMIFS(AN_TME_BY[[#All],[Total Claims Excluded because of Truncation]], AN_TME_BY[[#All],[Insurance Category Code]],6, AN_TME_BY[[#All],[Advanced Network/Insurance Carrier Org ID]],B331),2)=ROUND(SUMIFS(AN_TME_BY[[#All],[TOTAL Non-Truncated Unadjusted Claims Expenses]], AN_TME_BY[[#All],[Insurance Category Code]],6, AN_TME_BY[[#All],[Advanced Network/Insurance Carrier Org ID]],B331),2)</f>
        <v>1</v>
      </c>
      <c r="Q331" s="216">
        <v>111</v>
      </c>
      <c r="R331" s="404">
        <f>ROUND(SUMIFS(Age_Sex_PY[[#All],[Total Member Months by Age/Sex Band]], Age_Sex_PY[[#All],[Advanced Network ID]], $Q331, Age_Sex_PY[[#All],[Insurance Category Code]],6),2)</f>
        <v>0</v>
      </c>
      <c r="S331" s="238">
        <f>ROUND(SUMIFS(Age_Sex_PY[[#All],[Total Dollars Excluded from Spending After Applying Truncation at the Member Level]], Age_Sex_PY[[#All],[Advanced Network ID]], $B331, Age_Sex_PY[[#All],[Insurance Category Code]],6),2)</f>
        <v>0</v>
      </c>
      <c r="T331" s="209">
        <f>ROUND(SUMIFS(Age_Sex_PY[[#All],[Count of Members whose Spending was Truncated]], Age_Sex_PY[[#All],[Advanced Network ID]], $B331, Age_Sex_PY[[#All],[Insurance Category Code]],6),2)</f>
        <v>0</v>
      </c>
      <c r="U331" s="210">
        <f>ROUND(SUMIFS(Age_Sex_PY[[#All],[Total Spending before Truncation is Applied]], Age_Sex_PY[[#All],[Advanced Network ID]], $B331, Age_Sex_PY[[#All],[Insurance Category Code]],6),2)</f>
        <v>0</v>
      </c>
      <c r="V331" s="212">
        <f>ROUND(SUMIFS(Age_Sex_PY[[#All],[Total Spending After Applying Truncation at the Member Level]], Age_Sex_PY[[#All],[Advanced Network ID]], $B331, Age_Sex_PY[[#All],[Insurance Category Code]],6),2)</f>
        <v>0</v>
      </c>
      <c r="W331" s="525" t="str">
        <f>IF(ROUND(R331,0)=ROUND(SUMIFS(AN_TME_PY[[#All],[Member Months]], AN_TME_PY[[#All],[Insurance Category Code]],6, AN_TME_PY[[#All],[Advanced Network/Insurance Carrier Org ID]],Q331),0), "TRUE", ROUND(R331-SUMIFS(AN_TME_PY[[#All],[Member Months]], AN_TME_PY[[#All],[Insurance Category Code]],6, AN_TME_PY[[#All],[Advanced Network/Insurance Carrier Org ID]],Q331),2))</f>
        <v>TRUE</v>
      </c>
      <c r="X331" s="533" t="str">
        <f>IF(ROUND(S331,0)=ROUND(SUMIFS(AN_TME_PY[[#All],[Total Claims Excluded because of Truncation]], AN_TME_PY[[#All],[Insurance Category Code]],6, AN_TME_PY[[#All],[Advanced Network/Insurance Carrier Org ID]],Q331),0), "TRUE", ROUND(S331-SUMIFS(AN_TME_PY[[#All],[Total Claims Excluded because of Truncation]], AN_TME_PY[[#All],[Insurance Category Code]],6, AN_TME_PY[[#All],[Advanced Network/Insurance Carrier Org ID]],Q331),2))</f>
        <v>TRUE</v>
      </c>
      <c r="Y331" s="537" t="str">
        <f>IF(ROUND(T331,0)=ROUND(SUMIFS(AN_TME_PY[[#All],[Count of Members with Claims Truncated]], AN_TME_PY[[#All],[Insurance Category Code]],6, AN_TME_PY[[#All],[Advanced Network/Insurance Carrier Org ID]],Q331),0), "TRUE", ROUND(T331-SUMIFS(AN_TME_PY[[#All],[Count of Members with Claims Truncated]], AN_TME_PY[[#All],[Insurance Category Code]],6, AN_TME_PY[[#All],[Advanced Network/Insurance Carrier Org ID]],Q331),2))</f>
        <v>TRUE</v>
      </c>
      <c r="Z331" s="533" t="str">
        <f>IF(ROUND(U331,0)=ROUND(SUMIFS(AN_TME_PY[[#All],[TOTAL Non-Truncated Unadjusted Claims Expenses]], AN_TME_PY[[#All],[Insurance Category Code]],6, AN_TME_PY[[#All],[Advanced Network/Insurance Carrier Org ID]],Q331),0), "TRUE", ROUND(U331-SUMIFS(AN_TME_PY[[#All],[TOTAL Non-Truncated Unadjusted Claims Expenses]], AN_TME_PY[[#All],[Insurance Category Code]],6, AN_TME_PY[[#All],[Advanced Network/Insurance Carrier Org ID]],Q331),2))</f>
        <v>TRUE</v>
      </c>
      <c r="AA331" s="534" t="str">
        <f>IF(ROUND(V331,0)=ROUND(SUMIFS(AN_TME_PY[[#All],[TOTAL Truncated Unadjusted Claims Expenses (A21 -A19)]], AN_TME_PY[[#All],[Insurance Category Code]],6, AN_TME_PY[[#All],[Advanced Network/Insurance Carrier Org ID]],Q331),0), "TRUE", ROUND(V331-SUMIFS(AN_TME_PY[[#All],[TOTAL Truncated Unadjusted Claims Expenses (A21 -A19)]], AN_TME_PY[[#All],[Insurance Category Code]],6, AN_TME_PY[[#All],[Advanced Network/Insurance Carrier Org ID]],Q331),2))</f>
        <v>TRUE</v>
      </c>
      <c r="AB331" s="525" t="str">
        <f t="shared" si="45"/>
        <v>TRUE</v>
      </c>
      <c r="AC331" s="533" t="b">
        <f>ROUND(SUMIFS(AN_TME_PY[[#All],[TOTAL Non-Truncated Unadjusted Claims Expenses]], AN_TME_PY[[#All],[Insurance Category Code]],6, AN_TME_PY[[#All],[Advanced Network/Insurance Carrier Org ID]],Q331),2)&gt;=ROUND(SUMIFS(AN_TME_PY[[#All],[TOTAL Truncated Unadjusted Claims Expenses (A21 -A19)]], AN_TME_PY[[#All],[Insurance Category Code]],6, AN_TME_PY[[#All],[Advanced Network/Insurance Carrier Org ID]],Q331),2)</f>
        <v>1</v>
      </c>
      <c r="AD331" s="534" t="b">
        <f>ROUND(SUMIFS(AN_TME_PY[[#All],[TOTAL Truncated Unadjusted Claims Expenses (A21 -A19)]], AN_TME_PY[[#All],[Insurance Category Code]],6, AN_TME_PY[[#All],[Advanced Network/Insurance Carrier Org ID]],Q331)+SUMIFS(AN_TME_PY[[#All],[Total Claims Excluded because of Truncation]], AN_TME_PY[[#All],[Insurance Category Code]],6, AN_TME_PY[[#All],[Advanced Network/Insurance Carrier Org ID]],Q331),2)=ROUND(SUMIFS(AN_TME_PY[[#All],[TOTAL Non-Truncated Unadjusted Claims Expenses]], AN_TME_PY[[#All],[Insurance Category Code]],6, AN_TME_PY[[#All],[Advanced Network/Insurance Carrier Org ID]],Q331),2)</f>
        <v>1</v>
      </c>
      <c r="AF331" s="283" t="str">
        <f t="shared" si="44"/>
        <v>NA</v>
      </c>
    </row>
    <row r="332" spans="2:32" outlineLevel="1" x14ac:dyDescent="0.25">
      <c r="B332" s="216">
        <v>112</v>
      </c>
      <c r="C332" s="404">
        <f>ROUND(SUMIFS(Age_Sex_BY[[#All],[Total Member Months by Age/Sex Band]], Age_Sex_BY[[#All],[Advanced Network ID]], $B332, Age_Sex_BY[[#All],[Insurance Category Code]],6),2)</f>
        <v>0</v>
      </c>
      <c r="D332" s="238">
        <f>ROUND(SUMIFS(Age_Sex_BY[[#All],[Total Dollars Excluded from Spending After Applying Truncation at the Member Level]], Age_Sex_BY[[#All],[Advanced Network ID]], $B332, Age_Sex_BY[[#All],[Insurance Category Code]],6),2)</f>
        <v>0</v>
      </c>
      <c r="E332" s="209">
        <f>ROUND(SUMIFS(Age_Sex_BY[[#All],[Count of Members whose Spending was Truncated]], Age_Sex_BY[[#All],[Advanced Network ID]], $B332, Age_Sex_BY[[#All],[Insurance Category Code]],6),2)</f>
        <v>0</v>
      </c>
      <c r="F332" s="210">
        <f>ROUND(SUMIFS(Age_Sex_BY[[#All],[Total Spending before Truncation is Applied]], Age_Sex_BY[[#All],[Advanced Network ID]], $B332, Age_Sex_BY[[#All],[Insurance Category Code]],6),2)</f>
        <v>0</v>
      </c>
      <c r="G332" s="212">
        <f>ROUND(SUMIFS(Age_Sex_BY[[#All],[Total Spending After Applying Truncation at the Member Level]], Age_Sex_BY[[#All],[Advanced Network ID]], $B332, Age_Sex_BY[[#All],[Insurance Category Code]],6),2)</f>
        <v>0</v>
      </c>
      <c r="H332" s="525" t="str">
        <f>IF(ROUND(C332,0)=ROUND(SUMIFS(AN_TME_BY[[#All],[Member Months]], AN_TME_BY[[#All],[Insurance Category Code]],6, AN_TME_BY[[#All],[Advanced Network/Insurance Carrier Org ID]],B332),0), "TRUE", ROUND(C332-SUMIFS(AN_TME_BY[[#All],[Member Months]], AN_TME_BY[[#All],[Insurance Category Code]],6, AN_TME_BY[[#All],[Advanced Network/Insurance Carrier Org ID]],B332),2))</f>
        <v>TRUE</v>
      </c>
      <c r="I332" s="533" t="str">
        <f>IF(ROUND(D332,0)=ROUND(SUMIFS(AN_TME_BY[[#All],[Total Claims Excluded because of Truncation]], AN_TME_BY[[#All],[Insurance Category Code]],6, AN_TME_BY[[#All],[Advanced Network/Insurance Carrier Org ID]],B332),0), "TRUE", ROUND(D332-SUMIFS(AN_TME_BY[[#All],[Total Claims Excluded because of Truncation]], AN_TME_BY[[#All],[Insurance Category Code]],6, AN_TME_BY[[#All],[Advanced Network/Insurance Carrier Org ID]],B332),2))</f>
        <v>TRUE</v>
      </c>
      <c r="J332" s="537" t="str">
        <f>IF(ROUND(E332,0)=ROUND(SUMIFS(AN_TME_BY[[#All],[Count of Members with Claims Truncated]], AN_TME_BY[[#All],[Insurance Category Code]],6, AN_TME_BY[[#All],[Advanced Network/Insurance Carrier Org ID]],B332),0), "TRUE", ROUND(E332-SUMIFS(AN_TME_BY[[#All],[Count of Members with Claims Truncated]], AN_TME_BY[[#All],[Insurance Category Code]],6, AN_TME_BY[[#All],[Advanced Network/Insurance Carrier Org ID]],B332),2))</f>
        <v>TRUE</v>
      </c>
      <c r="K332" s="533" t="str">
        <f>IF(ROUND(F332,0)=ROUND(SUMIFS(AN_TME_BY[[#All],[TOTAL Non-Truncated Unadjusted Claims Expenses]], AN_TME_BY[[#All],[Insurance Category Code]],6, AN_TME_BY[[#All],[Advanced Network/Insurance Carrier Org ID]],B332),0), "TRUE", ROUND(F332-SUMIFS(AN_TME_BY[[#All],[TOTAL Non-Truncated Unadjusted Claims Expenses]], AN_TME_BY[[#All],[Insurance Category Code]],6, AN_TME_BY[[#All],[Advanced Network/Insurance Carrier Org ID]],B332),2))</f>
        <v>TRUE</v>
      </c>
      <c r="L332" s="534" t="str">
        <f>IF(ROUND(G332,0)=ROUND(SUMIFS(AN_TME_BY[[#All],[TOTAL Truncated Unadjusted Claims Expenses (A21 -A19)]], AN_TME_BY[[#All],[Insurance Category Code]],6, AN_TME_BY[[#All],[Advanced Network/Insurance Carrier Org ID]],B332),0), "TRUE", ROUND(G332-SUMIFS(AN_TME_BY[[#All],[TOTAL Truncated Unadjusted Claims Expenses (A21 -A19)]], AN_TME_BY[[#All],[Insurance Category Code]],6, AN_TME_BY[[#All],[Advanced Network/Insurance Carrier Org ID]],B332),2))</f>
        <v>TRUE</v>
      </c>
      <c r="M332" s="525" t="str">
        <f t="shared" si="42"/>
        <v>TRUE</v>
      </c>
      <c r="N332" s="533" t="b">
        <f>ROUND(SUMIFS(AN_TME_BY[[#All],[TOTAL Non-Truncated Unadjusted Claims Expenses]], AN_TME_BY[[#All],[Insurance Category Code]],6, AN_TME_BY[[#All],[Advanced Network/Insurance Carrier Org ID]],B332),2)&gt;=ROUND(SUMIFS(AN_TME_BY[[#All],[TOTAL Truncated Unadjusted Claims Expenses (A21 -A19)]], AN_TME_BY[[#All],[Insurance Category Code]],6, AN_TME_BY[[#All],[Advanced Network/Insurance Carrier Org ID]],B332),2)</f>
        <v>1</v>
      </c>
      <c r="O332" s="534" t="b">
        <f>ROUND(SUMIFS(AN_TME_BY[[#All],[TOTAL Truncated Unadjusted Claims Expenses (A21 -A19)]], AN_TME_BY[[#All],[Insurance Category Code]],6, AN_TME_BY[[#All],[Advanced Network/Insurance Carrier Org ID]],B332)+SUMIFS(AN_TME_BY[[#All],[Total Claims Excluded because of Truncation]], AN_TME_BY[[#All],[Insurance Category Code]],6, AN_TME_BY[[#All],[Advanced Network/Insurance Carrier Org ID]],B332),2)=ROUND(SUMIFS(AN_TME_BY[[#All],[TOTAL Non-Truncated Unadjusted Claims Expenses]], AN_TME_BY[[#All],[Insurance Category Code]],6, AN_TME_BY[[#All],[Advanced Network/Insurance Carrier Org ID]],B332),2)</f>
        <v>1</v>
      </c>
      <c r="Q332" s="216">
        <v>112</v>
      </c>
      <c r="R332" s="404">
        <f>ROUND(SUMIFS(Age_Sex_PY[[#All],[Total Member Months by Age/Sex Band]], Age_Sex_PY[[#All],[Advanced Network ID]], $Q332, Age_Sex_PY[[#All],[Insurance Category Code]],6),2)</f>
        <v>0</v>
      </c>
      <c r="S332" s="238">
        <f>ROUND(SUMIFS(Age_Sex_PY[[#All],[Total Dollars Excluded from Spending After Applying Truncation at the Member Level]], Age_Sex_PY[[#All],[Advanced Network ID]], $B332, Age_Sex_PY[[#All],[Insurance Category Code]],6),2)</f>
        <v>0</v>
      </c>
      <c r="T332" s="209">
        <f>ROUND(SUMIFS(Age_Sex_PY[[#All],[Count of Members whose Spending was Truncated]], Age_Sex_PY[[#All],[Advanced Network ID]], $B332, Age_Sex_PY[[#All],[Insurance Category Code]],6),2)</f>
        <v>0</v>
      </c>
      <c r="U332" s="210">
        <f>ROUND(SUMIFS(Age_Sex_PY[[#All],[Total Spending before Truncation is Applied]], Age_Sex_PY[[#All],[Advanced Network ID]], $B332, Age_Sex_PY[[#All],[Insurance Category Code]],6),2)</f>
        <v>0</v>
      </c>
      <c r="V332" s="212">
        <f>ROUND(SUMIFS(Age_Sex_PY[[#All],[Total Spending After Applying Truncation at the Member Level]], Age_Sex_PY[[#All],[Advanced Network ID]], $B332, Age_Sex_PY[[#All],[Insurance Category Code]],6),2)</f>
        <v>0</v>
      </c>
      <c r="W332" s="525" t="str">
        <f>IF(ROUND(R332,0)=ROUND(SUMIFS(AN_TME_PY[[#All],[Member Months]], AN_TME_PY[[#All],[Insurance Category Code]],6, AN_TME_PY[[#All],[Advanced Network/Insurance Carrier Org ID]],Q332),0), "TRUE", ROUND(R332-SUMIFS(AN_TME_PY[[#All],[Member Months]], AN_TME_PY[[#All],[Insurance Category Code]],6, AN_TME_PY[[#All],[Advanced Network/Insurance Carrier Org ID]],Q332),2))</f>
        <v>TRUE</v>
      </c>
      <c r="X332" s="533" t="str">
        <f>IF(ROUND(S332,0)=ROUND(SUMIFS(AN_TME_PY[[#All],[Total Claims Excluded because of Truncation]], AN_TME_PY[[#All],[Insurance Category Code]],6, AN_TME_PY[[#All],[Advanced Network/Insurance Carrier Org ID]],Q332),0), "TRUE", ROUND(S332-SUMIFS(AN_TME_PY[[#All],[Total Claims Excluded because of Truncation]], AN_TME_PY[[#All],[Insurance Category Code]],6, AN_TME_PY[[#All],[Advanced Network/Insurance Carrier Org ID]],Q332),2))</f>
        <v>TRUE</v>
      </c>
      <c r="Y332" s="537" t="str">
        <f>IF(ROUND(T332,0)=ROUND(SUMIFS(AN_TME_PY[[#All],[Count of Members with Claims Truncated]], AN_TME_PY[[#All],[Insurance Category Code]],6, AN_TME_PY[[#All],[Advanced Network/Insurance Carrier Org ID]],Q332),0), "TRUE", ROUND(T332-SUMIFS(AN_TME_PY[[#All],[Count of Members with Claims Truncated]], AN_TME_PY[[#All],[Insurance Category Code]],6, AN_TME_PY[[#All],[Advanced Network/Insurance Carrier Org ID]],Q332),2))</f>
        <v>TRUE</v>
      </c>
      <c r="Z332" s="533" t="str">
        <f>IF(ROUND(U332,0)=ROUND(SUMIFS(AN_TME_PY[[#All],[TOTAL Non-Truncated Unadjusted Claims Expenses]], AN_TME_PY[[#All],[Insurance Category Code]],6, AN_TME_PY[[#All],[Advanced Network/Insurance Carrier Org ID]],Q332),0), "TRUE", ROUND(U332-SUMIFS(AN_TME_PY[[#All],[TOTAL Non-Truncated Unadjusted Claims Expenses]], AN_TME_PY[[#All],[Insurance Category Code]],6, AN_TME_PY[[#All],[Advanced Network/Insurance Carrier Org ID]],Q332),2))</f>
        <v>TRUE</v>
      </c>
      <c r="AA332" s="534" t="str">
        <f>IF(ROUND(V332,0)=ROUND(SUMIFS(AN_TME_PY[[#All],[TOTAL Truncated Unadjusted Claims Expenses (A21 -A19)]], AN_TME_PY[[#All],[Insurance Category Code]],6, AN_TME_PY[[#All],[Advanced Network/Insurance Carrier Org ID]],Q332),0), "TRUE", ROUND(V332-SUMIFS(AN_TME_PY[[#All],[TOTAL Truncated Unadjusted Claims Expenses (A21 -A19)]], AN_TME_PY[[#All],[Insurance Category Code]],6, AN_TME_PY[[#All],[Advanced Network/Insurance Carrier Org ID]],Q332),2))</f>
        <v>TRUE</v>
      </c>
      <c r="AB332" s="525" t="str">
        <f t="shared" si="45"/>
        <v>TRUE</v>
      </c>
      <c r="AC332" s="533" t="b">
        <f>ROUND(SUMIFS(AN_TME_PY[[#All],[TOTAL Non-Truncated Unadjusted Claims Expenses]], AN_TME_PY[[#All],[Insurance Category Code]],6, AN_TME_PY[[#All],[Advanced Network/Insurance Carrier Org ID]],Q332),2)&gt;=ROUND(SUMIFS(AN_TME_PY[[#All],[TOTAL Truncated Unadjusted Claims Expenses (A21 -A19)]], AN_TME_PY[[#All],[Insurance Category Code]],6, AN_TME_PY[[#All],[Advanced Network/Insurance Carrier Org ID]],Q332),2)</f>
        <v>1</v>
      </c>
      <c r="AD332" s="534" t="b">
        <f>ROUND(SUMIFS(AN_TME_PY[[#All],[TOTAL Truncated Unadjusted Claims Expenses (A21 -A19)]], AN_TME_PY[[#All],[Insurance Category Code]],6, AN_TME_PY[[#All],[Advanced Network/Insurance Carrier Org ID]],Q332)+SUMIFS(AN_TME_PY[[#All],[Total Claims Excluded because of Truncation]], AN_TME_PY[[#All],[Insurance Category Code]],6, AN_TME_PY[[#All],[Advanced Network/Insurance Carrier Org ID]],Q332),2)=ROUND(SUMIFS(AN_TME_PY[[#All],[TOTAL Non-Truncated Unadjusted Claims Expenses]], AN_TME_PY[[#All],[Insurance Category Code]],6, AN_TME_PY[[#All],[Advanced Network/Insurance Carrier Org ID]],Q332),2)</f>
        <v>1</v>
      </c>
      <c r="AF332" s="283" t="str">
        <f t="shared" si="44"/>
        <v>NA</v>
      </c>
    </row>
    <row r="333" spans="2:32" outlineLevel="1" x14ac:dyDescent="0.25">
      <c r="B333" s="216">
        <v>113</v>
      </c>
      <c r="C333" s="404">
        <f>ROUND(SUMIFS(Age_Sex_BY[[#All],[Total Member Months by Age/Sex Band]], Age_Sex_BY[[#All],[Advanced Network ID]], $B333, Age_Sex_BY[[#All],[Insurance Category Code]],6),2)</f>
        <v>0</v>
      </c>
      <c r="D333" s="238">
        <f>ROUND(SUMIFS(Age_Sex_BY[[#All],[Total Dollars Excluded from Spending After Applying Truncation at the Member Level]], Age_Sex_BY[[#All],[Advanced Network ID]], $B333, Age_Sex_BY[[#All],[Insurance Category Code]],6),2)</f>
        <v>0</v>
      </c>
      <c r="E333" s="209">
        <f>ROUND(SUMIFS(Age_Sex_BY[[#All],[Count of Members whose Spending was Truncated]], Age_Sex_BY[[#All],[Advanced Network ID]], $B333, Age_Sex_BY[[#All],[Insurance Category Code]],6),2)</f>
        <v>0</v>
      </c>
      <c r="F333" s="210">
        <f>ROUND(SUMIFS(Age_Sex_BY[[#All],[Total Spending before Truncation is Applied]], Age_Sex_BY[[#All],[Advanced Network ID]], $B333, Age_Sex_BY[[#All],[Insurance Category Code]],6),2)</f>
        <v>0</v>
      </c>
      <c r="G333" s="212">
        <f>ROUND(SUMIFS(Age_Sex_BY[[#All],[Total Spending After Applying Truncation at the Member Level]], Age_Sex_BY[[#All],[Advanced Network ID]], $B333, Age_Sex_BY[[#All],[Insurance Category Code]],6),2)</f>
        <v>0</v>
      </c>
      <c r="H333" s="525" t="str">
        <f>IF(ROUND(C333,0)=ROUND(SUMIFS(AN_TME_BY[[#All],[Member Months]], AN_TME_BY[[#All],[Insurance Category Code]],6, AN_TME_BY[[#All],[Advanced Network/Insurance Carrier Org ID]],B333),0), "TRUE", ROUND(C333-SUMIFS(AN_TME_BY[[#All],[Member Months]], AN_TME_BY[[#All],[Insurance Category Code]],6, AN_TME_BY[[#All],[Advanced Network/Insurance Carrier Org ID]],B333),2))</f>
        <v>TRUE</v>
      </c>
      <c r="I333" s="533" t="str">
        <f>IF(ROUND(D333,0)=ROUND(SUMIFS(AN_TME_BY[[#All],[Total Claims Excluded because of Truncation]], AN_TME_BY[[#All],[Insurance Category Code]],6, AN_TME_BY[[#All],[Advanced Network/Insurance Carrier Org ID]],B333),0), "TRUE", ROUND(D333-SUMIFS(AN_TME_BY[[#All],[Total Claims Excluded because of Truncation]], AN_TME_BY[[#All],[Insurance Category Code]],6, AN_TME_BY[[#All],[Advanced Network/Insurance Carrier Org ID]],B333),2))</f>
        <v>TRUE</v>
      </c>
      <c r="J333" s="537" t="str">
        <f>IF(ROUND(E333,0)=ROUND(SUMIFS(AN_TME_BY[[#All],[Count of Members with Claims Truncated]], AN_TME_BY[[#All],[Insurance Category Code]],6, AN_TME_BY[[#All],[Advanced Network/Insurance Carrier Org ID]],B333),0), "TRUE", ROUND(E333-SUMIFS(AN_TME_BY[[#All],[Count of Members with Claims Truncated]], AN_TME_BY[[#All],[Insurance Category Code]],6, AN_TME_BY[[#All],[Advanced Network/Insurance Carrier Org ID]],B333),2))</f>
        <v>TRUE</v>
      </c>
      <c r="K333" s="533" t="str">
        <f>IF(ROUND(F333,0)=ROUND(SUMIFS(AN_TME_BY[[#All],[TOTAL Non-Truncated Unadjusted Claims Expenses]], AN_TME_BY[[#All],[Insurance Category Code]],6, AN_TME_BY[[#All],[Advanced Network/Insurance Carrier Org ID]],B333),0), "TRUE", ROUND(F333-SUMIFS(AN_TME_BY[[#All],[TOTAL Non-Truncated Unadjusted Claims Expenses]], AN_TME_BY[[#All],[Insurance Category Code]],6, AN_TME_BY[[#All],[Advanced Network/Insurance Carrier Org ID]],B333),2))</f>
        <v>TRUE</v>
      </c>
      <c r="L333" s="534" t="str">
        <f>IF(ROUND(G333,0)=ROUND(SUMIFS(AN_TME_BY[[#All],[TOTAL Truncated Unadjusted Claims Expenses (A21 -A19)]], AN_TME_BY[[#All],[Insurance Category Code]],6, AN_TME_BY[[#All],[Advanced Network/Insurance Carrier Org ID]],B333),0), "TRUE", ROUND(G333-SUMIFS(AN_TME_BY[[#All],[TOTAL Truncated Unadjusted Claims Expenses (A21 -A19)]], AN_TME_BY[[#All],[Insurance Category Code]],6, AN_TME_BY[[#All],[Advanced Network/Insurance Carrier Org ID]],B333),2))</f>
        <v>TRUE</v>
      </c>
      <c r="M333" s="525" t="str">
        <f t="shared" si="42"/>
        <v>TRUE</v>
      </c>
      <c r="N333" s="533" t="b">
        <f>ROUND(SUMIFS(AN_TME_BY[[#All],[TOTAL Non-Truncated Unadjusted Claims Expenses]], AN_TME_BY[[#All],[Insurance Category Code]],6, AN_TME_BY[[#All],[Advanced Network/Insurance Carrier Org ID]],B333),2)&gt;=ROUND(SUMIFS(AN_TME_BY[[#All],[TOTAL Truncated Unadjusted Claims Expenses (A21 -A19)]], AN_TME_BY[[#All],[Insurance Category Code]],6, AN_TME_BY[[#All],[Advanced Network/Insurance Carrier Org ID]],B333),2)</f>
        <v>1</v>
      </c>
      <c r="O333" s="534" t="b">
        <f>ROUND(SUMIFS(AN_TME_BY[[#All],[TOTAL Truncated Unadjusted Claims Expenses (A21 -A19)]], AN_TME_BY[[#All],[Insurance Category Code]],6, AN_TME_BY[[#All],[Advanced Network/Insurance Carrier Org ID]],B333)+SUMIFS(AN_TME_BY[[#All],[Total Claims Excluded because of Truncation]], AN_TME_BY[[#All],[Insurance Category Code]],6, AN_TME_BY[[#All],[Advanced Network/Insurance Carrier Org ID]],B333),2)=ROUND(SUMIFS(AN_TME_BY[[#All],[TOTAL Non-Truncated Unadjusted Claims Expenses]], AN_TME_BY[[#All],[Insurance Category Code]],6, AN_TME_BY[[#All],[Advanced Network/Insurance Carrier Org ID]],B333),2)</f>
        <v>1</v>
      </c>
      <c r="Q333" s="216">
        <v>113</v>
      </c>
      <c r="R333" s="404">
        <f>ROUND(SUMIFS(Age_Sex_PY[[#All],[Total Member Months by Age/Sex Band]], Age_Sex_PY[[#All],[Advanced Network ID]], $Q333, Age_Sex_PY[[#All],[Insurance Category Code]],6),2)</f>
        <v>0</v>
      </c>
      <c r="S333" s="238">
        <f>ROUND(SUMIFS(Age_Sex_PY[[#All],[Total Dollars Excluded from Spending After Applying Truncation at the Member Level]], Age_Sex_PY[[#All],[Advanced Network ID]], $B333, Age_Sex_PY[[#All],[Insurance Category Code]],6),2)</f>
        <v>0</v>
      </c>
      <c r="T333" s="209">
        <f>ROUND(SUMIFS(Age_Sex_PY[[#All],[Count of Members whose Spending was Truncated]], Age_Sex_PY[[#All],[Advanced Network ID]], $B333, Age_Sex_PY[[#All],[Insurance Category Code]],6),2)</f>
        <v>0</v>
      </c>
      <c r="U333" s="210">
        <f>ROUND(SUMIFS(Age_Sex_PY[[#All],[Total Spending before Truncation is Applied]], Age_Sex_PY[[#All],[Advanced Network ID]], $B333, Age_Sex_PY[[#All],[Insurance Category Code]],6),2)</f>
        <v>0</v>
      </c>
      <c r="V333" s="212">
        <f>ROUND(SUMIFS(Age_Sex_PY[[#All],[Total Spending After Applying Truncation at the Member Level]], Age_Sex_PY[[#All],[Advanced Network ID]], $B333, Age_Sex_PY[[#All],[Insurance Category Code]],6),2)</f>
        <v>0</v>
      </c>
      <c r="W333" s="525" t="str">
        <f>IF(ROUND(R333,0)=ROUND(SUMIFS(AN_TME_PY[[#All],[Member Months]], AN_TME_PY[[#All],[Insurance Category Code]],6, AN_TME_PY[[#All],[Advanced Network/Insurance Carrier Org ID]],Q333),0), "TRUE", ROUND(R333-SUMIFS(AN_TME_PY[[#All],[Member Months]], AN_TME_PY[[#All],[Insurance Category Code]],6, AN_TME_PY[[#All],[Advanced Network/Insurance Carrier Org ID]],Q333),2))</f>
        <v>TRUE</v>
      </c>
      <c r="X333" s="533" t="str">
        <f>IF(ROUND(S333,0)=ROUND(SUMIFS(AN_TME_PY[[#All],[Total Claims Excluded because of Truncation]], AN_TME_PY[[#All],[Insurance Category Code]],6, AN_TME_PY[[#All],[Advanced Network/Insurance Carrier Org ID]],Q333),0), "TRUE", ROUND(S333-SUMIFS(AN_TME_PY[[#All],[Total Claims Excluded because of Truncation]], AN_TME_PY[[#All],[Insurance Category Code]],6, AN_TME_PY[[#All],[Advanced Network/Insurance Carrier Org ID]],Q333),2))</f>
        <v>TRUE</v>
      </c>
      <c r="Y333" s="537" t="str">
        <f>IF(ROUND(T333,0)=ROUND(SUMIFS(AN_TME_PY[[#All],[Count of Members with Claims Truncated]], AN_TME_PY[[#All],[Insurance Category Code]],6, AN_TME_PY[[#All],[Advanced Network/Insurance Carrier Org ID]],Q333),0), "TRUE", ROUND(T333-SUMIFS(AN_TME_PY[[#All],[Count of Members with Claims Truncated]], AN_TME_PY[[#All],[Insurance Category Code]],6, AN_TME_PY[[#All],[Advanced Network/Insurance Carrier Org ID]],Q333),2))</f>
        <v>TRUE</v>
      </c>
      <c r="Z333" s="533" t="str">
        <f>IF(ROUND(U333,0)=ROUND(SUMIFS(AN_TME_PY[[#All],[TOTAL Non-Truncated Unadjusted Claims Expenses]], AN_TME_PY[[#All],[Insurance Category Code]],6, AN_TME_PY[[#All],[Advanced Network/Insurance Carrier Org ID]],Q333),0), "TRUE", ROUND(U333-SUMIFS(AN_TME_PY[[#All],[TOTAL Non-Truncated Unadjusted Claims Expenses]], AN_TME_PY[[#All],[Insurance Category Code]],6, AN_TME_PY[[#All],[Advanced Network/Insurance Carrier Org ID]],Q333),2))</f>
        <v>TRUE</v>
      </c>
      <c r="AA333" s="534" t="str">
        <f>IF(ROUND(V333,0)=ROUND(SUMIFS(AN_TME_PY[[#All],[TOTAL Truncated Unadjusted Claims Expenses (A21 -A19)]], AN_TME_PY[[#All],[Insurance Category Code]],6, AN_TME_PY[[#All],[Advanced Network/Insurance Carrier Org ID]],Q333),0), "TRUE", ROUND(V333-SUMIFS(AN_TME_PY[[#All],[TOTAL Truncated Unadjusted Claims Expenses (A21 -A19)]], AN_TME_PY[[#All],[Insurance Category Code]],6, AN_TME_PY[[#All],[Advanced Network/Insurance Carrier Org ID]],Q333),2))</f>
        <v>TRUE</v>
      </c>
      <c r="AB333" s="525" t="str">
        <f t="shared" si="45"/>
        <v>TRUE</v>
      </c>
      <c r="AC333" s="533" t="b">
        <f>ROUND(SUMIFS(AN_TME_PY[[#All],[TOTAL Non-Truncated Unadjusted Claims Expenses]], AN_TME_PY[[#All],[Insurance Category Code]],6, AN_TME_PY[[#All],[Advanced Network/Insurance Carrier Org ID]],Q333),2)&gt;=ROUND(SUMIFS(AN_TME_PY[[#All],[TOTAL Truncated Unadjusted Claims Expenses (A21 -A19)]], AN_TME_PY[[#All],[Insurance Category Code]],6, AN_TME_PY[[#All],[Advanced Network/Insurance Carrier Org ID]],Q333),2)</f>
        <v>1</v>
      </c>
      <c r="AD333" s="534" t="b">
        <f>ROUND(SUMIFS(AN_TME_PY[[#All],[TOTAL Truncated Unadjusted Claims Expenses (A21 -A19)]], AN_TME_PY[[#All],[Insurance Category Code]],6, AN_TME_PY[[#All],[Advanced Network/Insurance Carrier Org ID]],Q333)+SUMIFS(AN_TME_PY[[#All],[Total Claims Excluded because of Truncation]], AN_TME_PY[[#All],[Insurance Category Code]],6, AN_TME_PY[[#All],[Advanced Network/Insurance Carrier Org ID]],Q333),2)=ROUND(SUMIFS(AN_TME_PY[[#All],[TOTAL Non-Truncated Unadjusted Claims Expenses]], AN_TME_PY[[#All],[Insurance Category Code]],6, AN_TME_PY[[#All],[Advanced Network/Insurance Carrier Org ID]],Q333),2)</f>
        <v>1</v>
      </c>
      <c r="AF333" s="283" t="str">
        <f t="shared" si="44"/>
        <v>NA</v>
      </c>
    </row>
    <row r="334" spans="2:32" outlineLevel="1" x14ac:dyDescent="0.25">
      <c r="B334" s="216">
        <v>114</v>
      </c>
      <c r="C334" s="404">
        <f>ROUND(SUMIFS(Age_Sex_BY[[#All],[Total Member Months by Age/Sex Band]], Age_Sex_BY[[#All],[Advanced Network ID]], $B334, Age_Sex_BY[[#All],[Insurance Category Code]],6),2)</f>
        <v>0</v>
      </c>
      <c r="D334" s="238">
        <f>ROUND(SUMIFS(Age_Sex_BY[[#All],[Total Dollars Excluded from Spending After Applying Truncation at the Member Level]], Age_Sex_BY[[#All],[Advanced Network ID]], $B334, Age_Sex_BY[[#All],[Insurance Category Code]],6),2)</f>
        <v>0</v>
      </c>
      <c r="E334" s="209">
        <f>ROUND(SUMIFS(Age_Sex_BY[[#All],[Count of Members whose Spending was Truncated]], Age_Sex_BY[[#All],[Advanced Network ID]], $B334, Age_Sex_BY[[#All],[Insurance Category Code]],6),2)</f>
        <v>0</v>
      </c>
      <c r="F334" s="210">
        <f>ROUND(SUMIFS(Age_Sex_BY[[#All],[Total Spending before Truncation is Applied]], Age_Sex_BY[[#All],[Advanced Network ID]], $B334, Age_Sex_BY[[#All],[Insurance Category Code]],6),2)</f>
        <v>0</v>
      </c>
      <c r="G334" s="212">
        <f>ROUND(SUMIFS(Age_Sex_BY[[#All],[Total Spending After Applying Truncation at the Member Level]], Age_Sex_BY[[#All],[Advanced Network ID]], $B334, Age_Sex_BY[[#All],[Insurance Category Code]],6),2)</f>
        <v>0</v>
      </c>
      <c r="H334" s="525" t="str">
        <f>IF(ROUND(C334,0)=ROUND(SUMIFS(AN_TME_BY[[#All],[Member Months]], AN_TME_BY[[#All],[Insurance Category Code]],6, AN_TME_BY[[#All],[Advanced Network/Insurance Carrier Org ID]],B334),0), "TRUE", ROUND(C334-SUMIFS(AN_TME_BY[[#All],[Member Months]], AN_TME_BY[[#All],[Insurance Category Code]],6, AN_TME_BY[[#All],[Advanced Network/Insurance Carrier Org ID]],B334),2))</f>
        <v>TRUE</v>
      </c>
      <c r="I334" s="533" t="str">
        <f>IF(ROUND(D334,0)=ROUND(SUMIFS(AN_TME_BY[[#All],[Total Claims Excluded because of Truncation]], AN_TME_BY[[#All],[Insurance Category Code]],6, AN_TME_BY[[#All],[Advanced Network/Insurance Carrier Org ID]],B334),0), "TRUE", ROUND(D334-SUMIFS(AN_TME_BY[[#All],[Total Claims Excluded because of Truncation]], AN_TME_BY[[#All],[Insurance Category Code]],6, AN_TME_BY[[#All],[Advanced Network/Insurance Carrier Org ID]],B334),2))</f>
        <v>TRUE</v>
      </c>
      <c r="J334" s="537" t="str">
        <f>IF(ROUND(E334,0)=ROUND(SUMIFS(AN_TME_BY[[#All],[Count of Members with Claims Truncated]], AN_TME_BY[[#All],[Insurance Category Code]],6, AN_TME_BY[[#All],[Advanced Network/Insurance Carrier Org ID]],B334),0), "TRUE", ROUND(E334-SUMIFS(AN_TME_BY[[#All],[Count of Members with Claims Truncated]], AN_TME_BY[[#All],[Insurance Category Code]],6, AN_TME_BY[[#All],[Advanced Network/Insurance Carrier Org ID]],B334),2))</f>
        <v>TRUE</v>
      </c>
      <c r="K334" s="533" t="str">
        <f>IF(ROUND(F334,0)=ROUND(SUMIFS(AN_TME_BY[[#All],[TOTAL Non-Truncated Unadjusted Claims Expenses]], AN_TME_BY[[#All],[Insurance Category Code]],6, AN_TME_BY[[#All],[Advanced Network/Insurance Carrier Org ID]],B334),0), "TRUE", ROUND(F334-SUMIFS(AN_TME_BY[[#All],[TOTAL Non-Truncated Unadjusted Claims Expenses]], AN_TME_BY[[#All],[Insurance Category Code]],6, AN_TME_BY[[#All],[Advanced Network/Insurance Carrier Org ID]],B334),2))</f>
        <v>TRUE</v>
      </c>
      <c r="L334" s="534" t="str">
        <f>IF(ROUND(G334,0)=ROUND(SUMIFS(AN_TME_BY[[#All],[TOTAL Truncated Unadjusted Claims Expenses (A21 -A19)]], AN_TME_BY[[#All],[Insurance Category Code]],6, AN_TME_BY[[#All],[Advanced Network/Insurance Carrier Org ID]],B334),0), "TRUE", ROUND(G334-SUMIFS(AN_TME_BY[[#All],[TOTAL Truncated Unadjusted Claims Expenses (A21 -A19)]], AN_TME_BY[[#All],[Insurance Category Code]],6, AN_TME_BY[[#All],[Advanced Network/Insurance Carrier Org ID]],B334),2))</f>
        <v>TRUE</v>
      </c>
      <c r="M334" s="525" t="str">
        <f t="shared" si="42"/>
        <v>TRUE</v>
      </c>
      <c r="N334" s="533" t="b">
        <f>ROUND(SUMIFS(AN_TME_BY[[#All],[TOTAL Non-Truncated Unadjusted Claims Expenses]], AN_TME_BY[[#All],[Insurance Category Code]],6, AN_TME_BY[[#All],[Advanced Network/Insurance Carrier Org ID]],B334),2)&gt;=ROUND(SUMIFS(AN_TME_BY[[#All],[TOTAL Truncated Unadjusted Claims Expenses (A21 -A19)]], AN_TME_BY[[#All],[Insurance Category Code]],6, AN_TME_BY[[#All],[Advanced Network/Insurance Carrier Org ID]],B334),2)</f>
        <v>1</v>
      </c>
      <c r="O334" s="534" t="b">
        <f>ROUND(SUMIFS(AN_TME_BY[[#All],[TOTAL Truncated Unadjusted Claims Expenses (A21 -A19)]], AN_TME_BY[[#All],[Insurance Category Code]],6, AN_TME_BY[[#All],[Advanced Network/Insurance Carrier Org ID]],B334)+SUMIFS(AN_TME_BY[[#All],[Total Claims Excluded because of Truncation]], AN_TME_BY[[#All],[Insurance Category Code]],6, AN_TME_BY[[#All],[Advanced Network/Insurance Carrier Org ID]],B334),2)=ROUND(SUMIFS(AN_TME_BY[[#All],[TOTAL Non-Truncated Unadjusted Claims Expenses]], AN_TME_BY[[#All],[Insurance Category Code]],6, AN_TME_BY[[#All],[Advanced Network/Insurance Carrier Org ID]],B334),2)</f>
        <v>1</v>
      </c>
      <c r="Q334" s="216">
        <v>114</v>
      </c>
      <c r="R334" s="404">
        <f>ROUND(SUMIFS(Age_Sex_PY[[#All],[Total Member Months by Age/Sex Band]], Age_Sex_PY[[#All],[Advanced Network ID]], $Q334, Age_Sex_PY[[#All],[Insurance Category Code]],6),2)</f>
        <v>0</v>
      </c>
      <c r="S334" s="238">
        <f>ROUND(SUMIFS(Age_Sex_PY[[#All],[Total Dollars Excluded from Spending After Applying Truncation at the Member Level]], Age_Sex_PY[[#All],[Advanced Network ID]], $B334, Age_Sex_PY[[#All],[Insurance Category Code]],6),2)</f>
        <v>0</v>
      </c>
      <c r="T334" s="209">
        <f>ROUND(SUMIFS(Age_Sex_PY[[#All],[Count of Members whose Spending was Truncated]], Age_Sex_PY[[#All],[Advanced Network ID]], $B334, Age_Sex_PY[[#All],[Insurance Category Code]],6),2)</f>
        <v>0</v>
      </c>
      <c r="U334" s="210">
        <f>ROUND(SUMIFS(Age_Sex_PY[[#All],[Total Spending before Truncation is Applied]], Age_Sex_PY[[#All],[Advanced Network ID]], $B334, Age_Sex_PY[[#All],[Insurance Category Code]],6),2)</f>
        <v>0</v>
      </c>
      <c r="V334" s="212">
        <f>ROUND(SUMIFS(Age_Sex_PY[[#All],[Total Spending After Applying Truncation at the Member Level]], Age_Sex_PY[[#All],[Advanced Network ID]], $B334, Age_Sex_PY[[#All],[Insurance Category Code]],6),2)</f>
        <v>0</v>
      </c>
      <c r="W334" s="525" t="str">
        <f>IF(ROUND(R334,0)=ROUND(SUMIFS(AN_TME_PY[[#All],[Member Months]], AN_TME_PY[[#All],[Insurance Category Code]],6, AN_TME_PY[[#All],[Advanced Network/Insurance Carrier Org ID]],Q334),0), "TRUE", ROUND(R334-SUMIFS(AN_TME_PY[[#All],[Member Months]], AN_TME_PY[[#All],[Insurance Category Code]],6, AN_TME_PY[[#All],[Advanced Network/Insurance Carrier Org ID]],Q334),2))</f>
        <v>TRUE</v>
      </c>
      <c r="X334" s="533" t="str">
        <f>IF(ROUND(S334,0)=ROUND(SUMIFS(AN_TME_PY[[#All],[Total Claims Excluded because of Truncation]], AN_TME_PY[[#All],[Insurance Category Code]],6, AN_TME_PY[[#All],[Advanced Network/Insurance Carrier Org ID]],Q334),0), "TRUE", ROUND(S334-SUMIFS(AN_TME_PY[[#All],[Total Claims Excluded because of Truncation]], AN_TME_PY[[#All],[Insurance Category Code]],6, AN_TME_PY[[#All],[Advanced Network/Insurance Carrier Org ID]],Q334),2))</f>
        <v>TRUE</v>
      </c>
      <c r="Y334" s="537" t="str">
        <f>IF(ROUND(T334,0)=ROUND(SUMIFS(AN_TME_PY[[#All],[Count of Members with Claims Truncated]], AN_TME_PY[[#All],[Insurance Category Code]],6, AN_TME_PY[[#All],[Advanced Network/Insurance Carrier Org ID]],Q334),0), "TRUE", ROUND(T334-SUMIFS(AN_TME_PY[[#All],[Count of Members with Claims Truncated]], AN_TME_PY[[#All],[Insurance Category Code]],6, AN_TME_PY[[#All],[Advanced Network/Insurance Carrier Org ID]],Q334),2))</f>
        <v>TRUE</v>
      </c>
      <c r="Z334" s="533" t="str">
        <f>IF(ROUND(U334,0)=ROUND(SUMIFS(AN_TME_PY[[#All],[TOTAL Non-Truncated Unadjusted Claims Expenses]], AN_TME_PY[[#All],[Insurance Category Code]],6, AN_TME_PY[[#All],[Advanced Network/Insurance Carrier Org ID]],Q334),0), "TRUE", ROUND(U334-SUMIFS(AN_TME_PY[[#All],[TOTAL Non-Truncated Unadjusted Claims Expenses]], AN_TME_PY[[#All],[Insurance Category Code]],6, AN_TME_PY[[#All],[Advanced Network/Insurance Carrier Org ID]],Q334),2))</f>
        <v>TRUE</v>
      </c>
      <c r="AA334" s="534" t="str">
        <f>IF(ROUND(V334,0)=ROUND(SUMIFS(AN_TME_PY[[#All],[TOTAL Truncated Unadjusted Claims Expenses (A21 -A19)]], AN_TME_PY[[#All],[Insurance Category Code]],6, AN_TME_PY[[#All],[Advanced Network/Insurance Carrier Org ID]],Q334),0), "TRUE", ROUND(V334-SUMIFS(AN_TME_PY[[#All],[TOTAL Truncated Unadjusted Claims Expenses (A21 -A19)]], AN_TME_PY[[#All],[Insurance Category Code]],6, AN_TME_PY[[#All],[Advanced Network/Insurance Carrier Org ID]],Q334),2))</f>
        <v>TRUE</v>
      </c>
      <c r="AB334" s="525" t="str">
        <f t="shared" si="45"/>
        <v>TRUE</v>
      </c>
      <c r="AC334" s="533" t="b">
        <f>ROUND(SUMIFS(AN_TME_PY[[#All],[TOTAL Non-Truncated Unadjusted Claims Expenses]], AN_TME_PY[[#All],[Insurance Category Code]],6, AN_TME_PY[[#All],[Advanced Network/Insurance Carrier Org ID]],Q334),2)&gt;=ROUND(SUMIFS(AN_TME_PY[[#All],[TOTAL Truncated Unadjusted Claims Expenses (A21 -A19)]], AN_TME_PY[[#All],[Insurance Category Code]],6, AN_TME_PY[[#All],[Advanced Network/Insurance Carrier Org ID]],Q334),2)</f>
        <v>1</v>
      </c>
      <c r="AD334" s="534" t="b">
        <f>ROUND(SUMIFS(AN_TME_PY[[#All],[TOTAL Truncated Unadjusted Claims Expenses (A21 -A19)]], AN_TME_PY[[#All],[Insurance Category Code]],6, AN_TME_PY[[#All],[Advanced Network/Insurance Carrier Org ID]],Q334)+SUMIFS(AN_TME_PY[[#All],[Total Claims Excluded because of Truncation]], AN_TME_PY[[#All],[Insurance Category Code]],6, AN_TME_PY[[#All],[Advanced Network/Insurance Carrier Org ID]],Q334),2)=ROUND(SUMIFS(AN_TME_PY[[#All],[TOTAL Non-Truncated Unadjusted Claims Expenses]], AN_TME_PY[[#All],[Insurance Category Code]],6, AN_TME_PY[[#All],[Advanced Network/Insurance Carrier Org ID]],Q334),2)</f>
        <v>1</v>
      </c>
      <c r="AF334" s="283" t="str">
        <f t="shared" si="44"/>
        <v>NA</v>
      </c>
    </row>
    <row r="335" spans="2:32" outlineLevel="1" x14ac:dyDescent="0.25">
      <c r="B335" s="216">
        <v>115</v>
      </c>
      <c r="C335" s="404">
        <f>ROUND(SUMIFS(Age_Sex_BY[[#All],[Total Member Months by Age/Sex Band]], Age_Sex_BY[[#All],[Advanced Network ID]], $B335, Age_Sex_BY[[#All],[Insurance Category Code]],6),2)</f>
        <v>0</v>
      </c>
      <c r="D335" s="238">
        <f>ROUND(SUMIFS(Age_Sex_BY[[#All],[Total Dollars Excluded from Spending After Applying Truncation at the Member Level]], Age_Sex_BY[[#All],[Advanced Network ID]], $B335, Age_Sex_BY[[#All],[Insurance Category Code]],6),2)</f>
        <v>0</v>
      </c>
      <c r="E335" s="209">
        <f>ROUND(SUMIFS(Age_Sex_BY[[#All],[Count of Members whose Spending was Truncated]], Age_Sex_BY[[#All],[Advanced Network ID]], $B335, Age_Sex_BY[[#All],[Insurance Category Code]],6),2)</f>
        <v>0</v>
      </c>
      <c r="F335" s="210">
        <f>ROUND(SUMIFS(Age_Sex_BY[[#All],[Total Spending before Truncation is Applied]], Age_Sex_BY[[#All],[Advanced Network ID]], $B335, Age_Sex_BY[[#All],[Insurance Category Code]],6),2)</f>
        <v>0</v>
      </c>
      <c r="G335" s="212">
        <f>ROUND(SUMIFS(Age_Sex_BY[[#All],[Total Spending After Applying Truncation at the Member Level]], Age_Sex_BY[[#All],[Advanced Network ID]], $B335, Age_Sex_BY[[#All],[Insurance Category Code]],6),2)</f>
        <v>0</v>
      </c>
      <c r="H335" s="525" t="str">
        <f>IF(ROUND(C335,0)=ROUND(SUMIFS(AN_TME_BY[[#All],[Member Months]], AN_TME_BY[[#All],[Insurance Category Code]],6, AN_TME_BY[[#All],[Advanced Network/Insurance Carrier Org ID]],B335),0), "TRUE", ROUND(C335-SUMIFS(AN_TME_BY[[#All],[Member Months]], AN_TME_BY[[#All],[Insurance Category Code]],6, AN_TME_BY[[#All],[Advanced Network/Insurance Carrier Org ID]],B335),2))</f>
        <v>TRUE</v>
      </c>
      <c r="I335" s="533" t="str">
        <f>IF(ROUND(D335,0)=ROUND(SUMIFS(AN_TME_BY[[#All],[Total Claims Excluded because of Truncation]], AN_TME_BY[[#All],[Insurance Category Code]],6, AN_TME_BY[[#All],[Advanced Network/Insurance Carrier Org ID]],B335),0), "TRUE", ROUND(D335-SUMIFS(AN_TME_BY[[#All],[Total Claims Excluded because of Truncation]], AN_TME_BY[[#All],[Insurance Category Code]],6, AN_TME_BY[[#All],[Advanced Network/Insurance Carrier Org ID]],B335),2))</f>
        <v>TRUE</v>
      </c>
      <c r="J335" s="537" t="str">
        <f>IF(ROUND(E335,0)=ROUND(SUMIFS(AN_TME_BY[[#All],[Count of Members with Claims Truncated]], AN_TME_BY[[#All],[Insurance Category Code]],6, AN_TME_BY[[#All],[Advanced Network/Insurance Carrier Org ID]],B335),0), "TRUE", ROUND(E335-SUMIFS(AN_TME_BY[[#All],[Count of Members with Claims Truncated]], AN_TME_BY[[#All],[Insurance Category Code]],6, AN_TME_BY[[#All],[Advanced Network/Insurance Carrier Org ID]],B335),2))</f>
        <v>TRUE</v>
      </c>
      <c r="K335" s="533" t="str">
        <f>IF(ROUND(F335,0)=ROUND(SUMIFS(AN_TME_BY[[#All],[TOTAL Non-Truncated Unadjusted Claims Expenses]], AN_TME_BY[[#All],[Insurance Category Code]],6, AN_TME_BY[[#All],[Advanced Network/Insurance Carrier Org ID]],B335),0), "TRUE", ROUND(F335-SUMIFS(AN_TME_BY[[#All],[TOTAL Non-Truncated Unadjusted Claims Expenses]], AN_TME_BY[[#All],[Insurance Category Code]],6, AN_TME_BY[[#All],[Advanced Network/Insurance Carrier Org ID]],B335),2))</f>
        <v>TRUE</v>
      </c>
      <c r="L335" s="534" t="str">
        <f>IF(ROUND(G335,0)=ROUND(SUMIFS(AN_TME_BY[[#All],[TOTAL Truncated Unadjusted Claims Expenses (A21 -A19)]], AN_TME_BY[[#All],[Insurance Category Code]],6, AN_TME_BY[[#All],[Advanced Network/Insurance Carrier Org ID]],B335),0), "TRUE", ROUND(G335-SUMIFS(AN_TME_BY[[#All],[TOTAL Truncated Unadjusted Claims Expenses (A21 -A19)]], AN_TME_BY[[#All],[Insurance Category Code]],6, AN_TME_BY[[#All],[Advanced Network/Insurance Carrier Org ID]],B335),2))</f>
        <v>TRUE</v>
      </c>
      <c r="M335" s="525" t="str">
        <f t="shared" si="42"/>
        <v>TRUE</v>
      </c>
      <c r="N335" s="533" t="b">
        <f>ROUND(SUMIFS(AN_TME_BY[[#All],[TOTAL Non-Truncated Unadjusted Claims Expenses]], AN_TME_BY[[#All],[Insurance Category Code]],6, AN_TME_BY[[#All],[Advanced Network/Insurance Carrier Org ID]],B335),2)&gt;=ROUND(SUMIFS(AN_TME_BY[[#All],[TOTAL Truncated Unadjusted Claims Expenses (A21 -A19)]], AN_TME_BY[[#All],[Insurance Category Code]],6, AN_TME_BY[[#All],[Advanced Network/Insurance Carrier Org ID]],B335),2)</f>
        <v>1</v>
      </c>
      <c r="O335" s="534" t="b">
        <f>ROUND(SUMIFS(AN_TME_BY[[#All],[TOTAL Truncated Unadjusted Claims Expenses (A21 -A19)]], AN_TME_BY[[#All],[Insurance Category Code]],6, AN_TME_BY[[#All],[Advanced Network/Insurance Carrier Org ID]],B335)+SUMIFS(AN_TME_BY[[#All],[Total Claims Excluded because of Truncation]], AN_TME_BY[[#All],[Insurance Category Code]],6, AN_TME_BY[[#All],[Advanced Network/Insurance Carrier Org ID]],B335),2)=ROUND(SUMIFS(AN_TME_BY[[#All],[TOTAL Non-Truncated Unadjusted Claims Expenses]], AN_TME_BY[[#All],[Insurance Category Code]],6, AN_TME_BY[[#All],[Advanced Network/Insurance Carrier Org ID]],B335),2)</f>
        <v>1</v>
      </c>
      <c r="Q335" s="216">
        <v>115</v>
      </c>
      <c r="R335" s="404">
        <f>ROUND(SUMIFS(Age_Sex_PY[[#All],[Total Member Months by Age/Sex Band]], Age_Sex_PY[[#All],[Advanced Network ID]], $Q335, Age_Sex_PY[[#All],[Insurance Category Code]],6),2)</f>
        <v>0</v>
      </c>
      <c r="S335" s="238">
        <f>ROUND(SUMIFS(Age_Sex_PY[[#All],[Total Dollars Excluded from Spending After Applying Truncation at the Member Level]], Age_Sex_PY[[#All],[Advanced Network ID]], $B335, Age_Sex_PY[[#All],[Insurance Category Code]],6),2)</f>
        <v>0</v>
      </c>
      <c r="T335" s="209">
        <f>ROUND(SUMIFS(Age_Sex_PY[[#All],[Count of Members whose Spending was Truncated]], Age_Sex_PY[[#All],[Advanced Network ID]], $B335, Age_Sex_PY[[#All],[Insurance Category Code]],6),2)</f>
        <v>0</v>
      </c>
      <c r="U335" s="210">
        <f>ROUND(SUMIFS(Age_Sex_PY[[#All],[Total Spending before Truncation is Applied]], Age_Sex_PY[[#All],[Advanced Network ID]], $B335, Age_Sex_PY[[#All],[Insurance Category Code]],6),2)</f>
        <v>0</v>
      </c>
      <c r="V335" s="212">
        <f>ROUND(SUMIFS(Age_Sex_PY[[#All],[Total Spending After Applying Truncation at the Member Level]], Age_Sex_PY[[#All],[Advanced Network ID]], $B335, Age_Sex_PY[[#All],[Insurance Category Code]],6),2)</f>
        <v>0</v>
      </c>
      <c r="W335" s="525" t="str">
        <f>IF(ROUND(R335,0)=ROUND(SUMIFS(AN_TME_PY[[#All],[Member Months]], AN_TME_PY[[#All],[Insurance Category Code]],6, AN_TME_PY[[#All],[Advanced Network/Insurance Carrier Org ID]],Q335),0), "TRUE", ROUND(R335-SUMIFS(AN_TME_PY[[#All],[Member Months]], AN_TME_PY[[#All],[Insurance Category Code]],6, AN_TME_PY[[#All],[Advanced Network/Insurance Carrier Org ID]],Q335),2))</f>
        <v>TRUE</v>
      </c>
      <c r="X335" s="533" t="str">
        <f>IF(ROUND(S335,0)=ROUND(SUMIFS(AN_TME_PY[[#All],[Total Claims Excluded because of Truncation]], AN_TME_PY[[#All],[Insurance Category Code]],6, AN_TME_PY[[#All],[Advanced Network/Insurance Carrier Org ID]],Q335),0), "TRUE", ROUND(S335-SUMIFS(AN_TME_PY[[#All],[Total Claims Excluded because of Truncation]], AN_TME_PY[[#All],[Insurance Category Code]],6, AN_TME_PY[[#All],[Advanced Network/Insurance Carrier Org ID]],Q335),2))</f>
        <v>TRUE</v>
      </c>
      <c r="Y335" s="537" t="str">
        <f>IF(ROUND(T335,0)=ROUND(SUMIFS(AN_TME_PY[[#All],[Count of Members with Claims Truncated]], AN_TME_PY[[#All],[Insurance Category Code]],6, AN_TME_PY[[#All],[Advanced Network/Insurance Carrier Org ID]],Q335),0), "TRUE", ROUND(T335-SUMIFS(AN_TME_PY[[#All],[Count of Members with Claims Truncated]], AN_TME_PY[[#All],[Insurance Category Code]],6, AN_TME_PY[[#All],[Advanced Network/Insurance Carrier Org ID]],Q335),2))</f>
        <v>TRUE</v>
      </c>
      <c r="Z335" s="533" t="str">
        <f>IF(ROUND(U335,0)=ROUND(SUMIFS(AN_TME_PY[[#All],[TOTAL Non-Truncated Unadjusted Claims Expenses]], AN_TME_PY[[#All],[Insurance Category Code]],6, AN_TME_PY[[#All],[Advanced Network/Insurance Carrier Org ID]],Q335),0), "TRUE", ROUND(U335-SUMIFS(AN_TME_PY[[#All],[TOTAL Non-Truncated Unadjusted Claims Expenses]], AN_TME_PY[[#All],[Insurance Category Code]],6, AN_TME_PY[[#All],[Advanced Network/Insurance Carrier Org ID]],Q335),2))</f>
        <v>TRUE</v>
      </c>
      <c r="AA335" s="534" t="str">
        <f>IF(ROUND(V335,0)=ROUND(SUMIFS(AN_TME_PY[[#All],[TOTAL Truncated Unadjusted Claims Expenses (A21 -A19)]], AN_TME_PY[[#All],[Insurance Category Code]],6, AN_TME_PY[[#All],[Advanced Network/Insurance Carrier Org ID]],Q335),0), "TRUE", ROUND(V335-SUMIFS(AN_TME_PY[[#All],[TOTAL Truncated Unadjusted Claims Expenses (A21 -A19)]], AN_TME_PY[[#All],[Insurance Category Code]],6, AN_TME_PY[[#All],[Advanced Network/Insurance Carrier Org ID]],Q335),2))</f>
        <v>TRUE</v>
      </c>
      <c r="AB335" s="525" t="str">
        <f t="shared" si="45"/>
        <v>TRUE</v>
      </c>
      <c r="AC335" s="533" t="b">
        <f>ROUND(SUMIFS(AN_TME_PY[[#All],[TOTAL Non-Truncated Unadjusted Claims Expenses]], AN_TME_PY[[#All],[Insurance Category Code]],6, AN_TME_PY[[#All],[Advanced Network/Insurance Carrier Org ID]],Q335),2)&gt;=ROUND(SUMIFS(AN_TME_PY[[#All],[TOTAL Truncated Unadjusted Claims Expenses (A21 -A19)]], AN_TME_PY[[#All],[Insurance Category Code]],6, AN_TME_PY[[#All],[Advanced Network/Insurance Carrier Org ID]],Q335),2)</f>
        <v>1</v>
      </c>
      <c r="AD335" s="534" t="b">
        <f>ROUND(SUMIFS(AN_TME_PY[[#All],[TOTAL Truncated Unadjusted Claims Expenses (A21 -A19)]], AN_TME_PY[[#All],[Insurance Category Code]],6, AN_TME_PY[[#All],[Advanced Network/Insurance Carrier Org ID]],Q335)+SUMIFS(AN_TME_PY[[#All],[Total Claims Excluded because of Truncation]], AN_TME_PY[[#All],[Insurance Category Code]],6, AN_TME_PY[[#All],[Advanced Network/Insurance Carrier Org ID]],Q335),2)=ROUND(SUMIFS(AN_TME_PY[[#All],[TOTAL Non-Truncated Unadjusted Claims Expenses]], AN_TME_PY[[#All],[Insurance Category Code]],6, AN_TME_PY[[#All],[Advanced Network/Insurance Carrier Org ID]],Q335),2)</f>
        <v>1</v>
      </c>
      <c r="AF335" s="283" t="str">
        <f t="shared" si="44"/>
        <v>NA</v>
      </c>
    </row>
    <row r="336" spans="2:32" outlineLevel="1" x14ac:dyDescent="0.25">
      <c r="B336" s="216">
        <v>116</v>
      </c>
      <c r="C336" s="404">
        <f>ROUND(SUMIFS(Age_Sex_BY[[#All],[Total Member Months by Age/Sex Band]], Age_Sex_BY[[#All],[Advanced Network ID]], $B336, Age_Sex_BY[[#All],[Insurance Category Code]],6),2)</f>
        <v>0</v>
      </c>
      <c r="D336" s="238">
        <f>ROUND(SUMIFS(Age_Sex_BY[[#All],[Total Dollars Excluded from Spending After Applying Truncation at the Member Level]], Age_Sex_BY[[#All],[Advanced Network ID]], $B336, Age_Sex_BY[[#All],[Insurance Category Code]],6),2)</f>
        <v>0</v>
      </c>
      <c r="E336" s="209">
        <f>ROUND(SUMIFS(Age_Sex_BY[[#All],[Count of Members whose Spending was Truncated]], Age_Sex_BY[[#All],[Advanced Network ID]], $B336, Age_Sex_BY[[#All],[Insurance Category Code]],6),2)</f>
        <v>0</v>
      </c>
      <c r="F336" s="210">
        <f>ROUND(SUMIFS(Age_Sex_BY[[#All],[Total Spending before Truncation is Applied]], Age_Sex_BY[[#All],[Advanced Network ID]], $B336, Age_Sex_BY[[#All],[Insurance Category Code]],6),2)</f>
        <v>0</v>
      </c>
      <c r="G336" s="212">
        <f>ROUND(SUMIFS(Age_Sex_BY[[#All],[Total Spending After Applying Truncation at the Member Level]], Age_Sex_BY[[#All],[Advanced Network ID]], $B336, Age_Sex_BY[[#All],[Insurance Category Code]],6),2)</f>
        <v>0</v>
      </c>
      <c r="H336" s="525" t="str">
        <f>IF(ROUND(C336,0)=ROUND(SUMIFS(AN_TME_BY[[#All],[Member Months]], AN_TME_BY[[#All],[Insurance Category Code]],6, AN_TME_BY[[#All],[Advanced Network/Insurance Carrier Org ID]],B336),0), "TRUE", ROUND(C336-SUMIFS(AN_TME_BY[[#All],[Member Months]], AN_TME_BY[[#All],[Insurance Category Code]],6, AN_TME_BY[[#All],[Advanced Network/Insurance Carrier Org ID]],B336),2))</f>
        <v>TRUE</v>
      </c>
      <c r="I336" s="533" t="str">
        <f>IF(ROUND(D336,0)=ROUND(SUMIFS(AN_TME_BY[[#All],[Total Claims Excluded because of Truncation]], AN_TME_BY[[#All],[Insurance Category Code]],6, AN_TME_BY[[#All],[Advanced Network/Insurance Carrier Org ID]],B336),0), "TRUE", ROUND(D336-SUMIFS(AN_TME_BY[[#All],[Total Claims Excluded because of Truncation]], AN_TME_BY[[#All],[Insurance Category Code]],6, AN_TME_BY[[#All],[Advanced Network/Insurance Carrier Org ID]],B336),2))</f>
        <v>TRUE</v>
      </c>
      <c r="J336" s="537" t="str">
        <f>IF(ROUND(E336,0)=ROUND(SUMIFS(AN_TME_BY[[#All],[Count of Members with Claims Truncated]], AN_TME_BY[[#All],[Insurance Category Code]],6, AN_TME_BY[[#All],[Advanced Network/Insurance Carrier Org ID]],B336),0), "TRUE", ROUND(E336-SUMIFS(AN_TME_BY[[#All],[Count of Members with Claims Truncated]], AN_TME_BY[[#All],[Insurance Category Code]],6, AN_TME_BY[[#All],[Advanced Network/Insurance Carrier Org ID]],B336),2))</f>
        <v>TRUE</v>
      </c>
      <c r="K336" s="533" t="str">
        <f>IF(ROUND(F336,0)=ROUND(SUMIFS(AN_TME_BY[[#All],[TOTAL Non-Truncated Unadjusted Claims Expenses]], AN_TME_BY[[#All],[Insurance Category Code]],6, AN_TME_BY[[#All],[Advanced Network/Insurance Carrier Org ID]],B336),0), "TRUE", ROUND(F336-SUMIFS(AN_TME_BY[[#All],[TOTAL Non-Truncated Unadjusted Claims Expenses]], AN_TME_BY[[#All],[Insurance Category Code]],6, AN_TME_BY[[#All],[Advanced Network/Insurance Carrier Org ID]],B336),2))</f>
        <v>TRUE</v>
      </c>
      <c r="L336" s="534" t="str">
        <f>IF(ROUND(G336,0)=ROUND(SUMIFS(AN_TME_BY[[#All],[TOTAL Truncated Unadjusted Claims Expenses (A21 -A19)]], AN_TME_BY[[#All],[Insurance Category Code]],6, AN_TME_BY[[#All],[Advanced Network/Insurance Carrier Org ID]],B336),0), "TRUE", ROUND(G336-SUMIFS(AN_TME_BY[[#All],[TOTAL Truncated Unadjusted Claims Expenses (A21 -A19)]], AN_TME_BY[[#All],[Insurance Category Code]],6, AN_TME_BY[[#All],[Advanced Network/Insurance Carrier Org ID]],B336),2))</f>
        <v>TRUE</v>
      </c>
      <c r="M336" s="525" t="str">
        <f t="shared" si="42"/>
        <v>TRUE</v>
      </c>
      <c r="N336" s="533" t="b">
        <f>ROUND(SUMIFS(AN_TME_BY[[#All],[TOTAL Non-Truncated Unadjusted Claims Expenses]], AN_TME_BY[[#All],[Insurance Category Code]],6, AN_TME_BY[[#All],[Advanced Network/Insurance Carrier Org ID]],B336),2)&gt;=ROUND(SUMIFS(AN_TME_BY[[#All],[TOTAL Truncated Unadjusted Claims Expenses (A21 -A19)]], AN_TME_BY[[#All],[Insurance Category Code]],6, AN_TME_BY[[#All],[Advanced Network/Insurance Carrier Org ID]],B336),2)</f>
        <v>1</v>
      </c>
      <c r="O336" s="534" t="b">
        <f>ROUND(SUMIFS(AN_TME_BY[[#All],[TOTAL Truncated Unadjusted Claims Expenses (A21 -A19)]], AN_TME_BY[[#All],[Insurance Category Code]],6, AN_TME_BY[[#All],[Advanced Network/Insurance Carrier Org ID]],B336)+SUMIFS(AN_TME_BY[[#All],[Total Claims Excluded because of Truncation]], AN_TME_BY[[#All],[Insurance Category Code]],6, AN_TME_BY[[#All],[Advanced Network/Insurance Carrier Org ID]],B336),2)=ROUND(SUMIFS(AN_TME_BY[[#All],[TOTAL Non-Truncated Unadjusted Claims Expenses]], AN_TME_BY[[#All],[Insurance Category Code]],6, AN_TME_BY[[#All],[Advanced Network/Insurance Carrier Org ID]],B336),2)</f>
        <v>1</v>
      </c>
      <c r="Q336" s="216">
        <v>116</v>
      </c>
      <c r="R336" s="404">
        <f>ROUND(SUMIFS(Age_Sex_PY[[#All],[Total Member Months by Age/Sex Band]], Age_Sex_PY[[#All],[Advanced Network ID]], $Q336, Age_Sex_PY[[#All],[Insurance Category Code]],6),2)</f>
        <v>0</v>
      </c>
      <c r="S336" s="238">
        <f>ROUND(SUMIFS(Age_Sex_PY[[#All],[Total Dollars Excluded from Spending After Applying Truncation at the Member Level]], Age_Sex_PY[[#All],[Advanced Network ID]], $B336, Age_Sex_PY[[#All],[Insurance Category Code]],6),2)</f>
        <v>0</v>
      </c>
      <c r="T336" s="209">
        <f>ROUND(SUMIFS(Age_Sex_PY[[#All],[Count of Members whose Spending was Truncated]], Age_Sex_PY[[#All],[Advanced Network ID]], $B336, Age_Sex_PY[[#All],[Insurance Category Code]],6),2)</f>
        <v>0</v>
      </c>
      <c r="U336" s="210">
        <f>ROUND(SUMIFS(Age_Sex_PY[[#All],[Total Spending before Truncation is Applied]], Age_Sex_PY[[#All],[Advanced Network ID]], $B336, Age_Sex_PY[[#All],[Insurance Category Code]],6),2)</f>
        <v>0</v>
      </c>
      <c r="V336" s="212">
        <f>ROUND(SUMIFS(Age_Sex_PY[[#All],[Total Spending After Applying Truncation at the Member Level]], Age_Sex_PY[[#All],[Advanced Network ID]], $B336, Age_Sex_PY[[#All],[Insurance Category Code]],6),2)</f>
        <v>0</v>
      </c>
      <c r="W336" s="525" t="str">
        <f>IF(ROUND(R336,0)=ROUND(SUMIFS(AN_TME_PY[[#All],[Member Months]], AN_TME_PY[[#All],[Insurance Category Code]],6, AN_TME_PY[[#All],[Advanced Network/Insurance Carrier Org ID]],Q336),0), "TRUE", ROUND(R336-SUMIFS(AN_TME_PY[[#All],[Member Months]], AN_TME_PY[[#All],[Insurance Category Code]],6, AN_TME_PY[[#All],[Advanced Network/Insurance Carrier Org ID]],Q336),2))</f>
        <v>TRUE</v>
      </c>
      <c r="X336" s="533" t="str">
        <f>IF(ROUND(S336,0)=ROUND(SUMIFS(AN_TME_PY[[#All],[Total Claims Excluded because of Truncation]], AN_TME_PY[[#All],[Insurance Category Code]],6, AN_TME_PY[[#All],[Advanced Network/Insurance Carrier Org ID]],Q336),0), "TRUE", ROUND(S336-SUMIFS(AN_TME_PY[[#All],[Total Claims Excluded because of Truncation]], AN_TME_PY[[#All],[Insurance Category Code]],6, AN_TME_PY[[#All],[Advanced Network/Insurance Carrier Org ID]],Q336),2))</f>
        <v>TRUE</v>
      </c>
      <c r="Y336" s="537" t="str">
        <f>IF(ROUND(T336,0)=ROUND(SUMIFS(AN_TME_PY[[#All],[Count of Members with Claims Truncated]], AN_TME_PY[[#All],[Insurance Category Code]],6, AN_TME_PY[[#All],[Advanced Network/Insurance Carrier Org ID]],Q336),0), "TRUE", ROUND(T336-SUMIFS(AN_TME_PY[[#All],[Count of Members with Claims Truncated]], AN_TME_PY[[#All],[Insurance Category Code]],6, AN_TME_PY[[#All],[Advanced Network/Insurance Carrier Org ID]],Q336),2))</f>
        <v>TRUE</v>
      </c>
      <c r="Z336" s="533" t="str">
        <f>IF(ROUND(U336,0)=ROUND(SUMIFS(AN_TME_PY[[#All],[TOTAL Non-Truncated Unadjusted Claims Expenses]], AN_TME_PY[[#All],[Insurance Category Code]],6, AN_TME_PY[[#All],[Advanced Network/Insurance Carrier Org ID]],Q336),0), "TRUE", ROUND(U336-SUMIFS(AN_TME_PY[[#All],[TOTAL Non-Truncated Unadjusted Claims Expenses]], AN_TME_PY[[#All],[Insurance Category Code]],6, AN_TME_PY[[#All],[Advanced Network/Insurance Carrier Org ID]],Q336),2))</f>
        <v>TRUE</v>
      </c>
      <c r="AA336" s="534" t="str">
        <f>IF(ROUND(V336,0)=ROUND(SUMIFS(AN_TME_PY[[#All],[TOTAL Truncated Unadjusted Claims Expenses (A21 -A19)]], AN_TME_PY[[#All],[Insurance Category Code]],6, AN_TME_PY[[#All],[Advanced Network/Insurance Carrier Org ID]],Q336),0), "TRUE", ROUND(V336-SUMIFS(AN_TME_PY[[#All],[TOTAL Truncated Unadjusted Claims Expenses (A21 -A19)]], AN_TME_PY[[#All],[Insurance Category Code]],6, AN_TME_PY[[#All],[Advanced Network/Insurance Carrier Org ID]],Q336),2))</f>
        <v>TRUE</v>
      </c>
      <c r="AB336" s="525" t="str">
        <f t="shared" si="45"/>
        <v>TRUE</v>
      </c>
      <c r="AC336" s="533" t="b">
        <f>ROUND(SUMIFS(AN_TME_PY[[#All],[TOTAL Non-Truncated Unadjusted Claims Expenses]], AN_TME_PY[[#All],[Insurance Category Code]],6, AN_TME_PY[[#All],[Advanced Network/Insurance Carrier Org ID]],Q336),2)&gt;=ROUND(SUMIFS(AN_TME_PY[[#All],[TOTAL Truncated Unadjusted Claims Expenses (A21 -A19)]], AN_TME_PY[[#All],[Insurance Category Code]],6, AN_TME_PY[[#All],[Advanced Network/Insurance Carrier Org ID]],Q336),2)</f>
        <v>1</v>
      </c>
      <c r="AD336" s="534" t="b">
        <f>ROUND(SUMIFS(AN_TME_PY[[#All],[TOTAL Truncated Unadjusted Claims Expenses (A21 -A19)]], AN_TME_PY[[#All],[Insurance Category Code]],6, AN_TME_PY[[#All],[Advanced Network/Insurance Carrier Org ID]],Q336)+SUMIFS(AN_TME_PY[[#All],[Total Claims Excluded because of Truncation]], AN_TME_PY[[#All],[Insurance Category Code]],6, AN_TME_PY[[#All],[Advanced Network/Insurance Carrier Org ID]],Q336),2)=ROUND(SUMIFS(AN_TME_PY[[#All],[TOTAL Non-Truncated Unadjusted Claims Expenses]], AN_TME_PY[[#All],[Insurance Category Code]],6, AN_TME_PY[[#All],[Advanced Network/Insurance Carrier Org ID]],Q336),2)</f>
        <v>1</v>
      </c>
      <c r="AF336" s="283" t="str">
        <f t="shared" si="44"/>
        <v>NA</v>
      </c>
    </row>
    <row r="337" spans="2:32" outlineLevel="1" x14ac:dyDescent="0.25">
      <c r="B337" s="216">
        <v>117</v>
      </c>
      <c r="C337" s="404">
        <f>ROUND(SUMIFS(Age_Sex_BY[[#All],[Total Member Months by Age/Sex Band]], Age_Sex_BY[[#All],[Advanced Network ID]], $B337, Age_Sex_BY[[#All],[Insurance Category Code]],6),2)</f>
        <v>0</v>
      </c>
      <c r="D337" s="238">
        <f>ROUND(SUMIFS(Age_Sex_BY[[#All],[Total Dollars Excluded from Spending After Applying Truncation at the Member Level]], Age_Sex_BY[[#All],[Advanced Network ID]], $B337, Age_Sex_BY[[#All],[Insurance Category Code]],6),2)</f>
        <v>0</v>
      </c>
      <c r="E337" s="209">
        <f>ROUND(SUMIFS(Age_Sex_BY[[#All],[Count of Members whose Spending was Truncated]], Age_Sex_BY[[#All],[Advanced Network ID]], $B337, Age_Sex_BY[[#All],[Insurance Category Code]],6),2)</f>
        <v>0</v>
      </c>
      <c r="F337" s="210">
        <f>ROUND(SUMIFS(Age_Sex_BY[[#All],[Total Spending before Truncation is Applied]], Age_Sex_BY[[#All],[Advanced Network ID]], $B337, Age_Sex_BY[[#All],[Insurance Category Code]],6),2)</f>
        <v>0</v>
      </c>
      <c r="G337" s="212">
        <f>ROUND(SUMIFS(Age_Sex_BY[[#All],[Total Spending After Applying Truncation at the Member Level]], Age_Sex_BY[[#All],[Advanced Network ID]], $B337, Age_Sex_BY[[#All],[Insurance Category Code]],6),2)</f>
        <v>0</v>
      </c>
      <c r="H337" s="525" t="str">
        <f>IF(ROUND(C337,0)=ROUND(SUMIFS(AN_TME_BY[[#All],[Member Months]], AN_TME_BY[[#All],[Insurance Category Code]],6, AN_TME_BY[[#All],[Advanced Network/Insurance Carrier Org ID]],B337),0), "TRUE", ROUND(C337-SUMIFS(AN_TME_BY[[#All],[Member Months]], AN_TME_BY[[#All],[Insurance Category Code]],6, AN_TME_BY[[#All],[Advanced Network/Insurance Carrier Org ID]],B337),2))</f>
        <v>TRUE</v>
      </c>
      <c r="I337" s="533" t="str">
        <f>IF(ROUND(D337,0)=ROUND(SUMIFS(AN_TME_BY[[#All],[Total Claims Excluded because of Truncation]], AN_TME_BY[[#All],[Insurance Category Code]],6, AN_TME_BY[[#All],[Advanced Network/Insurance Carrier Org ID]],B337),0), "TRUE", ROUND(D337-SUMIFS(AN_TME_BY[[#All],[Total Claims Excluded because of Truncation]], AN_TME_BY[[#All],[Insurance Category Code]],6, AN_TME_BY[[#All],[Advanced Network/Insurance Carrier Org ID]],B337),2))</f>
        <v>TRUE</v>
      </c>
      <c r="J337" s="537" t="str">
        <f>IF(ROUND(E337,0)=ROUND(SUMIFS(AN_TME_BY[[#All],[Count of Members with Claims Truncated]], AN_TME_BY[[#All],[Insurance Category Code]],6, AN_TME_BY[[#All],[Advanced Network/Insurance Carrier Org ID]],B337),0), "TRUE", ROUND(E337-SUMIFS(AN_TME_BY[[#All],[Count of Members with Claims Truncated]], AN_TME_BY[[#All],[Insurance Category Code]],6, AN_TME_BY[[#All],[Advanced Network/Insurance Carrier Org ID]],B337),2))</f>
        <v>TRUE</v>
      </c>
      <c r="K337" s="533" t="str">
        <f>IF(ROUND(F337,0)=ROUND(SUMIFS(AN_TME_BY[[#All],[TOTAL Non-Truncated Unadjusted Claims Expenses]], AN_TME_BY[[#All],[Insurance Category Code]],6, AN_TME_BY[[#All],[Advanced Network/Insurance Carrier Org ID]],B337),0), "TRUE", ROUND(F337-SUMIFS(AN_TME_BY[[#All],[TOTAL Non-Truncated Unadjusted Claims Expenses]], AN_TME_BY[[#All],[Insurance Category Code]],6, AN_TME_BY[[#All],[Advanced Network/Insurance Carrier Org ID]],B337),2))</f>
        <v>TRUE</v>
      </c>
      <c r="L337" s="534" t="str">
        <f>IF(ROUND(G337,0)=ROUND(SUMIFS(AN_TME_BY[[#All],[TOTAL Truncated Unadjusted Claims Expenses (A21 -A19)]], AN_TME_BY[[#All],[Insurance Category Code]],6, AN_TME_BY[[#All],[Advanced Network/Insurance Carrier Org ID]],B337),0), "TRUE", ROUND(G337-SUMIFS(AN_TME_BY[[#All],[TOTAL Truncated Unadjusted Claims Expenses (A21 -A19)]], AN_TME_BY[[#All],[Insurance Category Code]],6, AN_TME_BY[[#All],[Advanced Network/Insurance Carrier Org ID]],B337),2))</f>
        <v>TRUE</v>
      </c>
      <c r="M337" s="525" t="str">
        <f t="shared" si="42"/>
        <v>TRUE</v>
      </c>
      <c r="N337" s="533" t="b">
        <f>ROUND(SUMIFS(AN_TME_BY[[#All],[TOTAL Non-Truncated Unadjusted Claims Expenses]], AN_TME_BY[[#All],[Insurance Category Code]],6, AN_TME_BY[[#All],[Advanced Network/Insurance Carrier Org ID]],B337),2)&gt;=ROUND(SUMIFS(AN_TME_BY[[#All],[TOTAL Truncated Unadjusted Claims Expenses (A21 -A19)]], AN_TME_BY[[#All],[Insurance Category Code]],6, AN_TME_BY[[#All],[Advanced Network/Insurance Carrier Org ID]],B337),2)</f>
        <v>1</v>
      </c>
      <c r="O337" s="534" t="b">
        <f>ROUND(SUMIFS(AN_TME_BY[[#All],[TOTAL Truncated Unadjusted Claims Expenses (A21 -A19)]], AN_TME_BY[[#All],[Insurance Category Code]],6, AN_TME_BY[[#All],[Advanced Network/Insurance Carrier Org ID]],B337)+SUMIFS(AN_TME_BY[[#All],[Total Claims Excluded because of Truncation]], AN_TME_BY[[#All],[Insurance Category Code]],6, AN_TME_BY[[#All],[Advanced Network/Insurance Carrier Org ID]],B337),2)=ROUND(SUMIFS(AN_TME_BY[[#All],[TOTAL Non-Truncated Unadjusted Claims Expenses]], AN_TME_BY[[#All],[Insurance Category Code]],6, AN_TME_BY[[#All],[Advanced Network/Insurance Carrier Org ID]],B337),2)</f>
        <v>1</v>
      </c>
      <c r="Q337" s="216">
        <v>117</v>
      </c>
      <c r="R337" s="404">
        <f>ROUND(SUMIFS(Age_Sex_PY[[#All],[Total Member Months by Age/Sex Band]], Age_Sex_PY[[#All],[Advanced Network ID]], $Q337, Age_Sex_PY[[#All],[Insurance Category Code]],6),2)</f>
        <v>0</v>
      </c>
      <c r="S337" s="238">
        <f>ROUND(SUMIFS(Age_Sex_PY[[#All],[Total Dollars Excluded from Spending After Applying Truncation at the Member Level]], Age_Sex_PY[[#All],[Advanced Network ID]], $B337, Age_Sex_PY[[#All],[Insurance Category Code]],6),2)</f>
        <v>0</v>
      </c>
      <c r="T337" s="209">
        <f>ROUND(SUMIFS(Age_Sex_PY[[#All],[Count of Members whose Spending was Truncated]], Age_Sex_PY[[#All],[Advanced Network ID]], $B337, Age_Sex_PY[[#All],[Insurance Category Code]],6),2)</f>
        <v>0</v>
      </c>
      <c r="U337" s="210">
        <f>ROUND(SUMIFS(Age_Sex_PY[[#All],[Total Spending before Truncation is Applied]], Age_Sex_PY[[#All],[Advanced Network ID]], $B337, Age_Sex_PY[[#All],[Insurance Category Code]],6),2)</f>
        <v>0</v>
      </c>
      <c r="V337" s="212">
        <f>ROUND(SUMIFS(Age_Sex_PY[[#All],[Total Spending After Applying Truncation at the Member Level]], Age_Sex_PY[[#All],[Advanced Network ID]], $B337, Age_Sex_PY[[#All],[Insurance Category Code]],6),2)</f>
        <v>0</v>
      </c>
      <c r="W337" s="525" t="str">
        <f>IF(ROUND(R337,0)=ROUND(SUMIFS(AN_TME_PY[[#All],[Member Months]], AN_TME_PY[[#All],[Insurance Category Code]],6, AN_TME_PY[[#All],[Advanced Network/Insurance Carrier Org ID]],Q337),0), "TRUE", ROUND(R337-SUMIFS(AN_TME_PY[[#All],[Member Months]], AN_TME_PY[[#All],[Insurance Category Code]],6, AN_TME_PY[[#All],[Advanced Network/Insurance Carrier Org ID]],Q337),2))</f>
        <v>TRUE</v>
      </c>
      <c r="X337" s="533" t="str">
        <f>IF(ROUND(S337,0)=ROUND(SUMIFS(AN_TME_PY[[#All],[Total Claims Excluded because of Truncation]], AN_TME_PY[[#All],[Insurance Category Code]],6, AN_TME_PY[[#All],[Advanced Network/Insurance Carrier Org ID]],Q337),0), "TRUE", ROUND(S337-SUMIFS(AN_TME_PY[[#All],[Total Claims Excluded because of Truncation]], AN_TME_PY[[#All],[Insurance Category Code]],6, AN_TME_PY[[#All],[Advanced Network/Insurance Carrier Org ID]],Q337),2))</f>
        <v>TRUE</v>
      </c>
      <c r="Y337" s="537" t="str">
        <f>IF(ROUND(T337,0)=ROUND(SUMIFS(AN_TME_PY[[#All],[Count of Members with Claims Truncated]], AN_TME_PY[[#All],[Insurance Category Code]],6, AN_TME_PY[[#All],[Advanced Network/Insurance Carrier Org ID]],Q337),0), "TRUE", ROUND(T337-SUMIFS(AN_TME_PY[[#All],[Count of Members with Claims Truncated]], AN_TME_PY[[#All],[Insurance Category Code]],6, AN_TME_PY[[#All],[Advanced Network/Insurance Carrier Org ID]],Q337),2))</f>
        <v>TRUE</v>
      </c>
      <c r="Z337" s="533" t="str">
        <f>IF(ROUND(U337,0)=ROUND(SUMIFS(AN_TME_PY[[#All],[TOTAL Non-Truncated Unadjusted Claims Expenses]], AN_TME_PY[[#All],[Insurance Category Code]],6, AN_TME_PY[[#All],[Advanced Network/Insurance Carrier Org ID]],Q337),0), "TRUE", ROUND(U337-SUMIFS(AN_TME_PY[[#All],[TOTAL Non-Truncated Unadjusted Claims Expenses]], AN_TME_PY[[#All],[Insurance Category Code]],6, AN_TME_PY[[#All],[Advanced Network/Insurance Carrier Org ID]],Q337),2))</f>
        <v>TRUE</v>
      </c>
      <c r="AA337" s="534" t="str">
        <f>IF(ROUND(V337,0)=ROUND(SUMIFS(AN_TME_PY[[#All],[TOTAL Truncated Unadjusted Claims Expenses (A21 -A19)]], AN_TME_PY[[#All],[Insurance Category Code]],6, AN_TME_PY[[#All],[Advanced Network/Insurance Carrier Org ID]],Q337),0), "TRUE", ROUND(V337-SUMIFS(AN_TME_PY[[#All],[TOTAL Truncated Unadjusted Claims Expenses (A21 -A19)]], AN_TME_PY[[#All],[Insurance Category Code]],6, AN_TME_PY[[#All],[Advanced Network/Insurance Carrier Org ID]],Q337),2))</f>
        <v>TRUE</v>
      </c>
      <c r="AB337" s="525" t="str">
        <f t="shared" si="45"/>
        <v>TRUE</v>
      </c>
      <c r="AC337" s="533" t="b">
        <f>ROUND(SUMIFS(AN_TME_PY[[#All],[TOTAL Non-Truncated Unadjusted Claims Expenses]], AN_TME_PY[[#All],[Insurance Category Code]],6, AN_TME_PY[[#All],[Advanced Network/Insurance Carrier Org ID]],Q337),2)&gt;=ROUND(SUMIFS(AN_TME_PY[[#All],[TOTAL Truncated Unadjusted Claims Expenses (A21 -A19)]], AN_TME_PY[[#All],[Insurance Category Code]],6, AN_TME_PY[[#All],[Advanced Network/Insurance Carrier Org ID]],Q337),2)</f>
        <v>1</v>
      </c>
      <c r="AD337" s="534" t="b">
        <f>ROUND(SUMIFS(AN_TME_PY[[#All],[TOTAL Truncated Unadjusted Claims Expenses (A21 -A19)]], AN_TME_PY[[#All],[Insurance Category Code]],6, AN_TME_PY[[#All],[Advanced Network/Insurance Carrier Org ID]],Q337)+SUMIFS(AN_TME_PY[[#All],[Total Claims Excluded because of Truncation]], AN_TME_PY[[#All],[Insurance Category Code]],6, AN_TME_PY[[#All],[Advanced Network/Insurance Carrier Org ID]],Q337),2)=ROUND(SUMIFS(AN_TME_PY[[#All],[TOTAL Non-Truncated Unadjusted Claims Expenses]], AN_TME_PY[[#All],[Insurance Category Code]],6, AN_TME_PY[[#All],[Advanced Network/Insurance Carrier Org ID]],Q337),2)</f>
        <v>1</v>
      </c>
      <c r="AF337" s="283" t="str">
        <f t="shared" si="44"/>
        <v>NA</v>
      </c>
    </row>
    <row r="338" spans="2:32" outlineLevel="1" x14ac:dyDescent="0.25">
      <c r="B338" s="216">
        <v>118</v>
      </c>
      <c r="C338" s="404">
        <f>ROUND(SUMIFS(Age_Sex_BY[[#All],[Total Member Months by Age/Sex Band]], Age_Sex_BY[[#All],[Advanced Network ID]], $B338, Age_Sex_BY[[#All],[Insurance Category Code]],6),2)</f>
        <v>0</v>
      </c>
      <c r="D338" s="238">
        <f>ROUND(SUMIFS(Age_Sex_BY[[#All],[Total Dollars Excluded from Spending After Applying Truncation at the Member Level]], Age_Sex_BY[[#All],[Advanced Network ID]], $B338, Age_Sex_BY[[#All],[Insurance Category Code]],6),2)</f>
        <v>0</v>
      </c>
      <c r="E338" s="209">
        <f>ROUND(SUMIFS(Age_Sex_BY[[#All],[Count of Members whose Spending was Truncated]], Age_Sex_BY[[#All],[Advanced Network ID]], $B338, Age_Sex_BY[[#All],[Insurance Category Code]],6),2)</f>
        <v>0</v>
      </c>
      <c r="F338" s="210">
        <f>ROUND(SUMIFS(Age_Sex_BY[[#All],[Total Spending before Truncation is Applied]], Age_Sex_BY[[#All],[Advanced Network ID]], $B338, Age_Sex_BY[[#All],[Insurance Category Code]],6),2)</f>
        <v>0</v>
      </c>
      <c r="G338" s="212">
        <f>ROUND(SUMIFS(Age_Sex_BY[[#All],[Total Spending After Applying Truncation at the Member Level]], Age_Sex_BY[[#All],[Advanced Network ID]], $B338, Age_Sex_BY[[#All],[Insurance Category Code]],6),2)</f>
        <v>0</v>
      </c>
      <c r="H338" s="525" t="str">
        <f>IF(ROUND(C338,0)=ROUND(SUMIFS(AN_TME_BY[[#All],[Member Months]], AN_TME_BY[[#All],[Insurance Category Code]],6, AN_TME_BY[[#All],[Advanced Network/Insurance Carrier Org ID]],B338),0), "TRUE", ROUND(C338-SUMIFS(AN_TME_BY[[#All],[Member Months]], AN_TME_BY[[#All],[Insurance Category Code]],6, AN_TME_BY[[#All],[Advanced Network/Insurance Carrier Org ID]],B338),2))</f>
        <v>TRUE</v>
      </c>
      <c r="I338" s="533" t="str">
        <f>IF(ROUND(D338,0)=ROUND(SUMIFS(AN_TME_BY[[#All],[Total Claims Excluded because of Truncation]], AN_TME_BY[[#All],[Insurance Category Code]],6, AN_TME_BY[[#All],[Advanced Network/Insurance Carrier Org ID]],B338),0), "TRUE", ROUND(D338-SUMIFS(AN_TME_BY[[#All],[Total Claims Excluded because of Truncation]], AN_TME_BY[[#All],[Insurance Category Code]],6, AN_TME_BY[[#All],[Advanced Network/Insurance Carrier Org ID]],B338),2))</f>
        <v>TRUE</v>
      </c>
      <c r="J338" s="537" t="str">
        <f>IF(ROUND(E338,0)=ROUND(SUMIFS(AN_TME_BY[[#All],[Count of Members with Claims Truncated]], AN_TME_BY[[#All],[Insurance Category Code]],6, AN_TME_BY[[#All],[Advanced Network/Insurance Carrier Org ID]],B338),0), "TRUE", ROUND(E338-SUMIFS(AN_TME_BY[[#All],[Count of Members with Claims Truncated]], AN_TME_BY[[#All],[Insurance Category Code]],6, AN_TME_BY[[#All],[Advanced Network/Insurance Carrier Org ID]],B338),2))</f>
        <v>TRUE</v>
      </c>
      <c r="K338" s="533" t="str">
        <f>IF(ROUND(F338,0)=ROUND(SUMIFS(AN_TME_BY[[#All],[TOTAL Non-Truncated Unadjusted Claims Expenses]], AN_TME_BY[[#All],[Insurance Category Code]],6, AN_TME_BY[[#All],[Advanced Network/Insurance Carrier Org ID]],B338),0), "TRUE", ROUND(F338-SUMIFS(AN_TME_BY[[#All],[TOTAL Non-Truncated Unadjusted Claims Expenses]], AN_TME_BY[[#All],[Insurance Category Code]],6, AN_TME_BY[[#All],[Advanced Network/Insurance Carrier Org ID]],B338),2))</f>
        <v>TRUE</v>
      </c>
      <c r="L338" s="534" t="str">
        <f>IF(ROUND(G338,0)=ROUND(SUMIFS(AN_TME_BY[[#All],[TOTAL Truncated Unadjusted Claims Expenses (A21 -A19)]], AN_TME_BY[[#All],[Insurance Category Code]],6, AN_TME_BY[[#All],[Advanced Network/Insurance Carrier Org ID]],B338),0), "TRUE", ROUND(G338-SUMIFS(AN_TME_BY[[#All],[TOTAL Truncated Unadjusted Claims Expenses (A21 -A19)]], AN_TME_BY[[#All],[Insurance Category Code]],6, AN_TME_BY[[#All],[Advanced Network/Insurance Carrier Org ID]],B338),2))</f>
        <v>TRUE</v>
      </c>
      <c r="M338" s="525" t="str">
        <f t="shared" si="42"/>
        <v>TRUE</v>
      </c>
      <c r="N338" s="533" t="b">
        <f>ROUND(SUMIFS(AN_TME_BY[[#All],[TOTAL Non-Truncated Unadjusted Claims Expenses]], AN_TME_BY[[#All],[Insurance Category Code]],6, AN_TME_BY[[#All],[Advanced Network/Insurance Carrier Org ID]],B338),2)&gt;=ROUND(SUMIFS(AN_TME_BY[[#All],[TOTAL Truncated Unadjusted Claims Expenses (A21 -A19)]], AN_TME_BY[[#All],[Insurance Category Code]],6, AN_TME_BY[[#All],[Advanced Network/Insurance Carrier Org ID]],B338),2)</f>
        <v>1</v>
      </c>
      <c r="O338" s="534" t="b">
        <f>ROUND(SUMIFS(AN_TME_BY[[#All],[TOTAL Truncated Unadjusted Claims Expenses (A21 -A19)]], AN_TME_BY[[#All],[Insurance Category Code]],6, AN_TME_BY[[#All],[Advanced Network/Insurance Carrier Org ID]],B338)+SUMIFS(AN_TME_BY[[#All],[Total Claims Excluded because of Truncation]], AN_TME_BY[[#All],[Insurance Category Code]],6, AN_TME_BY[[#All],[Advanced Network/Insurance Carrier Org ID]],B338),2)=ROUND(SUMIFS(AN_TME_BY[[#All],[TOTAL Non-Truncated Unadjusted Claims Expenses]], AN_TME_BY[[#All],[Insurance Category Code]],6, AN_TME_BY[[#All],[Advanced Network/Insurance Carrier Org ID]],B338),2)</f>
        <v>1</v>
      </c>
      <c r="Q338" s="216">
        <v>118</v>
      </c>
      <c r="R338" s="404">
        <f>ROUND(SUMIFS(Age_Sex_PY[[#All],[Total Member Months by Age/Sex Band]], Age_Sex_PY[[#All],[Advanced Network ID]], $Q338, Age_Sex_PY[[#All],[Insurance Category Code]],6),2)</f>
        <v>0</v>
      </c>
      <c r="S338" s="238">
        <f>ROUND(SUMIFS(Age_Sex_PY[[#All],[Total Dollars Excluded from Spending After Applying Truncation at the Member Level]], Age_Sex_PY[[#All],[Advanced Network ID]], $B338, Age_Sex_PY[[#All],[Insurance Category Code]],6),2)</f>
        <v>0</v>
      </c>
      <c r="T338" s="209">
        <f>ROUND(SUMIFS(Age_Sex_PY[[#All],[Count of Members whose Spending was Truncated]], Age_Sex_PY[[#All],[Advanced Network ID]], $B338, Age_Sex_PY[[#All],[Insurance Category Code]],6),2)</f>
        <v>0</v>
      </c>
      <c r="U338" s="210">
        <f>ROUND(SUMIFS(Age_Sex_PY[[#All],[Total Spending before Truncation is Applied]], Age_Sex_PY[[#All],[Advanced Network ID]], $B338, Age_Sex_PY[[#All],[Insurance Category Code]],6),2)</f>
        <v>0</v>
      </c>
      <c r="V338" s="212">
        <f>ROUND(SUMIFS(Age_Sex_PY[[#All],[Total Spending After Applying Truncation at the Member Level]], Age_Sex_PY[[#All],[Advanced Network ID]], $B338, Age_Sex_PY[[#All],[Insurance Category Code]],6),2)</f>
        <v>0</v>
      </c>
      <c r="W338" s="525" t="str">
        <f>IF(ROUND(R338,0)=ROUND(SUMIFS(AN_TME_PY[[#All],[Member Months]], AN_TME_PY[[#All],[Insurance Category Code]],6, AN_TME_PY[[#All],[Advanced Network/Insurance Carrier Org ID]],Q338),0), "TRUE", ROUND(R338-SUMIFS(AN_TME_PY[[#All],[Member Months]], AN_TME_PY[[#All],[Insurance Category Code]],6, AN_TME_PY[[#All],[Advanced Network/Insurance Carrier Org ID]],Q338),2))</f>
        <v>TRUE</v>
      </c>
      <c r="X338" s="533" t="str">
        <f>IF(ROUND(S338,0)=ROUND(SUMIFS(AN_TME_PY[[#All],[Total Claims Excluded because of Truncation]], AN_TME_PY[[#All],[Insurance Category Code]],6, AN_TME_PY[[#All],[Advanced Network/Insurance Carrier Org ID]],Q338),0), "TRUE", ROUND(S338-SUMIFS(AN_TME_PY[[#All],[Total Claims Excluded because of Truncation]], AN_TME_PY[[#All],[Insurance Category Code]],6, AN_TME_PY[[#All],[Advanced Network/Insurance Carrier Org ID]],Q338),2))</f>
        <v>TRUE</v>
      </c>
      <c r="Y338" s="537" t="str">
        <f>IF(ROUND(T338,0)=ROUND(SUMIFS(AN_TME_PY[[#All],[Count of Members with Claims Truncated]], AN_TME_PY[[#All],[Insurance Category Code]],6, AN_TME_PY[[#All],[Advanced Network/Insurance Carrier Org ID]],Q338),0), "TRUE", ROUND(T338-SUMIFS(AN_TME_PY[[#All],[Count of Members with Claims Truncated]], AN_TME_PY[[#All],[Insurance Category Code]],6, AN_TME_PY[[#All],[Advanced Network/Insurance Carrier Org ID]],Q338),2))</f>
        <v>TRUE</v>
      </c>
      <c r="Z338" s="533" t="str">
        <f>IF(ROUND(U338,0)=ROUND(SUMIFS(AN_TME_PY[[#All],[TOTAL Non-Truncated Unadjusted Claims Expenses]], AN_TME_PY[[#All],[Insurance Category Code]],6, AN_TME_PY[[#All],[Advanced Network/Insurance Carrier Org ID]],Q338),0), "TRUE", ROUND(U338-SUMIFS(AN_TME_PY[[#All],[TOTAL Non-Truncated Unadjusted Claims Expenses]], AN_TME_PY[[#All],[Insurance Category Code]],6, AN_TME_PY[[#All],[Advanced Network/Insurance Carrier Org ID]],Q338),2))</f>
        <v>TRUE</v>
      </c>
      <c r="AA338" s="534" t="str">
        <f>IF(ROUND(V338,0)=ROUND(SUMIFS(AN_TME_PY[[#All],[TOTAL Truncated Unadjusted Claims Expenses (A21 -A19)]], AN_TME_PY[[#All],[Insurance Category Code]],6, AN_TME_PY[[#All],[Advanced Network/Insurance Carrier Org ID]],Q338),0), "TRUE", ROUND(V338-SUMIFS(AN_TME_PY[[#All],[TOTAL Truncated Unadjusted Claims Expenses (A21 -A19)]], AN_TME_PY[[#All],[Insurance Category Code]],6, AN_TME_PY[[#All],[Advanced Network/Insurance Carrier Org ID]],Q338),2))</f>
        <v>TRUE</v>
      </c>
      <c r="AB338" s="525" t="str">
        <f t="shared" si="45"/>
        <v>TRUE</v>
      </c>
      <c r="AC338" s="533" t="b">
        <f>ROUND(SUMIFS(AN_TME_PY[[#All],[TOTAL Non-Truncated Unadjusted Claims Expenses]], AN_TME_PY[[#All],[Insurance Category Code]],6, AN_TME_PY[[#All],[Advanced Network/Insurance Carrier Org ID]],Q338),2)&gt;=ROUND(SUMIFS(AN_TME_PY[[#All],[TOTAL Truncated Unadjusted Claims Expenses (A21 -A19)]], AN_TME_PY[[#All],[Insurance Category Code]],6, AN_TME_PY[[#All],[Advanced Network/Insurance Carrier Org ID]],Q338),2)</f>
        <v>1</v>
      </c>
      <c r="AD338" s="534" t="b">
        <f>ROUND(SUMIFS(AN_TME_PY[[#All],[TOTAL Truncated Unadjusted Claims Expenses (A21 -A19)]], AN_TME_PY[[#All],[Insurance Category Code]],6, AN_TME_PY[[#All],[Advanced Network/Insurance Carrier Org ID]],Q338)+SUMIFS(AN_TME_PY[[#All],[Total Claims Excluded because of Truncation]], AN_TME_PY[[#All],[Insurance Category Code]],6, AN_TME_PY[[#All],[Advanced Network/Insurance Carrier Org ID]],Q338),2)=ROUND(SUMIFS(AN_TME_PY[[#All],[TOTAL Non-Truncated Unadjusted Claims Expenses]], AN_TME_PY[[#All],[Insurance Category Code]],6, AN_TME_PY[[#All],[Advanced Network/Insurance Carrier Org ID]],Q338),2)</f>
        <v>1</v>
      </c>
      <c r="AF338" s="283" t="str">
        <f t="shared" si="44"/>
        <v>NA</v>
      </c>
    </row>
    <row r="339" spans="2:32" outlineLevel="1" x14ac:dyDescent="0.25">
      <c r="B339" s="216">
        <v>119</v>
      </c>
      <c r="C339" s="404">
        <f>ROUND(SUMIFS(Age_Sex_BY[[#All],[Total Member Months by Age/Sex Band]], Age_Sex_BY[[#All],[Advanced Network ID]], $B339, Age_Sex_BY[[#All],[Insurance Category Code]],6),2)</f>
        <v>0</v>
      </c>
      <c r="D339" s="238">
        <f>ROUND(SUMIFS(Age_Sex_BY[[#All],[Total Dollars Excluded from Spending After Applying Truncation at the Member Level]], Age_Sex_BY[[#All],[Advanced Network ID]], $B339, Age_Sex_BY[[#All],[Insurance Category Code]],6),2)</f>
        <v>0</v>
      </c>
      <c r="E339" s="209">
        <f>ROUND(SUMIFS(Age_Sex_BY[[#All],[Count of Members whose Spending was Truncated]], Age_Sex_BY[[#All],[Advanced Network ID]], $B339, Age_Sex_BY[[#All],[Insurance Category Code]],6),2)</f>
        <v>0</v>
      </c>
      <c r="F339" s="210">
        <f>ROUND(SUMIFS(Age_Sex_BY[[#All],[Total Spending before Truncation is Applied]], Age_Sex_BY[[#All],[Advanced Network ID]], $B339, Age_Sex_BY[[#All],[Insurance Category Code]],6),2)</f>
        <v>0</v>
      </c>
      <c r="G339" s="212">
        <f>ROUND(SUMIFS(Age_Sex_BY[[#All],[Total Spending After Applying Truncation at the Member Level]], Age_Sex_BY[[#All],[Advanced Network ID]], $B339, Age_Sex_BY[[#All],[Insurance Category Code]],6),2)</f>
        <v>0</v>
      </c>
      <c r="H339" s="525" t="str">
        <f>IF(ROUND(C339,0)=ROUND(SUMIFS(AN_TME_BY[[#All],[Member Months]], AN_TME_BY[[#All],[Insurance Category Code]],6, AN_TME_BY[[#All],[Advanced Network/Insurance Carrier Org ID]],B339),0), "TRUE", ROUND(C339-SUMIFS(AN_TME_BY[[#All],[Member Months]], AN_TME_BY[[#All],[Insurance Category Code]],6, AN_TME_BY[[#All],[Advanced Network/Insurance Carrier Org ID]],B339),2))</f>
        <v>TRUE</v>
      </c>
      <c r="I339" s="533" t="str">
        <f>IF(ROUND(D339,0)=ROUND(SUMIFS(AN_TME_BY[[#All],[Total Claims Excluded because of Truncation]], AN_TME_BY[[#All],[Insurance Category Code]],6, AN_TME_BY[[#All],[Advanced Network/Insurance Carrier Org ID]],B339),0), "TRUE", ROUND(D339-SUMIFS(AN_TME_BY[[#All],[Total Claims Excluded because of Truncation]], AN_TME_BY[[#All],[Insurance Category Code]],6, AN_TME_BY[[#All],[Advanced Network/Insurance Carrier Org ID]],B339),2))</f>
        <v>TRUE</v>
      </c>
      <c r="J339" s="537" t="str">
        <f>IF(ROUND(E339,0)=ROUND(SUMIFS(AN_TME_BY[[#All],[Count of Members with Claims Truncated]], AN_TME_BY[[#All],[Insurance Category Code]],6, AN_TME_BY[[#All],[Advanced Network/Insurance Carrier Org ID]],B339),0), "TRUE", ROUND(E339-SUMIFS(AN_TME_BY[[#All],[Count of Members with Claims Truncated]], AN_TME_BY[[#All],[Insurance Category Code]],6, AN_TME_BY[[#All],[Advanced Network/Insurance Carrier Org ID]],B339),2))</f>
        <v>TRUE</v>
      </c>
      <c r="K339" s="533" t="str">
        <f>IF(ROUND(F339,0)=ROUND(SUMIFS(AN_TME_BY[[#All],[TOTAL Non-Truncated Unadjusted Claims Expenses]], AN_TME_BY[[#All],[Insurance Category Code]],6, AN_TME_BY[[#All],[Advanced Network/Insurance Carrier Org ID]],B339),0), "TRUE", ROUND(F339-SUMIFS(AN_TME_BY[[#All],[TOTAL Non-Truncated Unadjusted Claims Expenses]], AN_TME_BY[[#All],[Insurance Category Code]],6, AN_TME_BY[[#All],[Advanced Network/Insurance Carrier Org ID]],B339),2))</f>
        <v>TRUE</v>
      </c>
      <c r="L339" s="534" t="str">
        <f>IF(ROUND(G339,0)=ROUND(SUMIFS(AN_TME_BY[[#All],[TOTAL Truncated Unadjusted Claims Expenses (A21 -A19)]], AN_TME_BY[[#All],[Insurance Category Code]],6, AN_TME_BY[[#All],[Advanced Network/Insurance Carrier Org ID]],B339),0), "TRUE", ROUND(G339-SUMIFS(AN_TME_BY[[#All],[TOTAL Truncated Unadjusted Claims Expenses (A21 -A19)]], AN_TME_BY[[#All],[Insurance Category Code]],6, AN_TME_BY[[#All],[Advanced Network/Insurance Carrier Org ID]],B339),2))</f>
        <v>TRUE</v>
      </c>
      <c r="M339" s="525" t="str">
        <f t="shared" si="42"/>
        <v>TRUE</v>
      </c>
      <c r="N339" s="533" t="b">
        <f>ROUND(SUMIFS(AN_TME_BY[[#All],[TOTAL Non-Truncated Unadjusted Claims Expenses]], AN_TME_BY[[#All],[Insurance Category Code]],6, AN_TME_BY[[#All],[Advanced Network/Insurance Carrier Org ID]],B339),2)&gt;=ROUND(SUMIFS(AN_TME_BY[[#All],[TOTAL Truncated Unadjusted Claims Expenses (A21 -A19)]], AN_TME_BY[[#All],[Insurance Category Code]],6, AN_TME_BY[[#All],[Advanced Network/Insurance Carrier Org ID]],B339),2)</f>
        <v>1</v>
      </c>
      <c r="O339" s="534" t="b">
        <f>ROUND(SUMIFS(AN_TME_BY[[#All],[TOTAL Truncated Unadjusted Claims Expenses (A21 -A19)]], AN_TME_BY[[#All],[Insurance Category Code]],6, AN_TME_BY[[#All],[Advanced Network/Insurance Carrier Org ID]],B339)+SUMIFS(AN_TME_BY[[#All],[Total Claims Excluded because of Truncation]], AN_TME_BY[[#All],[Insurance Category Code]],6, AN_TME_BY[[#All],[Advanced Network/Insurance Carrier Org ID]],B339),2)=ROUND(SUMIFS(AN_TME_BY[[#All],[TOTAL Non-Truncated Unadjusted Claims Expenses]], AN_TME_BY[[#All],[Insurance Category Code]],6, AN_TME_BY[[#All],[Advanced Network/Insurance Carrier Org ID]],B339),2)</f>
        <v>1</v>
      </c>
      <c r="Q339" s="216">
        <v>119</v>
      </c>
      <c r="R339" s="404">
        <f>ROUND(SUMIFS(Age_Sex_PY[[#All],[Total Member Months by Age/Sex Band]], Age_Sex_PY[[#All],[Advanced Network ID]], $Q339, Age_Sex_PY[[#All],[Insurance Category Code]],6),2)</f>
        <v>0</v>
      </c>
      <c r="S339" s="238">
        <f>ROUND(SUMIFS(Age_Sex_PY[[#All],[Total Dollars Excluded from Spending After Applying Truncation at the Member Level]], Age_Sex_PY[[#All],[Advanced Network ID]], $B339, Age_Sex_PY[[#All],[Insurance Category Code]],6),2)</f>
        <v>0</v>
      </c>
      <c r="T339" s="209">
        <f>ROUND(SUMIFS(Age_Sex_PY[[#All],[Count of Members whose Spending was Truncated]], Age_Sex_PY[[#All],[Advanced Network ID]], $B339, Age_Sex_PY[[#All],[Insurance Category Code]],6),2)</f>
        <v>0</v>
      </c>
      <c r="U339" s="210">
        <f>ROUND(SUMIFS(Age_Sex_PY[[#All],[Total Spending before Truncation is Applied]], Age_Sex_PY[[#All],[Advanced Network ID]], $B339, Age_Sex_PY[[#All],[Insurance Category Code]],6),2)</f>
        <v>0</v>
      </c>
      <c r="V339" s="212">
        <f>ROUND(SUMIFS(Age_Sex_PY[[#All],[Total Spending After Applying Truncation at the Member Level]], Age_Sex_PY[[#All],[Advanced Network ID]], $B339, Age_Sex_PY[[#All],[Insurance Category Code]],6),2)</f>
        <v>0</v>
      </c>
      <c r="W339" s="525" t="str">
        <f>IF(ROUND(R339,0)=ROUND(SUMIFS(AN_TME_PY[[#All],[Member Months]], AN_TME_PY[[#All],[Insurance Category Code]],6, AN_TME_PY[[#All],[Advanced Network/Insurance Carrier Org ID]],Q339),0), "TRUE", ROUND(R339-SUMIFS(AN_TME_PY[[#All],[Member Months]], AN_TME_PY[[#All],[Insurance Category Code]],6, AN_TME_PY[[#All],[Advanced Network/Insurance Carrier Org ID]],Q339),2))</f>
        <v>TRUE</v>
      </c>
      <c r="X339" s="533" t="str">
        <f>IF(ROUND(S339,0)=ROUND(SUMIFS(AN_TME_PY[[#All],[Total Claims Excluded because of Truncation]], AN_TME_PY[[#All],[Insurance Category Code]],6, AN_TME_PY[[#All],[Advanced Network/Insurance Carrier Org ID]],Q339),0), "TRUE", ROUND(S339-SUMIFS(AN_TME_PY[[#All],[Total Claims Excluded because of Truncation]], AN_TME_PY[[#All],[Insurance Category Code]],6, AN_TME_PY[[#All],[Advanced Network/Insurance Carrier Org ID]],Q339),2))</f>
        <v>TRUE</v>
      </c>
      <c r="Y339" s="537" t="str">
        <f>IF(ROUND(T339,0)=ROUND(SUMIFS(AN_TME_PY[[#All],[Count of Members with Claims Truncated]], AN_TME_PY[[#All],[Insurance Category Code]],6, AN_TME_PY[[#All],[Advanced Network/Insurance Carrier Org ID]],Q339),0), "TRUE", ROUND(T339-SUMIFS(AN_TME_PY[[#All],[Count of Members with Claims Truncated]], AN_TME_PY[[#All],[Insurance Category Code]],6, AN_TME_PY[[#All],[Advanced Network/Insurance Carrier Org ID]],Q339),2))</f>
        <v>TRUE</v>
      </c>
      <c r="Z339" s="533" t="str">
        <f>IF(ROUND(U339,0)=ROUND(SUMIFS(AN_TME_PY[[#All],[TOTAL Non-Truncated Unadjusted Claims Expenses]], AN_TME_PY[[#All],[Insurance Category Code]],6, AN_TME_PY[[#All],[Advanced Network/Insurance Carrier Org ID]],Q339),0), "TRUE", ROUND(U339-SUMIFS(AN_TME_PY[[#All],[TOTAL Non-Truncated Unadjusted Claims Expenses]], AN_TME_PY[[#All],[Insurance Category Code]],6, AN_TME_PY[[#All],[Advanced Network/Insurance Carrier Org ID]],Q339),2))</f>
        <v>TRUE</v>
      </c>
      <c r="AA339" s="534" t="str">
        <f>IF(ROUND(V339,0)=ROUND(SUMIFS(AN_TME_PY[[#All],[TOTAL Truncated Unadjusted Claims Expenses (A21 -A19)]], AN_TME_PY[[#All],[Insurance Category Code]],6, AN_TME_PY[[#All],[Advanced Network/Insurance Carrier Org ID]],Q339),0), "TRUE", ROUND(V339-SUMIFS(AN_TME_PY[[#All],[TOTAL Truncated Unadjusted Claims Expenses (A21 -A19)]], AN_TME_PY[[#All],[Insurance Category Code]],6, AN_TME_PY[[#All],[Advanced Network/Insurance Carrier Org ID]],Q339),2))</f>
        <v>TRUE</v>
      </c>
      <c r="AB339" s="525" t="str">
        <f t="shared" si="45"/>
        <v>TRUE</v>
      </c>
      <c r="AC339" s="533" t="b">
        <f>ROUND(SUMIFS(AN_TME_PY[[#All],[TOTAL Non-Truncated Unadjusted Claims Expenses]], AN_TME_PY[[#All],[Insurance Category Code]],6, AN_TME_PY[[#All],[Advanced Network/Insurance Carrier Org ID]],Q339),2)&gt;=ROUND(SUMIFS(AN_TME_PY[[#All],[TOTAL Truncated Unadjusted Claims Expenses (A21 -A19)]], AN_TME_PY[[#All],[Insurance Category Code]],6, AN_TME_PY[[#All],[Advanced Network/Insurance Carrier Org ID]],Q339),2)</f>
        <v>1</v>
      </c>
      <c r="AD339" s="534" t="b">
        <f>ROUND(SUMIFS(AN_TME_PY[[#All],[TOTAL Truncated Unadjusted Claims Expenses (A21 -A19)]], AN_TME_PY[[#All],[Insurance Category Code]],6, AN_TME_PY[[#All],[Advanced Network/Insurance Carrier Org ID]],Q339)+SUMIFS(AN_TME_PY[[#All],[Total Claims Excluded because of Truncation]], AN_TME_PY[[#All],[Insurance Category Code]],6, AN_TME_PY[[#All],[Advanced Network/Insurance Carrier Org ID]],Q339),2)=ROUND(SUMIFS(AN_TME_PY[[#All],[TOTAL Non-Truncated Unadjusted Claims Expenses]], AN_TME_PY[[#All],[Insurance Category Code]],6, AN_TME_PY[[#All],[Advanced Network/Insurance Carrier Org ID]],Q339),2)</f>
        <v>1</v>
      </c>
      <c r="AF339" s="283" t="str">
        <f t="shared" si="44"/>
        <v>NA</v>
      </c>
    </row>
    <row r="340" spans="2:32" outlineLevel="1" x14ac:dyDescent="0.25">
      <c r="B340" s="216">
        <v>120</v>
      </c>
      <c r="C340" s="404">
        <f>ROUND(SUMIFS(Age_Sex_BY[[#All],[Total Member Months by Age/Sex Band]], Age_Sex_BY[[#All],[Advanced Network ID]], $B340, Age_Sex_BY[[#All],[Insurance Category Code]],6),2)</f>
        <v>0</v>
      </c>
      <c r="D340" s="238">
        <f>ROUND(SUMIFS(Age_Sex_BY[[#All],[Total Dollars Excluded from Spending After Applying Truncation at the Member Level]], Age_Sex_BY[[#All],[Advanced Network ID]], $B340, Age_Sex_BY[[#All],[Insurance Category Code]],6),2)</f>
        <v>0</v>
      </c>
      <c r="E340" s="209">
        <f>ROUND(SUMIFS(Age_Sex_BY[[#All],[Count of Members whose Spending was Truncated]], Age_Sex_BY[[#All],[Advanced Network ID]], $B340, Age_Sex_BY[[#All],[Insurance Category Code]],6),2)</f>
        <v>0</v>
      </c>
      <c r="F340" s="210">
        <f>ROUND(SUMIFS(Age_Sex_BY[[#All],[Total Spending before Truncation is Applied]], Age_Sex_BY[[#All],[Advanced Network ID]], $B340, Age_Sex_BY[[#All],[Insurance Category Code]],6),2)</f>
        <v>0</v>
      </c>
      <c r="G340" s="212">
        <f>ROUND(SUMIFS(Age_Sex_BY[[#All],[Total Spending After Applying Truncation at the Member Level]], Age_Sex_BY[[#All],[Advanced Network ID]], $B340, Age_Sex_BY[[#All],[Insurance Category Code]],6),2)</f>
        <v>0</v>
      </c>
      <c r="H340" s="525" t="str">
        <f>IF(ROUND(C340,0)=ROUND(SUMIFS(AN_TME_BY[[#All],[Member Months]], AN_TME_BY[[#All],[Insurance Category Code]],6, AN_TME_BY[[#All],[Advanced Network/Insurance Carrier Org ID]],B340),0), "TRUE", ROUND(C340-SUMIFS(AN_TME_BY[[#All],[Member Months]], AN_TME_BY[[#All],[Insurance Category Code]],6, AN_TME_BY[[#All],[Advanced Network/Insurance Carrier Org ID]],B340),2))</f>
        <v>TRUE</v>
      </c>
      <c r="I340" s="533" t="str">
        <f>IF(ROUND(D340,0)=ROUND(SUMIFS(AN_TME_BY[[#All],[Total Claims Excluded because of Truncation]], AN_TME_BY[[#All],[Insurance Category Code]],6, AN_TME_BY[[#All],[Advanced Network/Insurance Carrier Org ID]],B340),0), "TRUE", ROUND(D340-SUMIFS(AN_TME_BY[[#All],[Total Claims Excluded because of Truncation]], AN_TME_BY[[#All],[Insurance Category Code]],6, AN_TME_BY[[#All],[Advanced Network/Insurance Carrier Org ID]],B340),2))</f>
        <v>TRUE</v>
      </c>
      <c r="J340" s="537" t="str">
        <f>IF(ROUND(E340,0)=ROUND(SUMIFS(AN_TME_BY[[#All],[Count of Members with Claims Truncated]], AN_TME_BY[[#All],[Insurance Category Code]],6, AN_TME_BY[[#All],[Advanced Network/Insurance Carrier Org ID]],B340),0), "TRUE", ROUND(E340-SUMIFS(AN_TME_BY[[#All],[Count of Members with Claims Truncated]], AN_TME_BY[[#All],[Insurance Category Code]],6, AN_TME_BY[[#All],[Advanced Network/Insurance Carrier Org ID]],B340),2))</f>
        <v>TRUE</v>
      </c>
      <c r="K340" s="533" t="str">
        <f>IF(ROUND(F340,0)=ROUND(SUMIFS(AN_TME_BY[[#All],[TOTAL Non-Truncated Unadjusted Claims Expenses]], AN_TME_BY[[#All],[Insurance Category Code]],6, AN_TME_BY[[#All],[Advanced Network/Insurance Carrier Org ID]],B340),0), "TRUE", ROUND(F340-SUMIFS(AN_TME_BY[[#All],[TOTAL Non-Truncated Unadjusted Claims Expenses]], AN_TME_BY[[#All],[Insurance Category Code]],6, AN_TME_BY[[#All],[Advanced Network/Insurance Carrier Org ID]],B340),2))</f>
        <v>TRUE</v>
      </c>
      <c r="L340" s="534" t="str">
        <f>IF(ROUND(G340,0)=ROUND(SUMIFS(AN_TME_BY[[#All],[TOTAL Truncated Unadjusted Claims Expenses (A21 -A19)]], AN_TME_BY[[#All],[Insurance Category Code]],6, AN_TME_BY[[#All],[Advanced Network/Insurance Carrier Org ID]],B340),0), "TRUE", ROUND(G340-SUMIFS(AN_TME_BY[[#All],[TOTAL Truncated Unadjusted Claims Expenses (A21 -A19)]], AN_TME_BY[[#All],[Insurance Category Code]],6, AN_TME_BY[[#All],[Advanced Network/Insurance Carrier Org ID]],B340),2))</f>
        <v>TRUE</v>
      </c>
      <c r="M340" s="525" t="str">
        <f t="shared" si="42"/>
        <v>TRUE</v>
      </c>
      <c r="N340" s="533" t="b">
        <f>ROUND(SUMIFS(AN_TME_BY[[#All],[TOTAL Non-Truncated Unadjusted Claims Expenses]], AN_TME_BY[[#All],[Insurance Category Code]],6, AN_TME_BY[[#All],[Advanced Network/Insurance Carrier Org ID]],B340),2)&gt;=ROUND(SUMIFS(AN_TME_BY[[#All],[TOTAL Truncated Unadjusted Claims Expenses (A21 -A19)]], AN_TME_BY[[#All],[Insurance Category Code]],6, AN_TME_BY[[#All],[Advanced Network/Insurance Carrier Org ID]],B340),2)</f>
        <v>1</v>
      </c>
      <c r="O340" s="534" t="b">
        <f>ROUND(SUMIFS(AN_TME_BY[[#All],[TOTAL Truncated Unadjusted Claims Expenses (A21 -A19)]], AN_TME_BY[[#All],[Insurance Category Code]],6, AN_TME_BY[[#All],[Advanced Network/Insurance Carrier Org ID]],B340)+SUMIFS(AN_TME_BY[[#All],[Total Claims Excluded because of Truncation]], AN_TME_BY[[#All],[Insurance Category Code]],6, AN_TME_BY[[#All],[Advanced Network/Insurance Carrier Org ID]],B340),2)=ROUND(SUMIFS(AN_TME_BY[[#All],[TOTAL Non-Truncated Unadjusted Claims Expenses]], AN_TME_BY[[#All],[Insurance Category Code]],6, AN_TME_BY[[#All],[Advanced Network/Insurance Carrier Org ID]],B340),2)</f>
        <v>1</v>
      </c>
      <c r="Q340" s="216">
        <v>120</v>
      </c>
      <c r="R340" s="404">
        <f>ROUND(SUMIFS(Age_Sex_PY[[#All],[Total Member Months by Age/Sex Band]], Age_Sex_PY[[#All],[Advanced Network ID]], $Q340, Age_Sex_PY[[#All],[Insurance Category Code]],6),2)</f>
        <v>0</v>
      </c>
      <c r="S340" s="238">
        <f>ROUND(SUMIFS(Age_Sex_PY[[#All],[Total Dollars Excluded from Spending After Applying Truncation at the Member Level]], Age_Sex_PY[[#All],[Advanced Network ID]], $B340, Age_Sex_PY[[#All],[Insurance Category Code]],6),2)</f>
        <v>0</v>
      </c>
      <c r="T340" s="209">
        <f>ROUND(SUMIFS(Age_Sex_PY[[#All],[Count of Members whose Spending was Truncated]], Age_Sex_PY[[#All],[Advanced Network ID]], $B340, Age_Sex_PY[[#All],[Insurance Category Code]],6),2)</f>
        <v>0</v>
      </c>
      <c r="U340" s="210">
        <f>ROUND(SUMIFS(Age_Sex_PY[[#All],[Total Spending before Truncation is Applied]], Age_Sex_PY[[#All],[Advanced Network ID]], $B340, Age_Sex_PY[[#All],[Insurance Category Code]],6),2)</f>
        <v>0</v>
      </c>
      <c r="V340" s="212">
        <f>ROUND(SUMIFS(Age_Sex_PY[[#All],[Total Spending After Applying Truncation at the Member Level]], Age_Sex_PY[[#All],[Advanced Network ID]], $B340, Age_Sex_PY[[#All],[Insurance Category Code]],6),2)</f>
        <v>0</v>
      </c>
      <c r="W340" s="525" t="str">
        <f>IF(ROUND(R340,0)=ROUND(SUMIFS(AN_TME_PY[[#All],[Member Months]], AN_TME_PY[[#All],[Insurance Category Code]],6, AN_TME_PY[[#All],[Advanced Network/Insurance Carrier Org ID]],Q340),0), "TRUE", ROUND(R340-SUMIFS(AN_TME_PY[[#All],[Member Months]], AN_TME_PY[[#All],[Insurance Category Code]],6, AN_TME_PY[[#All],[Advanced Network/Insurance Carrier Org ID]],Q340),2))</f>
        <v>TRUE</v>
      </c>
      <c r="X340" s="533" t="str">
        <f>IF(ROUND(S340,0)=ROUND(SUMIFS(AN_TME_PY[[#All],[Total Claims Excluded because of Truncation]], AN_TME_PY[[#All],[Insurance Category Code]],6, AN_TME_PY[[#All],[Advanced Network/Insurance Carrier Org ID]],Q340),0), "TRUE", ROUND(S340-SUMIFS(AN_TME_PY[[#All],[Total Claims Excluded because of Truncation]], AN_TME_PY[[#All],[Insurance Category Code]],6, AN_TME_PY[[#All],[Advanced Network/Insurance Carrier Org ID]],Q340),2))</f>
        <v>TRUE</v>
      </c>
      <c r="Y340" s="537" t="str">
        <f>IF(ROUND(T340,0)=ROUND(SUMIFS(AN_TME_PY[[#All],[Count of Members with Claims Truncated]], AN_TME_PY[[#All],[Insurance Category Code]],6, AN_TME_PY[[#All],[Advanced Network/Insurance Carrier Org ID]],Q340),0), "TRUE", ROUND(T340-SUMIFS(AN_TME_PY[[#All],[Count of Members with Claims Truncated]], AN_TME_PY[[#All],[Insurance Category Code]],6, AN_TME_PY[[#All],[Advanced Network/Insurance Carrier Org ID]],Q340),2))</f>
        <v>TRUE</v>
      </c>
      <c r="Z340" s="533" t="str">
        <f>IF(ROUND(U340,0)=ROUND(SUMIFS(AN_TME_PY[[#All],[TOTAL Non-Truncated Unadjusted Claims Expenses]], AN_TME_PY[[#All],[Insurance Category Code]],6, AN_TME_PY[[#All],[Advanced Network/Insurance Carrier Org ID]],Q340),0), "TRUE", ROUND(U340-SUMIFS(AN_TME_PY[[#All],[TOTAL Non-Truncated Unadjusted Claims Expenses]], AN_TME_PY[[#All],[Insurance Category Code]],6, AN_TME_PY[[#All],[Advanced Network/Insurance Carrier Org ID]],Q340),2))</f>
        <v>TRUE</v>
      </c>
      <c r="AA340" s="534" t="str">
        <f>IF(ROUND(V340,0)=ROUND(SUMIFS(AN_TME_PY[[#All],[TOTAL Truncated Unadjusted Claims Expenses (A21 -A19)]], AN_TME_PY[[#All],[Insurance Category Code]],6, AN_TME_PY[[#All],[Advanced Network/Insurance Carrier Org ID]],Q340),0), "TRUE", ROUND(V340-SUMIFS(AN_TME_PY[[#All],[TOTAL Truncated Unadjusted Claims Expenses (A21 -A19)]], AN_TME_PY[[#All],[Insurance Category Code]],6, AN_TME_PY[[#All],[Advanced Network/Insurance Carrier Org ID]],Q340),2))</f>
        <v>TRUE</v>
      </c>
      <c r="AB340" s="525" t="str">
        <f t="shared" si="45"/>
        <v>TRUE</v>
      </c>
      <c r="AC340" s="533" t="b">
        <f>ROUND(SUMIFS(AN_TME_PY[[#All],[TOTAL Non-Truncated Unadjusted Claims Expenses]], AN_TME_PY[[#All],[Insurance Category Code]],6, AN_TME_PY[[#All],[Advanced Network/Insurance Carrier Org ID]],Q340),2)&gt;=ROUND(SUMIFS(AN_TME_PY[[#All],[TOTAL Truncated Unadjusted Claims Expenses (A21 -A19)]], AN_TME_PY[[#All],[Insurance Category Code]],6, AN_TME_PY[[#All],[Advanced Network/Insurance Carrier Org ID]],Q340),2)</f>
        <v>1</v>
      </c>
      <c r="AD340" s="534" t="b">
        <f>ROUND(SUMIFS(AN_TME_PY[[#All],[TOTAL Truncated Unadjusted Claims Expenses (A21 -A19)]], AN_TME_PY[[#All],[Insurance Category Code]],6, AN_TME_PY[[#All],[Advanced Network/Insurance Carrier Org ID]],Q340)+SUMIFS(AN_TME_PY[[#All],[Total Claims Excluded because of Truncation]], AN_TME_PY[[#All],[Insurance Category Code]],6, AN_TME_PY[[#All],[Advanced Network/Insurance Carrier Org ID]],Q340),2)=ROUND(SUMIFS(AN_TME_PY[[#All],[TOTAL Non-Truncated Unadjusted Claims Expenses]], AN_TME_PY[[#All],[Insurance Category Code]],6, AN_TME_PY[[#All],[Advanced Network/Insurance Carrier Org ID]],Q340),2)</f>
        <v>1</v>
      </c>
      <c r="AF340" s="283" t="str">
        <f t="shared" si="44"/>
        <v>NA</v>
      </c>
    </row>
    <row r="341" spans="2:32" outlineLevel="1" x14ac:dyDescent="0.25">
      <c r="B341" s="216">
        <v>121</v>
      </c>
      <c r="C341" s="404">
        <f>ROUND(SUMIFS(Age_Sex_BY[[#All],[Total Member Months by Age/Sex Band]], Age_Sex_BY[[#All],[Advanced Network ID]], $B341, Age_Sex_BY[[#All],[Insurance Category Code]],6),2)</f>
        <v>0</v>
      </c>
      <c r="D341" s="238">
        <f>ROUND(SUMIFS(Age_Sex_BY[[#All],[Total Dollars Excluded from Spending After Applying Truncation at the Member Level]], Age_Sex_BY[[#All],[Advanced Network ID]], $B341, Age_Sex_BY[[#All],[Insurance Category Code]],6),2)</f>
        <v>0</v>
      </c>
      <c r="E341" s="209">
        <f>ROUND(SUMIFS(Age_Sex_BY[[#All],[Count of Members whose Spending was Truncated]], Age_Sex_BY[[#All],[Advanced Network ID]], $B341, Age_Sex_BY[[#All],[Insurance Category Code]],6),2)</f>
        <v>0</v>
      </c>
      <c r="F341" s="210">
        <f>ROUND(SUMIFS(Age_Sex_BY[[#All],[Total Spending before Truncation is Applied]], Age_Sex_BY[[#All],[Advanced Network ID]], $B341, Age_Sex_BY[[#All],[Insurance Category Code]],6),2)</f>
        <v>0</v>
      </c>
      <c r="G341" s="212">
        <f>ROUND(SUMIFS(Age_Sex_BY[[#All],[Total Spending After Applying Truncation at the Member Level]], Age_Sex_BY[[#All],[Advanced Network ID]], $B341, Age_Sex_BY[[#All],[Insurance Category Code]],6),2)</f>
        <v>0</v>
      </c>
      <c r="H341" s="525" t="str">
        <f>IF(ROUND(C341,0)=ROUND(SUMIFS(AN_TME_BY[[#All],[Member Months]], AN_TME_BY[[#All],[Insurance Category Code]],6, AN_TME_BY[[#All],[Advanced Network/Insurance Carrier Org ID]],B341),0), "TRUE", ROUND(C341-SUMIFS(AN_TME_BY[[#All],[Member Months]], AN_TME_BY[[#All],[Insurance Category Code]],6, AN_TME_BY[[#All],[Advanced Network/Insurance Carrier Org ID]],B341),2))</f>
        <v>TRUE</v>
      </c>
      <c r="I341" s="533" t="str">
        <f>IF(ROUND(D341,0)=ROUND(SUMIFS(AN_TME_BY[[#All],[Total Claims Excluded because of Truncation]], AN_TME_BY[[#All],[Insurance Category Code]],6, AN_TME_BY[[#All],[Advanced Network/Insurance Carrier Org ID]],B341),0), "TRUE", ROUND(D341-SUMIFS(AN_TME_BY[[#All],[Total Claims Excluded because of Truncation]], AN_TME_BY[[#All],[Insurance Category Code]],6, AN_TME_BY[[#All],[Advanced Network/Insurance Carrier Org ID]],B341),2))</f>
        <v>TRUE</v>
      </c>
      <c r="J341" s="537" t="str">
        <f>IF(ROUND(E341,0)=ROUND(SUMIFS(AN_TME_BY[[#All],[Count of Members with Claims Truncated]], AN_TME_BY[[#All],[Insurance Category Code]],6, AN_TME_BY[[#All],[Advanced Network/Insurance Carrier Org ID]],B341),0), "TRUE", ROUND(E341-SUMIFS(AN_TME_BY[[#All],[Count of Members with Claims Truncated]], AN_TME_BY[[#All],[Insurance Category Code]],6, AN_TME_BY[[#All],[Advanced Network/Insurance Carrier Org ID]],B341),2))</f>
        <v>TRUE</v>
      </c>
      <c r="K341" s="533" t="str">
        <f>IF(ROUND(F341,0)=ROUND(SUMIFS(AN_TME_BY[[#All],[TOTAL Non-Truncated Unadjusted Claims Expenses]], AN_TME_BY[[#All],[Insurance Category Code]],6, AN_TME_BY[[#All],[Advanced Network/Insurance Carrier Org ID]],B341),0), "TRUE", ROUND(F341-SUMIFS(AN_TME_BY[[#All],[TOTAL Non-Truncated Unadjusted Claims Expenses]], AN_TME_BY[[#All],[Insurance Category Code]],6, AN_TME_BY[[#All],[Advanced Network/Insurance Carrier Org ID]],B341),2))</f>
        <v>TRUE</v>
      </c>
      <c r="L341" s="534" t="str">
        <f>IF(ROUND(G341,0)=ROUND(SUMIFS(AN_TME_BY[[#All],[TOTAL Truncated Unadjusted Claims Expenses (A21 -A19)]], AN_TME_BY[[#All],[Insurance Category Code]],6, AN_TME_BY[[#All],[Advanced Network/Insurance Carrier Org ID]],B341),0), "TRUE", ROUND(G341-SUMIFS(AN_TME_BY[[#All],[TOTAL Truncated Unadjusted Claims Expenses (A21 -A19)]], AN_TME_BY[[#All],[Insurance Category Code]],6, AN_TME_BY[[#All],[Advanced Network/Insurance Carrier Org ID]],B341),2))</f>
        <v>TRUE</v>
      </c>
      <c r="M341" s="525" t="str">
        <f t="shared" si="42"/>
        <v>TRUE</v>
      </c>
      <c r="N341" s="533" t="b">
        <f>ROUND(SUMIFS(AN_TME_BY[[#All],[TOTAL Non-Truncated Unadjusted Claims Expenses]], AN_TME_BY[[#All],[Insurance Category Code]],6, AN_TME_BY[[#All],[Advanced Network/Insurance Carrier Org ID]],B341),2)&gt;=ROUND(SUMIFS(AN_TME_BY[[#All],[TOTAL Truncated Unadjusted Claims Expenses (A21 -A19)]], AN_TME_BY[[#All],[Insurance Category Code]],6, AN_TME_BY[[#All],[Advanced Network/Insurance Carrier Org ID]],B341),2)</f>
        <v>1</v>
      </c>
      <c r="O341" s="534" t="b">
        <f>ROUND(SUMIFS(AN_TME_BY[[#All],[TOTAL Truncated Unadjusted Claims Expenses (A21 -A19)]], AN_TME_BY[[#All],[Insurance Category Code]],6, AN_TME_BY[[#All],[Advanced Network/Insurance Carrier Org ID]],B341)+SUMIFS(AN_TME_BY[[#All],[Total Claims Excluded because of Truncation]], AN_TME_BY[[#All],[Insurance Category Code]],6, AN_TME_BY[[#All],[Advanced Network/Insurance Carrier Org ID]],B341),2)=ROUND(SUMIFS(AN_TME_BY[[#All],[TOTAL Non-Truncated Unadjusted Claims Expenses]], AN_TME_BY[[#All],[Insurance Category Code]],6, AN_TME_BY[[#All],[Advanced Network/Insurance Carrier Org ID]],B341),2)</f>
        <v>1</v>
      </c>
      <c r="Q341" s="216">
        <v>121</v>
      </c>
      <c r="R341" s="404">
        <f>ROUND(SUMIFS(Age_Sex_PY[[#All],[Total Member Months by Age/Sex Band]], Age_Sex_PY[[#All],[Advanced Network ID]], $Q341, Age_Sex_PY[[#All],[Insurance Category Code]],6),2)</f>
        <v>0</v>
      </c>
      <c r="S341" s="238">
        <f>ROUND(SUMIFS(Age_Sex_PY[[#All],[Total Dollars Excluded from Spending After Applying Truncation at the Member Level]], Age_Sex_PY[[#All],[Advanced Network ID]], $B341, Age_Sex_PY[[#All],[Insurance Category Code]],6),2)</f>
        <v>0</v>
      </c>
      <c r="T341" s="209">
        <f>ROUND(SUMIFS(Age_Sex_PY[[#All],[Count of Members whose Spending was Truncated]], Age_Sex_PY[[#All],[Advanced Network ID]], $B341, Age_Sex_PY[[#All],[Insurance Category Code]],6),2)</f>
        <v>0</v>
      </c>
      <c r="U341" s="210">
        <f>ROUND(SUMIFS(Age_Sex_PY[[#All],[Total Spending before Truncation is Applied]], Age_Sex_PY[[#All],[Advanced Network ID]], $B341, Age_Sex_PY[[#All],[Insurance Category Code]],6),2)</f>
        <v>0</v>
      </c>
      <c r="V341" s="212">
        <f>ROUND(SUMIFS(Age_Sex_PY[[#All],[Total Spending After Applying Truncation at the Member Level]], Age_Sex_PY[[#All],[Advanced Network ID]], $B341, Age_Sex_PY[[#All],[Insurance Category Code]],6),2)</f>
        <v>0</v>
      </c>
      <c r="W341" s="525" t="str">
        <f>IF(ROUND(R341,0)=ROUND(SUMIFS(AN_TME_PY[[#All],[Member Months]], AN_TME_PY[[#All],[Insurance Category Code]],6, AN_TME_PY[[#All],[Advanced Network/Insurance Carrier Org ID]],Q341),0), "TRUE", ROUND(R341-SUMIFS(AN_TME_PY[[#All],[Member Months]], AN_TME_PY[[#All],[Insurance Category Code]],6, AN_TME_PY[[#All],[Advanced Network/Insurance Carrier Org ID]],Q341),2))</f>
        <v>TRUE</v>
      </c>
      <c r="X341" s="533" t="str">
        <f>IF(ROUND(S341,0)=ROUND(SUMIFS(AN_TME_PY[[#All],[Total Claims Excluded because of Truncation]], AN_TME_PY[[#All],[Insurance Category Code]],6, AN_TME_PY[[#All],[Advanced Network/Insurance Carrier Org ID]],Q341),0), "TRUE", ROUND(S341-SUMIFS(AN_TME_PY[[#All],[Total Claims Excluded because of Truncation]], AN_TME_PY[[#All],[Insurance Category Code]],6, AN_TME_PY[[#All],[Advanced Network/Insurance Carrier Org ID]],Q341),2))</f>
        <v>TRUE</v>
      </c>
      <c r="Y341" s="537" t="str">
        <f>IF(ROUND(T341,0)=ROUND(SUMIFS(AN_TME_PY[[#All],[Count of Members with Claims Truncated]], AN_TME_PY[[#All],[Insurance Category Code]],6, AN_TME_PY[[#All],[Advanced Network/Insurance Carrier Org ID]],Q341),0), "TRUE", ROUND(T341-SUMIFS(AN_TME_PY[[#All],[Count of Members with Claims Truncated]], AN_TME_PY[[#All],[Insurance Category Code]],6, AN_TME_PY[[#All],[Advanced Network/Insurance Carrier Org ID]],Q341),2))</f>
        <v>TRUE</v>
      </c>
      <c r="Z341" s="533" t="str">
        <f>IF(ROUND(U341,0)=ROUND(SUMIFS(AN_TME_PY[[#All],[TOTAL Non-Truncated Unadjusted Claims Expenses]], AN_TME_PY[[#All],[Insurance Category Code]],6, AN_TME_PY[[#All],[Advanced Network/Insurance Carrier Org ID]],Q341),0), "TRUE", ROUND(U341-SUMIFS(AN_TME_PY[[#All],[TOTAL Non-Truncated Unadjusted Claims Expenses]], AN_TME_PY[[#All],[Insurance Category Code]],6, AN_TME_PY[[#All],[Advanced Network/Insurance Carrier Org ID]],Q341),2))</f>
        <v>TRUE</v>
      </c>
      <c r="AA341" s="534" t="str">
        <f>IF(ROUND(V341,0)=ROUND(SUMIFS(AN_TME_PY[[#All],[TOTAL Truncated Unadjusted Claims Expenses (A21 -A19)]], AN_TME_PY[[#All],[Insurance Category Code]],6, AN_TME_PY[[#All],[Advanced Network/Insurance Carrier Org ID]],Q341),0), "TRUE", ROUND(V341-SUMIFS(AN_TME_PY[[#All],[TOTAL Truncated Unadjusted Claims Expenses (A21 -A19)]], AN_TME_PY[[#All],[Insurance Category Code]],6, AN_TME_PY[[#All],[Advanced Network/Insurance Carrier Org ID]],Q341),2))</f>
        <v>TRUE</v>
      </c>
      <c r="AB341" s="525" t="str">
        <f t="shared" si="45"/>
        <v>TRUE</v>
      </c>
      <c r="AC341" s="533" t="b">
        <f>ROUND(SUMIFS(AN_TME_PY[[#All],[TOTAL Non-Truncated Unadjusted Claims Expenses]], AN_TME_PY[[#All],[Insurance Category Code]],6, AN_TME_PY[[#All],[Advanced Network/Insurance Carrier Org ID]],Q341),2)&gt;=ROUND(SUMIFS(AN_TME_PY[[#All],[TOTAL Truncated Unadjusted Claims Expenses (A21 -A19)]], AN_TME_PY[[#All],[Insurance Category Code]],6, AN_TME_PY[[#All],[Advanced Network/Insurance Carrier Org ID]],Q341),2)</f>
        <v>1</v>
      </c>
      <c r="AD341" s="534" t="b">
        <f>ROUND(SUMIFS(AN_TME_PY[[#All],[TOTAL Truncated Unadjusted Claims Expenses (A21 -A19)]], AN_TME_PY[[#All],[Insurance Category Code]],6, AN_TME_PY[[#All],[Advanced Network/Insurance Carrier Org ID]],Q341)+SUMIFS(AN_TME_PY[[#All],[Total Claims Excluded because of Truncation]], AN_TME_PY[[#All],[Insurance Category Code]],6, AN_TME_PY[[#All],[Advanced Network/Insurance Carrier Org ID]],Q341),2)=ROUND(SUMIFS(AN_TME_PY[[#All],[TOTAL Non-Truncated Unadjusted Claims Expenses]], AN_TME_PY[[#All],[Insurance Category Code]],6, AN_TME_PY[[#All],[Advanced Network/Insurance Carrier Org ID]],Q341),2)</f>
        <v>1</v>
      </c>
      <c r="AF341" s="283" t="str">
        <f t="shared" si="44"/>
        <v>NA</v>
      </c>
    </row>
    <row r="342" spans="2:32" outlineLevel="1" x14ac:dyDescent="0.25">
      <c r="B342" s="216">
        <v>122</v>
      </c>
      <c r="C342" s="404">
        <f>ROUND(SUMIFS(Age_Sex_BY[[#All],[Total Member Months by Age/Sex Band]], Age_Sex_BY[[#All],[Advanced Network ID]], $B342, Age_Sex_BY[[#All],[Insurance Category Code]],6),2)</f>
        <v>0</v>
      </c>
      <c r="D342" s="238">
        <f>ROUND(SUMIFS(Age_Sex_BY[[#All],[Total Dollars Excluded from Spending After Applying Truncation at the Member Level]], Age_Sex_BY[[#All],[Advanced Network ID]], $B342, Age_Sex_BY[[#All],[Insurance Category Code]],6),2)</f>
        <v>0</v>
      </c>
      <c r="E342" s="209">
        <f>ROUND(SUMIFS(Age_Sex_BY[[#All],[Count of Members whose Spending was Truncated]], Age_Sex_BY[[#All],[Advanced Network ID]], $B342, Age_Sex_BY[[#All],[Insurance Category Code]],6),2)</f>
        <v>0</v>
      </c>
      <c r="F342" s="210">
        <f>ROUND(SUMIFS(Age_Sex_BY[[#All],[Total Spending before Truncation is Applied]], Age_Sex_BY[[#All],[Advanced Network ID]], $B342, Age_Sex_BY[[#All],[Insurance Category Code]],6),2)</f>
        <v>0</v>
      </c>
      <c r="G342" s="212">
        <f>ROUND(SUMIFS(Age_Sex_BY[[#All],[Total Spending After Applying Truncation at the Member Level]], Age_Sex_BY[[#All],[Advanced Network ID]], $B342, Age_Sex_BY[[#All],[Insurance Category Code]],6),2)</f>
        <v>0</v>
      </c>
      <c r="H342" s="525" t="str">
        <f>IF(ROUND(C342,0)=ROUND(SUMIFS(AN_TME_BY[[#All],[Member Months]], AN_TME_BY[[#All],[Insurance Category Code]],6, AN_TME_BY[[#All],[Advanced Network/Insurance Carrier Org ID]],B342),0), "TRUE", ROUND(C342-SUMIFS(AN_TME_BY[[#All],[Member Months]], AN_TME_BY[[#All],[Insurance Category Code]],6, AN_TME_BY[[#All],[Advanced Network/Insurance Carrier Org ID]],B342),2))</f>
        <v>TRUE</v>
      </c>
      <c r="I342" s="533" t="str">
        <f>IF(ROUND(D342,0)=ROUND(SUMIFS(AN_TME_BY[[#All],[Total Claims Excluded because of Truncation]], AN_TME_BY[[#All],[Insurance Category Code]],6, AN_TME_BY[[#All],[Advanced Network/Insurance Carrier Org ID]],B342),0), "TRUE", ROUND(D342-SUMIFS(AN_TME_BY[[#All],[Total Claims Excluded because of Truncation]], AN_TME_BY[[#All],[Insurance Category Code]],6, AN_TME_BY[[#All],[Advanced Network/Insurance Carrier Org ID]],B342),2))</f>
        <v>TRUE</v>
      </c>
      <c r="J342" s="537" t="str">
        <f>IF(ROUND(E342,0)=ROUND(SUMIFS(AN_TME_BY[[#All],[Count of Members with Claims Truncated]], AN_TME_BY[[#All],[Insurance Category Code]],6, AN_TME_BY[[#All],[Advanced Network/Insurance Carrier Org ID]],B342),0), "TRUE", ROUND(E342-SUMIFS(AN_TME_BY[[#All],[Count of Members with Claims Truncated]], AN_TME_BY[[#All],[Insurance Category Code]],6, AN_TME_BY[[#All],[Advanced Network/Insurance Carrier Org ID]],B342),2))</f>
        <v>TRUE</v>
      </c>
      <c r="K342" s="533" t="str">
        <f>IF(ROUND(F342,0)=ROUND(SUMIFS(AN_TME_BY[[#All],[TOTAL Non-Truncated Unadjusted Claims Expenses]], AN_TME_BY[[#All],[Insurance Category Code]],6, AN_TME_BY[[#All],[Advanced Network/Insurance Carrier Org ID]],B342),0), "TRUE", ROUND(F342-SUMIFS(AN_TME_BY[[#All],[TOTAL Non-Truncated Unadjusted Claims Expenses]], AN_TME_BY[[#All],[Insurance Category Code]],6, AN_TME_BY[[#All],[Advanced Network/Insurance Carrier Org ID]],B342),2))</f>
        <v>TRUE</v>
      </c>
      <c r="L342" s="534" t="str">
        <f>IF(ROUND(G342,0)=ROUND(SUMIFS(AN_TME_BY[[#All],[TOTAL Truncated Unadjusted Claims Expenses (A21 -A19)]], AN_TME_BY[[#All],[Insurance Category Code]],6, AN_TME_BY[[#All],[Advanced Network/Insurance Carrier Org ID]],B342),0), "TRUE", ROUND(G342-SUMIFS(AN_TME_BY[[#All],[TOTAL Truncated Unadjusted Claims Expenses (A21 -A19)]], AN_TME_BY[[#All],[Insurance Category Code]],6, AN_TME_BY[[#All],[Advanced Network/Insurance Carrier Org ID]],B342),2))</f>
        <v>TRUE</v>
      </c>
      <c r="M342" s="525" t="str">
        <f t="shared" si="42"/>
        <v>TRUE</v>
      </c>
      <c r="N342" s="533" t="b">
        <f>ROUND(SUMIFS(AN_TME_BY[[#All],[TOTAL Non-Truncated Unadjusted Claims Expenses]], AN_TME_BY[[#All],[Insurance Category Code]],6, AN_TME_BY[[#All],[Advanced Network/Insurance Carrier Org ID]],B342),2)&gt;=ROUND(SUMIFS(AN_TME_BY[[#All],[TOTAL Truncated Unadjusted Claims Expenses (A21 -A19)]], AN_TME_BY[[#All],[Insurance Category Code]],6, AN_TME_BY[[#All],[Advanced Network/Insurance Carrier Org ID]],B342),2)</f>
        <v>1</v>
      </c>
      <c r="O342" s="534" t="b">
        <f>ROUND(SUMIFS(AN_TME_BY[[#All],[TOTAL Truncated Unadjusted Claims Expenses (A21 -A19)]], AN_TME_BY[[#All],[Insurance Category Code]],6, AN_TME_BY[[#All],[Advanced Network/Insurance Carrier Org ID]],B342)+SUMIFS(AN_TME_BY[[#All],[Total Claims Excluded because of Truncation]], AN_TME_BY[[#All],[Insurance Category Code]],6, AN_TME_BY[[#All],[Advanced Network/Insurance Carrier Org ID]],B342),2)=ROUND(SUMIFS(AN_TME_BY[[#All],[TOTAL Non-Truncated Unadjusted Claims Expenses]], AN_TME_BY[[#All],[Insurance Category Code]],6, AN_TME_BY[[#All],[Advanced Network/Insurance Carrier Org ID]],B342),2)</f>
        <v>1</v>
      </c>
      <c r="Q342" s="216">
        <v>122</v>
      </c>
      <c r="R342" s="404">
        <f>ROUND(SUMIFS(Age_Sex_PY[[#All],[Total Member Months by Age/Sex Band]], Age_Sex_PY[[#All],[Advanced Network ID]], $Q342, Age_Sex_PY[[#All],[Insurance Category Code]],6),2)</f>
        <v>0</v>
      </c>
      <c r="S342" s="238">
        <f>ROUND(SUMIFS(Age_Sex_PY[[#All],[Total Dollars Excluded from Spending After Applying Truncation at the Member Level]], Age_Sex_PY[[#All],[Advanced Network ID]], $B342, Age_Sex_PY[[#All],[Insurance Category Code]],6),2)</f>
        <v>0</v>
      </c>
      <c r="T342" s="209">
        <f>ROUND(SUMIFS(Age_Sex_PY[[#All],[Count of Members whose Spending was Truncated]], Age_Sex_PY[[#All],[Advanced Network ID]], $B342, Age_Sex_PY[[#All],[Insurance Category Code]],6),2)</f>
        <v>0</v>
      </c>
      <c r="U342" s="210">
        <f>ROUND(SUMIFS(Age_Sex_PY[[#All],[Total Spending before Truncation is Applied]], Age_Sex_PY[[#All],[Advanced Network ID]], $B342, Age_Sex_PY[[#All],[Insurance Category Code]],6),2)</f>
        <v>0</v>
      </c>
      <c r="V342" s="212">
        <f>ROUND(SUMIFS(Age_Sex_PY[[#All],[Total Spending After Applying Truncation at the Member Level]], Age_Sex_PY[[#All],[Advanced Network ID]], $B342, Age_Sex_PY[[#All],[Insurance Category Code]],6),2)</f>
        <v>0</v>
      </c>
      <c r="W342" s="525" t="str">
        <f>IF(ROUND(R342,0)=ROUND(SUMIFS(AN_TME_PY[[#All],[Member Months]], AN_TME_PY[[#All],[Insurance Category Code]],6, AN_TME_PY[[#All],[Advanced Network/Insurance Carrier Org ID]],Q342),0), "TRUE", ROUND(R342-SUMIFS(AN_TME_PY[[#All],[Member Months]], AN_TME_PY[[#All],[Insurance Category Code]],6, AN_TME_PY[[#All],[Advanced Network/Insurance Carrier Org ID]],Q342),2))</f>
        <v>TRUE</v>
      </c>
      <c r="X342" s="533" t="str">
        <f>IF(ROUND(S342,0)=ROUND(SUMIFS(AN_TME_PY[[#All],[Total Claims Excluded because of Truncation]], AN_TME_PY[[#All],[Insurance Category Code]],6, AN_TME_PY[[#All],[Advanced Network/Insurance Carrier Org ID]],Q342),0), "TRUE", ROUND(S342-SUMIFS(AN_TME_PY[[#All],[Total Claims Excluded because of Truncation]], AN_TME_PY[[#All],[Insurance Category Code]],6, AN_TME_PY[[#All],[Advanced Network/Insurance Carrier Org ID]],Q342),2))</f>
        <v>TRUE</v>
      </c>
      <c r="Y342" s="537" t="str">
        <f>IF(ROUND(T342,0)=ROUND(SUMIFS(AN_TME_PY[[#All],[Count of Members with Claims Truncated]], AN_TME_PY[[#All],[Insurance Category Code]],6, AN_TME_PY[[#All],[Advanced Network/Insurance Carrier Org ID]],Q342),0), "TRUE", ROUND(T342-SUMIFS(AN_TME_PY[[#All],[Count of Members with Claims Truncated]], AN_TME_PY[[#All],[Insurance Category Code]],6, AN_TME_PY[[#All],[Advanced Network/Insurance Carrier Org ID]],Q342),2))</f>
        <v>TRUE</v>
      </c>
      <c r="Z342" s="533" t="str">
        <f>IF(ROUND(U342,0)=ROUND(SUMIFS(AN_TME_PY[[#All],[TOTAL Non-Truncated Unadjusted Claims Expenses]], AN_TME_PY[[#All],[Insurance Category Code]],6, AN_TME_PY[[#All],[Advanced Network/Insurance Carrier Org ID]],Q342),0), "TRUE", ROUND(U342-SUMIFS(AN_TME_PY[[#All],[TOTAL Non-Truncated Unadjusted Claims Expenses]], AN_TME_PY[[#All],[Insurance Category Code]],6, AN_TME_PY[[#All],[Advanced Network/Insurance Carrier Org ID]],Q342),2))</f>
        <v>TRUE</v>
      </c>
      <c r="AA342" s="534" t="str">
        <f>IF(ROUND(V342,0)=ROUND(SUMIFS(AN_TME_PY[[#All],[TOTAL Truncated Unadjusted Claims Expenses (A21 -A19)]], AN_TME_PY[[#All],[Insurance Category Code]],6, AN_TME_PY[[#All],[Advanced Network/Insurance Carrier Org ID]],Q342),0), "TRUE", ROUND(V342-SUMIFS(AN_TME_PY[[#All],[TOTAL Truncated Unadjusted Claims Expenses (A21 -A19)]], AN_TME_PY[[#All],[Insurance Category Code]],6, AN_TME_PY[[#All],[Advanced Network/Insurance Carrier Org ID]],Q342),2))</f>
        <v>TRUE</v>
      </c>
      <c r="AB342" s="525" t="str">
        <f t="shared" si="45"/>
        <v>TRUE</v>
      </c>
      <c r="AC342" s="533" t="b">
        <f>ROUND(SUMIFS(AN_TME_PY[[#All],[TOTAL Non-Truncated Unadjusted Claims Expenses]], AN_TME_PY[[#All],[Insurance Category Code]],6, AN_TME_PY[[#All],[Advanced Network/Insurance Carrier Org ID]],Q342),2)&gt;=ROUND(SUMIFS(AN_TME_PY[[#All],[TOTAL Truncated Unadjusted Claims Expenses (A21 -A19)]], AN_TME_PY[[#All],[Insurance Category Code]],6, AN_TME_PY[[#All],[Advanced Network/Insurance Carrier Org ID]],Q342),2)</f>
        <v>1</v>
      </c>
      <c r="AD342" s="534" t="b">
        <f>ROUND(SUMIFS(AN_TME_PY[[#All],[TOTAL Truncated Unadjusted Claims Expenses (A21 -A19)]], AN_TME_PY[[#All],[Insurance Category Code]],6, AN_TME_PY[[#All],[Advanced Network/Insurance Carrier Org ID]],Q342)+SUMIFS(AN_TME_PY[[#All],[Total Claims Excluded because of Truncation]], AN_TME_PY[[#All],[Insurance Category Code]],6, AN_TME_PY[[#All],[Advanced Network/Insurance Carrier Org ID]],Q342),2)=ROUND(SUMIFS(AN_TME_PY[[#All],[TOTAL Non-Truncated Unadjusted Claims Expenses]], AN_TME_PY[[#All],[Insurance Category Code]],6, AN_TME_PY[[#All],[Advanced Network/Insurance Carrier Org ID]],Q342),2)</f>
        <v>1</v>
      </c>
      <c r="AF342" s="283" t="str">
        <f t="shared" si="44"/>
        <v>NA</v>
      </c>
    </row>
    <row r="343" spans="2:32" outlineLevel="1" x14ac:dyDescent="0.25">
      <c r="B343" s="216">
        <v>123</v>
      </c>
      <c r="C343" s="404">
        <f>ROUND(SUMIFS(Age_Sex_BY[[#All],[Total Member Months by Age/Sex Band]], Age_Sex_BY[[#All],[Advanced Network ID]], $B343, Age_Sex_BY[[#All],[Insurance Category Code]],6),2)</f>
        <v>0</v>
      </c>
      <c r="D343" s="238">
        <f>ROUND(SUMIFS(Age_Sex_BY[[#All],[Total Dollars Excluded from Spending After Applying Truncation at the Member Level]], Age_Sex_BY[[#All],[Advanced Network ID]], $B343, Age_Sex_BY[[#All],[Insurance Category Code]],6),2)</f>
        <v>0</v>
      </c>
      <c r="E343" s="209">
        <f>ROUND(SUMIFS(Age_Sex_BY[[#All],[Count of Members whose Spending was Truncated]], Age_Sex_BY[[#All],[Advanced Network ID]], $B343, Age_Sex_BY[[#All],[Insurance Category Code]],6),2)</f>
        <v>0</v>
      </c>
      <c r="F343" s="210">
        <f>ROUND(SUMIFS(Age_Sex_BY[[#All],[Total Spending before Truncation is Applied]], Age_Sex_BY[[#All],[Advanced Network ID]], $B343, Age_Sex_BY[[#All],[Insurance Category Code]],6),2)</f>
        <v>0</v>
      </c>
      <c r="G343" s="212">
        <f>ROUND(SUMIFS(Age_Sex_BY[[#All],[Total Spending After Applying Truncation at the Member Level]], Age_Sex_BY[[#All],[Advanced Network ID]], $B343, Age_Sex_BY[[#All],[Insurance Category Code]],6),2)</f>
        <v>0</v>
      </c>
      <c r="H343" s="525" t="str">
        <f>IF(ROUND(C343,0)=ROUND(SUMIFS(AN_TME_BY[[#All],[Member Months]], AN_TME_BY[[#All],[Insurance Category Code]],6, AN_TME_BY[[#All],[Advanced Network/Insurance Carrier Org ID]],B343),0), "TRUE", ROUND(C343-SUMIFS(AN_TME_BY[[#All],[Member Months]], AN_TME_BY[[#All],[Insurance Category Code]],6, AN_TME_BY[[#All],[Advanced Network/Insurance Carrier Org ID]],B343),2))</f>
        <v>TRUE</v>
      </c>
      <c r="I343" s="533" t="str">
        <f>IF(ROUND(D343,0)=ROUND(SUMIFS(AN_TME_BY[[#All],[Total Claims Excluded because of Truncation]], AN_TME_BY[[#All],[Insurance Category Code]],6, AN_TME_BY[[#All],[Advanced Network/Insurance Carrier Org ID]],B343),0), "TRUE", ROUND(D343-SUMIFS(AN_TME_BY[[#All],[Total Claims Excluded because of Truncation]], AN_TME_BY[[#All],[Insurance Category Code]],6, AN_TME_BY[[#All],[Advanced Network/Insurance Carrier Org ID]],B343),2))</f>
        <v>TRUE</v>
      </c>
      <c r="J343" s="537" t="str">
        <f>IF(ROUND(E343,0)=ROUND(SUMIFS(AN_TME_BY[[#All],[Count of Members with Claims Truncated]], AN_TME_BY[[#All],[Insurance Category Code]],6, AN_TME_BY[[#All],[Advanced Network/Insurance Carrier Org ID]],B343),0), "TRUE", ROUND(E343-SUMIFS(AN_TME_BY[[#All],[Count of Members with Claims Truncated]], AN_TME_BY[[#All],[Insurance Category Code]],6, AN_TME_BY[[#All],[Advanced Network/Insurance Carrier Org ID]],B343),2))</f>
        <v>TRUE</v>
      </c>
      <c r="K343" s="533" t="str">
        <f>IF(ROUND(F343,0)=ROUND(SUMIFS(AN_TME_BY[[#All],[TOTAL Non-Truncated Unadjusted Claims Expenses]], AN_TME_BY[[#All],[Insurance Category Code]],6, AN_TME_BY[[#All],[Advanced Network/Insurance Carrier Org ID]],B343),0), "TRUE", ROUND(F343-SUMIFS(AN_TME_BY[[#All],[TOTAL Non-Truncated Unadjusted Claims Expenses]], AN_TME_BY[[#All],[Insurance Category Code]],6, AN_TME_BY[[#All],[Advanced Network/Insurance Carrier Org ID]],B343),2))</f>
        <v>TRUE</v>
      </c>
      <c r="L343" s="534" t="str">
        <f>IF(ROUND(G343,0)=ROUND(SUMIFS(AN_TME_BY[[#All],[TOTAL Truncated Unadjusted Claims Expenses (A21 -A19)]], AN_TME_BY[[#All],[Insurance Category Code]],6, AN_TME_BY[[#All],[Advanced Network/Insurance Carrier Org ID]],B343),0), "TRUE", ROUND(G343-SUMIFS(AN_TME_BY[[#All],[TOTAL Truncated Unadjusted Claims Expenses (A21 -A19)]], AN_TME_BY[[#All],[Insurance Category Code]],6, AN_TME_BY[[#All],[Advanced Network/Insurance Carrier Org ID]],B343),2))</f>
        <v>TRUE</v>
      </c>
      <c r="M343" s="525" t="str">
        <f t="shared" si="42"/>
        <v>TRUE</v>
      </c>
      <c r="N343" s="533" t="b">
        <f>ROUND(SUMIFS(AN_TME_BY[[#All],[TOTAL Non-Truncated Unadjusted Claims Expenses]], AN_TME_BY[[#All],[Insurance Category Code]],6, AN_TME_BY[[#All],[Advanced Network/Insurance Carrier Org ID]],B343),2)&gt;=ROUND(SUMIFS(AN_TME_BY[[#All],[TOTAL Truncated Unadjusted Claims Expenses (A21 -A19)]], AN_TME_BY[[#All],[Insurance Category Code]],6, AN_TME_BY[[#All],[Advanced Network/Insurance Carrier Org ID]],B343),2)</f>
        <v>1</v>
      </c>
      <c r="O343" s="534" t="b">
        <f>ROUND(SUMIFS(AN_TME_BY[[#All],[TOTAL Truncated Unadjusted Claims Expenses (A21 -A19)]], AN_TME_BY[[#All],[Insurance Category Code]],6, AN_TME_BY[[#All],[Advanced Network/Insurance Carrier Org ID]],B343)+SUMIFS(AN_TME_BY[[#All],[Total Claims Excluded because of Truncation]], AN_TME_BY[[#All],[Insurance Category Code]],6, AN_TME_BY[[#All],[Advanced Network/Insurance Carrier Org ID]],B343),2)=ROUND(SUMIFS(AN_TME_BY[[#All],[TOTAL Non-Truncated Unadjusted Claims Expenses]], AN_TME_BY[[#All],[Insurance Category Code]],6, AN_TME_BY[[#All],[Advanced Network/Insurance Carrier Org ID]],B343),2)</f>
        <v>1</v>
      </c>
      <c r="Q343" s="216">
        <v>123</v>
      </c>
      <c r="R343" s="404">
        <f>ROUND(SUMIFS(Age_Sex_PY[[#All],[Total Member Months by Age/Sex Band]], Age_Sex_PY[[#All],[Advanced Network ID]], $Q343, Age_Sex_PY[[#All],[Insurance Category Code]],6),2)</f>
        <v>0</v>
      </c>
      <c r="S343" s="238">
        <f>ROUND(SUMIFS(Age_Sex_PY[[#All],[Total Dollars Excluded from Spending After Applying Truncation at the Member Level]], Age_Sex_PY[[#All],[Advanced Network ID]], $B343, Age_Sex_PY[[#All],[Insurance Category Code]],6),2)</f>
        <v>0</v>
      </c>
      <c r="T343" s="209">
        <f>ROUND(SUMIFS(Age_Sex_PY[[#All],[Count of Members whose Spending was Truncated]], Age_Sex_PY[[#All],[Advanced Network ID]], $B343, Age_Sex_PY[[#All],[Insurance Category Code]],6),2)</f>
        <v>0</v>
      </c>
      <c r="U343" s="210">
        <f>ROUND(SUMIFS(Age_Sex_PY[[#All],[Total Spending before Truncation is Applied]], Age_Sex_PY[[#All],[Advanced Network ID]], $B343, Age_Sex_PY[[#All],[Insurance Category Code]],6),2)</f>
        <v>0</v>
      </c>
      <c r="V343" s="212">
        <f>ROUND(SUMIFS(Age_Sex_PY[[#All],[Total Spending After Applying Truncation at the Member Level]], Age_Sex_PY[[#All],[Advanced Network ID]], $B343, Age_Sex_PY[[#All],[Insurance Category Code]],6),2)</f>
        <v>0</v>
      </c>
      <c r="W343" s="525" t="str">
        <f>IF(ROUND(R343,0)=ROUND(SUMIFS(AN_TME_PY[[#All],[Member Months]], AN_TME_PY[[#All],[Insurance Category Code]],6, AN_TME_PY[[#All],[Advanced Network/Insurance Carrier Org ID]],Q343),0), "TRUE", ROUND(R343-SUMIFS(AN_TME_PY[[#All],[Member Months]], AN_TME_PY[[#All],[Insurance Category Code]],6, AN_TME_PY[[#All],[Advanced Network/Insurance Carrier Org ID]],Q343),2))</f>
        <v>TRUE</v>
      </c>
      <c r="X343" s="533" t="str">
        <f>IF(ROUND(S343,0)=ROUND(SUMIFS(AN_TME_PY[[#All],[Total Claims Excluded because of Truncation]], AN_TME_PY[[#All],[Insurance Category Code]],6, AN_TME_PY[[#All],[Advanced Network/Insurance Carrier Org ID]],Q343),0), "TRUE", ROUND(S343-SUMIFS(AN_TME_PY[[#All],[Total Claims Excluded because of Truncation]], AN_TME_PY[[#All],[Insurance Category Code]],6, AN_TME_PY[[#All],[Advanced Network/Insurance Carrier Org ID]],Q343),2))</f>
        <v>TRUE</v>
      </c>
      <c r="Y343" s="537" t="str">
        <f>IF(ROUND(T343,0)=ROUND(SUMIFS(AN_TME_PY[[#All],[Count of Members with Claims Truncated]], AN_TME_PY[[#All],[Insurance Category Code]],6, AN_TME_PY[[#All],[Advanced Network/Insurance Carrier Org ID]],Q343),0), "TRUE", ROUND(T343-SUMIFS(AN_TME_PY[[#All],[Count of Members with Claims Truncated]], AN_TME_PY[[#All],[Insurance Category Code]],6, AN_TME_PY[[#All],[Advanced Network/Insurance Carrier Org ID]],Q343),2))</f>
        <v>TRUE</v>
      </c>
      <c r="Z343" s="533" t="str">
        <f>IF(ROUND(U343,0)=ROUND(SUMIFS(AN_TME_PY[[#All],[TOTAL Non-Truncated Unadjusted Claims Expenses]], AN_TME_PY[[#All],[Insurance Category Code]],6, AN_TME_PY[[#All],[Advanced Network/Insurance Carrier Org ID]],Q343),0), "TRUE", ROUND(U343-SUMIFS(AN_TME_PY[[#All],[TOTAL Non-Truncated Unadjusted Claims Expenses]], AN_TME_PY[[#All],[Insurance Category Code]],6, AN_TME_PY[[#All],[Advanced Network/Insurance Carrier Org ID]],Q343),2))</f>
        <v>TRUE</v>
      </c>
      <c r="AA343" s="534" t="str">
        <f>IF(ROUND(V343,0)=ROUND(SUMIFS(AN_TME_PY[[#All],[TOTAL Truncated Unadjusted Claims Expenses (A21 -A19)]], AN_TME_PY[[#All],[Insurance Category Code]],6, AN_TME_PY[[#All],[Advanced Network/Insurance Carrier Org ID]],Q343),0), "TRUE", ROUND(V343-SUMIFS(AN_TME_PY[[#All],[TOTAL Truncated Unadjusted Claims Expenses (A21 -A19)]], AN_TME_PY[[#All],[Insurance Category Code]],6, AN_TME_PY[[#All],[Advanced Network/Insurance Carrier Org ID]],Q343),2))</f>
        <v>TRUE</v>
      </c>
      <c r="AB343" s="525" t="str">
        <f t="shared" si="45"/>
        <v>TRUE</v>
      </c>
      <c r="AC343" s="533" t="b">
        <f>ROUND(SUMIFS(AN_TME_PY[[#All],[TOTAL Non-Truncated Unadjusted Claims Expenses]], AN_TME_PY[[#All],[Insurance Category Code]],6, AN_TME_PY[[#All],[Advanced Network/Insurance Carrier Org ID]],Q343),2)&gt;=ROUND(SUMIFS(AN_TME_PY[[#All],[TOTAL Truncated Unadjusted Claims Expenses (A21 -A19)]], AN_TME_PY[[#All],[Insurance Category Code]],6, AN_TME_PY[[#All],[Advanced Network/Insurance Carrier Org ID]],Q343),2)</f>
        <v>1</v>
      </c>
      <c r="AD343" s="534" t="b">
        <f>ROUND(SUMIFS(AN_TME_PY[[#All],[TOTAL Truncated Unadjusted Claims Expenses (A21 -A19)]], AN_TME_PY[[#All],[Insurance Category Code]],6, AN_TME_PY[[#All],[Advanced Network/Insurance Carrier Org ID]],Q343)+SUMIFS(AN_TME_PY[[#All],[Total Claims Excluded because of Truncation]], AN_TME_PY[[#All],[Insurance Category Code]],6, AN_TME_PY[[#All],[Advanced Network/Insurance Carrier Org ID]],Q343),2)=ROUND(SUMIFS(AN_TME_PY[[#All],[TOTAL Non-Truncated Unadjusted Claims Expenses]], AN_TME_PY[[#All],[Insurance Category Code]],6, AN_TME_PY[[#All],[Advanced Network/Insurance Carrier Org ID]],Q343),2)</f>
        <v>1</v>
      </c>
      <c r="AF343" s="283" t="str">
        <f t="shared" si="44"/>
        <v>NA</v>
      </c>
    </row>
    <row r="344" spans="2:32" outlineLevel="1" x14ac:dyDescent="0.25">
      <c r="B344" s="216">
        <v>124</v>
      </c>
      <c r="C344" s="404">
        <f>ROUND(SUMIFS(Age_Sex_BY[[#All],[Total Member Months by Age/Sex Band]], Age_Sex_BY[[#All],[Advanced Network ID]], $B344, Age_Sex_BY[[#All],[Insurance Category Code]],6),2)</f>
        <v>0</v>
      </c>
      <c r="D344" s="238">
        <f>ROUND(SUMIFS(Age_Sex_BY[[#All],[Total Dollars Excluded from Spending After Applying Truncation at the Member Level]], Age_Sex_BY[[#All],[Advanced Network ID]], $B344, Age_Sex_BY[[#All],[Insurance Category Code]],6),2)</f>
        <v>0</v>
      </c>
      <c r="E344" s="209">
        <f>ROUND(SUMIFS(Age_Sex_BY[[#All],[Count of Members whose Spending was Truncated]], Age_Sex_BY[[#All],[Advanced Network ID]], $B344, Age_Sex_BY[[#All],[Insurance Category Code]],6),2)</f>
        <v>0</v>
      </c>
      <c r="F344" s="210">
        <f>ROUND(SUMIFS(Age_Sex_BY[[#All],[Total Spending before Truncation is Applied]], Age_Sex_BY[[#All],[Advanced Network ID]], $B344, Age_Sex_BY[[#All],[Insurance Category Code]],6),2)</f>
        <v>0</v>
      </c>
      <c r="G344" s="212">
        <f>ROUND(SUMIFS(Age_Sex_BY[[#All],[Total Spending After Applying Truncation at the Member Level]], Age_Sex_BY[[#All],[Advanced Network ID]], $B344, Age_Sex_BY[[#All],[Insurance Category Code]],6),2)</f>
        <v>0</v>
      </c>
      <c r="H344" s="525" t="str">
        <f>IF(ROUND(C344,0)=ROUND(SUMIFS(AN_TME_BY[[#All],[Member Months]], AN_TME_BY[[#All],[Insurance Category Code]],6, AN_TME_BY[[#All],[Advanced Network/Insurance Carrier Org ID]],B344),0), "TRUE", ROUND(C344-SUMIFS(AN_TME_BY[[#All],[Member Months]], AN_TME_BY[[#All],[Insurance Category Code]],6, AN_TME_BY[[#All],[Advanced Network/Insurance Carrier Org ID]],B344),2))</f>
        <v>TRUE</v>
      </c>
      <c r="I344" s="533" t="str">
        <f>IF(ROUND(D344,0)=ROUND(SUMIFS(AN_TME_BY[[#All],[Total Claims Excluded because of Truncation]], AN_TME_BY[[#All],[Insurance Category Code]],6, AN_TME_BY[[#All],[Advanced Network/Insurance Carrier Org ID]],B344),0), "TRUE", ROUND(D344-SUMIFS(AN_TME_BY[[#All],[Total Claims Excluded because of Truncation]], AN_TME_BY[[#All],[Insurance Category Code]],6, AN_TME_BY[[#All],[Advanced Network/Insurance Carrier Org ID]],B344),2))</f>
        <v>TRUE</v>
      </c>
      <c r="J344" s="537" t="str">
        <f>IF(ROUND(E344,0)=ROUND(SUMIFS(AN_TME_BY[[#All],[Count of Members with Claims Truncated]], AN_TME_BY[[#All],[Insurance Category Code]],6, AN_TME_BY[[#All],[Advanced Network/Insurance Carrier Org ID]],B344),0), "TRUE", ROUND(E344-SUMIFS(AN_TME_BY[[#All],[Count of Members with Claims Truncated]], AN_TME_BY[[#All],[Insurance Category Code]],6, AN_TME_BY[[#All],[Advanced Network/Insurance Carrier Org ID]],B344),2))</f>
        <v>TRUE</v>
      </c>
      <c r="K344" s="533" t="str">
        <f>IF(ROUND(F344,0)=ROUND(SUMIFS(AN_TME_BY[[#All],[TOTAL Non-Truncated Unadjusted Claims Expenses]], AN_TME_BY[[#All],[Insurance Category Code]],6, AN_TME_BY[[#All],[Advanced Network/Insurance Carrier Org ID]],B344),0), "TRUE", ROUND(F344-SUMIFS(AN_TME_BY[[#All],[TOTAL Non-Truncated Unadjusted Claims Expenses]], AN_TME_BY[[#All],[Insurance Category Code]],6, AN_TME_BY[[#All],[Advanced Network/Insurance Carrier Org ID]],B344),2))</f>
        <v>TRUE</v>
      </c>
      <c r="L344" s="534" t="str">
        <f>IF(ROUND(G344,0)=ROUND(SUMIFS(AN_TME_BY[[#All],[TOTAL Truncated Unadjusted Claims Expenses (A21 -A19)]], AN_TME_BY[[#All],[Insurance Category Code]],6, AN_TME_BY[[#All],[Advanced Network/Insurance Carrier Org ID]],B344),0), "TRUE", ROUND(G344-SUMIFS(AN_TME_BY[[#All],[TOTAL Truncated Unadjusted Claims Expenses (A21 -A19)]], AN_TME_BY[[#All],[Insurance Category Code]],6, AN_TME_BY[[#All],[Advanced Network/Insurance Carrier Org ID]],B344),2))</f>
        <v>TRUE</v>
      </c>
      <c r="M344" s="525" t="str">
        <f t="shared" si="42"/>
        <v>TRUE</v>
      </c>
      <c r="N344" s="533" t="b">
        <f>ROUND(SUMIFS(AN_TME_BY[[#All],[TOTAL Non-Truncated Unadjusted Claims Expenses]], AN_TME_BY[[#All],[Insurance Category Code]],6, AN_TME_BY[[#All],[Advanced Network/Insurance Carrier Org ID]],B344),2)&gt;=ROUND(SUMIFS(AN_TME_BY[[#All],[TOTAL Truncated Unadjusted Claims Expenses (A21 -A19)]], AN_TME_BY[[#All],[Insurance Category Code]],6, AN_TME_BY[[#All],[Advanced Network/Insurance Carrier Org ID]],B344),2)</f>
        <v>1</v>
      </c>
      <c r="O344" s="534" t="b">
        <f>ROUND(SUMIFS(AN_TME_BY[[#All],[TOTAL Truncated Unadjusted Claims Expenses (A21 -A19)]], AN_TME_BY[[#All],[Insurance Category Code]],6, AN_TME_BY[[#All],[Advanced Network/Insurance Carrier Org ID]],B344)+SUMIFS(AN_TME_BY[[#All],[Total Claims Excluded because of Truncation]], AN_TME_BY[[#All],[Insurance Category Code]],6, AN_TME_BY[[#All],[Advanced Network/Insurance Carrier Org ID]],B344),2)=ROUND(SUMIFS(AN_TME_BY[[#All],[TOTAL Non-Truncated Unadjusted Claims Expenses]], AN_TME_BY[[#All],[Insurance Category Code]],6, AN_TME_BY[[#All],[Advanced Network/Insurance Carrier Org ID]],B344),2)</f>
        <v>1</v>
      </c>
      <c r="Q344" s="216">
        <v>124</v>
      </c>
      <c r="R344" s="404">
        <f>ROUND(SUMIFS(Age_Sex_PY[[#All],[Total Member Months by Age/Sex Band]], Age_Sex_PY[[#All],[Advanced Network ID]], $Q344, Age_Sex_PY[[#All],[Insurance Category Code]],6),2)</f>
        <v>0</v>
      </c>
      <c r="S344" s="238">
        <f>ROUND(SUMIFS(Age_Sex_PY[[#All],[Total Dollars Excluded from Spending After Applying Truncation at the Member Level]], Age_Sex_PY[[#All],[Advanced Network ID]], $B344, Age_Sex_PY[[#All],[Insurance Category Code]],6),2)</f>
        <v>0</v>
      </c>
      <c r="T344" s="209">
        <f>ROUND(SUMIFS(Age_Sex_PY[[#All],[Count of Members whose Spending was Truncated]], Age_Sex_PY[[#All],[Advanced Network ID]], $B344, Age_Sex_PY[[#All],[Insurance Category Code]],6),2)</f>
        <v>0</v>
      </c>
      <c r="U344" s="210">
        <f>ROUND(SUMIFS(Age_Sex_PY[[#All],[Total Spending before Truncation is Applied]], Age_Sex_PY[[#All],[Advanced Network ID]], $B344, Age_Sex_PY[[#All],[Insurance Category Code]],6),2)</f>
        <v>0</v>
      </c>
      <c r="V344" s="212">
        <f>ROUND(SUMIFS(Age_Sex_PY[[#All],[Total Spending After Applying Truncation at the Member Level]], Age_Sex_PY[[#All],[Advanced Network ID]], $B344, Age_Sex_PY[[#All],[Insurance Category Code]],6),2)</f>
        <v>0</v>
      </c>
      <c r="W344" s="525" t="str">
        <f>IF(ROUND(R344,0)=ROUND(SUMIFS(AN_TME_PY[[#All],[Member Months]], AN_TME_PY[[#All],[Insurance Category Code]],6, AN_TME_PY[[#All],[Advanced Network/Insurance Carrier Org ID]],Q344),0), "TRUE", ROUND(R344-SUMIFS(AN_TME_PY[[#All],[Member Months]], AN_TME_PY[[#All],[Insurance Category Code]],6, AN_TME_PY[[#All],[Advanced Network/Insurance Carrier Org ID]],Q344),2))</f>
        <v>TRUE</v>
      </c>
      <c r="X344" s="533" t="str">
        <f>IF(ROUND(S344,0)=ROUND(SUMIFS(AN_TME_PY[[#All],[Total Claims Excluded because of Truncation]], AN_TME_PY[[#All],[Insurance Category Code]],6, AN_TME_PY[[#All],[Advanced Network/Insurance Carrier Org ID]],Q344),0), "TRUE", ROUND(S344-SUMIFS(AN_TME_PY[[#All],[Total Claims Excluded because of Truncation]], AN_TME_PY[[#All],[Insurance Category Code]],6, AN_TME_PY[[#All],[Advanced Network/Insurance Carrier Org ID]],Q344),2))</f>
        <v>TRUE</v>
      </c>
      <c r="Y344" s="537" t="str">
        <f>IF(ROUND(T344,0)=ROUND(SUMIFS(AN_TME_PY[[#All],[Count of Members with Claims Truncated]], AN_TME_PY[[#All],[Insurance Category Code]],6, AN_TME_PY[[#All],[Advanced Network/Insurance Carrier Org ID]],Q344),0), "TRUE", ROUND(T344-SUMIFS(AN_TME_PY[[#All],[Count of Members with Claims Truncated]], AN_TME_PY[[#All],[Insurance Category Code]],6, AN_TME_PY[[#All],[Advanced Network/Insurance Carrier Org ID]],Q344),2))</f>
        <v>TRUE</v>
      </c>
      <c r="Z344" s="533" t="str">
        <f>IF(ROUND(U344,0)=ROUND(SUMIFS(AN_TME_PY[[#All],[TOTAL Non-Truncated Unadjusted Claims Expenses]], AN_TME_PY[[#All],[Insurance Category Code]],6, AN_TME_PY[[#All],[Advanced Network/Insurance Carrier Org ID]],Q344),0), "TRUE", ROUND(U344-SUMIFS(AN_TME_PY[[#All],[TOTAL Non-Truncated Unadjusted Claims Expenses]], AN_TME_PY[[#All],[Insurance Category Code]],6, AN_TME_PY[[#All],[Advanced Network/Insurance Carrier Org ID]],Q344),2))</f>
        <v>TRUE</v>
      </c>
      <c r="AA344" s="534" t="str">
        <f>IF(ROUND(V344,0)=ROUND(SUMIFS(AN_TME_PY[[#All],[TOTAL Truncated Unadjusted Claims Expenses (A21 -A19)]], AN_TME_PY[[#All],[Insurance Category Code]],6, AN_TME_PY[[#All],[Advanced Network/Insurance Carrier Org ID]],Q344),0), "TRUE", ROUND(V344-SUMIFS(AN_TME_PY[[#All],[TOTAL Truncated Unadjusted Claims Expenses (A21 -A19)]], AN_TME_PY[[#All],[Insurance Category Code]],6, AN_TME_PY[[#All],[Advanced Network/Insurance Carrier Org ID]],Q344),2))</f>
        <v>TRUE</v>
      </c>
      <c r="AB344" s="525" t="str">
        <f t="shared" si="45"/>
        <v>TRUE</v>
      </c>
      <c r="AC344" s="533" t="b">
        <f>ROUND(SUMIFS(AN_TME_PY[[#All],[TOTAL Non-Truncated Unadjusted Claims Expenses]], AN_TME_PY[[#All],[Insurance Category Code]],6, AN_TME_PY[[#All],[Advanced Network/Insurance Carrier Org ID]],Q344),2)&gt;=ROUND(SUMIFS(AN_TME_PY[[#All],[TOTAL Truncated Unadjusted Claims Expenses (A21 -A19)]], AN_TME_PY[[#All],[Insurance Category Code]],6, AN_TME_PY[[#All],[Advanced Network/Insurance Carrier Org ID]],Q344),2)</f>
        <v>1</v>
      </c>
      <c r="AD344" s="534" t="b">
        <f>ROUND(SUMIFS(AN_TME_PY[[#All],[TOTAL Truncated Unadjusted Claims Expenses (A21 -A19)]], AN_TME_PY[[#All],[Insurance Category Code]],6, AN_TME_PY[[#All],[Advanced Network/Insurance Carrier Org ID]],Q344)+SUMIFS(AN_TME_PY[[#All],[Total Claims Excluded because of Truncation]], AN_TME_PY[[#All],[Insurance Category Code]],6, AN_TME_PY[[#All],[Advanced Network/Insurance Carrier Org ID]],Q344),2)=ROUND(SUMIFS(AN_TME_PY[[#All],[TOTAL Non-Truncated Unadjusted Claims Expenses]], AN_TME_PY[[#All],[Insurance Category Code]],6, AN_TME_PY[[#All],[Advanced Network/Insurance Carrier Org ID]],Q344),2)</f>
        <v>1</v>
      </c>
      <c r="AF344" s="283" t="str">
        <f t="shared" si="44"/>
        <v>NA</v>
      </c>
    </row>
    <row r="345" spans="2:32" outlineLevel="1" x14ac:dyDescent="0.25">
      <c r="B345" s="216">
        <v>125</v>
      </c>
      <c r="C345" s="404">
        <f>ROUND(SUMIFS(Age_Sex_BY[[#All],[Total Member Months by Age/Sex Band]], Age_Sex_BY[[#All],[Advanced Network ID]], $B345, Age_Sex_BY[[#All],[Insurance Category Code]],6),2)</f>
        <v>0</v>
      </c>
      <c r="D345" s="238">
        <f>ROUND(SUMIFS(Age_Sex_BY[[#All],[Total Dollars Excluded from Spending After Applying Truncation at the Member Level]], Age_Sex_BY[[#All],[Advanced Network ID]], $B345, Age_Sex_BY[[#All],[Insurance Category Code]],6),2)</f>
        <v>0</v>
      </c>
      <c r="E345" s="209">
        <f>ROUND(SUMIFS(Age_Sex_BY[[#All],[Count of Members whose Spending was Truncated]], Age_Sex_BY[[#All],[Advanced Network ID]], $B345, Age_Sex_BY[[#All],[Insurance Category Code]],6),2)</f>
        <v>0</v>
      </c>
      <c r="F345" s="210">
        <f>ROUND(SUMIFS(Age_Sex_BY[[#All],[Total Spending before Truncation is Applied]], Age_Sex_BY[[#All],[Advanced Network ID]], $B345, Age_Sex_BY[[#All],[Insurance Category Code]],6),2)</f>
        <v>0</v>
      </c>
      <c r="G345" s="212">
        <f>ROUND(SUMIFS(Age_Sex_BY[[#All],[Total Spending After Applying Truncation at the Member Level]], Age_Sex_BY[[#All],[Advanced Network ID]], $B345, Age_Sex_BY[[#All],[Insurance Category Code]],6),2)</f>
        <v>0</v>
      </c>
      <c r="H345" s="525" t="str">
        <f>IF(ROUND(C345,0)=ROUND(SUMIFS(AN_TME_BY[[#All],[Member Months]], AN_TME_BY[[#All],[Insurance Category Code]],6, AN_TME_BY[[#All],[Advanced Network/Insurance Carrier Org ID]],B345),0), "TRUE", ROUND(C345-SUMIFS(AN_TME_BY[[#All],[Member Months]], AN_TME_BY[[#All],[Insurance Category Code]],6, AN_TME_BY[[#All],[Advanced Network/Insurance Carrier Org ID]],B345),2))</f>
        <v>TRUE</v>
      </c>
      <c r="I345" s="533" t="str">
        <f>IF(ROUND(D345,0)=ROUND(SUMIFS(AN_TME_BY[[#All],[Total Claims Excluded because of Truncation]], AN_TME_BY[[#All],[Insurance Category Code]],6, AN_TME_BY[[#All],[Advanced Network/Insurance Carrier Org ID]],B345),0), "TRUE", ROUND(D345-SUMIFS(AN_TME_BY[[#All],[Total Claims Excluded because of Truncation]], AN_TME_BY[[#All],[Insurance Category Code]],6, AN_TME_BY[[#All],[Advanced Network/Insurance Carrier Org ID]],B345),2))</f>
        <v>TRUE</v>
      </c>
      <c r="J345" s="537" t="str">
        <f>IF(ROUND(E345,0)=ROUND(SUMIFS(AN_TME_BY[[#All],[Count of Members with Claims Truncated]], AN_TME_BY[[#All],[Insurance Category Code]],6, AN_TME_BY[[#All],[Advanced Network/Insurance Carrier Org ID]],B345),0), "TRUE", ROUND(E345-SUMIFS(AN_TME_BY[[#All],[Count of Members with Claims Truncated]], AN_TME_BY[[#All],[Insurance Category Code]],6, AN_TME_BY[[#All],[Advanced Network/Insurance Carrier Org ID]],B345),2))</f>
        <v>TRUE</v>
      </c>
      <c r="K345" s="533" t="str">
        <f>IF(ROUND(F345,0)=ROUND(SUMIFS(AN_TME_BY[[#All],[TOTAL Non-Truncated Unadjusted Claims Expenses]], AN_TME_BY[[#All],[Insurance Category Code]],6, AN_TME_BY[[#All],[Advanced Network/Insurance Carrier Org ID]],B345),0), "TRUE", ROUND(F345-SUMIFS(AN_TME_BY[[#All],[TOTAL Non-Truncated Unadjusted Claims Expenses]], AN_TME_BY[[#All],[Insurance Category Code]],6, AN_TME_BY[[#All],[Advanced Network/Insurance Carrier Org ID]],B345),2))</f>
        <v>TRUE</v>
      </c>
      <c r="L345" s="534" t="str">
        <f>IF(ROUND(G345,0)=ROUND(SUMIFS(AN_TME_BY[[#All],[TOTAL Truncated Unadjusted Claims Expenses (A21 -A19)]], AN_TME_BY[[#All],[Insurance Category Code]],6, AN_TME_BY[[#All],[Advanced Network/Insurance Carrier Org ID]],B345),0), "TRUE", ROUND(G345-SUMIFS(AN_TME_BY[[#All],[TOTAL Truncated Unadjusted Claims Expenses (A21 -A19)]], AN_TME_BY[[#All],[Insurance Category Code]],6, AN_TME_BY[[#All],[Advanced Network/Insurance Carrier Org ID]],B345),2))</f>
        <v>TRUE</v>
      </c>
      <c r="M345" s="525" t="str">
        <f t="shared" si="42"/>
        <v>TRUE</v>
      </c>
      <c r="N345" s="533" t="b">
        <f>ROUND(SUMIFS(AN_TME_BY[[#All],[TOTAL Non-Truncated Unadjusted Claims Expenses]], AN_TME_BY[[#All],[Insurance Category Code]],6, AN_TME_BY[[#All],[Advanced Network/Insurance Carrier Org ID]],B345),2)&gt;=ROUND(SUMIFS(AN_TME_BY[[#All],[TOTAL Truncated Unadjusted Claims Expenses (A21 -A19)]], AN_TME_BY[[#All],[Insurance Category Code]],6, AN_TME_BY[[#All],[Advanced Network/Insurance Carrier Org ID]],B345),2)</f>
        <v>1</v>
      </c>
      <c r="O345" s="534" t="b">
        <f>ROUND(SUMIFS(AN_TME_BY[[#All],[TOTAL Truncated Unadjusted Claims Expenses (A21 -A19)]], AN_TME_BY[[#All],[Insurance Category Code]],6, AN_TME_BY[[#All],[Advanced Network/Insurance Carrier Org ID]],B345)+SUMIFS(AN_TME_BY[[#All],[Total Claims Excluded because of Truncation]], AN_TME_BY[[#All],[Insurance Category Code]],6, AN_TME_BY[[#All],[Advanced Network/Insurance Carrier Org ID]],B345),2)=ROUND(SUMIFS(AN_TME_BY[[#All],[TOTAL Non-Truncated Unadjusted Claims Expenses]], AN_TME_BY[[#All],[Insurance Category Code]],6, AN_TME_BY[[#All],[Advanced Network/Insurance Carrier Org ID]],B345),2)</f>
        <v>1</v>
      </c>
      <c r="Q345" s="216">
        <v>125</v>
      </c>
      <c r="R345" s="404">
        <f>ROUND(SUMIFS(Age_Sex_PY[[#All],[Total Member Months by Age/Sex Band]], Age_Sex_PY[[#All],[Advanced Network ID]], $Q345, Age_Sex_PY[[#All],[Insurance Category Code]],6),2)</f>
        <v>0</v>
      </c>
      <c r="S345" s="238">
        <f>ROUND(SUMIFS(Age_Sex_PY[[#All],[Total Dollars Excluded from Spending After Applying Truncation at the Member Level]], Age_Sex_PY[[#All],[Advanced Network ID]], $B345, Age_Sex_PY[[#All],[Insurance Category Code]],6),2)</f>
        <v>0</v>
      </c>
      <c r="T345" s="209">
        <f>ROUND(SUMIFS(Age_Sex_PY[[#All],[Count of Members whose Spending was Truncated]], Age_Sex_PY[[#All],[Advanced Network ID]], $B345, Age_Sex_PY[[#All],[Insurance Category Code]],6),2)</f>
        <v>0</v>
      </c>
      <c r="U345" s="210">
        <f>ROUND(SUMIFS(Age_Sex_PY[[#All],[Total Spending before Truncation is Applied]], Age_Sex_PY[[#All],[Advanced Network ID]], $B345, Age_Sex_PY[[#All],[Insurance Category Code]],6),2)</f>
        <v>0</v>
      </c>
      <c r="V345" s="212">
        <f>ROUND(SUMIFS(Age_Sex_PY[[#All],[Total Spending After Applying Truncation at the Member Level]], Age_Sex_PY[[#All],[Advanced Network ID]], $B345, Age_Sex_PY[[#All],[Insurance Category Code]],6),2)</f>
        <v>0</v>
      </c>
      <c r="W345" s="525" t="str">
        <f>IF(ROUND(R345,0)=ROUND(SUMIFS(AN_TME_PY[[#All],[Member Months]], AN_TME_PY[[#All],[Insurance Category Code]],6, AN_TME_PY[[#All],[Advanced Network/Insurance Carrier Org ID]],Q345),0), "TRUE", ROUND(R345-SUMIFS(AN_TME_PY[[#All],[Member Months]], AN_TME_PY[[#All],[Insurance Category Code]],6, AN_TME_PY[[#All],[Advanced Network/Insurance Carrier Org ID]],Q345),2))</f>
        <v>TRUE</v>
      </c>
      <c r="X345" s="533" t="str">
        <f>IF(ROUND(S345,0)=ROUND(SUMIFS(AN_TME_PY[[#All],[Total Claims Excluded because of Truncation]], AN_TME_PY[[#All],[Insurance Category Code]],6, AN_TME_PY[[#All],[Advanced Network/Insurance Carrier Org ID]],Q345),0), "TRUE", ROUND(S345-SUMIFS(AN_TME_PY[[#All],[Total Claims Excluded because of Truncation]], AN_TME_PY[[#All],[Insurance Category Code]],6, AN_TME_PY[[#All],[Advanced Network/Insurance Carrier Org ID]],Q345),2))</f>
        <v>TRUE</v>
      </c>
      <c r="Y345" s="537" t="str">
        <f>IF(ROUND(T345,0)=ROUND(SUMIFS(AN_TME_PY[[#All],[Count of Members with Claims Truncated]], AN_TME_PY[[#All],[Insurance Category Code]],6, AN_TME_PY[[#All],[Advanced Network/Insurance Carrier Org ID]],Q345),0), "TRUE", ROUND(T345-SUMIFS(AN_TME_PY[[#All],[Count of Members with Claims Truncated]], AN_TME_PY[[#All],[Insurance Category Code]],6, AN_TME_PY[[#All],[Advanced Network/Insurance Carrier Org ID]],Q345),2))</f>
        <v>TRUE</v>
      </c>
      <c r="Z345" s="533" t="str">
        <f>IF(ROUND(U345,0)=ROUND(SUMIFS(AN_TME_PY[[#All],[TOTAL Non-Truncated Unadjusted Claims Expenses]], AN_TME_PY[[#All],[Insurance Category Code]],6, AN_TME_PY[[#All],[Advanced Network/Insurance Carrier Org ID]],Q345),0), "TRUE", ROUND(U345-SUMIFS(AN_TME_PY[[#All],[TOTAL Non-Truncated Unadjusted Claims Expenses]], AN_TME_PY[[#All],[Insurance Category Code]],6, AN_TME_PY[[#All],[Advanced Network/Insurance Carrier Org ID]],Q345),2))</f>
        <v>TRUE</v>
      </c>
      <c r="AA345" s="534" t="str">
        <f>IF(ROUND(V345,0)=ROUND(SUMIFS(AN_TME_PY[[#All],[TOTAL Truncated Unadjusted Claims Expenses (A21 -A19)]], AN_TME_PY[[#All],[Insurance Category Code]],6, AN_TME_PY[[#All],[Advanced Network/Insurance Carrier Org ID]],Q345),0), "TRUE", ROUND(V345-SUMIFS(AN_TME_PY[[#All],[TOTAL Truncated Unadjusted Claims Expenses (A21 -A19)]], AN_TME_PY[[#All],[Insurance Category Code]],6, AN_TME_PY[[#All],[Advanced Network/Insurance Carrier Org ID]],Q345),2))</f>
        <v>TRUE</v>
      </c>
      <c r="AB345" s="525" t="str">
        <f t="shared" si="45"/>
        <v>TRUE</v>
      </c>
      <c r="AC345" s="533" t="b">
        <f>ROUND(SUMIFS(AN_TME_PY[[#All],[TOTAL Non-Truncated Unadjusted Claims Expenses]], AN_TME_PY[[#All],[Insurance Category Code]],6, AN_TME_PY[[#All],[Advanced Network/Insurance Carrier Org ID]],Q345),2)&gt;=ROUND(SUMIFS(AN_TME_PY[[#All],[TOTAL Truncated Unadjusted Claims Expenses (A21 -A19)]], AN_TME_PY[[#All],[Insurance Category Code]],6, AN_TME_PY[[#All],[Advanced Network/Insurance Carrier Org ID]],Q345),2)</f>
        <v>1</v>
      </c>
      <c r="AD345" s="534" t="b">
        <f>ROUND(SUMIFS(AN_TME_PY[[#All],[TOTAL Truncated Unadjusted Claims Expenses (A21 -A19)]], AN_TME_PY[[#All],[Insurance Category Code]],6, AN_TME_PY[[#All],[Advanced Network/Insurance Carrier Org ID]],Q345)+SUMIFS(AN_TME_PY[[#All],[Total Claims Excluded because of Truncation]], AN_TME_PY[[#All],[Insurance Category Code]],6, AN_TME_PY[[#All],[Advanced Network/Insurance Carrier Org ID]],Q345),2)=ROUND(SUMIFS(AN_TME_PY[[#All],[TOTAL Non-Truncated Unadjusted Claims Expenses]], AN_TME_PY[[#All],[Insurance Category Code]],6, AN_TME_PY[[#All],[Advanced Network/Insurance Carrier Org ID]],Q345),2)</f>
        <v>1</v>
      </c>
      <c r="AF345" s="283" t="str">
        <f t="shared" si="44"/>
        <v>NA</v>
      </c>
    </row>
    <row r="346" spans="2:32" outlineLevel="1" x14ac:dyDescent="0.25">
      <c r="B346" s="216">
        <v>126</v>
      </c>
      <c r="C346" s="404">
        <f>ROUND(SUMIFS(Age_Sex_BY[[#All],[Total Member Months by Age/Sex Band]], Age_Sex_BY[[#All],[Advanced Network ID]], $B346, Age_Sex_BY[[#All],[Insurance Category Code]],6),2)</f>
        <v>0</v>
      </c>
      <c r="D346" s="238">
        <f>ROUND(SUMIFS(Age_Sex_BY[[#All],[Total Dollars Excluded from Spending After Applying Truncation at the Member Level]], Age_Sex_BY[[#All],[Advanced Network ID]], $B346, Age_Sex_BY[[#All],[Insurance Category Code]],6),2)</f>
        <v>0</v>
      </c>
      <c r="E346" s="209">
        <f>ROUND(SUMIFS(Age_Sex_BY[[#All],[Count of Members whose Spending was Truncated]], Age_Sex_BY[[#All],[Advanced Network ID]], $B346, Age_Sex_BY[[#All],[Insurance Category Code]],6),2)</f>
        <v>0</v>
      </c>
      <c r="F346" s="210">
        <f>ROUND(SUMIFS(Age_Sex_BY[[#All],[Total Spending before Truncation is Applied]], Age_Sex_BY[[#All],[Advanced Network ID]], $B346, Age_Sex_BY[[#All],[Insurance Category Code]],6),2)</f>
        <v>0</v>
      </c>
      <c r="G346" s="212">
        <f>ROUND(SUMIFS(Age_Sex_BY[[#All],[Total Spending After Applying Truncation at the Member Level]], Age_Sex_BY[[#All],[Advanced Network ID]], $B346, Age_Sex_BY[[#All],[Insurance Category Code]],6),2)</f>
        <v>0</v>
      </c>
      <c r="H346" s="525" t="str">
        <f>IF(ROUND(C346,0)=ROUND(SUMIFS(AN_TME_BY[[#All],[Member Months]], AN_TME_BY[[#All],[Insurance Category Code]],6, AN_TME_BY[[#All],[Advanced Network/Insurance Carrier Org ID]],B346),0), "TRUE", ROUND(C346-SUMIFS(AN_TME_BY[[#All],[Member Months]], AN_TME_BY[[#All],[Insurance Category Code]],6, AN_TME_BY[[#All],[Advanced Network/Insurance Carrier Org ID]],B346),2))</f>
        <v>TRUE</v>
      </c>
      <c r="I346" s="533" t="str">
        <f>IF(ROUND(D346,0)=ROUND(SUMIFS(AN_TME_BY[[#All],[Total Claims Excluded because of Truncation]], AN_TME_BY[[#All],[Insurance Category Code]],6, AN_TME_BY[[#All],[Advanced Network/Insurance Carrier Org ID]],B346),0), "TRUE", ROUND(D346-SUMIFS(AN_TME_BY[[#All],[Total Claims Excluded because of Truncation]], AN_TME_BY[[#All],[Insurance Category Code]],6, AN_TME_BY[[#All],[Advanced Network/Insurance Carrier Org ID]],B346),2))</f>
        <v>TRUE</v>
      </c>
      <c r="J346" s="537" t="str">
        <f>IF(ROUND(E346,0)=ROUND(SUMIFS(AN_TME_BY[[#All],[Count of Members with Claims Truncated]], AN_TME_BY[[#All],[Insurance Category Code]],6, AN_TME_BY[[#All],[Advanced Network/Insurance Carrier Org ID]],B346),0), "TRUE", ROUND(E346-SUMIFS(AN_TME_BY[[#All],[Count of Members with Claims Truncated]], AN_TME_BY[[#All],[Insurance Category Code]],6, AN_TME_BY[[#All],[Advanced Network/Insurance Carrier Org ID]],B346),2))</f>
        <v>TRUE</v>
      </c>
      <c r="K346" s="533" t="str">
        <f>IF(ROUND(F346,0)=ROUND(SUMIFS(AN_TME_BY[[#All],[TOTAL Non-Truncated Unadjusted Claims Expenses]], AN_TME_BY[[#All],[Insurance Category Code]],6, AN_TME_BY[[#All],[Advanced Network/Insurance Carrier Org ID]],B346),0), "TRUE", ROUND(F346-SUMIFS(AN_TME_BY[[#All],[TOTAL Non-Truncated Unadjusted Claims Expenses]], AN_TME_BY[[#All],[Insurance Category Code]],6, AN_TME_BY[[#All],[Advanced Network/Insurance Carrier Org ID]],B346),2))</f>
        <v>TRUE</v>
      </c>
      <c r="L346" s="534" t="str">
        <f>IF(ROUND(G346,0)=ROUND(SUMIFS(AN_TME_BY[[#All],[TOTAL Truncated Unadjusted Claims Expenses (A21 -A19)]], AN_TME_BY[[#All],[Insurance Category Code]],6, AN_TME_BY[[#All],[Advanced Network/Insurance Carrier Org ID]],B346),0), "TRUE", ROUND(G346-SUMIFS(AN_TME_BY[[#All],[TOTAL Truncated Unadjusted Claims Expenses (A21 -A19)]], AN_TME_BY[[#All],[Insurance Category Code]],6, AN_TME_BY[[#All],[Advanced Network/Insurance Carrier Org ID]],B346),2))</f>
        <v>TRUE</v>
      </c>
      <c r="M346" s="525" t="str">
        <f t="shared" si="42"/>
        <v>TRUE</v>
      </c>
      <c r="N346" s="533" t="b">
        <f>ROUND(SUMIFS(AN_TME_BY[[#All],[TOTAL Non-Truncated Unadjusted Claims Expenses]], AN_TME_BY[[#All],[Insurance Category Code]],6, AN_TME_BY[[#All],[Advanced Network/Insurance Carrier Org ID]],B346),2)&gt;=ROUND(SUMIFS(AN_TME_BY[[#All],[TOTAL Truncated Unadjusted Claims Expenses (A21 -A19)]], AN_TME_BY[[#All],[Insurance Category Code]],6, AN_TME_BY[[#All],[Advanced Network/Insurance Carrier Org ID]],B346),2)</f>
        <v>1</v>
      </c>
      <c r="O346" s="534" t="b">
        <f>ROUND(SUMIFS(AN_TME_BY[[#All],[TOTAL Truncated Unadjusted Claims Expenses (A21 -A19)]], AN_TME_BY[[#All],[Insurance Category Code]],6, AN_TME_BY[[#All],[Advanced Network/Insurance Carrier Org ID]],B346)+SUMIFS(AN_TME_BY[[#All],[Total Claims Excluded because of Truncation]], AN_TME_BY[[#All],[Insurance Category Code]],6, AN_TME_BY[[#All],[Advanced Network/Insurance Carrier Org ID]],B346),2)=ROUND(SUMIFS(AN_TME_BY[[#All],[TOTAL Non-Truncated Unadjusted Claims Expenses]], AN_TME_BY[[#All],[Insurance Category Code]],6, AN_TME_BY[[#All],[Advanced Network/Insurance Carrier Org ID]],B346),2)</f>
        <v>1</v>
      </c>
      <c r="Q346" s="216">
        <v>126</v>
      </c>
      <c r="R346" s="404">
        <f>ROUND(SUMIFS(Age_Sex_PY[[#All],[Total Member Months by Age/Sex Band]], Age_Sex_PY[[#All],[Advanced Network ID]], $Q346, Age_Sex_PY[[#All],[Insurance Category Code]],6),2)</f>
        <v>0</v>
      </c>
      <c r="S346" s="238">
        <f>ROUND(SUMIFS(Age_Sex_PY[[#All],[Total Dollars Excluded from Spending After Applying Truncation at the Member Level]], Age_Sex_PY[[#All],[Advanced Network ID]], $B346, Age_Sex_PY[[#All],[Insurance Category Code]],6),2)</f>
        <v>0</v>
      </c>
      <c r="T346" s="209">
        <f>ROUND(SUMIFS(Age_Sex_PY[[#All],[Count of Members whose Spending was Truncated]], Age_Sex_PY[[#All],[Advanced Network ID]], $B346, Age_Sex_PY[[#All],[Insurance Category Code]],6),2)</f>
        <v>0</v>
      </c>
      <c r="U346" s="210">
        <f>ROUND(SUMIFS(Age_Sex_PY[[#All],[Total Spending before Truncation is Applied]], Age_Sex_PY[[#All],[Advanced Network ID]], $B346, Age_Sex_PY[[#All],[Insurance Category Code]],6),2)</f>
        <v>0</v>
      </c>
      <c r="V346" s="212">
        <f>ROUND(SUMIFS(Age_Sex_PY[[#All],[Total Spending After Applying Truncation at the Member Level]], Age_Sex_PY[[#All],[Advanced Network ID]], $B346, Age_Sex_PY[[#All],[Insurance Category Code]],6),2)</f>
        <v>0</v>
      </c>
      <c r="W346" s="525" t="str">
        <f>IF(ROUND(R346,0)=ROUND(SUMIFS(AN_TME_PY[[#All],[Member Months]], AN_TME_PY[[#All],[Insurance Category Code]],6, AN_TME_PY[[#All],[Advanced Network/Insurance Carrier Org ID]],Q346),0), "TRUE", ROUND(R346-SUMIFS(AN_TME_PY[[#All],[Member Months]], AN_TME_PY[[#All],[Insurance Category Code]],6, AN_TME_PY[[#All],[Advanced Network/Insurance Carrier Org ID]],Q346),2))</f>
        <v>TRUE</v>
      </c>
      <c r="X346" s="533" t="str">
        <f>IF(ROUND(S346,0)=ROUND(SUMIFS(AN_TME_PY[[#All],[Total Claims Excluded because of Truncation]], AN_TME_PY[[#All],[Insurance Category Code]],6, AN_TME_PY[[#All],[Advanced Network/Insurance Carrier Org ID]],Q346),0), "TRUE", ROUND(S346-SUMIFS(AN_TME_PY[[#All],[Total Claims Excluded because of Truncation]], AN_TME_PY[[#All],[Insurance Category Code]],6, AN_TME_PY[[#All],[Advanced Network/Insurance Carrier Org ID]],Q346),2))</f>
        <v>TRUE</v>
      </c>
      <c r="Y346" s="537" t="str">
        <f>IF(ROUND(T346,0)=ROUND(SUMIFS(AN_TME_PY[[#All],[Count of Members with Claims Truncated]], AN_TME_PY[[#All],[Insurance Category Code]],6, AN_TME_PY[[#All],[Advanced Network/Insurance Carrier Org ID]],Q346),0), "TRUE", ROUND(T346-SUMIFS(AN_TME_PY[[#All],[Count of Members with Claims Truncated]], AN_TME_PY[[#All],[Insurance Category Code]],6, AN_TME_PY[[#All],[Advanced Network/Insurance Carrier Org ID]],Q346),2))</f>
        <v>TRUE</v>
      </c>
      <c r="Z346" s="533" t="str">
        <f>IF(ROUND(U346,0)=ROUND(SUMIFS(AN_TME_PY[[#All],[TOTAL Non-Truncated Unadjusted Claims Expenses]], AN_TME_PY[[#All],[Insurance Category Code]],6, AN_TME_PY[[#All],[Advanced Network/Insurance Carrier Org ID]],Q346),0), "TRUE", ROUND(U346-SUMIFS(AN_TME_PY[[#All],[TOTAL Non-Truncated Unadjusted Claims Expenses]], AN_TME_PY[[#All],[Insurance Category Code]],6, AN_TME_PY[[#All],[Advanced Network/Insurance Carrier Org ID]],Q346),2))</f>
        <v>TRUE</v>
      </c>
      <c r="AA346" s="534" t="str">
        <f>IF(ROUND(V346,0)=ROUND(SUMIFS(AN_TME_PY[[#All],[TOTAL Truncated Unadjusted Claims Expenses (A21 -A19)]], AN_TME_PY[[#All],[Insurance Category Code]],6, AN_TME_PY[[#All],[Advanced Network/Insurance Carrier Org ID]],Q346),0), "TRUE", ROUND(V346-SUMIFS(AN_TME_PY[[#All],[TOTAL Truncated Unadjusted Claims Expenses (A21 -A19)]], AN_TME_PY[[#All],[Insurance Category Code]],6, AN_TME_PY[[#All],[Advanced Network/Insurance Carrier Org ID]],Q346),2))</f>
        <v>TRUE</v>
      </c>
      <c r="AB346" s="525" t="str">
        <f t="shared" si="45"/>
        <v>TRUE</v>
      </c>
      <c r="AC346" s="533" t="b">
        <f>ROUND(SUMIFS(AN_TME_PY[[#All],[TOTAL Non-Truncated Unadjusted Claims Expenses]], AN_TME_PY[[#All],[Insurance Category Code]],6, AN_TME_PY[[#All],[Advanced Network/Insurance Carrier Org ID]],Q346),2)&gt;=ROUND(SUMIFS(AN_TME_PY[[#All],[TOTAL Truncated Unadjusted Claims Expenses (A21 -A19)]], AN_TME_PY[[#All],[Insurance Category Code]],6, AN_TME_PY[[#All],[Advanced Network/Insurance Carrier Org ID]],Q346),2)</f>
        <v>1</v>
      </c>
      <c r="AD346" s="534" t="b">
        <f>ROUND(SUMIFS(AN_TME_PY[[#All],[TOTAL Truncated Unadjusted Claims Expenses (A21 -A19)]], AN_TME_PY[[#All],[Insurance Category Code]],6, AN_TME_PY[[#All],[Advanced Network/Insurance Carrier Org ID]],Q346)+SUMIFS(AN_TME_PY[[#All],[Total Claims Excluded because of Truncation]], AN_TME_PY[[#All],[Insurance Category Code]],6, AN_TME_PY[[#All],[Advanced Network/Insurance Carrier Org ID]],Q346),2)=ROUND(SUMIFS(AN_TME_PY[[#All],[TOTAL Non-Truncated Unadjusted Claims Expenses]], AN_TME_PY[[#All],[Insurance Category Code]],6, AN_TME_PY[[#All],[Advanced Network/Insurance Carrier Org ID]],Q346),2)</f>
        <v>1</v>
      </c>
      <c r="AF346" s="283" t="str">
        <f t="shared" si="44"/>
        <v>NA</v>
      </c>
    </row>
    <row r="347" spans="2:32" outlineLevel="1" x14ac:dyDescent="0.25">
      <c r="B347" s="216">
        <v>127</v>
      </c>
      <c r="C347" s="404">
        <f>ROUND(SUMIFS(Age_Sex_BY[[#All],[Total Member Months by Age/Sex Band]], Age_Sex_BY[[#All],[Advanced Network ID]], $B347, Age_Sex_BY[[#All],[Insurance Category Code]],6),2)</f>
        <v>0</v>
      </c>
      <c r="D347" s="238">
        <f>ROUND(SUMIFS(Age_Sex_BY[[#All],[Total Dollars Excluded from Spending After Applying Truncation at the Member Level]], Age_Sex_BY[[#All],[Advanced Network ID]], $B347, Age_Sex_BY[[#All],[Insurance Category Code]],6),2)</f>
        <v>0</v>
      </c>
      <c r="E347" s="209">
        <f>ROUND(SUMIFS(Age_Sex_BY[[#All],[Count of Members whose Spending was Truncated]], Age_Sex_BY[[#All],[Advanced Network ID]], $B347, Age_Sex_BY[[#All],[Insurance Category Code]],6),2)</f>
        <v>0</v>
      </c>
      <c r="F347" s="210">
        <f>ROUND(SUMIFS(Age_Sex_BY[[#All],[Total Spending before Truncation is Applied]], Age_Sex_BY[[#All],[Advanced Network ID]], $B347, Age_Sex_BY[[#All],[Insurance Category Code]],6),2)</f>
        <v>0</v>
      </c>
      <c r="G347" s="212">
        <f>ROUND(SUMIFS(Age_Sex_BY[[#All],[Total Spending After Applying Truncation at the Member Level]], Age_Sex_BY[[#All],[Advanced Network ID]], $B347, Age_Sex_BY[[#All],[Insurance Category Code]],6),2)</f>
        <v>0</v>
      </c>
      <c r="H347" s="525" t="str">
        <f>IF(ROUND(C347,0)=ROUND(SUMIFS(AN_TME_BY[[#All],[Member Months]], AN_TME_BY[[#All],[Insurance Category Code]],6, AN_TME_BY[[#All],[Advanced Network/Insurance Carrier Org ID]],B347),0), "TRUE", ROUND(C347-SUMIFS(AN_TME_BY[[#All],[Member Months]], AN_TME_BY[[#All],[Insurance Category Code]],6, AN_TME_BY[[#All],[Advanced Network/Insurance Carrier Org ID]],B347),2))</f>
        <v>TRUE</v>
      </c>
      <c r="I347" s="533" t="str">
        <f>IF(ROUND(D347,0)=ROUND(SUMIFS(AN_TME_BY[[#All],[Total Claims Excluded because of Truncation]], AN_TME_BY[[#All],[Insurance Category Code]],6, AN_TME_BY[[#All],[Advanced Network/Insurance Carrier Org ID]],B347),0), "TRUE", ROUND(D347-SUMIFS(AN_TME_BY[[#All],[Total Claims Excluded because of Truncation]], AN_TME_BY[[#All],[Insurance Category Code]],6, AN_TME_BY[[#All],[Advanced Network/Insurance Carrier Org ID]],B347),2))</f>
        <v>TRUE</v>
      </c>
      <c r="J347" s="537" t="str">
        <f>IF(ROUND(E347,0)=ROUND(SUMIFS(AN_TME_BY[[#All],[Count of Members with Claims Truncated]], AN_TME_BY[[#All],[Insurance Category Code]],6, AN_TME_BY[[#All],[Advanced Network/Insurance Carrier Org ID]],B347),0), "TRUE", ROUND(E347-SUMIFS(AN_TME_BY[[#All],[Count of Members with Claims Truncated]], AN_TME_BY[[#All],[Insurance Category Code]],6, AN_TME_BY[[#All],[Advanced Network/Insurance Carrier Org ID]],B347),2))</f>
        <v>TRUE</v>
      </c>
      <c r="K347" s="533" t="str">
        <f>IF(ROUND(F347,0)=ROUND(SUMIFS(AN_TME_BY[[#All],[TOTAL Non-Truncated Unadjusted Claims Expenses]], AN_TME_BY[[#All],[Insurance Category Code]],6, AN_TME_BY[[#All],[Advanced Network/Insurance Carrier Org ID]],B347),0), "TRUE", ROUND(F347-SUMIFS(AN_TME_BY[[#All],[TOTAL Non-Truncated Unadjusted Claims Expenses]], AN_TME_BY[[#All],[Insurance Category Code]],6, AN_TME_BY[[#All],[Advanced Network/Insurance Carrier Org ID]],B347),2))</f>
        <v>TRUE</v>
      </c>
      <c r="L347" s="534" t="str">
        <f>IF(ROUND(G347,0)=ROUND(SUMIFS(AN_TME_BY[[#All],[TOTAL Truncated Unadjusted Claims Expenses (A21 -A19)]], AN_TME_BY[[#All],[Insurance Category Code]],6, AN_TME_BY[[#All],[Advanced Network/Insurance Carrier Org ID]],B347),0), "TRUE", ROUND(G347-SUMIFS(AN_TME_BY[[#All],[TOTAL Truncated Unadjusted Claims Expenses (A21 -A19)]], AN_TME_BY[[#All],[Insurance Category Code]],6, AN_TME_BY[[#All],[Advanced Network/Insurance Carrier Org ID]],B347),2))</f>
        <v>TRUE</v>
      </c>
      <c r="M347" s="525" t="str">
        <f t="shared" si="42"/>
        <v>TRUE</v>
      </c>
      <c r="N347" s="533" t="b">
        <f>ROUND(SUMIFS(AN_TME_BY[[#All],[TOTAL Non-Truncated Unadjusted Claims Expenses]], AN_TME_BY[[#All],[Insurance Category Code]],6, AN_TME_BY[[#All],[Advanced Network/Insurance Carrier Org ID]],B347),2)&gt;=ROUND(SUMIFS(AN_TME_BY[[#All],[TOTAL Truncated Unadjusted Claims Expenses (A21 -A19)]], AN_TME_BY[[#All],[Insurance Category Code]],6, AN_TME_BY[[#All],[Advanced Network/Insurance Carrier Org ID]],B347),2)</f>
        <v>1</v>
      </c>
      <c r="O347" s="534" t="b">
        <f>ROUND(SUMIFS(AN_TME_BY[[#All],[TOTAL Truncated Unadjusted Claims Expenses (A21 -A19)]], AN_TME_BY[[#All],[Insurance Category Code]],6, AN_TME_BY[[#All],[Advanced Network/Insurance Carrier Org ID]],B347)+SUMIFS(AN_TME_BY[[#All],[Total Claims Excluded because of Truncation]], AN_TME_BY[[#All],[Insurance Category Code]],6, AN_TME_BY[[#All],[Advanced Network/Insurance Carrier Org ID]],B347),2)=ROUND(SUMIFS(AN_TME_BY[[#All],[TOTAL Non-Truncated Unadjusted Claims Expenses]], AN_TME_BY[[#All],[Insurance Category Code]],6, AN_TME_BY[[#All],[Advanced Network/Insurance Carrier Org ID]],B347),2)</f>
        <v>1</v>
      </c>
      <c r="Q347" s="216">
        <v>127</v>
      </c>
      <c r="R347" s="404">
        <f>ROUND(SUMIFS(Age_Sex_PY[[#All],[Total Member Months by Age/Sex Band]], Age_Sex_PY[[#All],[Advanced Network ID]], $Q347, Age_Sex_PY[[#All],[Insurance Category Code]],6),2)</f>
        <v>0</v>
      </c>
      <c r="S347" s="238">
        <f>ROUND(SUMIFS(Age_Sex_PY[[#All],[Total Dollars Excluded from Spending After Applying Truncation at the Member Level]], Age_Sex_PY[[#All],[Advanced Network ID]], $B347, Age_Sex_PY[[#All],[Insurance Category Code]],6),2)</f>
        <v>0</v>
      </c>
      <c r="T347" s="209">
        <f>ROUND(SUMIFS(Age_Sex_PY[[#All],[Count of Members whose Spending was Truncated]], Age_Sex_PY[[#All],[Advanced Network ID]], $B347, Age_Sex_PY[[#All],[Insurance Category Code]],6),2)</f>
        <v>0</v>
      </c>
      <c r="U347" s="210">
        <f>ROUND(SUMIFS(Age_Sex_PY[[#All],[Total Spending before Truncation is Applied]], Age_Sex_PY[[#All],[Advanced Network ID]], $B347, Age_Sex_PY[[#All],[Insurance Category Code]],6),2)</f>
        <v>0</v>
      </c>
      <c r="V347" s="212">
        <f>ROUND(SUMIFS(Age_Sex_PY[[#All],[Total Spending After Applying Truncation at the Member Level]], Age_Sex_PY[[#All],[Advanced Network ID]], $B347, Age_Sex_PY[[#All],[Insurance Category Code]],6),2)</f>
        <v>0</v>
      </c>
      <c r="W347" s="525" t="str">
        <f>IF(ROUND(R347,0)=ROUND(SUMIFS(AN_TME_PY[[#All],[Member Months]], AN_TME_PY[[#All],[Insurance Category Code]],6, AN_TME_PY[[#All],[Advanced Network/Insurance Carrier Org ID]],Q347),0), "TRUE", ROUND(R347-SUMIFS(AN_TME_PY[[#All],[Member Months]], AN_TME_PY[[#All],[Insurance Category Code]],6, AN_TME_PY[[#All],[Advanced Network/Insurance Carrier Org ID]],Q347),2))</f>
        <v>TRUE</v>
      </c>
      <c r="X347" s="533" t="str">
        <f>IF(ROUND(S347,0)=ROUND(SUMIFS(AN_TME_PY[[#All],[Total Claims Excluded because of Truncation]], AN_TME_PY[[#All],[Insurance Category Code]],6, AN_TME_PY[[#All],[Advanced Network/Insurance Carrier Org ID]],Q347),0), "TRUE", ROUND(S347-SUMIFS(AN_TME_PY[[#All],[Total Claims Excluded because of Truncation]], AN_TME_PY[[#All],[Insurance Category Code]],6, AN_TME_PY[[#All],[Advanced Network/Insurance Carrier Org ID]],Q347),2))</f>
        <v>TRUE</v>
      </c>
      <c r="Y347" s="537" t="str">
        <f>IF(ROUND(T347,0)=ROUND(SUMIFS(AN_TME_PY[[#All],[Count of Members with Claims Truncated]], AN_TME_PY[[#All],[Insurance Category Code]],6, AN_TME_PY[[#All],[Advanced Network/Insurance Carrier Org ID]],Q347),0), "TRUE", ROUND(T347-SUMIFS(AN_TME_PY[[#All],[Count of Members with Claims Truncated]], AN_TME_PY[[#All],[Insurance Category Code]],6, AN_TME_PY[[#All],[Advanced Network/Insurance Carrier Org ID]],Q347),2))</f>
        <v>TRUE</v>
      </c>
      <c r="Z347" s="533" t="str">
        <f>IF(ROUND(U347,0)=ROUND(SUMIFS(AN_TME_PY[[#All],[TOTAL Non-Truncated Unadjusted Claims Expenses]], AN_TME_PY[[#All],[Insurance Category Code]],6, AN_TME_PY[[#All],[Advanced Network/Insurance Carrier Org ID]],Q347),0), "TRUE", ROUND(U347-SUMIFS(AN_TME_PY[[#All],[TOTAL Non-Truncated Unadjusted Claims Expenses]], AN_TME_PY[[#All],[Insurance Category Code]],6, AN_TME_PY[[#All],[Advanced Network/Insurance Carrier Org ID]],Q347),2))</f>
        <v>TRUE</v>
      </c>
      <c r="AA347" s="534" t="str">
        <f>IF(ROUND(V347,0)=ROUND(SUMIFS(AN_TME_PY[[#All],[TOTAL Truncated Unadjusted Claims Expenses (A21 -A19)]], AN_TME_PY[[#All],[Insurance Category Code]],6, AN_TME_PY[[#All],[Advanced Network/Insurance Carrier Org ID]],Q347),0), "TRUE", ROUND(V347-SUMIFS(AN_TME_PY[[#All],[TOTAL Truncated Unadjusted Claims Expenses (A21 -A19)]], AN_TME_PY[[#All],[Insurance Category Code]],6, AN_TME_PY[[#All],[Advanced Network/Insurance Carrier Org ID]],Q347),2))</f>
        <v>TRUE</v>
      </c>
      <c r="AB347" s="525" t="str">
        <f t="shared" si="45"/>
        <v>TRUE</v>
      </c>
      <c r="AC347" s="533" t="b">
        <f>ROUND(SUMIFS(AN_TME_PY[[#All],[TOTAL Non-Truncated Unadjusted Claims Expenses]], AN_TME_PY[[#All],[Insurance Category Code]],6, AN_TME_PY[[#All],[Advanced Network/Insurance Carrier Org ID]],Q347),2)&gt;=ROUND(SUMIFS(AN_TME_PY[[#All],[TOTAL Truncated Unadjusted Claims Expenses (A21 -A19)]], AN_TME_PY[[#All],[Insurance Category Code]],6, AN_TME_PY[[#All],[Advanced Network/Insurance Carrier Org ID]],Q347),2)</f>
        <v>1</v>
      </c>
      <c r="AD347" s="534" t="b">
        <f>ROUND(SUMIFS(AN_TME_PY[[#All],[TOTAL Truncated Unadjusted Claims Expenses (A21 -A19)]], AN_TME_PY[[#All],[Insurance Category Code]],6, AN_TME_PY[[#All],[Advanced Network/Insurance Carrier Org ID]],Q347)+SUMIFS(AN_TME_PY[[#All],[Total Claims Excluded because of Truncation]], AN_TME_PY[[#All],[Insurance Category Code]],6, AN_TME_PY[[#All],[Advanced Network/Insurance Carrier Org ID]],Q347),2)=ROUND(SUMIFS(AN_TME_PY[[#All],[TOTAL Non-Truncated Unadjusted Claims Expenses]], AN_TME_PY[[#All],[Insurance Category Code]],6, AN_TME_PY[[#All],[Advanced Network/Insurance Carrier Org ID]],Q347),2)</f>
        <v>1</v>
      </c>
      <c r="AF347" s="283" t="str">
        <f t="shared" si="44"/>
        <v>NA</v>
      </c>
    </row>
    <row r="348" spans="2:32" outlineLevel="1" x14ac:dyDescent="0.25">
      <c r="B348" s="216">
        <v>128</v>
      </c>
      <c r="C348" s="404">
        <f>ROUND(SUMIFS(Age_Sex_BY[[#All],[Total Member Months by Age/Sex Band]], Age_Sex_BY[[#All],[Advanced Network ID]], $B348, Age_Sex_BY[[#All],[Insurance Category Code]],6),2)</f>
        <v>0</v>
      </c>
      <c r="D348" s="238">
        <f>ROUND(SUMIFS(Age_Sex_BY[[#All],[Total Dollars Excluded from Spending After Applying Truncation at the Member Level]], Age_Sex_BY[[#All],[Advanced Network ID]], $B348, Age_Sex_BY[[#All],[Insurance Category Code]],6),2)</f>
        <v>0</v>
      </c>
      <c r="E348" s="209">
        <f>ROUND(SUMIFS(Age_Sex_BY[[#All],[Count of Members whose Spending was Truncated]], Age_Sex_BY[[#All],[Advanced Network ID]], $B348, Age_Sex_BY[[#All],[Insurance Category Code]],6),2)</f>
        <v>0</v>
      </c>
      <c r="F348" s="210">
        <f>ROUND(SUMIFS(Age_Sex_BY[[#All],[Total Spending before Truncation is Applied]], Age_Sex_BY[[#All],[Advanced Network ID]], $B348, Age_Sex_BY[[#All],[Insurance Category Code]],6),2)</f>
        <v>0</v>
      </c>
      <c r="G348" s="212">
        <f>ROUND(SUMIFS(Age_Sex_BY[[#All],[Total Spending After Applying Truncation at the Member Level]], Age_Sex_BY[[#All],[Advanced Network ID]], $B348, Age_Sex_BY[[#All],[Insurance Category Code]],6),2)</f>
        <v>0</v>
      </c>
      <c r="H348" s="525" t="str">
        <f>IF(ROUND(C348,0)=ROUND(SUMIFS(AN_TME_BY[[#All],[Member Months]], AN_TME_BY[[#All],[Insurance Category Code]],6, AN_TME_BY[[#All],[Advanced Network/Insurance Carrier Org ID]],B348),0), "TRUE", ROUND(C348-SUMIFS(AN_TME_BY[[#All],[Member Months]], AN_TME_BY[[#All],[Insurance Category Code]],6, AN_TME_BY[[#All],[Advanced Network/Insurance Carrier Org ID]],B348),2))</f>
        <v>TRUE</v>
      </c>
      <c r="I348" s="533" t="str">
        <f>IF(ROUND(D348,0)=ROUND(SUMIFS(AN_TME_BY[[#All],[Total Claims Excluded because of Truncation]], AN_TME_BY[[#All],[Insurance Category Code]],6, AN_TME_BY[[#All],[Advanced Network/Insurance Carrier Org ID]],B348),0), "TRUE", ROUND(D348-SUMIFS(AN_TME_BY[[#All],[Total Claims Excluded because of Truncation]], AN_TME_BY[[#All],[Insurance Category Code]],6, AN_TME_BY[[#All],[Advanced Network/Insurance Carrier Org ID]],B348),2))</f>
        <v>TRUE</v>
      </c>
      <c r="J348" s="537" t="str">
        <f>IF(ROUND(E348,0)=ROUND(SUMIFS(AN_TME_BY[[#All],[Count of Members with Claims Truncated]], AN_TME_BY[[#All],[Insurance Category Code]],6, AN_TME_BY[[#All],[Advanced Network/Insurance Carrier Org ID]],B348),0), "TRUE", ROUND(E348-SUMIFS(AN_TME_BY[[#All],[Count of Members with Claims Truncated]], AN_TME_BY[[#All],[Insurance Category Code]],6, AN_TME_BY[[#All],[Advanced Network/Insurance Carrier Org ID]],B348),2))</f>
        <v>TRUE</v>
      </c>
      <c r="K348" s="533" t="str">
        <f>IF(ROUND(F348,0)=ROUND(SUMIFS(AN_TME_BY[[#All],[TOTAL Non-Truncated Unadjusted Claims Expenses]], AN_TME_BY[[#All],[Insurance Category Code]],6, AN_TME_BY[[#All],[Advanced Network/Insurance Carrier Org ID]],B348),0), "TRUE", ROUND(F348-SUMIFS(AN_TME_BY[[#All],[TOTAL Non-Truncated Unadjusted Claims Expenses]], AN_TME_BY[[#All],[Insurance Category Code]],6, AN_TME_BY[[#All],[Advanced Network/Insurance Carrier Org ID]],B348),2))</f>
        <v>TRUE</v>
      </c>
      <c r="L348" s="534" t="str">
        <f>IF(ROUND(G348,0)=ROUND(SUMIFS(AN_TME_BY[[#All],[TOTAL Truncated Unadjusted Claims Expenses (A21 -A19)]], AN_TME_BY[[#All],[Insurance Category Code]],6, AN_TME_BY[[#All],[Advanced Network/Insurance Carrier Org ID]],B348),0), "TRUE", ROUND(G348-SUMIFS(AN_TME_BY[[#All],[TOTAL Truncated Unadjusted Claims Expenses (A21 -A19)]], AN_TME_BY[[#All],[Insurance Category Code]],6, AN_TME_BY[[#All],[Advanced Network/Insurance Carrier Org ID]],B348),2))</f>
        <v>TRUE</v>
      </c>
      <c r="M348" s="525" t="str">
        <f t="shared" si="42"/>
        <v>TRUE</v>
      </c>
      <c r="N348" s="533" t="b">
        <f>ROUND(SUMIFS(AN_TME_BY[[#All],[TOTAL Non-Truncated Unadjusted Claims Expenses]], AN_TME_BY[[#All],[Insurance Category Code]],6, AN_TME_BY[[#All],[Advanced Network/Insurance Carrier Org ID]],B348),2)&gt;=ROUND(SUMIFS(AN_TME_BY[[#All],[TOTAL Truncated Unadjusted Claims Expenses (A21 -A19)]], AN_TME_BY[[#All],[Insurance Category Code]],6, AN_TME_BY[[#All],[Advanced Network/Insurance Carrier Org ID]],B348),2)</f>
        <v>1</v>
      </c>
      <c r="O348" s="534" t="b">
        <f>ROUND(SUMIFS(AN_TME_BY[[#All],[TOTAL Truncated Unadjusted Claims Expenses (A21 -A19)]], AN_TME_BY[[#All],[Insurance Category Code]],6, AN_TME_BY[[#All],[Advanced Network/Insurance Carrier Org ID]],B348)+SUMIFS(AN_TME_BY[[#All],[Total Claims Excluded because of Truncation]], AN_TME_BY[[#All],[Insurance Category Code]],6, AN_TME_BY[[#All],[Advanced Network/Insurance Carrier Org ID]],B348),2)=ROUND(SUMIFS(AN_TME_BY[[#All],[TOTAL Non-Truncated Unadjusted Claims Expenses]], AN_TME_BY[[#All],[Insurance Category Code]],6, AN_TME_BY[[#All],[Advanced Network/Insurance Carrier Org ID]],B348),2)</f>
        <v>1</v>
      </c>
      <c r="Q348" s="216">
        <v>128</v>
      </c>
      <c r="R348" s="404">
        <f>ROUND(SUMIFS(Age_Sex_PY[[#All],[Total Member Months by Age/Sex Band]], Age_Sex_PY[[#All],[Advanced Network ID]], $Q348, Age_Sex_PY[[#All],[Insurance Category Code]],6),2)</f>
        <v>0</v>
      </c>
      <c r="S348" s="238">
        <f>ROUND(SUMIFS(Age_Sex_PY[[#All],[Total Dollars Excluded from Spending After Applying Truncation at the Member Level]], Age_Sex_PY[[#All],[Advanced Network ID]], $B348, Age_Sex_PY[[#All],[Insurance Category Code]],6),2)</f>
        <v>0</v>
      </c>
      <c r="T348" s="209">
        <f>ROUND(SUMIFS(Age_Sex_PY[[#All],[Count of Members whose Spending was Truncated]], Age_Sex_PY[[#All],[Advanced Network ID]], $B348, Age_Sex_PY[[#All],[Insurance Category Code]],6),2)</f>
        <v>0</v>
      </c>
      <c r="U348" s="210">
        <f>ROUND(SUMIFS(Age_Sex_PY[[#All],[Total Spending before Truncation is Applied]], Age_Sex_PY[[#All],[Advanced Network ID]], $B348, Age_Sex_PY[[#All],[Insurance Category Code]],6),2)</f>
        <v>0</v>
      </c>
      <c r="V348" s="212">
        <f>ROUND(SUMIFS(Age_Sex_PY[[#All],[Total Spending After Applying Truncation at the Member Level]], Age_Sex_PY[[#All],[Advanced Network ID]], $B348, Age_Sex_PY[[#All],[Insurance Category Code]],6),2)</f>
        <v>0</v>
      </c>
      <c r="W348" s="525" t="str">
        <f>IF(ROUND(R348,0)=ROUND(SUMIFS(AN_TME_PY[[#All],[Member Months]], AN_TME_PY[[#All],[Insurance Category Code]],6, AN_TME_PY[[#All],[Advanced Network/Insurance Carrier Org ID]],Q348),0), "TRUE", ROUND(R348-SUMIFS(AN_TME_PY[[#All],[Member Months]], AN_TME_PY[[#All],[Insurance Category Code]],6, AN_TME_PY[[#All],[Advanced Network/Insurance Carrier Org ID]],Q348),2))</f>
        <v>TRUE</v>
      </c>
      <c r="X348" s="533" t="str">
        <f>IF(ROUND(S348,0)=ROUND(SUMIFS(AN_TME_PY[[#All],[Total Claims Excluded because of Truncation]], AN_TME_PY[[#All],[Insurance Category Code]],6, AN_TME_PY[[#All],[Advanced Network/Insurance Carrier Org ID]],Q348),0), "TRUE", ROUND(S348-SUMIFS(AN_TME_PY[[#All],[Total Claims Excluded because of Truncation]], AN_TME_PY[[#All],[Insurance Category Code]],6, AN_TME_PY[[#All],[Advanced Network/Insurance Carrier Org ID]],Q348),2))</f>
        <v>TRUE</v>
      </c>
      <c r="Y348" s="537" t="str">
        <f>IF(ROUND(T348,0)=ROUND(SUMIFS(AN_TME_PY[[#All],[Count of Members with Claims Truncated]], AN_TME_PY[[#All],[Insurance Category Code]],6, AN_TME_PY[[#All],[Advanced Network/Insurance Carrier Org ID]],Q348),0), "TRUE", ROUND(T348-SUMIFS(AN_TME_PY[[#All],[Count of Members with Claims Truncated]], AN_TME_PY[[#All],[Insurance Category Code]],6, AN_TME_PY[[#All],[Advanced Network/Insurance Carrier Org ID]],Q348),2))</f>
        <v>TRUE</v>
      </c>
      <c r="Z348" s="533" t="str">
        <f>IF(ROUND(U348,0)=ROUND(SUMIFS(AN_TME_PY[[#All],[TOTAL Non-Truncated Unadjusted Claims Expenses]], AN_TME_PY[[#All],[Insurance Category Code]],6, AN_TME_PY[[#All],[Advanced Network/Insurance Carrier Org ID]],Q348),0), "TRUE", ROUND(U348-SUMIFS(AN_TME_PY[[#All],[TOTAL Non-Truncated Unadjusted Claims Expenses]], AN_TME_PY[[#All],[Insurance Category Code]],6, AN_TME_PY[[#All],[Advanced Network/Insurance Carrier Org ID]],Q348),2))</f>
        <v>TRUE</v>
      </c>
      <c r="AA348" s="534" t="str">
        <f>IF(ROUND(V348,0)=ROUND(SUMIFS(AN_TME_PY[[#All],[TOTAL Truncated Unadjusted Claims Expenses (A21 -A19)]], AN_TME_PY[[#All],[Insurance Category Code]],6, AN_TME_PY[[#All],[Advanced Network/Insurance Carrier Org ID]],Q348),0), "TRUE", ROUND(V348-SUMIFS(AN_TME_PY[[#All],[TOTAL Truncated Unadjusted Claims Expenses (A21 -A19)]], AN_TME_PY[[#All],[Insurance Category Code]],6, AN_TME_PY[[#All],[Advanced Network/Insurance Carrier Org ID]],Q348),2))</f>
        <v>TRUE</v>
      </c>
      <c r="AB348" s="525" t="str">
        <f t="shared" si="45"/>
        <v>TRUE</v>
      </c>
      <c r="AC348" s="533" t="b">
        <f>ROUND(SUMIFS(AN_TME_PY[[#All],[TOTAL Non-Truncated Unadjusted Claims Expenses]], AN_TME_PY[[#All],[Insurance Category Code]],6, AN_TME_PY[[#All],[Advanced Network/Insurance Carrier Org ID]],Q348),2)&gt;=ROUND(SUMIFS(AN_TME_PY[[#All],[TOTAL Truncated Unadjusted Claims Expenses (A21 -A19)]], AN_TME_PY[[#All],[Insurance Category Code]],6, AN_TME_PY[[#All],[Advanced Network/Insurance Carrier Org ID]],Q348),2)</f>
        <v>1</v>
      </c>
      <c r="AD348" s="534" t="b">
        <f>ROUND(SUMIFS(AN_TME_PY[[#All],[TOTAL Truncated Unadjusted Claims Expenses (A21 -A19)]], AN_TME_PY[[#All],[Insurance Category Code]],6, AN_TME_PY[[#All],[Advanced Network/Insurance Carrier Org ID]],Q348)+SUMIFS(AN_TME_PY[[#All],[Total Claims Excluded because of Truncation]], AN_TME_PY[[#All],[Insurance Category Code]],6, AN_TME_PY[[#All],[Advanced Network/Insurance Carrier Org ID]],Q348),2)=ROUND(SUMIFS(AN_TME_PY[[#All],[TOTAL Non-Truncated Unadjusted Claims Expenses]], AN_TME_PY[[#All],[Insurance Category Code]],6, AN_TME_PY[[#All],[Advanced Network/Insurance Carrier Org ID]],Q348),2)</f>
        <v>1</v>
      </c>
      <c r="AF348" s="283" t="str">
        <f t="shared" si="44"/>
        <v>NA</v>
      </c>
    </row>
    <row r="349" spans="2:32" outlineLevel="1" x14ac:dyDescent="0.25">
      <c r="B349" s="216">
        <v>129</v>
      </c>
      <c r="C349" s="404">
        <f>ROUND(SUMIFS(Age_Sex_BY[[#All],[Total Member Months by Age/Sex Band]], Age_Sex_BY[[#All],[Advanced Network ID]], $B349, Age_Sex_BY[[#All],[Insurance Category Code]],6),2)</f>
        <v>0</v>
      </c>
      <c r="D349" s="238">
        <f>ROUND(SUMIFS(Age_Sex_BY[[#All],[Total Dollars Excluded from Spending After Applying Truncation at the Member Level]], Age_Sex_BY[[#All],[Advanced Network ID]], $B349, Age_Sex_BY[[#All],[Insurance Category Code]],6),2)</f>
        <v>0</v>
      </c>
      <c r="E349" s="209">
        <f>ROUND(SUMIFS(Age_Sex_BY[[#All],[Count of Members whose Spending was Truncated]], Age_Sex_BY[[#All],[Advanced Network ID]], $B349, Age_Sex_BY[[#All],[Insurance Category Code]],6),2)</f>
        <v>0</v>
      </c>
      <c r="F349" s="210">
        <f>ROUND(SUMIFS(Age_Sex_BY[[#All],[Total Spending before Truncation is Applied]], Age_Sex_BY[[#All],[Advanced Network ID]], $B349, Age_Sex_BY[[#All],[Insurance Category Code]],6),2)</f>
        <v>0</v>
      </c>
      <c r="G349" s="212">
        <f>ROUND(SUMIFS(Age_Sex_BY[[#All],[Total Spending After Applying Truncation at the Member Level]], Age_Sex_BY[[#All],[Advanced Network ID]], $B349, Age_Sex_BY[[#All],[Insurance Category Code]],6),2)</f>
        <v>0</v>
      </c>
      <c r="H349" s="525" t="str">
        <f>IF(ROUND(C349,0)=ROUND(SUMIFS(AN_TME_BY[[#All],[Member Months]], AN_TME_BY[[#All],[Insurance Category Code]],6, AN_TME_BY[[#All],[Advanced Network/Insurance Carrier Org ID]],B349),0), "TRUE", ROUND(C349-SUMIFS(AN_TME_BY[[#All],[Member Months]], AN_TME_BY[[#All],[Insurance Category Code]],6, AN_TME_BY[[#All],[Advanced Network/Insurance Carrier Org ID]],B349),2))</f>
        <v>TRUE</v>
      </c>
      <c r="I349" s="533" t="str">
        <f>IF(ROUND(D349,0)=ROUND(SUMIFS(AN_TME_BY[[#All],[Total Claims Excluded because of Truncation]], AN_TME_BY[[#All],[Insurance Category Code]],6, AN_TME_BY[[#All],[Advanced Network/Insurance Carrier Org ID]],B349),0), "TRUE", ROUND(D349-SUMIFS(AN_TME_BY[[#All],[Total Claims Excluded because of Truncation]], AN_TME_BY[[#All],[Insurance Category Code]],6, AN_TME_BY[[#All],[Advanced Network/Insurance Carrier Org ID]],B349),2))</f>
        <v>TRUE</v>
      </c>
      <c r="J349" s="537" t="str">
        <f>IF(ROUND(E349,0)=ROUND(SUMIFS(AN_TME_BY[[#All],[Count of Members with Claims Truncated]], AN_TME_BY[[#All],[Insurance Category Code]],6, AN_TME_BY[[#All],[Advanced Network/Insurance Carrier Org ID]],B349),0), "TRUE", ROUND(E349-SUMIFS(AN_TME_BY[[#All],[Count of Members with Claims Truncated]], AN_TME_BY[[#All],[Insurance Category Code]],6, AN_TME_BY[[#All],[Advanced Network/Insurance Carrier Org ID]],B349),2))</f>
        <v>TRUE</v>
      </c>
      <c r="K349" s="533" t="str">
        <f>IF(ROUND(F349,0)=ROUND(SUMIFS(AN_TME_BY[[#All],[TOTAL Non-Truncated Unadjusted Claims Expenses]], AN_TME_BY[[#All],[Insurance Category Code]],6, AN_TME_BY[[#All],[Advanced Network/Insurance Carrier Org ID]],B349),0), "TRUE", ROUND(F349-SUMIFS(AN_TME_BY[[#All],[TOTAL Non-Truncated Unadjusted Claims Expenses]], AN_TME_BY[[#All],[Insurance Category Code]],6, AN_TME_BY[[#All],[Advanced Network/Insurance Carrier Org ID]],B349),2))</f>
        <v>TRUE</v>
      </c>
      <c r="L349" s="534" t="str">
        <f>IF(ROUND(G349,0)=ROUND(SUMIFS(AN_TME_BY[[#All],[TOTAL Truncated Unadjusted Claims Expenses (A21 -A19)]], AN_TME_BY[[#All],[Insurance Category Code]],6, AN_TME_BY[[#All],[Advanced Network/Insurance Carrier Org ID]],B349),0), "TRUE", ROUND(G349-SUMIFS(AN_TME_BY[[#All],[TOTAL Truncated Unadjusted Claims Expenses (A21 -A19)]], AN_TME_BY[[#All],[Insurance Category Code]],6, AN_TME_BY[[#All],[Advanced Network/Insurance Carrier Org ID]],B349),2))</f>
        <v>TRUE</v>
      </c>
      <c r="M349" s="525" t="str">
        <f t="shared" si="42"/>
        <v>TRUE</v>
      </c>
      <c r="N349" s="533" t="b">
        <f>ROUND(SUMIFS(AN_TME_BY[[#All],[TOTAL Non-Truncated Unadjusted Claims Expenses]], AN_TME_BY[[#All],[Insurance Category Code]],6, AN_TME_BY[[#All],[Advanced Network/Insurance Carrier Org ID]],B349),2)&gt;=ROUND(SUMIFS(AN_TME_BY[[#All],[TOTAL Truncated Unadjusted Claims Expenses (A21 -A19)]], AN_TME_BY[[#All],[Insurance Category Code]],6, AN_TME_BY[[#All],[Advanced Network/Insurance Carrier Org ID]],B349),2)</f>
        <v>1</v>
      </c>
      <c r="O349" s="534" t="b">
        <f>ROUND(SUMIFS(AN_TME_BY[[#All],[TOTAL Truncated Unadjusted Claims Expenses (A21 -A19)]], AN_TME_BY[[#All],[Insurance Category Code]],6, AN_TME_BY[[#All],[Advanced Network/Insurance Carrier Org ID]],B349)+SUMIFS(AN_TME_BY[[#All],[Total Claims Excluded because of Truncation]], AN_TME_BY[[#All],[Insurance Category Code]],6, AN_TME_BY[[#All],[Advanced Network/Insurance Carrier Org ID]],B349),2)=ROUND(SUMIFS(AN_TME_BY[[#All],[TOTAL Non-Truncated Unadjusted Claims Expenses]], AN_TME_BY[[#All],[Insurance Category Code]],6, AN_TME_BY[[#All],[Advanced Network/Insurance Carrier Org ID]],B349),2)</f>
        <v>1</v>
      </c>
      <c r="Q349" s="216">
        <v>129</v>
      </c>
      <c r="R349" s="404">
        <f>ROUND(SUMIFS(Age_Sex_PY[[#All],[Total Member Months by Age/Sex Band]], Age_Sex_PY[[#All],[Advanced Network ID]], $Q349, Age_Sex_PY[[#All],[Insurance Category Code]],6),2)</f>
        <v>0</v>
      </c>
      <c r="S349" s="238">
        <f>ROUND(SUMIFS(Age_Sex_PY[[#All],[Total Dollars Excluded from Spending After Applying Truncation at the Member Level]], Age_Sex_PY[[#All],[Advanced Network ID]], $B349, Age_Sex_PY[[#All],[Insurance Category Code]],6),2)</f>
        <v>0</v>
      </c>
      <c r="T349" s="209">
        <f>ROUND(SUMIFS(Age_Sex_PY[[#All],[Count of Members whose Spending was Truncated]], Age_Sex_PY[[#All],[Advanced Network ID]], $B349, Age_Sex_PY[[#All],[Insurance Category Code]],6),2)</f>
        <v>0</v>
      </c>
      <c r="U349" s="210">
        <f>ROUND(SUMIFS(Age_Sex_PY[[#All],[Total Spending before Truncation is Applied]], Age_Sex_PY[[#All],[Advanced Network ID]], $B349, Age_Sex_PY[[#All],[Insurance Category Code]],6),2)</f>
        <v>0</v>
      </c>
      <c r="V349" s="212">
        <f>ROUND(SUMIFS(Age_Sex_PY[[#All],[Total Spending After Applying Truncation at the Member Level]], Age_Sex_PY[[#All],[Advanced Network ID]], $B349, Age_Sex_PY[[#All],[Insurance Category Code]],6),2)</f>
        <v>0</v>
      </c>
      <c r="W349" s="525" t="str">
        <f>IF(ROUND(R349,0)=ROUND(SUMIFS(AN_TME_PY[[#All],[Member Months]], AN_TME_PY[[#All],[Insurance Category Code]],6, AN_TME_PY[[#All],[Advanced Network/Insurance Carrier Org ID]],Q349),0), "TRUE", ROUND(R349-SUMIFS(AN_TME_PY[[#All],[Member Months]], AN_TME_PY[[#All],[Insurance Category Code]],6, AN_TME_PY[[#All],[Advanced Network/Insurance Carrier Org ID]],Q349),2))</f>
        <v>TRUE</v>
      </c>
      <c r="X349" s="533" t="str">
        <f>IF(ROUND(S349,0)=ROUND(SUMIFS(AN_TME_PY[[#All],[Total Claims Excluded because of Truncation]], AN_TME_PY[[#All],[Insurance Category Code]],6, AN_TME_PY[[#All],[Advanced Network/Insurance Carrier Org ID]],Q349),0), "TRUE", ROUND(S349-SUMIFS(AN_TME_PY[[#All],[Total Claims Excluded because of Truncation]], AN_TME_PY[[#All],[Insurance Category Code]],6, AN_TME_PY[[#All],[Advanced Network/Insurance Carrier Org ID]],Q349),2))</f>
        <v>TRUE</v>
      </c>
      <c r="Y349" s="537" t="str">
        <f>IF(ROUND(T349,0)=ROUND(SUMIFS(AN_TME_PY[[#All],[Count of Members with Claims Truncated]], AN_TME_PY[[#All],[Insurance Category Code]],6, AN_TME_PY[[#All],[Advanced Network/Insurance Carrier Org ID]],Q349),0), "TRUE", ROUND(T349-SUMIFS(AN_TME_PY[[#All],[Count of Members with Claims Truncated]], AN_TME_PY[[#All],[Insurance Category Code]],6, AN_TME_PY[[#All],[Advanced Network/Insurance Carrier Org ID]],Q349),2))</f>
        <v>TRUE</v>
      </c>
      <c r="Z349" s="533" t="str">
        <f>IF(ROUND(U349,0)=ROUND(SUMIFS(AN_TME_PY[[#All],[TOTAL Non-Truncated Unadjusted Claims Expenses]], AN_TME_PY[[#All],[Insurance Category Code]],6, AN_TME_PY[[#All],[Advanced Network/Insurance Carrier Org ID]],Q349),0), "TRUE", ROUND(U349-SUMIFS(AN_TME_PY[[#All],[TOTAL Non-Truncated Unadjusted Claims Expenses]], AN_TME_PY[[#All],[Insurance Category Code]],6, AN_TME_PY[[#All],[Advanced Network/Insurance Carrier Org ID]],Q349),2))</f>
        <v>TRUE</v>
      </c>
      <c r="AA349" s="534" t="str">
        <f>IF(ROUND(V349,0)=ROUND(SUMIFS(AN_TME_PY[[#All],[TOTAL Truncated Unadjusted Claims Expenses (A21 -A19)]], AN_TME_PY[[#All],[Insurance Category Code]],6, AN_TME_PY[[#All],[Advanced Network/Insurance Carrier Org ID]],Q349),0), "TRUE", ROUND(V349-SUMIFS(AN_TME_PY[[#All],[TOTAL Truncated Unadjusted Claims Expenses (A21 -A19)]], AN_TME_PY[[#All],[Insurance Category Code]],6, AN_TME_PY[[#All],[Advanced Network/Insurance Carrier Org ID]],Q349),2))</f>
        <v>TRUE</v>
      </c>
      <c r="AB349" s="525" t="str">
        <f t="shared" si="45"/>
        <v>TRUE</v>
      </c>
      <c r="AC349" s="533" t="b">
        <f>ROUND(SUMIFS(AN_TME_PY[[#All],[TOTAL Non-Truncated Unadjusted Claims Expenses]], AN_TME_PY[[#All],[Insurance Category Code]],6, AN_TME_PY[[#All],[Advanced Network/Insurance Carrier Org ID]],Q349),2)&gt;=ROUND(SUMIFS(AN_TME_PY[[#All],[TOTAL Truncated Unadjusted Claims Expenses (A21 -A19)]], AN_TME_PY[[#All],[Insurance Category Code]],6, AN_TME_PY[[#All],[Advanced Network/Insurance Carrier Org ID]],Q349),2)</f>
        <v>1</v>
      </c>
      <c r="AD349" s="534" t="b">
        <f>ROUND(SUMIFS(AN_TME_PY[[#All],[TOTAL Truncated Unadjusted Claims Expenses (A21 -A19)]], AN_TME_PY[[#All],[Insurance Category Code]],6, AN_TME_PY[[#All],[Advanced Network/Insurance Carrier Org ID]],Q349)+SUMIFS(AN_TME_PY[[#All],[Total Claims Excluded because of Truncation]], AN_TME_PY[[#All],[Insurance Category Code]],6, AN_TME_PY[[#All],[Advanced Network/Insurance Carrier Org ID]],Q349),2)=ROUND(SUMIFS(AN_TME_PY[[#All],[TOTAL Non-Truncated Unadjusted Claims Expenses]], AN_TME_PY[[#All],[Insurance Category Code]],6, AN_TME_PY[[#All],[Advanced Network/Insurance Carrier Org ID]],Q349),2)</f>
        <v>1</v>
      </c>
      <c r="AF349" s="283" t="str">
        <f t="shared" si="44"/>
        <v>NA</v>
      </c>
    </row>
    <row r="350" spans="2:32" outlineLevel="1" x14ac:dyDescent="0.25">
      <c r="B350" s="216">
        <v>130</v>
      </c>
      <c r="C350" s="404">
        <f>ROUND(SUMIFS(Age_Sex_BY[[#All],[Total Member Months by Age/Sex Band]], Age_Sex_BY[[#All],[Advanced Network ID]], $B350, Age_Sex_BY[[#All],[Insurance Category Code]],6),2)</f>
        <v>0</v>
      </c>
      <c r="D350" s="238">
        <f>ROUND(SUMIFS(Age_Sex_BY[[#All],[Total Dollars Excluded from Spending After Applying Truncation at the Member Level]], Age_Sex_BY[[#All],[Advanced Network ID]], $B350, Age_Sex_BY[[#All],[Insurance Category Code]],6),2)</f>
        <v>0</v>
      </c>
      <c r="E350" s="209">
        <f>ROUND(SUMIFS(Age_Sex_BY[[#All],[Count of Members whose Spending was Truncated]], Age_Sex_BY[[#All],[Advanced Network ID]], $B350, Age_Sex_BY[[#All],[Insurance Category Code]],6),2)</f>
        <v>0</v>
      </c>
      <c r="F350" s="210">
        <f>ROUND(SUMIFS(Age_Sex_BY[[#All],[Total Spending before Truncation is Applied]], Age_Sex_BY[[#All],[Advanced Network ID]], $B350, Age_Sex_BY[[#All],[Insurance Category Code]],6),2)</f>
        <v>0</v>
      </c>
      <c r="G350" s="212">
        <f>ROUND(SUMIFS(Age_Sex_BY[[#All],[Total Spending After Applying Truncation at the Member Level]], Age_Sex_BY[[#All],[Advanced Network ID]], $B350, Age_Sex_BY[[#All],[Insurance Category Code]],6),2)</f>
        <v>0</v>
      </c>
      <c r="H350" s="525" t="str">
        <f>IF(ROUND(C350,0)=ROUND(SUMIFS(AN_TME_BY[[#All],[Member Months]], AN_TME_BY[[#All],[Insurance Category Code]],6, AN_TME_BY[[#All],[Advanced Network/Insurance Carrier Org ID]],B350),0), "TRUE", ROUND(C350-SUMIFS(AN_TME_BY[[#All],[Member Months]], AN_TME_BY[[#All],[Insurance Category Code]],6, AN_TME_BY[[#All],[Advanced Network/Insurance Carrier Org ID]],B350),2))</f>
        <v>TRUE</v>
      </c>
      <c r="I350" s="533" t="str">
        <f>IF(ROUND(D350,0)=ROUND(SUMIFS(AN_TME_BY[[#All],[Total Claims Excluded because of Truncation]], AN_TME_BY[[#All],[Insurance Category Code]],6, AN_TME_BY[[#All],[Advanced Network/Insurance Carrier Org ID]],B350),0), "TRUE", ROUND(D350-SUMIFS(AN_TME_BY[[#All],[Total Claims Excluded because of Truncation]], AN_TME_BY[[#All],[Insurance Category Code]],6, AN_TME_BY[[#All],[Advanced Network/Insurance Carrier Org ID]],B350),2))</f>
        <v>TRUE</v>
      </c>
      <c r="J350" s="537" t="str">
        <f>IF(ROUND(E350,0)=ROUND(SUMIFS(AN_TME_BY[[#All],[Count of Members with Claims Truncated]], AN_TME_BY[[#All],[Insurance Category Code]],6, AN_TME_BY[[#All],[Advanced Network/Insurance Carrier Org ID]],B350),0), "TRUE", ROUND(E350-SUMIFS(AN_TME_BY[[#All],[Count of Members with Claims Truncated]], AN_TME_BY[[#All],[Insurance Category Code]],6, AN_TME_BY[[#All],[Advanced Network/Insurance Carrier Org ID]],B350),2))</f>
        <v>TRUE</v>
      </c>
      <c r="K350" s="533" t="str">
        <f>IF(ROUND(F350,0)=ROUND(SUMIFS(AN_TME_BY[[#All],[TOTAL Non-Truncated Unadjusted Claims Expenses]], AN_TME_BY[[#All],[Insurance Category Code]],6, AN_TME_BY[[#All],[Advanced Network/Insurance Carrier Org ID]],B350),0), "TRUE", ROUND(F350-SUMIFS(AN_TME_BY[[#All],[TOTAL Non-Truncated Unadjusted Claims Expenses]], AN_TME_BY[[#All],[Insurance Category Code]],6, AN_TME_BY[[#All],[Advanced Network/Insurance Carrier Org ID]],B350),2))</f>
        <v>TRUE</v>
      </c>
      <c r="L350" s="534" t="str">
        <f>IF(ROUND(G350,0)=ROUND(SUMIFS(AN_TME_BY[[#All],[TOTAL Truncated Unadjusted Claims Expenses (A21 -A19)]], AN_TME_BY[[#All],[Insurance Category Code]],6, AN_TME_BY[[#All],[Advanced Network/Insurance Carrier Org ID]],B350),0), "TRUE", ROUND(G350-SUMIFS(AN_TME_BY[[#All],[TOTAL Truncated Unadjusted Claims Expenses (A21 -A19)]], AN_TME_BY[[#All],[Insurance Category Code]],6, AN_TME_BY[[#All],[Advanced Network/Insurance Carrier Org ID]],B350),2))</f>
        <v>TRUE</v>
      </c>
      <c r="M350" s="525" t="str">
        <f t="shared" si="42"/>
        <v>TRUE</v>
      </c>
      <c r="N350" s="533" t="b">
        <f>ROUND(SUMIFS(AN_TME_BY[[#All],[TOTAL Non-Truncated Unadjusted Claims Expenses]], AN_TME_BY[[#All],[Insurance Category Code]],6, AN_TME_BY[[#All],[Advanced Network/Insurance Carrier Org ID]],B350),2)&gt;=ROUND(SUMIFS(AN_TME_BY[[#All],[TOTAL Truncated Unadjusted Claims Expenses (A21 -A19)]], AN_TME_BY[[#All],[Insurance Category Code]],6, AN_TME_BY[[#All],[Advanced Network/Insurance Carrier Org ID]],B350),2)</f>
        <v>1</v>
      </c>
      <c r="O350" s="534" t="b">
        <f>ROUND(SUMIFS(AN_TME_BY[[#All],[TOTAL Truncated Unadjusted Claims Expenses (A21 -A19)]], AN_TME_BY[[#All],[Insurance Category Code]],6, AN_TME_BY[[#All],[Advanced Network/Insurance Carrier Org ID]],B350)+SUMIFS(AN_TME_BY[[#All],[Total Claims Excluded because of Truncation]], AN_TME_BY[[#All],[Insurance Category Code]],6, AN_TME_BY[[#All],[Advanced Network/Insurance Carrier Org ID]],B350),2)=ROUND(SUMIFS(AN_TME_BY[[#All],[TOTAL Non-Truncated Unadjusted Claims Expenses]], AN_TME_BY[[#All],[Insurance Category Code]],6, AN_TME_BY[[#All],[Advanced Network/Insurance Carrier Org ID]],B350),2)</f>
        <v>1</v>
      </c>
      <c r="Q350" s="216">
        <v>130</v>
      </c>
      <c r="R350" s="404">
        <f>ROUND(SUMIFS(Age_Sex_PY[[#All],[Total Member Months by Age/Sex Band]], Age_Sex_PY[[#All],[Advanced Network ID]], $Q350, Age_Sex_PY[[#All],[Insurance Category Code]],6),2)</f>
        <v>0</v>
      </c>
      <c r="S350" s="238">
        <f>ROUND(SUMIFS(Age_Sex_PY[[#All],[Total Dollars Excluded from Spending After Applying Truncation at the Member Level]], Age_Sex_PY[[#All],[Advanced Network ID]], $B350, Age_Sex_PY[[#All],[Insurance Category Code]],6),2)</f>
        <v>0</v>
      </c>
      <c r="T350" s="209">
        <f>ROUND(SUMIFS(Age_Sex_PY[[#All],[Count of Members whose Spending was Truncated]], Age_Sex_PY[[#All],[Advanced Network ID]], $B350, Age_Sex_PY[[#All],[Insurance Category Code]],6),2)</f>
        <v>0</v>
      </c>
      <c r="U350" s="210">
        <f>ROUND(SUMIFS(Age_Sex_PY[[#All],[Total Spending before Truncation is Applied]], Age_Sex_PY[[#All],[Advanced Network ID]], $B350, Age_Sex_PY[[#All],[Insurance Category Code]],6),2)</f>
        <v>0</v>
      </c>
      <c r="V350" s="212">
        <f>ROUND(SUMIFS(Age_Sex_PY[[#All],[Total Spending After Applying Truncation at the Member Level]], Age_Sex_PY[[#All],[Advanced Network ID]], $B350, Age_Sex_PY[[#All],[Insurance Category Code]],6),2)</f>
        <v>0</v>
      </c>
      <c r="W350" s="525" t="str">
        <f>IF(ROUND(R350,0)=ROUND(SUMIFS(AN_TME_PY[[#All],[Member Months]], AN_TME_PY[[#All],[Insurance Category Code]],6, AN_TME_PY[[#All],[Advanced Network/Insurance Carrier Org ID]],Q350),0), "TRUE", ROUND(R350-SUMIFS(AN_TME_PY[[#All],[Member Months]], AN_TME_PY[[#All],[Insurance Category Code]],6, AN_TME_PY[[#All],[Advanced Network/Insurance Carrier Org ID]],Q350),2))</f>
        <v>TRUE</v>
      </c>
      <c r="X350" s="533" t="str">
        <f>IF(ROUND(S350,0)=ROUND(SUMIFS(AN_TME_PY[[#All],[Total Claims Excluded because of Truncation]], AN_TME_PY[[#All],[Insurance Category Code]],6, AN_TME_PY[[#All],[Advanced Network/Insurance Carrier Org ID]],Q350),0), "TRUE", ROUND(S350-SUMIFS(AN_TME_PY[[#All],[Total Claims Excluded because of Truncation]], AN_TME_PY[[#All],[Insurance Category Code]],6, AN_TME_PY[[#All],[Advanced Network/Insurance Carrier Org ID]],Q350),2))</f>
        <v>TRUE</v>
      </c>
      <c r="Y350" s="537" t="str">
        <f>IF(ROUND(T350,0)=ROUND(SUMIFS(AN_TME_PY[[#All],[Count of Members with Claims Truncated]], AN_TME_PY[[#All],[Insurance Category Code]],6, AN_TME_PY[[#All],[Advanced Network/Insurance Carrier Org ID]],Q350),0), "TRUE", ROUND(T350-SUMIFS(AN_TME_PY[[#All],[Count of Members with Claims Truncated]], AN_TME_PY[[#All],[Insurance Category Code]],6, AN_TME_PY[[#All],[Advanced Network/Insurance Carrier Org ID]],Q350),2))</f>
        <v>TRUE</v>
      </c>
      <c r="Z350" s="533" t="str">
        <f>IF(ROUND(U350,0)=ROUND(SUMIFS(AN_TME_PY[[#All],[TOTAL Non-Truncated Unadjusted Claims Expenses]], AN_TME_PY[[#All],[Insurance Category Code]],6, AN_TME_PY[[#All],[Advanced Network/Insurance Carrier Org ID]],Q350),0), "TRUE", ROUND(U350-SUMIFS(AN_TME_PY[[#All],[TOTAL Non-Truncated Unadjusted Claims Expenses]], AN_TME_PY[[#All],[Insurance Category Code]],6, AN_TME_PY[[#All],[Advanced Network/Insurance Carrier Org ID]],Q350),2))</f>
        <v>TRUE</v>
      </c>
      <c r="AA350" s="534" t="str">
        <f>IF(ROUND(V350,0)=ROUND(SUMIFS(AN_TME_PY[[#All],[TOTAL Truncated Unadjusted Claims Expenses (A21 -A19)]], AN_TME_PY[[#All],[Insurance Category Code]],6, AN_TME_PY[[#All],[Advanced Network/Insurance Carrier Org ID]],Q350),0), "TRUE", ROUND(V350-SUMIFS(AN_TME_PY[[#All],[TOTAL Truncated Unadjusted Claims Expenses (A21 -A19)]], AN_TME_PY[[#All],[Insurance Category Code]],6, AN_TME_PY[[#All],[Advanced Network/Insurance Carrier Org ID]],Q350),2))</f>
        <v>TRUE</v>
      </c>
      <c r="AB350" s="525" t="str">
        <f t="shared" si="45"/>
        <v>TRUE</v>
      </c>
      <c r="AC350" s="533" t="b">
        <f>ROUND(SUMIFS(AN_TME_PY[[#All],[TOTAL Non-Truncated Unadjusted Claims Expenses]], AN_TME_PY[[#All],[Insurance Category Code]],6, AN_TME_PY[[#All],[Advanced Network/Insurance Carrier Org ID]],Q350),2)&gt;=ROUND(SUMIFS(AN_TME_PY[[#All],[TOTAL Truncated Unadjusted Claims Expenses (A21 -A19)]], AN_TME_PY[[#All],[Insurance Category Code]],6, AN_TME_PY[[#All],[Advanced Network/Insurance Carrier Org ID]],Q350),2)</f>
        <v>1</v>
      </c>
      <c r="AD350" s="534" t="b">
        <f>ROUND(SUMIFS(AN_TME_PY[[#All],[TOTAL Truncated Unadjusted Claims Expenses (A21 -A19)]], AN_TME_PY[[#All],[Insurance Category Code]],6, AN_TME_PY[[#All],[Advanced Network/Insurance Carrier Org ID]],Q350)+SUMIFS(AN_TME_PY[[#All],[Total Claims Excluded because of Truncation]], AN_TME_PY[[#All],[Insurance Category Code]],6, AN_TME_PY[[#All],[Advanced Network/Insurance Carrier Org ID]],Q350),2)=ROUND(SUMIFS(AN_TME_PY[[#All],[TOTAL Non-Truncated Unadjusted Claims Expenses]], AN_TME_PY[[#All],[Insurance Category Code]],6, AN_TME_PY[[#All],[Advanced Network/Insurance Carrier Org ID]],Q350),2)</f>
        <v>1</v>
      </c>
      <c r="AF350" s="283" t="str">
        <f t="shared" si="44"/>
        <v>NA</v>
      </c>
    </row>
    <row r="351" spans="2:32" outlineLevel="1" x14ac:dyDescent="0.25">
      <c r="B351" s="216">
        <v>131</v>
      </c>
      <c r="C351" s="404">
        <f>ROUND(SUMIFS(Age_Sex_BY[[#All],[Total Member Months by Age/Sex Band]], Age_Sex_BY[[#All],[Advanced Network ID]], $B351, Age_Sex_BY[[#All],[Insurance Category Code]],6),2)</f>
        <v>0</v>
      </c>
      <c r="D351" s="238">
        <f>ROUND(SUMIFS(Age_Sex_BY[[#All],[Total Dollars Excluded from Spending After Applying Truncation at the Member Level]], Age_Sex_BY[[#All],[Advanced Network ID]], $B351, Age_Sex_BY[[#All],[Insurance Category Code]],6),2)</f>
        <v>0</v>
      </c>
      <c r="E351" s="209">
        <f>ROUND(SUMIFS(Age_Sex_BY[[#All],[Count of Members whose Spending was Truncated]], Age_Sex_BY[[#All],[Advanced Network ID]], $B351, Age_Sex_BY[[#All],[Insurance Category Code]],6),2)</f>
        <v>0</v>
      </c>
      <c r="F351" s="210">
        <f>ROUND(SUMIFS(Age_Sex_BY[[#All],[Total Spending before Truncation is Applied]], Age_Sex_BY[[#All],[Advanced Network ID]], $B351, Age_Sex_BY[[#All],[Insurance Category Code]],6),2)</f>
        <v>0</v>
      </c>
      <c r="G351" s="212">
        <f>ROUND(SUMIFS(Age_Sex_BY[[#All],[Total Spending After Applying Truncation at the Member Level]], Age_Sex_BY[[#All],[Advanced Network ID]], $B351, Age_Sex_BY[[#All],[Insurance Category Code]],6),2)</f>
        <v>0</v>
      </c>
      <c r="H351" s="525" t="str">
        <f>IF(ROUND(C351,0)=ROUND(SUMIFS(AN_TME_BY[[#All],[Member Months]], AN_TME_BY[[#All],[Insurance Category Code]],6, AN_TME_BY[[#All],[Advanced Network/Insurance Carrier Org ID]],B351),0), "TRUE", ROUND(C351-SUMIFS(AN_TME_BY[[#All],[Member Months]], AN_TME_BY[[#All],[Insurance Category Code]],6, AN_TME_BY[[#All],[Advanced Network/Insurance Carrier Org ID]],B351),2))</f>
        <v>TRUE</v>
      </c>
      <c r="I351" s="533" t="str">
        <f>IF(ROUND(D351,0)=ROUND(SUMIFS(AN_TME_BY[[#All],[Total Claims Excluded because of Truncation]], AN_TME_BY[[#All],[Insurance Category Code]],6, AN_TME_BY[[#All],[Advanced Network/Insurance Carrier Org ID]],B351),0), "TRUE", ROUND(D351-SUMIFS(AN_TME_BY[[#All],[Total Claims Excluded because of Truncation]], AN_TME_BY[[#All],[Insurance Category Code]],6, AN_TME_BY[[#All],[Advanced Network/Insurance Carrier Org ID]],B351),2))</f>
        <v>TRUE</v>
      </c>
      <c r="J351" s="537" t="str">
        <f>IF(ROUND(E351,0)=ROUND(SUMIFS(AN_TME_BY[[#All],[Count of Members with Claims Truncated]], AN_TME_BY[[#All],[Insurance Category Code]],6, AN_TME_BY[[#All],[Advanced Network/Insurance Carrier Org ID]],B351),0), "TRUE", ROUND(E351-SUMIFS(AN_TME_BY[[#All],[Count of Members with Claims Truncated]], AN_TME_BY[[#All],[Insurance Category Code]],6, AN_TME_BY[[#All],[Advanced Network/Insurance Carrier Org ID]],B351),2))</f>
        <v>TRUE</v>
      </c>
      <c r="K351" s="533" t="str">
        <f>IF(ROUND(F351,0)=ROUND(SUMIFS(AN_TME_BY[[#All],[TOTAL Non-Truncated Unadjusted Claims Expenses]], AN_TME_BY[[#All],[Insurance Category Code]],6, AN_TME_BY[[#All],[Advanced Network/Insurance Carrier Org ID]],B351),0), "TRUE", ROUND(F351-SUMIFS(AN_TME_BY[[#All],[TOTAL Non-Truncated Unadjusted Claims Expenses]], AN_TME_BY[[#All],[Insurance Category Code]],6, AN_TME_BY[[#All],[Advanced Network/Insurance Carrier Org ID]],B351),2))</f>
        <v>TRUE</v>
      </c>
      <c r="L351" s="534" t="str">
        <f>IF(ROUND(G351,0)=ROUND(SUMIFS(AN_TME_BY[[#All],[TOTAL Truncated Unadjusted Claims Expenses (A21 -A19)]], AN_TME_BY[[#All],[Insurance Category Code]],6, AN_TME_BY[[#All],[Advanced Network/Insurance Carrier Org ID]],B351),0), "TRUE", ROUND(G351-SUMIFS(AN_TME_BY[[#All],[TOTAL Truncated Unadjusted Claims Expenses (A21 -A19)]], AN_TME_BY[[#All],[Insurance Category Code]],6, AN_TME_BY[[#All],[Advanced Network/Insurance Carrier Org ID]],B351),2))</f>
        <v>TRUE</v>
      </c>
      <c r="M351" s="525" t="str">
        <f t="shared" si="42"/>
        <v>TRUE</v>
      </c>
      <c r="N351" s="533" t="b">
        <f>ROUND(SUMIFS(AN_TME_BY[[#All],[TOTAL Non-Truncated Unadjusted Claims Expenses]], AN_TME_BY[[#All],[Insurance Category Code]],6, AN_TME_BY[[#All],[Advanced Network/Insurance Carrier Org ID]],B351),2)&gt;=ROUND(SUMIFS(AN_TME_BY[[#All],[TOTAL Truncated Unadjusted Claims Expenses (A21 -A19)]], AN_TME_BY[[#All],[Insurance Category Code]],6, AN_TME_BY[[#All],[Advanced Network/Insurance Carrier Org ID]],B351),2)</f>
        <v>1</v>
      </c>
      <c r="O351" s="534" t="b">
        <f>ROUND(SUMIFS(AN_TME_BY[[#All],[TOTAL Truncated Unadjusted Claims Expenses (A21 -A19)]], AN_TME_BY[[#All],[Insurance Category Code]],6, AN_TME_BY[[#All],[Advanced Network/Insurance Carrier Org ID]],B351)+SUMIFS(AN_TME_BY[[#All],[Total Claims Excluded because of Truncation]], AN_TME_BY[[#All],[Insurance Category Code]],6, AN_TME_BY[[#All],[Advanced Network/Insurance Carrier Org ID]],B351),2)=ROUND(SUMIFS(AN_TME_BY[[#All],[TOTAL Non-Truncated Unadjusted Claims Expenses]], AN_TME_BY[[#All],[Insurance Category Code]],6, AN_TME_BY[[#All],[Advanced Network/Insurance Carrier Org ID]],B351),2)</f>
        <v>1</v>
      </c>
      <c r="Q351" s="216">
        <v>131</v>
      </c>
      <c r="R351" s="404">
        <f>ROUND(SUMIFS(Age_Sex_PY[[#All],[Total Member Months by Age/Sex Band]], Age_Sex_PY[[#All],[Advanced Network ID]], $Q351, Age_Sex_PY[[#All],[Insurance Category Code]],6),2)</f>
        <v>0</v>
      </c>
      <c r="S351" s="238">
        <f>ROUND(SUMIFS(Age_Sex_PY[[#All],[Total Dollars Excluded from Spending After Applying Truncation at the Member Level]], Age_Sex_PY[[#All],[Advanced Network ID]], $B351, Age_Sex_PY[[#All],[Insurance Category Code]],6),2)</f>
        <v>0</v>
      </c>
      <c r="T351" s="209">
        <f>ROUND(SUMIFS(Age_Sex_PY[[#All],[Count of Members whose Spending was Truncated]], Age_Sex_PY[[#All],[Advanced Network ID]], $B351, Age_Sex_PY[[#All],[Insurance Category Code]],6),2)</f>
        <v>0</v>
      </c>
      <c r="U351" s="210">
        <f>ROUND(SUMIFS(Age_Sex_PY[[#All],[Total Spending before Truncation is Applied]], Age_Sex_PY[[#All],[Advanced Network ID]], $B351, Age_Sex_PY[[#All],[Insurance Category Code]],6),2)</f>
        <v>0</v>
      </c>
      <c r="V351" s="212">
        <f>ROUND(SUMIFS(Age_Sex_PY[[#All],[Total Spending After Applying Truncation at the Member Level]], Age_Sex_PY[[#All],[Advanced Network ID]], $B351, Age_Sex_PY[[#All],[Insurance Category Code]],6),2)</f>
        <v>0</v>
      </c>
      <c r="W351" s="525" t="str">
        <f>IF(ROUND(R351,0)=ROUND(SUMIFS(AN_TME_PY[[#All],[Member Months]], AN_TME_PY[[#All],[Insurance Category Code]],6, AN_TME_PY[[#All],[Advanced Network/Insurance Carrier Org ID]],Q351),0), "TRUE", ROUND(R351-SUMIFS(AN_TME_PY[[#All],[Member Months]], AN_TME_PY[[#All],[Insurance Category Code]],6, AN_TME_PY[[#All],[Advanced Network/Insurance Carrier Org ID]],Q351),2))</f>
        <v>TRUE</v>
      </c>
      <c r="X351" s="533" t="str">
        <f>IF(ROUND(S351,0)=ROUND(SUMIFS(AN_TME_PY[[#All],[Total Claims Excluded because of Truncation]], AN_TME_PY[[#All],[Insurance Category Code]],6, AN_TME_PY[[#All],[Advanced Network/Insurance Carrier Org ID]],Q351),0), "TRUE", ROUND(S351-SUMIFS(AN_TME_PY[[#All],[Total Claims Excluded because of Truncation]], AN_TME_PY[[#All],[Insurance Category Code]],6, AN_TME_PY[[#All],[Advanced Network/Insurance Carrier Org ID]],Q351),2))</f>
        <v>TRUE</v>
      </c>
      <c r="Y351" s="537" t="str">
        <f>IF(ROUND(T351,0)=ROUND(SUMIFS(AN_TME_PY[[#All],[Count of Members with Claims Truncated]], AN_TME_PY[[#All],[Insurance Category Code]],6, AN_TME_PY[[#All],[Advanced Network/Insurance Carrier Org ID]],Q351),0), "TRUE", ROUND(T351-SUMIFS(AN_TME_PY[[#All],[Count of Members with Claims Truncated]], AN_TME_PY[[#All],[Insurance Category Code]],6, AN_TME_PY[[#All],[Advanced Network/Insurance Carrier Org ID]],Q351),2))</f>
        <v>TRUE</v>
      </c>
      <c r="Z351" s="533" t="str">
        <f>IF(ROUND(U351,0)=ROUND(SUMIFS(AN_TME_PY[[#All],[TOTAL Non-Truncated Unadjusted Claims Expenses]], AN_TME_PY[[#All],[Insurance Category Code]],6, AN_TME_PY[[#All],[Advanced Network/Insurance Carrier Org ID]],Q351),0), "TRUE", ROUND(U351-SUMIFS(AN_TME_PY[[#All],[TOTAL Non-Truncated Unadjusted Claims Expenses]], AN_TME_PY[[#All],[Insurance Category Code]],6, AN_TME_PY[[#All],[Advanced Network/Insurance Carrier Org ID]],Q351),2))</f>
        <v>TRUE</v>
      </c>
      <c r="AA351" s="534" t="str">
        <f>IF(ROUND(V351,0)=ROUND(SUMIFS(AN_TME_PY[[#All],[TOTAL Truncated Unadjusted Claims Expenses (A21 -A19)]], AN_TME_PY[[#All],[Insurance Category Code]],6, AN_TME_PY[[#All],[Advanced Network/Insurance Carrier Org ID]],Q351),0), "TRUE", ROUND(V351-SUMIFS(AN_TME_PY[[#All],[TOTAL Truncated Unadjusted Claims Expenses (A21 -A19)]], AN_TME_PY[[#All],[Insurance Category Code]],6, AN_TME_PY[[#All],[Advanced Network/Insurance Carrier Org ID]],Q351),2))</f>
        <v>TRUE</v>
      </c>
      <c r="AB351" s="525" t="str">
        <f t="shared" si="45"/>
        <v>TRUE</v>
      </c>
      <c r="AC351" s="533" t="b">
        <f>ROUND(SUMIFS(AN_TME_PY[[#All],[TOTAL Non-Truncated Unadjusted Claims Expenses]], AN_TME_PY[[#All],[Insurance Category Code]],6, AN_TME_PY[[#All],[Advanced Network/Insurance Carrier Org ID]],Q351),2)&gt;=ROUND(SUMIFS(AN_TME_PY[[#All],[TOTAL Truncated Unadjusted Claims Expenses (A21 -A19)]], AN_TME_PY[[#All],[Insurance Category Code]],6, AN_TME_PY[[#All],[Advanced Network/Insurance Carrier Org ID]],Q351),2)</f>
        <v>1</v>
      </c>
      <c r="AD351" s="534" t="b">
        <f>ROUND(SUMIFS(AN_TME_PY[[#All],[TOTAL Truncated Unadjusted Claims Expenses (A21 -A19)]], AN_TME_PY[[#All],[Insurance Category Code]],6, AN_TME_PY[[#All],[Advanced Network/Insurance Carrier Org ID]],Q351)+SUMIFS(AN_TME_PY[[#All],[Total Claims Excluded because of Truncation]], AN_TME_PY[[#All],[Insurance Category Code]],6, AN_TME_PY[[#All],[Advanced Network/Insurance Carrier Org ID]],Q351),2)=ROUND(SUMIFS(AN_TME_PY[[#All],[TOTAL Non-Truncated Unadjusted Claims Expenses]], AN_TME_PY[[#All],[Insurance Category Code]],6, AN_TME_PY[[#All],[Advanced Network/Insurance Carrier Org ID]],Q351),2)</f>
        <v>1</v>
      </c>
      <c r="AF351" s="283" t="str">
        <f t="shared" si="44"/>
        <v>NA</v>
      </c>
    </row>
    <row r="352" spans="2:32" outlineLevel="1" x14ac:dyDescent="0.25">
      <c r="B352" s="216">
        <v>132</v>
      </c>
      <c r="C352" s="404">
        <f>ROUND(SUMIFS(Age_Sex_BY[[#All],[Total Member Months by Age/Sex Band]], Age_Sex_BY[[#All],[Advanced Network ID]], $B352, Age_Sex_BY[[#All],[Insurance Category Code]],6),2)</f>
        <v>0</v>
      </c>
      <c r="D352" s="238">
        <f>ROUND(SUMIFS(Age_Sex_BY[[#All],[Total Dollars Excluded from Spending After Applying Truncation at the Member Level]], Age_Sex_BY[[#All],[Advanced Network ID]], $B352, Age_Sex_BY[[#All],[Insurance Category Code]],6),2)</f>
        <v>0</v>
      </c>
      <c r="E352" s="209">
        <f>ROUND(SUMIFS(Age_Sex_BY[[#All],[Count of Members whose Spending was Truncated]], Age_Sex_BY[[#All],[Advanced Network ID]], $B352, Age_Sex_BY[[#All],[Insurance Category Code]],6),2)</f>
        <v>0</v>
      </c>
      <c r="F352" s="210">
        <f>ROUND(SUMIFS(Age_Sex_BY[[#All],[Total Spending before Truncation is Applied]], Age_Sex_BY[[#All],[Advanced Network ID]], $B352, Age_Sex_BY[[#All],[Insurance Category Code]],6),2)</f>
        <v>0</v>
      </c>
      <c r="G352" s="212">
        <f>ROUND(SUMIFS(Age_Sex_BY[[#All],[Total Spending After Applying Truncation at the Member Level]], Age_Sex_BY[[#All],[Advanced Network ID]], $B352, Age_Sex_BY[[#All],[Insurance Category Code]],6),2)</f>
        <v>0</v>
      </c>
      <c r="H352" s="525" t="str">
        <f>IF(ROUND(C352,0)=ROUND(SUMIFS(AN_TME_BY[[#All],[Member Months]], AN_TME_BY[[#All],[Insurance Category Code]],6, AN_TME_BY[[#All],[Advanced Network/Insurance Carrier Org ID]],B352),0), "TRUE", ROUND(C352-SUMIFS(AN_TME_BY[[#All],[Member Months]], AN_TME_BY[[#All],[Insurance Category Code]],6, AN_TME_BY[[#All],[Advanced Network/Insurance Carrier Org ID]],B352),2))</f>
        <v>TRUE</v>
      </c>
      <c r="I352" s="533" t="str">
        <f>IF(ROUND(D352,0)=ROUND(SUMIFS(AN_TME_BY[[#All],[Total Claims Excluded because of Truncation]], AN_TME_BY[[#All],[Insurance Category Code]],6, AN_TME_BY[[#All],[Advanced Network/Insurance Carrier Org ID]],B352),0), "TRUE", ROUND(D352-SUMIFS(AN_TME_BY[[#All],[Total Claims Excluded because of Truncation]], AN_TME_BY[[#All],[Insurance Category Code]],6, AN_TME_BY[[#All],[Advanced Network/Insurance Carrier Org ID]],B352),2))</f>
        <v>TRUE</v>
      </c>
      <c r="J352" s="537" t="str">
        <f>IF(ROUND(E352,0)=ROUND(SUMIFS(AN_TME_BY[[#All],[Count of Members with Claims Truncated]], AN_TME_BY[[#All],[Insurance Category Code]],6, AN_TME_BY[[#All],[Advanced Network/Insurance Carrier Org ID]],B352),0), "TRUE", ROUND(E352-SUMIFS(AN_TME_BY[[#All],[Count of Members with Claims Truncated]], AN_TME_BY[[#All],[Insurance Category Code]],6, AN_TME_BY[[#All],[Advanced Network/Insurance Carrier Org ID]],B352),2))</f>
        <v>TRUE</v>
      </c>
      <c r="K352" s="533" t="str">
        <f>IF(ROUND(F352,0)=ROUND(SUMIFS(AN_TME_BY[[#All],[TOTAL Non-Truncated Unadjusted Claims Expenses]], AN_TME_BY[[#All],[Insurance Category Code]],6, AN_TME_BY[[#All],[Advanced Network/Insurance Carrier Org ID]],B352),0), "TRUE", ROUND(F352-SUMIFS(AN_TME_BY[[#All],[TOTAL Non-Truncated Unadjusted Claims Expenses]], AN_TME_BY[[#All],[Insurance Category Code]],6, AN_TME_BY[[#All],[Advanced Network/Insurance Carrier Org ID]],B352),2))</f>
        <v>TRUE</v>
      </c>
      <c r="L352" s="534" t="str">
        <f>IF(ROUND(G352,0)=ROUND(SUMIFS(AN_TME_BY[[#All],[TOTAL Truncated Unadjusted Claims Expenses (A21 -A19)]], AN_TME_BY[[#All],[Insurance Category Code]],6, AN_TME_BY[[#All],[Advanced Network/Insurance Carrier Org ID]],B352),0), "TRUE", ROUND(G352-SUMIFS(AN_TME_BY[[#All],[TOTAL Truncated Unadjusted Claims Expenses (A21 -A19)]], AN_TME_BY[[#All],[Insurance Category Code]],6, AN_TME_BY[[#All],[Advanced Network/Insurance Carrier Org ID]],B352),2))</f>
        <v>TRUE</v>
      </c>
      <c r="M352" s="525" t="str">
        <f t="shared" ref="M352:M354" si="46">IF(E352=0, "TRUE",IF((C352/12)&gt;E352,"TRUE",(C352/12)-E352))</f>
        <v>TRUE</v>
      </c>
      <c r="N352" s="533" t="b">
        <f>ROUND(SUMIFS(AN_TME_BY[[#All],[TOTAL Non-Truncated Unadjusted Claims Expenses]], AN_TME_BY[[#All],[Insurance Category Code]],6, AN_TME_BY[[#All],[Advanced Network/Insurance Carrier Org ID]],B352),2)&gt;=ROUND(SUMIFS(AN_TME_BY[[#All],[TOTAL Truncated Unadjusted Claims Expenses (A21 -A19)]], AN_TME_BY[[#All],[Insurance Category Code]],6, AN_TME_BY[[#All],[Advanced Network/Insurance Carrier Org ID]],B352),2)</f>
        <v>1</v>
      </c>
      <c r="O352" s="534" t="b">
        <f>ROUND(SUMIFS(AN_TME_BY[[#All],[TOTAL Truncated Unadjusted Claims Expenses (A21 -A19)]], AN_TME_BY[[#All],[Insurance Category Code]],6, AN_TME_BY[[#All],[Advanced Network/Insurance Carrier Org ID]],B352)+SUMIFS(AN_TME_BY[[#All],[Total Claims Excluded because of Truncation]], AN_TME_BY[[#All],[Insurance Category Code]],6, AN_TME_BY[[#All],[Advanced Network/Insurance Carrier Org ID]],B352),2)=ROUND(SUMIFS(AN_TME_BY[[#All],[TOTAL Non-Truncated Unadjusted Claims Expenses]], AN_TME_BY[[#All],[Insurance Category Code]],6, AN_TME_BY[[#All],[Advanced Network/Insurance Carrier Org ID]],B352),2)</f>
        <v>1</v>
      </c>
      <c r="Q352" s="216">
        <v>132</v>
      </c>
      <c r="R352" s="404">
        <f>ROUND(SUMIFS(Age_Sex_PY[[#All],[Total Member Months by Age/Sex Band]], Age_Sex_PY[[#All],[Advanced Network ID]], $Q352, Age_Sex_PY[[#All],[Insurance Category Code]],6),2)</f>
        <v>0</v>
      </c>
      <c r="S352" s="238">
        <f>ROUND(SUMIFS(Age_Sex_PY[[#All],[Total Dollars Excluded from Spending After Applying Truncation at the Member Level]], Age_Sex_PY[[#All],[Advanced Network ID]], $B352, Age_Sex_PY[[#All],[Insurance Category Code]],6),2)</f>
        <v>0</v>
      </c>
      <c r="T352" s="209">
        <f>ROUND(SUMIFS(Age_Sex_PY[[#All],[Count of Members whose Spending was Truncated]], Age_Sex_PY[[#All],[Advanced Network ID]], $B352, Age_Sex_PY[[#All],[Insurance Category Code]],6),2)</f>
        <v>0</v>
      </c>
      <c r="U352" s="210">
        <f>ROUND(SUMIFS(Age_Sex_PY[[#All],[Total Spending before Truncation is Applied]], Age_Sex_PY[[#All],[Advanced Network ID]], $B352, Age_Sex_PY[[#All],[Insurance Category Code]],6),2)</f>
        <v>0</v>
      </c>
      <c r="V352" s="212">
        <f>ROUND(SUMIFS(Age_Sex_PY[[#All],[Total Spending After Applying Truncation at the Member Level]], Age_Sex_PY[[#All],[Advanced Network ID]], $B352, Age_Sex_PY[[#All],[Insurance Category Code]],6),2)</f>
        <v>0</v>
      </c>
      <c r="W352" s="525" t="str">
        <f>IF(ROUND(R352,0)=ROUND(SUMIFS(AN_TME_PY[[#All],[Member Months]], AN_TME_PY[[#All],[Insurance Category Code]],6, AN_TME_PY[[#All],[Advanced Network/Insurance Carrier Org ID]],Q352),0), "TRUE", ROUND(R352-SUMIFS(AN_TME_PY[[#All],[Member Months]], AN_TME_PY[[#All],[Insurance Category Code]],6, AN_TME_PY[[#All],[Advanced Network/Insurance Carrier Org ID]],Q352),2))</f>
        <v>TRUE</v>
      </c>
      <c r="X352" s="533" t="str">
        <f>IF(ROUND(S352,0)=ROUND(SUMIFS(AN_TME_PY[[#All],[Total Claims Excluded because of Truncation]], AN_TME_PY[[#All],[Insurance Category Code]],6, AN_TME_PY[[#All],[Advanced Network/Insurance Carrier Org ID]],Q352),0), "TRUE", ROUND(S352-SUMIFS(AN_TME_PY[[#All],[Total Claims Excluded because of Truncation]], AN_TME_PY[[#All],[Insurance Category Code]],6, AN_TME_PY[[#All],[Advanced Network/Insurance Carrier Org ID]],Q352),2))</f>
        <v>TRUE</v>
      </c>
      <c r="Y352" s="537" t="str">
        <f>IF(ROUND(T352,0)=ROUND(SUMIFS(AN_TME_PY[[#All],[Count of Members with Claims Truncated]], AN_TME_PY[[#All],[Insurance Category Code]],6, AN_TME_PY[[#All],[Advanced Network/Insurance Carrier Org ID]],Q352),0), "TRUE", ROUND(T352-SUMIFS(AN_TME_PY[[#All],[Count of Members with Claims Truncated]], AN_TME_PY[[#All],[Insurance Category Code]],6, AN_TME_PY[[#All],[Advanced Network/Insurance Carrier Org ID]],Q352),2))</f>
        <v>TRUE</v>
      </c>
      <c r="Z352" s="533" t="str">
        <f>IF(ROUND(U352,0)=ROUND(SUMIFS(AN_TME_PY[[#All],[TOTAL Non-Truncated Unadjusted Claims Expenses]], AN_TME_PY[[#All],[Insurance Category Code]],6, AN_TME_PY[[#All],[Advanced Network/Insurance Carrier Org ID]],Q352),0), "TRUE", ROUND(U352-SUMIFS(AN_TME_PY[[#All],[TOTAL Non-Truncated Unadjusted Claims Expenses]], AN_TME_PY[[#All],[Insurance Category Code]],6, AN_TME_PY[[#All],[Advanced Network/Insurance Carrier Org ID]],Q352),2))</f>
        <v>TRUE</v>
      </c>
      <c r="AA352" s="534" t="str">
        <f>IF(ROUND(V352,0)=ROUND(SUMIFS(AN_TME_PY[[#All],[TOTAL Truncated Unadjusted Claims Expenses (A21 -A19)]], AN_TME_PY[[#All],[Insurance Category Code]],6, AN_TME_PY[[#All],[Advanced Network/Insurance Carrier Org ID]],Q352),0), "TRUE", ROUND(V352-SUMIFS(AN_TME_PY[[#All],[TOTAL Truncated Unadjusted Claims Expenses (A21 -A19)]], AN_TME_PY[[#All],[Insurance Category Code]],6, AN_TME_PY[[#All],[Advanced Network/Insurance Carrier Org ID]],Q352),2))</f>
        <v>TRUE</v>
      </c>
      <c r="AB352" s="525" t="str">
        <f t="shared" ref="AB352:AB354" si="47">IF(T352=0, "TRUE",IF((R352/12)&gt;T352,"TRUE",(R352/12)-T352))</f>
        <v>TRUE</v>
      </c>
      <c r="AC352" s="533" t="b">
        <f>ROUND(SUMIFS(AN_TME_PY[[#All],[TOTAL Non-Truncated Unadjusted Claims Expenses]], AN_TME_PY[[#All],[Insurance Category Code]],6, AN_TME_PY[[#All],[Advanced Network/Insurance Carrier Org ID]],Q352),2)&gt;=ROUND(SUMIFS(AN_TME_PY[[#All],[TOTAL Truncated Unadjusted Claims Expenses (A21 -A19)]], AN_TME_PY[[#All],[Insurance Category Code]],6, AN_TME_PY[[#All],[Advanced Network/Insurance Carrier Org ID]],Q352),2)</f>
        <v>1</v>
      </c>
      <c r="AD352" s="534" t="b">
        <f>ROUND(SUMIFS(AN_TME_PY[[#All],[TOTAL Truncated Unadjusted Claims Expenses (A21 -A19)]], AN_TME_PY[[#All],[Insurance Category Code]],6, AN_TME_PY[[#All],[Advanced Network/Insurance Carrier Org ID]],Q352)+SUMIFS(AN_TME_PY[[#All],[Total Claims Excluded because of Truncation]], AN_TME_PY[[#All],[Insurance Category Code]],6, AN_TME_PY[[#All],[Advanced Network/Insurance Carrier Org ID]],Q352),2)=ROUND(SUMIFS(AN_TME_PY[[#All],[TOTAL Non-Truncated Unadjusted Claims Expenses]], AN_TME_PY[[#All],[Insurance Category Code]],6, AN_TME_PY[[#All],[Advanced Network/Insurance Carrier Org ID]],Q352),2)</f>
        <v>1</v>
      </c>
      <c r="AF352" s="283" t="str">
        <f t="shared" ref="AF352:AF354" si="48">IFERROR(R352/C352-1, "NA")</f>
        <v>NA</v>
      </c>
    </row>
    <row r="353" spans="2:32" outlineLevel="1" x14ac:dyDescent="0.25">
      <c r="B353" s="216">
        <v>133</v>
      </c>
      <c r="C353" s="404">
        <f>ROUND(SUMIFS(Age_Sex_BY[[#All],[Total Member Months by Age/Sex Band]], Age_Sex_BY[[#All],[Advanced Network ID]], $B353, Age_Sex_BY[[#All],[Insurance Category Code]],6),2)</f>
        <v>0</v>
      </c>
      <c r="D353" s="238">
        <f>ROUND(SUMIFS(Age_Sex_BY[[#All],[Total Dollars Excluded from Spending After Applying Truncation at the Member Level]], Age_Sex_BY[[#All],[Advanced Network ID]], $B353, Age_Sex_BY[[#All],[Insurance Category Code]],6),2)</f>
        <v>0</v>
      </c>
      <c r="E353" s="209">
        <f>ROUND(SUMIFS(Age_Sex_BY[[#All],[Count of Members whose Spending was Truncated]], Age_Sex_BY[[#All],[Advanced Network ID]], $B353, Age_Sex_BY[[#All],[Insurance Category Code]],6),2)</f>
        <v>0</v>
      </c>
      <c r="F353" s="210">
        <f>ROUND(SUMIFS(Age_Sex_BY[[#All],[Total Spending before Truncation is Applied]], Age_Sex_BY[[#All],[Advanced Network ID]], $B353, Age_Sex_BY[[#All],[Insurance Category Code]],6),2)</f>
        <v>0</v>
      </c>
      <c r="G353" s="212">
        <f>ROUND(SUMIFS(Age_Sex_BY[[#All],[Total Spending After Applying Truncation at the Member Level]], Age_Sex_BY[[#All],[Advanced Network ID]], $B353, Age_Sex_BY[[#All],[Insurance Category Code]],6),2)</f>
        <v>0</v>
      </c>
      <c r="H353" s="525" t="str">
        <f>IF(ROUND(C353,0)=ROUND(SUMIFS(AN_TME_BY[[#All],[Member Months]], AN_TME_BY[[#All],[Insurance Category Code]],6, AN_TME_BY[[#All],[Advanced Network/Insurance Carrier Org ID]],B353),0), "TRUE", ROUND(C353-SUMIFS(AN_TME_BY[[#All],[Member Months]], AN_TME_BY[[#All],[Insurance Category Code]],6, AN_TME_BY[[#All],[Advanced Network/Insurance Carrier Org ID]],B353),2))</f>
        <v>TRUE</v>
      </c>
      <c r="I353" s="533" t="str">
        <f>IF(ROUND(D353,0)=ROUND(SUMIFS(AN_TME_BY[[#All],[Total Claims Excluded because of Truncation]], AN_TME_BY[[#All],[Insurance Category Code]],6, AN_TME_BY[[#All],[Advanced Network/Insurance Carrier Org ID]],B353),0), "TRUE", ROUND(D353-SUMIFS(AN_TME_BY[[#All],[Total Claims Excluded because of Truncation]], AN_TME_BY[[#All],[Insurance Category Code]],6, AN_TME_BY[[#All],[Advanced Network/Insurance Carrier Org ID]],B353),2))</f>
        <v>TRUE</v>
      </c>
      <c r="J353" s="537" t="str">
        <f>IF(ROUND(E353,0)=ROUND(SUMIFS(AN_TME_BY[[#All],[Count of Members with Claims Truncated]], AN_TME_BY[[#All],[Insurance Category Code]],6, AN_TME_BY[[#All],[Advanced Network/Insurance Carrier Org ID]],B353),0), "TRUE", ROUND(E353-SUMIFS(AN_TME_BY[[#All],[Count of Members with Claims Truncated]], AN_TME_BY[[#All],[Insurance Category Code]],6, AN_TME_BY[[#All],[Advanced Network/Insurance Carrier Org ID]],B353),2))</f>
        <v>TRUE</v>
      </c>
      <c r="K353" s="533" t="str">
        <f>IF(ROUND(F353,0)=ROUND(SUMIFS(AN_TME_BY[[#All],[TOTAL Non-Truncated Unadjusted Claims Expenses]], AN_TME_BY[[#All],[Insurance Category Code]],6, AN_TME_BY[[#All],[Advanced Network/Insurance Carrier Org ID]],B353),0), "TRUE", ROUND(F353-SUMIFS(AN_TME_BY[[#All],[TOTAL Non-Truncated Unadjusted Claims Expenses]], AN_TME_BY[[#All],[Insurance Category Code]],6, AN_TME_BY[[#All],[Advanced Network/Insurance Carrier Org ID]],B353),2))</f>
        <v>TRUE</v>
      </c>
      <c r="L353" s="534" t="str">
        <f>IF(ROUND(G353,0)=ROUND(SUMIFS(AN_TME_BY[[#All],[TOTAL Truncated Unadjusted Claims Expenses (A21 -A19)]], AN_TME_BY[[#All],[Insurance Category Code]],6, AN_TME_BY[[#All],[Advanced Network/Insurance Carrier Org ID]],B353),0), "TRUE", ROUND(G353-SUMIFS(AN_TME_BY[[#All],[TOTAL Truncated Unadjusted Claims Expenses (A21 -A19)]], AN_TME_BY[[#All],[Insurance Category Code]],6, AN_TME_BY[[#All],[Advanced Network/Insurance Carrier Org ID]],B353),2))</f>
        <v>TRUE</v>
      </c>
      <c r="M353" s="525" t="str">
        <f t="shared" si="46"/>
        <v>TRUE</v>
      </c>
      <c r="N353" s="533" t="b">
        <f>ROUND(SUMIFS(AN_TME_BY[[#All],[TOTAL Non-Truncated Unadjusted Claims Expenses]], AN_TME_BY[[#All],[Insurance Category Code]],6, AN_TME_BY[[#All],[Advanced Network/Insurance Carrier Org ID]],B353),2)&gt;=ROUND(SUMIFS(AN_TME_BY[[#All],[TOTAL Truncated Unadjusted Claims Expenses (A21 -A19)]], AN_TME_BY[[#All],[Insurance Category Code]],6, AN_TME_BY[[#All],[Advanced Network/Insurance Carrier Org ID]],B353),2)</f>
        <v>1</v>
      </c>
      <c r="O353" s="534" t="b">
        <f>ROUND(SUMIFS(AN_TME_BY[[#All],[TOTAL Truncated Unadjusted Claims Expenses (A21 -A19)]], AN_TME_BY[[#All],[Insurance Category Code]],6, AN_TME_BY[[#All],[Advanced Network/Insurance Carrier Org ID]],B353)+SUMIFS(AN_TME_BY[[#All],[Total Claims Excluded because of Truncation]], AN_TME_BY[[#All],[Insurance Category Code]],6, AN_TME_BY[[#All],[Advanced Network/Insurance Carrier Org ID]],B353),2)=ROUND(SUMIFS(AN_TME_BY[[#All],[TOTAL Non-Truncated Unadjusted Claims Expenses]], AN_TME_BY[[#All],[Insurance Category Code]],6, AN_TME_BY[[#All],[Advanced Network/Insurance Carrier Org ID]],B353),2)</f>
        <v>1</v>
      </c>
      <c r="Q353" s="216">
        <v>133</v>
      </c>
      <c r="R353" s="404">
        <f>ROUND(SUMIFS(Age_Sex_PY[[#All],[Total Member Months by Age/Sex Band]], Age_Sex_PY[[#All],[Advanced Network ID]], $Q353, Age_Sex_PY[[#All],[Insurance Category Code]],6),2)</f>
        <v>0</v>
      </c>
      <c r="S353" s="238">
        <f>ROUND(SUMIFS(Age_Sex_PY[[#All],[Total Dollars Excluded from Spending After Applying Truncation at the Member Level]], Age_Sex_PY[[#All],[Advanced Network ID]], $B353, Age_Sex_PY[[#All],[Insurance Category Code]],6),2)</f>
        <v>0</v>
      </c>
      <c r="T353" s="209">
        <f>ROUND(SUMIFS(Age_Sex_PY[[#All],[Count of Members whose Spending was Truncated]], Age_Sex_PY[[#All],[Advanced Network ID]], $B353, Age_Sex_PY[[#All],[Insurance Category Code]],6),2)</f>
        <v>0</v>
      </c>
      <c r="U353" s="210">
        <f>ROUND(SUMIFS(Age_Sex_PY[[#All],[Total Spending before Truncation is Applied]], Age_Sex_PY[[#All],[Advanced Network ID]], $B353, Age_Sex_PY[[#All],[Insurance Category Code]],6),2)</f>
        <v>0</v>
      </c>
      <c r="V353" s="212">
        <f>ROUND(SUMIFS(Age_Sex_PY[[#All],[Total Spending After Applying Truncation at the Member Level]], Age_Sex_PY[[#All],[Advanced Network ID]], $B353, Age_Sex_PY[[#All],[Insurance Category Code]],6),2)</f>
        <v>0</v>
      </c>
      <c r="W353" s="525" t="str">
        <f>IF(ROUND(R353,0)=ROUND(SUMIFS(AN_TME_PY[[#All],[Member Months]], AN_TME_PY[[#All],[Insurance Category Code]],6, AN_TME_PY[[#All],[Advanced Network/Insurance Carrier Org ID]],Q353),0), "TRUE", ROUND(R353-SUMIFS(AN_TME_PY[[#All],[Member Months]], AN_TME_PY[[#All],[Insurance Category Code]],6, AN_TME_PY[[#All],[Advanced Network/Insurance Carrier Org ID]],Q353),2))</f>
        <v>TRUE</v>
      </c>
      <c r="X353" s="533" t="str">
        <f>IF(ROUND(S353,0)=ROUND(SUMIFS(AN_TME_PY[[#All],[Total Claims Excluded because of Truncation]], AN_TME_PY[[#All],[Insurance Category Code]],6, AN_TME_PY[[#All],[Advanced Network/Insurance Carrier Org ID]],Q353),0), "TRUE", ROUND(S353-SUMIFS(AN_TME_PY[[#All],[Total Claims Excluded because of Truncation]], AN_TME_PY[[#All],[Insurance Category Code]],6, AN_TME_PY[[#All],[Advanced Network/Insurance Carrier Org ID]],Q353),2))</f>
        <v>TRUE</v>
      </c>
      <c r="Y353" s="537" t="str">
        <f>IF(ROUND(T353,0)=ROUND(SUMIFS(AN_TME_PY[[#All],[Count of Members with Claims Truncated]], AN_TME_PY[[#All],[Insurance Category Code]],6, AN_TME_PY[[#All],[Advanced Network/Insurance Carrier Org ID]],Q353),0), "TRUE", ROUND(T353-SUMIFS(AN_TME_PY[[#All],[Count of Members with Claims Truncated]], AN_TME_PY[[#All],[Insurance Category Code]],6, AN_TME_PY[[#All],[Advanced Network/Insurance Carrier Org ID]],Q353),2))</f>
        <v>TRUE</v>
      </c>
      <c r="Z353" s="533" t="str">
        <f>IF(ROUND(U353,0)=ROUND(SUMIFS(AN_TME_PY[[#All],[TOTAL Non-Truncated Unadjusted Claims Expenses]], AN_TME_PY[[#All],[Insurance Category Code]],6, AN_TME_PY[[#All],[Advanced Network/Insurance Carrier Org ID]],Q353),0), "TRUE", ROUND(U353-SUMIFS(AN_TME_PY[[#All],[TOTAL Non-Truncated Unadjusted Claims Expenses]], AN_TME_PY[[#All],[Insurance Category Code]],6, AN_TME_PY[[#All],[Advanced Network/Insurance Carrier Org ID]],Q353),2))</f>
        <v>TRUE</v>
      </c>
      <c r="AA353" s="534" t="str">
        <f>IF(ROUND(V353,0)=ROUND(SUMIFS(AN_TME_PY[[#All],[TOTAL Truncated Unadjusted Claims Expenses (A21 -A19)]], AN_TME_PY[[#All],[Insurance Category Code]],6, AN_TME_PY[[#All],[Advanced Network/Insurance Carrier Org ID]],Q353),0), "TRUE", ROUND(V353-SUMIFS(AN_TME_PY[[#All],[TOTAL Truncated Unadjusted Claims Expenses (A21 -A19)]], AN_TME_PY[[#All],[Insurance Category Code]],6, AN_TME_PY[[#All],[Advanced Network/Insurance Carrier Org ID]],Q353),2))</f>
        <v>TRUE</v>
      </c>
      <c r="AB353" s="525" t="str">
        <f t="shared" si="47"/>
        <v>TRUE</v>
      </c>
      <c r="AC353" s="533" t="b">
        <f>ROUND(SUMIFS(AN_TME_PY[[#All],[TOTAL Non-Truncated Unadjusted Claims Expenses]], AN_TME_PY[[#All],[Insurance Category Code]],6, AN_TME_PY[[#All],[Advanced Network/Insurance Carrier Org ID]],Q353),2)&gt;=ROUND(SUMIFS(AN_TME_PY[[#All],[TOTAL Truncated Unadjusted Claims Expenses (A21 -A19)]], AN_TME_PY[[#All],[Insurance Category Code]],6, AN_TME_PY[[#All],[Advanced Network/Insurance Carrier Org ID]],Q353),2)</f>
        <v>1</v>
      </c>
      <c r="AD353" s="534" t="b">
        <f>ROUND(SUMIFS(AN_TME_PY[[#All],[TOTAL Truncated Unadjusted Claims Expenses (A21 -A19)]], AN_TME_PY[[#All],[Insurance Category Code]],6, AN_TME_PY[[#All],[Advanced Network/Insurance Carrier Org ID]],Q353)+SUMIFS(AN_TME_PY[[#All],[Total Claims Excluded because of Truncation]], AN_TME_PY[[#All],[Insurance Category Code]],6, AN_TME_PY[[#All],[Advanced Network/Insurance Carrier Org ID]],Q353),2)=ROUND(SUMIFS(AN_TME_PY[[#All],[TOTAL Non-Truncated Unadjusted Claims Expenses]], AN_TME_PY[[#All],[Insurance Category Code]],6, AN_TME_PY[[#All],[Advanced Network/Insurance Carrier Org ID]],Q353),2)</f>
        <v>1</v>
      </c>
      <c r="AF353" s="283" t="str">
        <f t="shared" si="48"/>
        <v>NA</v>
      </c>
    </row>
    <row r="354" spans="2:32" outlineLevel="1" x14ac:dyDescent="0.25">
      <c r="B354" s="216">
        <v>134</v>
      </c>
      <c r="C354" s="404">
        <f>ROUND(SUMIFS(Age_Sex_BY[[#All],[Total Member Months by Age/Sex Band]], Age_Sex_BY[[#All],[Advanced Network ID]], $B354, Age_Sex_BY[[#All],[Insurance Category Code]],6),2)</f>
        <v>0</v>
      </c>
      <c r="D354" s="238">
        <f>ROUND(SUMIFS(Age_Sex_BY[[#All],[Total Dollars Excluded from Spending After Applying Truncation at the Member Level]], Age_Sex_BY[[#All],[Advanced Network ID]], $B354, Age_Sex_BY[[#All],[Insurance Category Code]],6),2)</f>
        <v>0</v>
      </c>
      <c r="E354" s="209">
        <f>ROUND(SUMIFS(Age_Sex_BY[[#All],[Count of Members whose Spending was Truncated]], Age_Sex_BY[[#All],[Advanced Network ID]], $B354, Age_Sex_BY[[#All],[Insurance Category Code]],6),2)</f>
        <v>0</v>
      </c>
      <c r="F354" s="210">
        <f>ROUND(SUMIFS(Age_Sex_BY[[#All],[Total Spending before Truncation is Applied]], Age_Sex_BY[[#All],[Advanced Network ID]], $B354, Age_Sex_BY[[#All],[Insurance Category Code]],6),2)</f>
        <v>0</v>
      </c>
      <c r="G354" s="212">
        <f>ROUND(SUMIFS(Age_Sex_BY[[#All],[Total Spending After Applying Truncation at the Member Level]], Age_Sex_BY[[#All],[Advanced Network ID]], $B354, Age_Sex_BY[[#All],[Insurance Category Code]],6),2)</f>
        <v>0</v>
      </c>
      <c r="H354" s="525" t="str">
        <f>IF(ROUND(C354,0)=ROUND(SUMIFS(AN_TME_BY[[#All],[Member Months]], AN_TME_BY[[#All],[Insurance Category Code]],6, AN_TME_BY[[#All],[Advanced Network/Insurance Carrier Org ID]],B354),0), "TRUE", ROUND(C354-SUMIFS(AN_TME_BY[[#All],[Member Months]], AN_TME_BY[[#All],[Insurance Category Code]],6, AN_TME_BY[[#All],[Advanced Network/Insurance Carrier Org ID]],B354),2))</f>
        <v>TRUE</v>
      </c>
      <c r="I354" s="533" t="str">
        <f>IF(ROUND(D354,0)=ROUND(SUMIFS(AN_TME_BY[[#All],[Total Claims Excluded because of Truncation]], AN_TME_BY[[#All],[Insurance Category Code]],6, AN_TME_BY[[#All],[Advanced Network/Insurance Carrier Org ID]],B354),0), "TRUE", ROUND(D354-SUMIFS(AN_TME_BY[[#All],[Total Claims Excluded because of Truncation]], AN_TME_BY[[#All],[Insurance Category Code]],6, AN_TME_BY[[#All],[Advanced Network/Insurance Carrier Org ID]],B354),2))</f>
        <v>TRUE</v>
      </c>
      <c r="J354" s="537" t="str">
        <f>IF(ROUND(E354,0)=ROUND(SUMIFS(AN_TME_BY[[#All],[Count of Members with Claims Truncated]], AN_TME_BY[[#All],[Insurance Category Code]],6, AN_TME_BY[[#All],[Advanced Network/Insurance Carrier Org ID]],B354),0), "TRUE", ROUND(E354-SUMIFS(AN_TME_BY[[#All],[Count of Members with Claims Truncated]], AN_TME_BY[[#All],[Insurance Category Code]],6, AN_TME_BY[[#All],[Advanced Network/Insurance Carrier Org ID]],B354),2))</f>
        <v>TRUE</v>
      </c>
      <c r="K354" s="533" t="str">
        <f>IF(ROUND(F354,0)=ROUND(SUMIFS(AN_TME_BY[[#All],[TOTAL Non-Truncated Unadjusted Claims Expenses]], AN_TME_BY[[#All],[Insurance Category Code]],6, AN_TME_BY[[#All],[Advanced Network/Insurance Carrier Org ID]],B354),0), "TRUE", ROUND(F354-SUMIFS(AN_TME_BY[[#All],[TOTAL Non-Truncated Unadjusted Claims Expenses]], AN_TME_BY[[#All],[Insurance Category Code]],6, AN_TME_BY[[#All],[Advanced Network/Insurance Carrier Org ID]],B354),2))</f>
        <v>TRUE</v>
      </c>
      <c r="L354" s="534" t="str">
        <f>IF(ROUND(G354,0)=ROUND(SUMIFS(AN_TME_BY[[#All],[TOTAL Truncated Unadjusted Claims Expenses (A21 -A19)]], AN_TME_BY[[#All],[Insurance Category Code]],6, AN_TME_BY[[#All],[Advanced Network/Insurance Carrier Org ID]],B354),0), "TRUE", ROUND(G354-SUMIFS(AN_TME_BY[[#All],[TOTAL Truncated Unadjusted Claims Expenses (A21 -A19)]], AN_TME_BY[[#All],[Insurance Category Code]],6, AN_TME_BY[[#All],[Advanced Network/Insurance Carrier Org ID]],B354),2))</f>
        <v>TRUE</v>
      </c>
      <c r="M354" s="525" t="str">
        <f t="shared" si="46"/>
        <v>TRUE</v>
      </c>
      <c r="N354" s="533" t="b">
        <f>ROUND(SUMIFS(AN_TME_BY[[#All],[TOTAL Non-Truncated Unadjusted Claims Expenses]], AN_TME_BY[[#All],[Insurance Category Code]],6, AN_TME_BY[[#All],[Advanced Network/Insurance Carrier Org ID]],B354),2)&gt;=ROUND(SUMIFS(AN_TME_BY[[#All],[TOTAL Truncated Unadjusted Claims Expenses (A21 -A19)]], AN_TME_BY[[#All],[Insurance Category Code]],6, AN_TME_BY[[#All],[Advanced Network/Insurance Carrier Org ID]],B354),2)</f>
        <v>1</v>
      </c>
      <c r="O354" s="534" t="b">
        <f>ROUND(SUMIFS(AN_TME_BY[[#All],[TOTAL Truncated Unadjusted Claims Expenses (A21 -A19)]], AN_TME_BY[[#All],[Insurance Category Code]],6, AN_TME_BY[[#All],[Advanced Network/Insurance Carrier Org ID]],B354)+SUMIFS(AN_TME_BY[[#All],[Total Claims Excluded because of Truncation]], AN_TME_BY[[#All],[Insurance Category Code]],6, AN_TME_BY[[#All],[Advanced Network/Insurance Carrier Org ID]],B354),2)=ROUND(SUMIFS(AN_TME_BY[[#All],[TOTAL Non-Truncated Unadjusted Claims Expenses]], AN_TME_BY[[#All],[Insurance Category Code]],6, AN_TME_BY[[#All],[Advanced Network/Insurance Carrier Org ID]],B354),2)</f>
        <v>1</v>
      </c>
      <c r="Q354" s="216">
        <v>134</v>
      </c>
      <c r="R354" s="404">
        <f>ROUND(SUMIFS(Age_Sex_PY[[#All],[Total Member Months by Age/Sex Band]], Age_Sex_PY[[#All],[Advanced Network ID]], $Q354, Age_Sex_PY[[#All],[Insurance Category Code]],6),2)</f>
        <v>0</v>
      </c>
      <c r="S354" s="238">
        <f>ROUND(SUMIFS(Age_Sex_PY[[#All],[Total Dollars Excluded from Spending After Applying Truncation at the Member Level]], Age_Sex_PY[[#All],[Advanced Network ID]], $B354, Age_Sex_PY[[#All],[Insurance Category Code]],6),2)</f>
        <v>0</v>
      </c>
      <c r="T354" s="209">
        <f>ROUND(SUMIFS(Age_Sex_PY[[#All],[Count of Members whose Spending was Truncated]], Age_Sex_PY[[#All],[Advanced Network ID]], $B354, Age_Sex_PY[[#All],[Insurance Category Code]],6),2)</f>
        <v>0</v>
      </c>
      <c r="U354" s="210">
        <f>ROUND(SUMIFS(Age_Sex_PY[[#All],[Total Spending before Truncation is Applied]], Age_Sex_PY[[#All],[Advanced Network ID]], $B354, Age_Sex_PY[[#All],[Insurance Category Code]],6),2)</f>
        <v>0</v>
      </c>
      <c r="V354" s="212">
        <f>ROUND(SUMIFS(Age_Sex_PY[[#All],[Total Spending After Applying Truncation at the Member Level]], Age_Sex_PY[[#All],[Advanced Network ID]], $B354, Age_Sex_PY[[#All],[Insurance Category Code]],6),2)</f>
        <v>0</v>
      </c>
      <c r="W354" s="525" t="str">
        <f>IF(ROUND(R354,0)=ROUND(SUMIFS(AN_TME_PY[[#All],[Member Months]], AN_TME_PY[[#All],[Insurance Category Code]],6, AN_TME_PY[[#All],[Advanced Network/Insurance Carrier Org ID]],Q354),0), "TRUE", ROUND(R354-SUMIFS(AN_TME_PY[[#All],[Member Months]], AN_TME_PY[[#All],[Insurance Category Code]],6, AN_TME_PY[[#All],[Advanced Network/Insurance Carrier Org ID]],Q354),2))</f>
        <v>TRUE</v>
      </c>
      <c r="X354" s="533" t="str">
        <f>IF(ROUND(S354,0)=ROUND(SUMIFS(AN_TME_PY[[#All],[Total Claims Excluded because of Truncation]], AN_TME_PY[[#All],[Insurance Category Code]],6, AN_TME_PY[[#All],[Advanced Network/Insurance Carrier Org ID]],Q354),0), "TRUE", ROUND(S354-SUMIFS(AN_TME_PY[[#All],[Total Claims Excluded because of Truncation]], AN_TME_PY[[#All],[Insurance Category Code]],6, AN_TME_PY[[#All],[Advanced Network/Insurance Carrier Org ID]],Q354),2))</f>
        <v>TRUE</v>
      </c>
      <c r="Y354" s="537" t="str">
        <f>IF(ROUND(T354,0)=ROUND(SUMIFS(AN_TME_PY[[#All],[Count of Members with Claims Truncated]], AN_TME_PY[[#All],[Insurance Category Code]],6, AN_TME_PY[[#All],[Advanced Network/Insurance Carrier Org ID]],Q354),0), "TRUE", ROUND(T354-SUMIFS(AN_TME_PY[[#All],[Count of Members with Claims Truncated]], AN_TME_PY[[#All],[Insurance Category Code]],6, AN_TME_PY[[#All],[Advanced Network/Insurance Carrier Org ID]],Q354),2))</f>
        <v>TRUE</v>
      </c>
      <c r="Z354" s="533" t="str">
        <f>IF(ROUND(U354,0)=ROUND(SUMIFS(AN_TME_PY[[#All],[TOTAL Non-Truncated Unadjusted Claims Expenses]], AN_TME_PY[[#All],[Insurance Category Code]],6, AN_TME_PY[[#All],[Advanced Network/Insurance Carrier Org ID]],Q354),0), "TRUE", ROUND(U354-SUMIFS(AN_TME_PY[[#All],[TOTAL Non-Truncated Unadjusted Claims Expenses]], AN_TME_PY[[#All],[Insurance Category Code]],6, AN_TME_PY[[#All],[Advanced Network/Insurance Carrier Org ID]],Q354),2))</f>
        <v>TRUE</v>
      </c>
      <c r="AA354" s="534" t="str">
        <f>IF(ROUND(V354,0)=ROUND(SUMIFS(AN_TME_PY[[#All],[TOTAL Truncated Unadjusted Claims Expenses (A21 -A19)]], AN_TME_PY[[#All],[Insurance Category Code]],6, AN_TME_PY[[#All],[Advanced Network/Insurance Carrier Org ID]],Q354),0), "TRUE", ROUND(V354-SUMIFS(AN_TME_PY[[#All],[TOTAL Truncated Unadjusted Claims Expenses (A21 -A19)]], AN_TME_PY[[#All],[Insurance Category Code]],6, AN_TME_PY[[#All],[Advanced Network/Insurance Carrier Org ID]],Q354),2))</f>
        <v>TRUE</v>
      </c>
      <c r="AB354" s="525" t="str">
        <f t="shared" si="47"/>
        <v>TRUE</v>
      </c>
      <c r="AC354" s="533" t="b">
        <f>ROUND(SUMIFS(AN_TME_PY[[#All],[TOTAL Non-Truncated Unadjusted Claims Expenses]], AN_TME_PY[[#All],[Insurance Category Code]],6, AN_TME_PY[[#All],[Advanced Network/Insurance Carrier Org ID]],Q354),2)&gt;=ROUND(SUMIFS(AN_TME_PY[[#All],[TOTAL Truncated Unadjusted Claims Expenses (A21 -A19)]], AN_TME_PY[[#All],[Insurance Category Code]],6, AN_TME_PY[[#All],[Advanced Network/Insurance Carrier Org ID]],Q354),2)</f>
        <v>1</v>
      </c>
      <c r="AD354" s="534" t="b">
        <f>ROUND(SUMIFS(AN_TME_PY[[#All],[TOTAL Truncated Unadjusted Claims Expenses (A21 -A19)]], AN_TME_PY[[#All],[Insurance Category Code]],6, AN_TME_PY[[#All],[Advanced Network/Insurance Carrier Org ID]],Q354)+SUMIFS(AN_TME_PY[[#All],[Total Claims Excluded because of Truncation]], AN_TME_PY[[#All],[Insurance Category Code]],6, AN_TME_PY[[#All],[Advanced Network/Insurance Carrier Org ID]],Q354),2)=ROUND(SUMIFS(AN_TME_PY[[#All],[TOTAL Non-Truncated Unadjusted Claims Expenses]], AN_TME_PY[[#All],[Insurance Category Code]],6, AN_TME_PY[[#All],[Advanced Network/Insurance Carrier Org ID]],Q354),2)</f>
        <v>1</v>
      </c>
      <c r="AF354" s="283" t="str">
        <f t="shared" si="48"/>
        <v>NA</v>
      </c>
    </row>
    <row r="355" spans="2:32" ht="15.75" outlineLevel="1" thickBot="1" x14ac:dyDescent="0.3">
      <c r="B355" s="217">
        <v>999</v>
      </c>
      <c r="C355" s="405">
        <f>ROUND(SUMIFS(Age_Sex_BY[[#All],[Total Member Months by Age/Sex Band]], Age_Sex_BY[[#All],[Advanced Network ID]], $B355, Age_Sex_BY[[#All],[Insurance Category Code]],6),2)</f>
        <v>0</v>
      </c>
      <c r="D355" s="240">
        <f>ROUND(SUMIFS(Age_Sex_BY[[#All],[Total Dollars Excluded from Spending After Applying Truncation at the Member Level]], Age_Sex_BY[[#All],[Advanced Network ID]], $B355, Age_Sex_BY[[#All],[Insurance Category Code]],6),2)</f>
        <v>0</v>
      </c>
      <c r="E355" s="213">
        <f>ROUND(SUMIFS(Age_Sex_BY[[#All],[Count of Members whose Spending was Truncated]], Age_Sex_BY[[#All],[Advanced Network ID]], $B355, Age_Sex_BY[[#All],[Insurance Category Code]],6),2)</f>
        <v>0</v>
      </c>
      <c r="F355" s="214">
        <f>ROUND(SUMIFS(Age_Sex_BY[[#All],[Total Spending before Truncation is Applied]], Age_Sex_BY[[#All],[Advanced Network ID]], $B355, Age_Sex_BY[[#All],[Insurance Category Code]],6),2)</f>
        <v>0</v>
      </c>
      <c r="G355" s="215">
        <f>ROUND(SUMIFS(Age_Sex_BY[[#All],[Total Spending After Applying Truncation at the Member Level]], Age_Sex_BY[[#All],[Advanced Network ID]], $B355, Age_Sex_BY[[#All],[Insurance Category Code]],6),2)</f>
        <v>0</v>
      </c>
      <c r="H355" s="526" t="str">
        <f>IF(ROUND(C355,0)=ROUND(SUMIFS(AN_TME_BY[[#All],[Member Months]], AN_TME_BY[[#All],[Insurance Category Code]],6, AN_TME_BY[[#All],[Advanced Network/Insurance Carrier Org ID]],B355),0), "TRUE", ROUND(C355-SUMIFS(AN_TME_BY[[#All],[Member Months]], AN_TME_BY[[#All],[Insurance Category Code]],6, AN_TME_BY[[#All],[Advanced Network/Insurance Carrier Org ID]],B355),2))</f>
        <v>TRUE</v>
      </c>
      <c r="I355" s="535" t="str">
        <f>IF(ROUND(D355,0)=ROUND(SUMIFS(AN_TME_BY[[#All],[Total Claims Excluded because of Truncation]], AN_TME_BY[[#All],[Insurance Category Code]],6, AN_TME_BY[[#All],[Advanced Network/Insurance Carrier Org ID]],B355),0), "TRUE", ROUND(D355-SUMIFS(AN_TME_BY[[#All],[Total Claims Excluded because of Truncation]], AN_TME_BY[[#All],[Insurance Category Code]],6, AN_TME_BY[[#All],[Advanced Network/Insurance Carrier Org ID]],B355),2))</f>
        <v>TRUE</v>
      </c>
      <c r="J355" s="538" t="str">
        <f>IF(ROUND(E355,0)=ROUND(SUMIFS(AN_TME_BY[[#All],[Count of Members with Claims Truncated]], AN_TME_BY[[#All],[Insurance Category Code]],6, AN_TME_BY[[#All],[Advanced Network/Insurance Carrier Org ID]],B355),0), "TRUE", ROUND(E355-SUMIFS(AN_TME_BY[[#All],[Count of Members with Claims Truncated]], AN_TME_BY[[#All],[Insurance Category Code]],6, AN_TME_BY[[#All],[Advanced Network/Insurance Carrier Org ID]],B355),2))</f>
        <v>TRUE</v>
      </c>
      <c r="K355" s="535" t="str">
        <f>IF(ROUND(F355,0)=ROUND(SUMIFS(AN_TME_BY[[#All],[TOTAL Non-Truncated Unadjusted Claims Expenses]], AN_TME_BY[[#All],[Insurance Category Code]],6, AN_TME_BY[[#All],[Advanced Network/Insurance Carrier Org ID]],B355),0), "TRUE", ROUND(F355-SUMIFS(AN_TME_BY[[#All],[TOTAL Non-Truncated Unadjusted Claims Expenses]], AN_TME_BY[[#All],[Insurance Category Code]],6, AN_TME_BY[[#All],[Advanced Network/Insurance Carrier Org ID]],B355),2))</f>
        <v>TRUE</v>
      </c>
      <c r="L355" s="536" t="str">
        <f>IF(ROUND(G355,0)=ROUND(SUMIFS(AN_TME_BY[[#All],[TOTAL Truncated Unadjusted Claims Expenses (A21 -A19)]], AN_TME_BY[[#All],[Insurance Category Code]],6, AN_TME_BY[[#All],[Advanced Network/Insurance Carrier Org ID]],B355),0), "TRUE", ROUND(G355-SUMIFS(AN_TME_BY[[#All],[TOTAL Truncated Unadjusted Claims Expenses (A21 -A19)]], AN_TME_BY[[#All],[Insurance Category Code]],6, AN_TME_BY[[#All],[Advanced Network/Insurance Carrier Org ID]],B355),2))</f>
        <v>TRUE</v>
      </c>
      <c r="M355" s="526" t="str">
        <f t="shared" si="42"/>
        <v>TRUE</v>
      </c>
      <c r="N355" s="535" t="b">
        <f>ROUND(SUMIFS(AN_TME_BY[[#All],[TOTAL Non-Truncated Unadjusted Claims Expenses]], AN_TME_BY[[#All],[Insurance Category Code]],6, AN_TME_BY[[#All],[Advanced Network/Insurance Carrier Org ID]],B355),2)&gt;=ROUND(SUMIFS(AN_TME_BY[[#All],[TOTAL Truncated Unadjusted Claims Expenses (A21 -A19)]], AN_TME_BY[[#All],[Insurance Category Code]],6, AN_TME_BY[[#All],[Advanced Network/Insurance Carrier Org ID]],B355),2)</f>
        <v>1</v>
      </c>
      <c r="O355" s="536" t="b">
        <f>ROUND(SUMIFS(AN_TME_BY[[#All],[TOTAL Truncated Unadjusted Claims Expenses (A21 -A19)]], AN_TME_BY[[#All],[Insurance Category Code]],6, AN_TME_BY[[#All],[Advanced Network/Insurance Carrier Org ID]],B355)+SUMIFS(AN_TME_BY[[#All],[Total Claims Excluded because of Truncation]], AN_TME_BY[[#All],[Insurance Category Code]],6, AN_TME_BY[[#All],[Advanced Network/Insurance Carrier Org ID]],B355),2)=ROUND(SUMIFS(AN_TME_BY[[#All],[TOTAL Non-Truncated Unadjusted Claims Expenses]], AN_TME_BY[[#All],[Insurance Category Code]],6, AN_TME_BY[[#All],[Advanced Network/Insurance Carrier Org ID]],B355),2)</f>
        <v>1</v>
      </c>
      <c r="Q355" s="217">
        <v>999</v>
      </c>
      <c r="R355" s="405">
        <f>ROUND(SUMIFS(Age_Sex_PY[[#All],[Total Member Months by Age/Sex Band]], Age_Sex_PY[[#All],[Advanced Network ID]], $Q355, Age_Sex_PY[[#All],[Insurance Category Code]],6),2)</f>
        <v>0</v>
      </c>
      <c r="S355" s="240">
        <f>ROUND(SUMIFS(Age_Sex_PY[[#All],[Total Dollars Excluded from Spending After Applying Truncation at the Member Level]], Age_Sex_PY[[#All],[Advanced Network ID]], $B355, Age_Sex_PY[[#All],[Insurance Category Code]],6),2)</f>
        <v>0</v>
      </c>
      <c r="T355" s="213">
        <f>ROUND(SUMIFS(Age_Sex_PY[[#All],[Count of Members whose Spending was Truncated]], Age_Sex_PY[[#All],[Advanced Network ID]], $B355, Age_Sex_PY[[#All],[Insurance Category Code]],6),2)</f>
        <v>0</v>
      </c>
      <c r="U355" s="214">
        <f>ROUND(SUMIFS(Age_Sex_PY[[#All],[Total Spending before Truncation is Applied]], Age_Sex_PY[[#All],[Advanced Network ID]], $B355, Age_Sex_PY[[#All],[Insurance Category Code]],6),2)</f>
        <v>0</v>
      </c>
      <c r="V355" s="215">
        <f>ROUND(SUMIFS(Age_Sex_PY[[#All],[Total Spending After Applying Truncation at the Member Level]], Age_Sex_PY[[#All],[Advanced Network ID]], $B355, Age_Sex_PY[[#All],[Insurance Category Code]],6),2)</f>
        <v>0</v>
      </c>
      <c r="W355" s="526" t="str">
        <f>IF(ROUND(R355,0)=ROUND(SUMIFS(AN_TME_PY[[#All],[Member Months]], AN_TME_PY[[#All],[Insurance Category Code]],6, AN_TME_PY[[#All],[Advanced Network/Insurance Carrier Org ID]],Q355),0), "TRUE", ROUND(R355-SUMIFS(AN_TME_PY[[#All],[Member Months]], AN_TME_PY[[#All],[Insurance Category Code]],6, AN_TME_PY[[#All],[Advanced Network/Insurance Carrier Org ID]],Q355),2))</f>
        <v>TRUE</v>
      </c>
      <c r="X355" s="535" t="str">
        <f>IF(ROUND(S355,0)=ROUND(SUMIFS(AN_TME_PY[[#All],[Total Claims Excluded because of Truncation]], AN_TME_PY[[#All],[Insurance Category Code]],6, AN_TME_PY[[#All],[Advanced Network/Insurance Carrier Org ID]],Q355),0), "TRUE", ROUND(S355-SUMIFS(AN_TME_PY[[#All],[Total Claims Excluded because of Truncation]], AN_TME_PY[[#All],[Insurance Category Code]],6, AN_TME_PY[[#All],[Advanced Network/Insurance Carrier Org ID]],Q355),2))</f>
        <v>TRUE</v>
      </c>
      <c r="Y355" s="538" t="str">
        <f>IF(ROUND(T355,0)=ROUND(SUMIFS(AN_TME_PY[[#All],[Count of Members with Claims Truncated]], AN_TME_PY[[#All],[Insurance Category Code]],6, AN_TME_PY[[#All],[Advanced Network/Insurance Carrier Org ID]],Q355),0), "TRUE", ROUND(T355-SUMIFS(AN_TME_PY[[#All],[Count of Members with Claims Truncated]], AN_TME_PY[[#All],[Insurance Category Code]],6, AN_TME_PY[[#All],[Advanced Network/Insurance Carrier Org ID]],Q355),2))</f>
        <v>TRUE</v>
      </c>
      <c r="Z355" s="535" t="str">
        <f>IF(ROUND(U355,0)=ROUND(SUMIFS(AN_TME_PY[[#All],[TOTAL Non-Truncated Unadjusted Claims Expenses]], AN_TME_PY[[#All],[Insurance Category Code]],6, AN_TME_PY[[#All],[Advanced Network/Insurance Carrier Org ID]],Q355),0), "TRUE", ROUND(U355-SUMIFS(AN_TME_PY[[#All],[TOTAL Non-Truncated Unadjusted Claims Expenses]], AN_TME_PY[[#All],[Insurance Category Code]],6, AN_TME_PY[[#All],[Advanced Network/Insurance Carrier Org ID]],Q355),2))</f>
        <v>TRUE</v>
      </c>
      <c r="AA355" s="536" t="str">
        <f>IF(ROUND(V355,0)=ROUND(SUMIFS(AN_TME_PY[[#All],[TOTAL Truncated Unadjusted Claims Expenses (A21 -A19)]], AN_TME_PY[[#All],[Insurance Category Code]],6, AN_TME_PY[[#All],[Advanced Network/Insurance Carrier Org ID]],Q355),0), "TRUE", ROUND(V355-SUMIFS(AN_TME_PY[[#All],[TOTAL Truncated Unadjusted Claims Expenses (A21 -A19)]], AN_TME_PY[[#All],[Insurance Category Code]],6, AN_TME_PY[[#All],[Advanced Network/Insurance Carrier Org ID]],Q355),2))</f>
        <v>TRUE</v>
      </c>
      <c r="AB355" s="526" t="str">
        <f t="shared" si="45"/>
        <v>TRUE</v>
      </c>
      <c r="AC355" s="535" t="b">
        <f>ROUND(SUMIFS(AN_TME_PY[[#All],[TOTAL Non-Truncated Unadjusted Claims Expenses]], AN_TME_PY[[#All],[Insurance Category Code]],6, AN_TME_PY[[#All],[Advanced Network/Insurance Carrier Org ID]],Q355),2)&gt;=ROUND(SUMIFS(AN_TME_PY[[#All],[TOTAL Truncated Unadjusted Claims Expenses (A21 -A19)]], AN_TME_PY[[#All],[Insurance Category Code]],6, AN_TME_PY[[#All],[Advanced Network/Insurance Carrier Org ID]],Q355),2)</f>
        <v>1</v>
      </c>
      <c r="AD355" s="536" t="b">
        <f>ROUND(SUMIFS(AN_TME_PY[[#All],[TOTAL Truncated Unadjusted Claims Expenses (A21 -A19)]], AN_TME_PY[[#All],[Insurance Category Code]],6, AN_TME_PY[[#All],[Advanced Network/Insurance Carrier Org ID]],Q355)+SUMIFS(AN_TME_PY[[#All],[Total Claims Excluded because of Truncation]], AN_TME_PY[[#All],[Insurance Category Code]],6, AN_TME_PY[[#All],[Advanced Network/Insurance Carrier Org ID]],Q355),2)=ROUND(SUMIFS(AN_TME_PY[[#All],[TOTAL Non-Truncated Unadjusted Claims Expenses]], AN_TME_PY[[#All],[Insurance Category Code]],6, AN_TME_PY[[#All],[Advanced Network/Insurance Carrier Org ID]],Q355),2)</f>
        <v>1</v>
      </c>
      <c r="AF355" s="284" t="str">
        <f t="shared" si="44"/>
        <v>NA</v>
      </c>
    </row>
    <row r="356" spans="2:32" x14ac:dyDescent="0.25">
      <c r="B356" s="30"/>
      <c r="C356" s="14"/>
      <c r="D356" s="113"/>
    </row>
    <row r="357" spans="2:32" x14ac:dyDescent="0.25">
      <c r="B357" s="30"/>
      <c r="C357" s="14"/>
      <c r="D357" s="113"/>
    </row>
    <row r="358" spans="2:32" outlineLevel="1" x14ac:dyDescent="0.25">
      <c r="B358" s="318" t="s">
        <v>384</v>
      </c>
      <c r="C358" s="14"/>
      <c r="D358" s="113"/>
      <c r="L358" s="211"/>
      <c r="M358" s="211"/>
      <c r="N358" s="211"/>
      <c r="O358" s="211"/>
      <c r="Q358" s="318" t="s">
        <v>384</v>
      </c>
    </row>
    <row r="359" spans="2:32" x14ac:dyDescent="0.25">
      <c r="B359" s="30"/>
      <c r="C359" s="14"/>
      <c r="D359" s="113"/>
    </row>
    <row r="360" spans="2:32" x14ac:dyDescent="0.25">
      <c r="B360" s="30"/>
      <c r="C360" s="14"/>
      <c r="D360" s="113"/>
    </row>
    <row r="361" spans="2:32" ht="19.5" thickBot="1" x14ac:dyDescent="0.35">
      <c r="B361" s="249" t="s">
        <v>421</v>
      </c>
      <c r="C361" s="14"/>
      <c r="D361" s="113"/>
    </row>
    <row r="362" spans="2:32" ht="21.75" thickBot="1" x14ac:dyDescent="0.4">
      <c r="C362" s="649">
        <v>2023</v>
      </c>
      <c r="D362" s="650"/>
      <c r="E362" s="651"/>
      <c r="F362" s="646">
        <v>2024</v>
      </c>
      <c r="G362" s="647"/>
      <c r="H362" s="648"/>
      <c r="K362" s="649">
        <v>2023</v>
      </c>
      <c r="L362" s="650"/>
      <c r="M362" s="651"/>
      <c r="N362" s="646">
        <v>2024</v>
      </c>
      <c r="O362" s="647"/>
      <c r="P362" s="648"/>
      <c r="S362" s="649">
        <v>2023</v>
      </c>
      <c r="T362" s="650"/>
      <c r="U362" s="651"/>
      <c r="V362" s="646">
        <v>2024</v>
      </c>
      <c r="W362" s="647"/>
      <c r="X362" s="648"/>
    </row>
    <row r="363" spans="2:32" s="245" customFormat="1" ht="64.5" customHeight="1" thickBot="1" x14ac:dyDescent="0.3">
      <c r="B363" s="248" t="s">
        <v>359</v>
      </c>
      <c r="C363" s="329" t="s">
        <v>422</v>
      </c>
      <c r="D363" s="330" t="s">
        <v>423</v>
      </c>
      <c r="E363" s="331" t="s">
        <v>424</v>
      </c>
      <c r="F363" s="332" t="s">
        <v>422</v>
      </c>
      <c r="G363" s="333" t="s">
        <v>423</v>
      </c>
      <c r="H363" s="334" t="s">
        <v>424</v>
      </c>
      <c r="J363" s="248" t="s">
        <v>360</v>
      </c>
      <c r="K363" s="329" t="s">
        <v>422</v>
      </c>
      <c r="L363" s="330" t="s">
        <v>423</v>
      </c>
      <c r="M363" s="331" t="s">
        <v>424</v>
      </c>
      <c r="N363" s="332" t="s">
        <v>422</v>
      </c>
      <c r="O363" s="333" t="s">
        <v>423</v>
      </c>
      <c r="P363" s="334" t="s">
        <v>424</v>
      </c>
      <c r="R363" s="248" t="s">
        <v>361</v>
      </c>
      <c r="S363" s="329" t="s">
        <v>422</v>
      </c>
      <c r="T363" s="330" t="s">
        <v>423</v>
      </c>
      <c r="U363" s="331" t="s">
        <v>424</v>
      </c>
      <c r="V363" s="332" t="s">
        <v>422</v>
      </c>
      <c r="W363" s="333" t="s">
        <v>423</v>
      </c>
      <c r="X363" s="334" t="s">
        <v>424</v>
      </c>
    </row>
    <row r="364" spans="2:32" x14ac:dyDescent="0.25">
      <c r="B364" s="216">
        <v>100</v>
      </c>
      <c r="C364" s="335">
        <f>ROUND(SUMIFS(AN_TME_BY[[#All],[TOTAL Truncated Unadjusted Claims Expenses (A21 -A19)]], AN_TME_BY[[#All],[Advanced Network/Insurance Carrier Org ID]],B364, AN_TME_BY[[#All],[Insurance Category Code]], 1)+SUMIFS(AN_TME_BY[[#All],[TOTAL Truncated Unadjusted Claims Expenses (A21 -A19)]], AN_TME_BY[[#All],[Advanced Network/Insurance Carrier Org ID]],B364, AN_TME_BY[[#All],[Insurance Category Code]], 5),2)</f>
        <v>0</v>
      </c>
      <c r="D364" s="336">
        <f>ROUND(SUMIFS(StandardDeviation_BY[[#All],[Total Spending After Truncation]], StandardDeviation_BY[[#All],[Advanced Network/Insurance Carrier Org ID]],B364, StandardDeviation_BY[[#All],[Market ID]],1),2)</f>
        <v>0</v>
      </c>
      <c r="E364" s="539" t="str">
        <f>IF(ROUND(C364,0)=ROUND(D364,0), "TRUE", C364-D364)</f>
        <v>TRUE</v>
      </c>
      <c r="F364" s="335">
        <f>ROUND(SUMIFS(AN_TME_PY[[#All],[TOTAL Truncated Unadjusted Claims Expenses (A21 -A19)]], AN_TME_PY[[#All],[Advanced Network/Insurance Carrier Org ID]],B364, AN_TME_PY[[#All],[Insurance Category Code]], 1)+SUMIFS(AN_TME_PY[[#All],[TOTAL Truncated Unadjusted Claims Expenses (A21 -A19)]], AN_TME_PY[[#All],[Advanced Network/Insurance Carrier Org ID]],B364, AN_TME_PY[[#All],[Insurance Category Code]], 5),2)</f>
        <v>0</v>
      </c>
      <c r="G364" s="336">
        <f>ROUND(SUMIFS(StandardDeviation_PY[[#All],[Total Spending After Truncation]], StandardDeviation_PY[[#All],[Advanced Network/Insurance Carrier Org ID]],B364, StandardDeviation_PY[[#All],[Market ID]],1),2)</f>
        <v>0</v>
      </c>
      <c r="H364" s="539" t="str">
        <f>IF(ROUND(F364,0)=ROUND(G364,0), "TRUE", F364-G364)</f>
        <v>TRUE</v>
      </c>
      <c r="J364" s="216">
        <v>100</v>
      </c>
      <c r="K364" s="335">
        <f>ROUND(SUMIFS(AN_TME_BY[[#All],[TOTAL Truncated Unadjusted Claims Expenses (A21 -A19)]], AN_TME_BY[[#All],[Advanced Network/Insurance Carrier Org ID]],J364, AN_TME_BY[[#All],[Insurance Category Code]], 2)+SUMIFS(AN_TME_BY[[#All],[TOTAL Truncated Unadjusted Claims Expenses (A21 -A19)]], AN_TME_BY[[#All],[Advanced Network/Insurance Carrier Org ID]],J364, AN_TME_BY[[#All],[Insurance Category Code]], 6),2)</f>
        <v>0</v>
      </c>
      <c r="L364" s="336">
        <f>ROUND(SUMIFS(StandardDeviation_BY[[#All],[Total Spending After Truncation]], StandardDeviation_BY[[#All],[Advanced Network/Insurance Carrier Org ID]],J364, StandardDeviation_BY[[#All],[Market ID]],2),2)</f>
        <v>0</v>
      </c>
      <c r="M364" s="539" t="str">
        <f>IF(ROUND(K364,0)=ROUND(L364,0), "TRUE", K364-L364)</f>
        <v>TRUE</v>
      </c>
      <c r="N364" s="335">
        <f>ROUND(SUMIFS(AN_TME_PY[[#All],[TOTAL Truncated Unadjusted Claims Expenses (A21 -A19)]], AN_TME_PY[[#All],[Advanced Network/Insurance Carrier Org ID]],J364, AN_TME_PY[[#All],[Insurance Category Code]], 2)+SUMIFS(AN_TME_PY[[#All],[TOTAL Truncated Unadjusted Claims Expenses (A21 -A19)]], AN_TME_PY[[#All],[Advanced Network/Insurance Carrier Org ID]],J364, AN_TME_PY[[#All],[Insurance Category Code]], 6),2)</f>
        <v>0</v>
      </c>
      <c r="O364" s="336">
        <f>ROUND(SUMIFS(StandardDeviation_PY[[#All],[Total Spending After Truncation]], StandardDeviation_PY[[#All],[Advanced Network/Insurance Carrier Org ID]],J364, StandardDeviation_PY[[#All],[Market ID]],2),2)</f>
        <v>0</v>
      </c>
      <c r="P364" s="539" t="str">
        <f>IF(ROUND(N364,0)=ROUND(O364,0), "TRUE", N364-O364)</f>
        <v>TRUE</v>
      </c>
      <c r="R364" s="216">
        <v>100</v>
      </c>
      <c r="S364" s="335">
        <f>ROUND(SUMIFS(AN_TME_BY[[#All],[TOTAL Truncated Unadjusted Claims Expenses (A21 -A19)]], AN_TME_BY[[#All],[Advanced Network/Insurance Carrier Org ID]],R364, AN_TME_BY[[#All],[Insurance Category Code]], 3)+SUMIFS(AN_TME_BY[[#All],[TOTAL Truncated Unadjusted Claims Expenses (A21 -A19)]], AN_TME_BY[[#All],[Advanced Network/Insurance Carrier Org ID]],R364, AN_TME_BY[[#All],[Insurance Category Code]], 4),2)</f>
        <v>0</v>
      </c>
      <c r="T364" s="336">
        <f>ROUND(SUMIFS(StandardDeviation_BY[[#All],[Total Spending After Truncation]], StandardDeviation_BY[[#All],[Advanced Network/Insurance Carrier Org ID]],R364, StandardDeviation_BY[[#All],[Market ID]],3),2)</f>
        <v>0</v>
      </c>
      <c r="U364" s="542" t="str">
        <f>IF(ROUND(S364,0)=ROUND(T364,0), "TRUE", S364-T364)</f>
        <v>TRUE</v>
      </c>
      <c r="V364" s="335">
        <f>ROUND(SUMIFS(AN_TME_PY[[#All],[TOTAL Truncated Unadjusted Claims Expenses (A21 -A19)]], AN_TME_PY[[#All],[Advanced Network/Insurance Carrier Org ID]],R364, AN_TME_PY[[#All],[Insurance Category Code]], 3)+SUMIFS(AN_TME_PY[[#All],[TOTAL Truncated Unadjusted Claims Expenses (A21 -A19)]], AN_TME_PY[[#All],[Advanced Network/Insurance Carrier Org ID]],R364, AN_TME_PY[[#All],[Insurance Category Code]], 4),2)</f>
        <v>0</v>
      </c>
      <c r="W364" s="336">
        <f>ROUND(SUMIFS(StandardDeviation_PY[[#All],[Total Spending After Truncation]], StandardDeviation_PY[[#All],[Advanced Network/Insurance Carrier Org ID]],R364, StandardDeviation_PY[[#All],[Market ID]],3),2)</f>
        <v>0</v>
      </c>
      <c r="X364" s="542" t="str">
        <f>IF(ROUND(V364,0)=ROUND(W364,0), "TRUE", V364-W364)</f>
        <v>TRUE</v>
      </c>
    </row>
    <row r="365" spans="2:32" s="29" customFormat="1" x14ac:dyDescent="0.25">
      <c r="B365" s="216">
        <v>101</v>
      </c>
      <c r="C365" s="233">
        <f>ROUND(SUMIFS(AN_TME_BY[[#All],[TOTAL Truncated Unadjusted Claims Expenses (A21 -A19)]], AN_TME_BY[[#All],[Advanced Network/Insurance Carrier Org ID]],B365, AN_TME_BY[[#All],[Insurance Category Code]], 1)+SUMIFS(AN_TME_BY[[#All],[TOTAL Truncated Unadjusted Claims Expenses (A21 -A19)]], AN_TME_BY[[#All],[Advanced Network/Insurance Carrier Org ID]],B365, AN_TME_BY[[#All],[Insurance Category Code]], 5),2)</f>
        <v>0</v>
      </c>
      <c r="D365" s="221">
        <f>ROUND(SUMIFS(StandardDeviation_BY[[#All],[Total Spending After Truncation]], StandardDeviation_BY[[#All],[Advanced Network/Insurance Carrier Org ID]],B365, StandardDeviation_BY[[#All],[Market ID]],1),2)</f>
        <v>0</v>
      </c>
      <c r="E365" s="540" t="str">
        <f t="shared" ref="E365:E399" si="49">IF(ROUND(C365,0)=ROUND(D365,0), "TRUE", C365-D365)</f>
        <v>TRUE</v>
      </c>
      <c r="F365" s="233">
        <f>ROUND(SUMIFS(AN_TME_PY[[#All],[TOTAL Truncated Unadjusted Claims Expenses (A21 -A19)]], AN_TME_PY[[#All],[Advanced Network/Insurance Carrier Org ID]],B365, AN_TME_PY[[#All],[Insurance Category Code]], 1)+SUMIFS(AN_TME_PY[[#All],[TOTAL Truncated Unadjusted Claims Expenses (A21 -A19)]], AN_TME_PY[[#All],[Advanced Network/Insurance Carrier Org ID]],B365, AN_TME_PY[[#All],[Insurance Category Code]], 5),2)</f>
        <v>0</v>
      </c>
      <c r="G365" s="221">
        <f>ROUND(SUMIFS(StandardDeviation_PY[[#All],[Total Spending After Truncation]], StandardDeviation_PY[[#All],[Advanced Network/Insurance Carrier Org ID]],B365, StandardDeviation_PY[[#All],[Market ID]],1),2)</f>
        <v>0</v>
      </c>
      <c r="H365" s="540" t="str">
        <f t="shared" ref="H365:H399" si="50">IF(ROUND(F365,0)=ROUND(G365,0), "TRUE", F365-G365)</f>
        <v>TRUE</v>
      </c>
      <c r="I365"/>
      <c r="J365" s="216">
        <v>101</v>
      </c>
      <c r="K365" s="233">
        <f>ROUND(SUMIFS(AN_TME_BY[[#All],[TOTAL Truncated Unadjusted Claims Expenses (A21 -A19)]], AN_TME_BY[[#All],[Advanced Network/Insurance Carrier Org ID]],J365, AN_TME_BY[[#All],[Insurance Category Code]], 2)+SUMIFS(AN_TME_BY[[#All],[TOTAL Truncated Unadjusted Claims Expenses (A21 -A19)]], AN_TME_BY[[#All],[Advanced Network/Insurance Carrier Org ID]],J365, AN_TME_BY[[#All],[Insurance Category Code]], 6),2)</f>
        <v>0</v>
      </c>
      <c r="L365" s="221">
        <f>ROUND(SUMIFS(StandardDeviation_BY[[#All],[Total Spending After Truncation]], StandardDeviation_BY[[#All],[Advanced Network/Insurance Carrier Org ID]],J365, StandardDeviation_BY[[#All],[Market ID]],2),2)</f>
        <v>0</v>
      </c>
      <c r="M365" s="540" t="str">
        <f t="shared" ref="M365:M399" si="51">IF(ROUND(K365,0)=ROUND(L365,0), "TRUE", K365-L365)</f>
        <v>TRUE</v>
      </c>
      <c r="N365" s="233">
        <f>ROUND(SUMIFS(AN_TME_PY[[#All],[TOTAL Truncated Unadjusted Claims Expenses (A21 -A19)]], AN_TME_PY[[#All],[Advanced Network/Insurance Carrier Org ID]],J365, AN_TME_PY[[#All],[Insurance Category Code]], 2)+SUMIFS(AN_TME_PY[[#All],[TOTAL Truncated Unadjusted Claims Expenses (A21 -A19)]], AN_TME_PY[[#All],[Advanced Network/Insurance Carrier Org ID]],J365, AN_TME_PY[[#All],[Insurance Category Code]], 6),2)</f>
        <v>0</v>
      </c>
      <c r="O365" s="221">
        <f>ROUND(SUMIFS(StandardDeviation_PY[[#All],[Total Spending After Truncation]], StandardDeviation_PY[[#All],[Advanced Network/Insurance Carrier Org ID]],J365, StandardDeviation_PY[[#All],[Market ID]],2),2)</f>
        <v>0</v>
      </c>
      <c r="P365" s="540" t="str">
        <f t="shared" ref="P365:P399" si="52">IF(ROUND(N365,0)=ROUND(O365,0), "TRUE", N365-O365)</f>
        <v>TRUE</v>
      </c>
      <c r="Q365"/>
      <c r="R365" s="216">
        <v>101</v>
      </c>
      <c r="S365" s="233">
        <f>ROUND(SUMIFS(AN_TME_BY[[#All],[TOTAL Truncated Unadjusted Claims Expenses (A21 -A19)]], AN_TME_BY[[#All],[Advanced Network/Insurance Carrier Org ID]],R365, AN_TME_BY[[#All],[Insurance Category Code]], 3)+SUMIFS(AN_TME_BY[[#All],[TOTAL Truncated Unadjusted Claims Expenses (A21 -A19)]], AN_TME_BY[[#All],[Advanced Network/Insurance Carrier Org ID]],R365, AN_TME_BY[[#All],[Insurance Category Code]], 4),2)</f>
        <v>0</v>
      </c>
      <c r="T365" s="221">
        <f>ROUND(SUMIFS(StandardDeviation_BY[[#All],[Total Spending After Truncation]], StandardDeviation_BY[[#All],[Advanced Network/Insurance Carrier Org ID]],R365, StandardDeviation_BY[[#All],[Market ID]],3),2)</f>
        <v>0</v>
      </c>
      <c r="U365" s="543" t="str">
        <f t="shared" ref="U365:U399" si="53">IF(ROUND(S365,0)=ROUND(T365,0), "TRUE", S365-T365)</f>
        <v>TRUE</v>
      </c>
      <c r="V365" s="233">
        <f>ROUND(SUMIFS(AN_TME_PY[[#All],[TOTAL Truncated Unadjusted Claims Expenses (A21 -A19)]], AN_TME_PY[[#All],[Advanced Network/Insurance Carrier Org ID]],R365, AN_TME_PY[[#All],[Insurance Category Code]], 3)+SUMIFS(AN_TME_PY[[#All],[TOTAL Truncated Unadjusted Claims Expenses (A21 -A19)]], AN_TME_PY[[#All],[Advanced Network/Insurance Carrier Org ID]],R365, AN_TME_PY[[#All],[Insurance Category Code]], 4),2)</f>
        <v>0</v>
      </c>
      <c r="W365" s="221">
        <f>ROUND(SUMIFS(StandardDeviation_PY[[#All],[Total Spending After Truncation]], StandardDeviation_PY[[#All],[Advanced Network/Insurance Carrier Org ID]],R365, StandardDeviation_PY[[#All],[Market ID]],3),2)</f>
        <v>0</v>
      </c>
      <c r="X365" s="543" t="str">
        <f t="shared" ref="X365:X399" si="54">IF(ROUND(V365,0)=ROUND(W365,0), "TRUE", V365-W365)</f>
        <v>TRUE</v>
      </c>
    </row>
    <row r="366" spans="2:32" s="29" customFormat="1" x14ac:dyDescent="0.25">
      <c r="B366" s="216">
        <v>102</v>
      </c>
      <c r="C366" s="233">
        <f>ROUND(SUMIFS(AN_TME_BY[[#All],[TOTAL Truncated Unadjusted Claims Expenses (A21 -A19)]], AN_TME_BY[[#All],[Advanced Network/Insurance Carrier Org ID]],B366, AN_TME_BY[[#All],[Insurance Category Code]], 1)+SUMIFS(AN_TME_BY[[#All],[TOTAL Truncated Unadjusted Claims Expenses (A21 -A19)]], AN_TME_BY[[#All],[Advanced Network/Insurance Carrier Org ID]],B366, AN_TME_BY[[#All],[Insurance Category Code]], 5),2)</f>
        <v>0</v>
      </c>
      <c r="D366" s="221">
        <f>ROUND(SUMIFS(StandardDeviation_BY[[#All],[Total Spending After Truncation]], StandardDeviation_BY[[#All],[Advanced Network/Insurance Carrier Org ID]],B366, StandardDeviation_BY[[#All],[Market ID]],1),2)</f>
        <v>0</v>
      </c>
      <c r="E366" s="540" t="str">
        <f t="shared" si="49"/>
        <v>TRUE</v>
      </c>
      <c r="F366" s="233">
        <f>ROUND(SUMIFS(AN_TME_PY[[#All],[TOTAL Truncated Unadjusted Claims Expenses (A21 -A19)]], AN_TME_PY[[#All],[Advanced Network/Insurance Carrier Org ID]],B366, AN_TME_PY[[#All],[Insurance Category Code]], 1)+SUMIFS(AN_TME_PY[[#All],[TOTAL Truncated Unadjusted Claims Expenses (A21 -A19)]], AN_TME_PY[[#All],[Advanced Network/Insurance Carrier Org ID]],B366, AN_TME_PY[[#All],[Insurance Category Code]], 5),2)</f>
        <v>0</v>
      </c>
      <c r="G366" s="221">
        <f>ROUND(SUMIFS(StandardDeviation_PY[[#All],[Total Spending After Truncation]], StandardDeviation_PY[[#All],[Advanced Network/Insurance Carrier Org ID]],B366, StandardDeviation_PY[[#All],[Market ID]],1),2)</f>
        <v>0</v>
      </c>
      <c r="H366" s="540" t="str">
        <f t="shared" si="50"/>
        <v>TRUE</v>
      </c>
      <c r="I366"/>
      <c r="J366" s="216">
        <v>102</v>
      </c>
      <c r="K366" s="233">
        <f>ROUND(SUMIFS(AN_TME_BY[[#All],[TOTAL Truncated Unadjusted Claims Expenses (A21 -A19)]], AN_TME_BY[[#All],[Advanced Network/Insurance Carrier Org ID]],J366, AN_TME_BY[[#All],[Insurance Category Code]], 2)+SUMIFS(AN_TME_BY[[#All],[TOTAL Truncated Unadjusted Claims Expenses (A21 -A19)]], AN_TME_BY[[#All],[Advanced Network/Insurance Carrier Org ID]],J366, AN_TME_BY[[#All],[Insurance Category Code]], 6),2)</f>
        <v>0</v>
      </c>
      <c r="L366" s="221">
        <f>ROUND(SUMIFS(StandardDeviation_BY[[#All],[Total Spending After Truncation]], StandardDeviation_BY[[#All],[Advanced Network/Insurance Carrier Org ID]],J366, StandardDeviation_BY[[#All],[Market ID]],2),2)</f>
        <v>0</v>
      </c>
      <c r="M366" s="540" t="str">
        <f t="shared" si="51"/>
        <v>TRUE</v>
      </c>
      <c r="N366" s="233">
        <f>ROUND(SUMIFS(AN_TME_PY[[#All],[TOTAL Truncated Unadjusted Claims Expenses (A21 -A19)]], AN_TME_PY[[#All],[Advanced Network/Insurance Carrier Org ID]],J366, AN_TME_PY[[#All],[Insurance Category Code]], 2)+SUMIFS(AN_TME_PY[[#All],[TOTAL Truncated Unadjusted Claims Expenses (A21 -A19)]], AN_TME_PY[[#All],[Advanced Network/Insurance Carrier Org ID]],J366, AN_TME_PY[[#All],[Insurance Category Code]], 6),2)</f>
        <v>0</v>
      </c>
      <c r="O366" s="221">
        <f>ROUND(SUMIFS(StandardDeviation_PY[[#All],[Total Spending After Truncation]], StandardDeviation_PY[[#All],[Advanced Network/Insurance Carrier Org ID]],J366, StandardDeviation_PY[[#All],[Market ID]],2),2)</f>
        <v>0</v>
      </c>
      <c r="P366" s="540" t="str">
        <f t="shared" si="52"/>
        <v>TRUE</v>
      </c>
      <c r="Q366"/>
      <c r="R366" s="216">
        <v>102</v>
      </c>
      <c r="S366" s="233">
        <f>ROUND(SUMIFS(AN_TME_BY[[#All],[TOTAL Truncated Unadjusted Claims Expenses (A21 -A19)]], AN_TME_BY[[#All],[Advanced Network/Insurance Carrier Org ID]],R366, AN_TME_BY[[#All],[Insurance Category Code]], 3)+SUMIFS(AN_TME_BY[[#All],[TOTAL Truncated Unadjusted Claims Expenses (A21 -A19)]], AN_TME_BY[[#All],[Advanced Network/Insurance Carrier Org ID]],R366, AN_TME_BY[[#All],[Insurance Category Code]], 4),2)</f>
        <v>0</v>
      </c>
      <c r="T366" s="221">
        <f>ROUND(SUMIFS(StandardDeviation_BY[[#All],[Total Spending After Truncation]], StandardDeviation_BY[[#All],[Advanced Network/Insurance Carrier Org ID]],R366, StandardDeviation_BY[[#All],[Market ID]],3),2)</f>
        <v>0</v>
      </c>
      <c r="U366" s="543" t="str">
        <f t="shared" si="53"/>
        <v>TRUE</v>
      </c>
      <c r="V366" s="233">
        <f>ROUND(SUMIFS(AN_TME_PY[[#All],[TOTAL Truncated Unadjusted Claims Expenses (A21 -A19)]], AN_TME_PY[[#All],[Advanced Network/Insurance Carrier Org ID]],R366, AN_TME_PY[[#All],[Insurance Category Code]], 3)+SUMIFS(AN_TME_PY[[#All],[TOTAL Truncated Unadjusted Claims Expenses (A21 -A19)]], AN_TME_PY[[#All],[Advanced Network/Insurance Carrier Org ID]],R366, AN_TME_PY[[#All],[Insurance Category Code]], 4),2)</f>
        <v>0</v>
      </c>
      <c r="W366" s="221">
        <f>ROUND(SUMIFS(StandardDeviation_PY[[#All],[Total Spending After Truncation]], StandardDeviation_PY[[#All],[Advanced Network/Insurance Carrier Org ID]],R366, StandardDeviation_PY[[#All],[Market ID]],3),2)</f>
        <v>0</v>
      </c>
      <c r="X366" s="543" t="str">
        <f t="shared" si="54"/>
        <v>TRUE</v>
      </c>
    </row>
    <row r="367" spans="2:32" s="29" customFormat="1" x14ac:dyDescent="0.25">
      <c r="B367" s="216">
        <v>103</v>
      </c>
      <c r="C367" s="233">
        <f>ROUND(SUMIFS(AN_TME_BY[[#All],[TOTAL Truncated Unadjusted Claims Expenses (A21 -A19)]], AN_TME_BY[[#All],[Advanced Network/Insurance Carrier Org ID]],B367, AN_TME_BY[[#All],[Insurance Category Code]], 1)+SUMIFS(AN_TME_BY[[#All],[TOTAL Truncated Unadjusted Claims Expenses (A21 -A19)]], AN_TME_BY[[#All],[Advanced Network/Insurance Carrier Org ID]],B367, AN_TME_BY[[#All],[Insurance Category Code]], 5),2)</f>
        <v>0</v>
      </c>
      <c r="D367" s="221">
        <f>ROUND(SUMIFS(StandardDeviation_BY[[#All],[Total Spending After Truncation]], StandardDeviation_BY[[#All],[Advanced Network/Insurance Carrier Org ID]],B367, StandardDeviation_BY[[#All],[Market ID]],1),2)</f>
        <v>0</v>
      </c>
      <c r="E367" s="540" t="str">
        <f t="shared" si="49"/>
        <v>TRUE</v>
      </c>
      <c r="F367" s="233">
        <f>ROUND(SUMIFS(AN_TME_PY[[#All],[TOTAL Truncated Unadjusted Claims Expenses (A21 -A19)]], AN_TME_PY[[#All],[Advanced Network/Insurance Carrier Org ID]],B367, AN_TME_PY[[#All],[Insurance Category Code]], 1)+SUMIFS(AN_TME_PY[[#All],[TOTAL Truncated Unadjusted Claims Expenses (A21 -A19)]], AN_TME_PY[[#All],[Advanced Network/Insurance Carrier Org ID]],B367, AN_TME_PY[[#All],[Insurance Category Code]], 5),2)</f>
        <v>0</v>
      </c>
      <c r="G367" s="221">
        <f>ROUND(SUMIFS(StandardDeviation_PY[[#All],[Total Spending After Truncation]], StandardDeviation_PY[[#All],[Advanced Network/Insurance Carrier Org ID]],B367, StandardDeviation_PY[[#All],[Market ID]],1),2)</f>
        <v>0</v>
      </c>
      <c r="H367" s="540" t="str">
        <f t="shared" si="50"/>
        <v>TRUE</v>
      </c>
      <c r="I367"/>
      <c r="J367" s="216">
        <v>103</v>
      </c>
      <c r="K367" s="233">
        <f>ROUND(SUMIFS(AN_TME_BY[[#All],[TOTAL Truncated Unadjusted Claims Expenses (A21 -A19)]], AN_TME_BY[[#All],[Advanced Network/Insurance Carrier Org ID]],J367, AN_TME_BY[[#All],[Insurance Category Code]], 2)+SUMIFS(AN_TME_BY[[#All],[TOTAL Truncated Unadjusted Claims Expenses (A21 -A19)]], AN_TME_BY[[#All],[Advanced Network/Insurance Carrier Org ID]],J367, AN_TME_BY[[#All],[Insurance Category Code]], 6),2)</f>
        <v>0</v>
      </c>
      <c r="L367" s="221">
        <f>ROUND(SUMIFS(StandardDeviation_BY[[#All],[Total Spending After Truncation]], StandardDeviation_BY[[#All],[Advanced Network/Insurance Carrier Org ID]],J367, StandardDeviation_BY[[#All],[Market ID]],2),2)</f>
        <v>0</v>
      </c>
      <c r="M367" s="540" t="str">
        <f t="shared" si="51"/>
        <v>TRUE</v>
      </c>
      <c r="N367" s="233">
        <f>ROUND(SUMIFS(AN_TME_PY[[#All],[TOTAL Truncated Unadjusted Claims Expenses (A21 -A19)]], AN_TME_PY[[#All],[Advanced Network/Insurance Carrier Org ID]],J367, AN_TME_PY[[#All],[Insurance Category Code]], 2)+SUMIFS(AN_TME_PY[[#All],[TOTAL Truncated Unadjusted Claims Expenses (A21 -A19)]], AN_TME_PY[[#All],[Advanced Network/Insurance Carrier Org ID]],J367, AN_TME_PY[[#All],[Insurance Category Code]], 6),2)</f>
        <v>0</v>
      </c>
      <c r="O367" s="221">
        <f>ROUND(SUMIFS(StandardDeviation_PY[[#All],[Total Spending After Truncation]], StandardDeviation_PY[[#All],[Advanced Network/Insurance Carrier Org ID]],J367, StandardDeviation_PY[[#All],[Market ID]],2),2)</f>
        <v>0</v>
      </c>
      <c r="P367" s="540" t="str">
        <f t="shared" si="52"/>
        <v>TRUE</v>
      </c>
      <c r="Q367"/>
      <c r="R367" s="216">
        <v>103</v>
      </c>
      <c r="S367" s="233">
        <f>ROUND(SUMIFS(AN_TME_BY[[#All],[TOTAL Truncated Unadjusted Claims Expenses (A21 -A19)]], AN_TME_BY[[#All],[Advanced Network/Insurance Carrier Org ID]],R367, AN_TME_BY[[#All],[Insurance Category Code]], 3)+SUMIFS(AN_TME_BY[[#All],[TOTAL Truncated Unadjusted Claims Expenses (A21 -A19)]], AN_TME_BY[[#All],[Advanced Network/Insurance Carrier Org ID]],R367, AN_TME_BY[[#All],[Insurance Category Code]], 4),2)</f>
        <v>0</v>
      </c>
      <c r="T367" s="221">
        <f>ROUND(SUMIFS(StandardDeviation_BY[[#All],[Total Spending After Truncation]], StandardDeviation_BY[[#All],[Advanced Network/Insurance Carrier Org ID]],R367, StandardDeviation_BY[[#All],[Market ID]],3),2)</f>
        <v>0</v>
      </c>
      <c r="U367" s="543" t="str">
        <f t="shared" si="53"/>
        <v>TRUE</v>
      </c>
      <c r="V367" s="233">
        <f>ROUND(SUMIFS(AN_TME_PY[[#All],[TOTAL Truncated Unadjusted Claims Expenses (A21 -A19)]], AN_TME_PY[[#All],[Advanced Network/Insurance Carrier Org ID]],R367, AN_TME_PY[[#All],[Insurance Category Code]], 3)+SUMIFS(AN_TME_PY[[#All],[TOTAL Truncated Unadjusted Claims Expenses (A21 -A19)]], AN_TME_PY[[#All],[Advanced Network/Insurance Carrier Org ID]],R367, AN_TME_PY[[#All],[Insurance Category Code]], 4),2)</f>
        <v>0</v>
      </c>
      <c r="W367" s="221">
        <f>ROUND(SUMIFS(StandardDeviation_PY[[#All],[Total Spending After Truncation]], StandardDeviation_PY[[#All],[Advanced Network/Insurance Carrier Org ID]],R367, StandardDeviation_PY[[#All],[Market ID]],3),2)</f>
        <v>0</v>
      </c>
      <c r="X367" s="543" t="str">
        <f t="shared" si="54"/>
        <v>TRUE</v>
      </c>
    </row>
    <row r="368" spans="2:32" s="29" customFormat="1" x14ac:dyDescent="0.25">
      <c r="B368" s="216">
        <v>104</v>
      </c>
      <c r="C368" s="233">
        <f>ROUND(SUMIFS(AN_TME_BY[[#All],[TOTAL Truncated Unadjusted Claims Expenses (A21 -A19)]], AN_TME_BY[[#All],[Advanced Network/Insurance Carrier Org ID]],B368, AN_TME_BY[[#All],[Insurance Category Code]], 1)+SUMIFS(AN_TME_BY[[#All],[TOTAL Truncated Unadjusted Claims Expenses (A21 -A19)]], AN_TME_BY[[#All],[Advanced Network/Insurance Carrier Org ID]],B368, AN_TME_BY[[#All],[Insurance Category Code]], 5),2)</f>
        <v>0</v>
      </c>
      <c r="D368" s="221">
        <f>ROUND(SUMIFS(StandardDeviation_BY[[#All],[Total Spending After Truncation]], StandardDeviation_BY[[#All],[Advanced Network/Insurance Carrier Org ID]],B368, StandardDeviation_BY[[#All],[Market ID]],1),2)</f>
        <v>0</v>
      </c>
      <c r="E368" s="540" t="str">
        <f t="shared" si="49"/>
        <v>TRUE</v>
      </c>
      <c r="F368" s="233">
        <f>ROUND(SUMIFS(AN_TME_PY[[#All],[TOTAL Truncated Unadjusted Claims Expenses (A21 -A19)]], AN_TME_PY[[#All],[Advanced Network/Insurance Carrier Org ID]],B368, AN_TME_PY[[#All],[Insurance Category Code]], 1)+SUMIFS(AN_TME_PY[[#All],[TOTAL Truncated Unadjusted Claims Expenses (A21 -A19)]], AN_TME_PY[[#All],[Advanced Network/Insurance Carrier Org ID]],B368, AN_TME_PY[[#All],[Insurance Category Code]], 5),2)</f>
        <v>0</v>
      </c>
      <c r="G368" s="221">
        <f>ROUND(SUMIFS(StandardDeviation_PY[[#All],[Total Spending After Truncation]], StandardDeviation_PY[[#All],[Advanced Network/Insurance Carrier Org ID]],B368, StandardDeviation_PY[[#All],[Market ID]],1),2)</f>
        <v>0</v>
      </c>
      <c r="H368" s="540" t="str">
        <f t="shared" si="50"/>
        <v>TRUE</v>
      </c>
      <c r="I368"/>
      <c r="J368" s="216">
        <v>104</v>
      </c>
      <c r="K368" s="233">
        <f>ROUND(SUMIFS(AN_TME_BY[[#All],[TOTAL Truncated Unadjusted Claims Expenses (A21 -A19)]], AN_TME_BY[[#All],[Advanced Network/Insurance Carrier Org ID]],J368, AN_TME_BY[[#All],[Insurance Category Code]], 2)+SUMIFS(AN_TME_BY[[#All],[TOTAL Truncated Unadjusted Claims Expenses (A21 -A19)]], AN_TME_BY[[#All],[Advanced Network/Insurance Carrier Org ID]],J368, AN_TME_BY[[#All],[Insurance Category Code]], 6),2)</f>
        <v>0</v>
      </c>
      <c r="L368" s="221">
        <f>ROUND(SUMIFS(StandardDeviation_BY[[#All],[Total Spending After Truncation]], StandardDeviation_BY[[#All],[Advanced Network/Insurance Carrier Org ID]],J368, StandardDeviation_BY[[#All],[Market ID]],2),2)</f>
        <v>0</v>
      </c>
      <c r="M368" s="540" t="str">
        <f t="shared" si="51"/>
        <v>TRUE</v>
      </c>
      <c r="N368" s="233">
        <f>ROUND(SUMIFS(AN_TME_PY[[#All],[TOTAL Truncated Unadjusted Claims Expenses (A21 -A19)]], AN_TME_PY[[#All],[Advanced Network/Insurance Carrier Org ID]],J368, AN_TME_PY[[#All],[Insurance Category Code]], 2)+SUMIFS(AN_TME_PY[[#All],[TOTAL Truncated Unadjusted Claims Expenses (A21 -A19)]], AN_TME_PY[[#All],[Advanced Network/Insurance Carrier Org ID]],J368, AN_TME_PY[[#All],[Insurance Category Code]], 6),2)</f>
        <v>0</v>
      </c>
      <c r="O368" s="221">
        <f>ROUND(SUMIFS(StandardDeviation_PY[[#All],[Total Spending After Truncation]], StandardDeviation_PY[[#All],[Advanced Network/Insurance Carrier Org ID]],J368, StandardDeviation_PY[[#All],[Market ID]],2),2)</f>
        <v>0</v>
      </c>
      <c r="P368" s="540" t="str">
        <f t="shared" si="52"/>
        <v>TRUE</v>
      </c>
      <c r="Q368"/>
      <c r="R368" s="216">
        <v>104</v>
      </c>
      <c r="S368" s="233">
        <f>ROUND(SUMIFS(AN_TME_BY[[#All],[TOTAL Truncated Unadjusted Claims Expenses (A21 -A19)]], AN_TME_BY[[#All],[Advanced Network/Insurance Carrier Org ID]],R368, AN_TME_BY[[#All],[Insurance Category Code]], 3)+SUMIFS(AN_TME_BY[[#All],[TOTAL Truncated Unadjusted Claims Expenses (A21 -A19)]], AN_TME_BY[[#All],[Advanced Network/Insurance Carrier Org ID]],R368, AN_TME_BY[[#All],[Insurance Category Code]], 4),2)</f>
        <v>0</v>
      </c>
      <c r="T368" s="221">
        <f>ROUND(SUMIFS(StandardDeviation_BY[[#All],[Total Spending After Truncation]], StandardDeviation_BY[[#All],[Advanced Network/Insurance Carrier Org ID]],R368, StandardDeviation_BY[[#All],[Market ID]],3),2)</f>
        <v>0</v>
      </c>
      <c r="U368" s="543" t="str">
        <f t="shared" si="53"/>
        <v>TRUE</v>
      </c>
      <c r="V368" s="233">
        <f>ROUND(SUMIFS(AN_TME_PY[[#All],[TOTAL Truncated Unadjusted Claims Expenses (A21 -A19)]], AN_TME_PY[[#All],[Advanced Network/Insurance Carrier Org ID]],R368, AN_TME_PY[[#All],[Insurance Category Code]], 3)+SUMIFS(AN_TME_PY[[#All],[TOTAL Truncated Unadjusted Claims Expenses (A21 -A19)]], AN_TME_PY[[#All],[Advanced Network/Insurance Carrier Org ID]],R368, AN_TME_PY[[#All],[Insurance Category Code]], 4),2)</f>
        <v>0</v>
      </c>
      <c r="W368" s="221">
        <f>ROUND(SUMIFS(StandardDeviation_PY[[#All],[Total Spending After Truncation]], StandardDeviation_PY[[#All],[Advanced Network/Insurance Carrier Org ID]],R368, StandardDeviation_PY[[#All],[Market ID]],3),2)</f>
        <v>0</v>
      </c>
      <c r="X368" s="543" t="str">
        <f t="shared" si="54"/>
        <v>TRUE</v>
      </c>
    </row>
    <row r="369" spans="2:24" s="29" customFormat="1" x14ac:dyDescent="0.25">
      <c r="B369" s="216">
        <v>105</v>
      </c>
      <c r="C369" s="233">
        <f>ROUND(SUMIFS(AN_TME_BY[[#All],[TOTAL Truncated Unadjusted Claims Expenses (A21 -A19)]], AN_TME_BY[[#All],[Advanced Network/Insurance Carrier Org ID]],B369, AN_TME_BY[[#All],[Insurance Category Code]], 1)+SUMIFS(AN_TME_BY[[#All],[TOTAL Truncated Unadjusted Claims Expenses (A21 -A19)]], AN_TME_BY[[#All],[Advanced Network/Insurance Carrier Org ID]],B369, AN_TME_BY[[#All],[Insurance Category Code]], 5),2)</f>
        <v>0</v>
      </c>
      <c r="D369" s="221">
        <f>ROUND(SUMIFS(StandardDeviation_BY[[#All],[Total Spending After Truncation]], StandardDeviation_BY[[#All],[Advanced Network/Insurance Carrier Org ID]],B369, StandardDeviation_BY[[#All],[Market ID]],1),2)</f>
        <v>0</v>
      </c>
      <c r="E369" s="540" t="str">
        <f t="shared" si="49"/>
        <v>TRUE</v>
      </c>
      <c r="F369" s="233">
        <f>ROUND(SUMIFS(AN_TME_PY[[#All],[TOTAL Truncated Unadjusted Claims Expenses (A21 -A19)]], AN_TME_PY[[#All],[Advanced Network/Insurance Carrier Org ID]],B369, AN_TME_PY[[#All],[Insurance Category Code]], 1)+SUMIFS(AN_TME_PY[[#All],[TOTAL Truncated Unadjusted Claims Expenses (A21 -A19)]], AN_TME_PY[[#All],[Advanced Network/Insurance Carrier Org ID]],B369, AN_TME_PY[[#All],[Insurance Category Code]], 5),2)</f>
        <v>0</v>
      </c>
      <c r="G369" s="221">
        <f>ROUND(SUMIFS(StandardDeviation_PY[[#All],[Total Spending After Truncation]], StandardDeviation_PY[[#All],[Advanced Network/Insurance Carrier Org ID]],B369, StandardDeviation_PY[[#All],[Market ID]],1),2)</f>
        <v>0</v>
      </c>
      <c r="H369" s="540" t="str">
        <f t="shared" si="50"/>
        <v>TRUE</v>
      </c>
      <c r="I369"/>
      <c r="J369" s="216">
        <v>105</v>
      </c>
      <c r="K369" s="233">
        <f>ROUND(SUMIFS(AN_TME_BY[[#All],[TOTAL Truncated Unadjusted Claims Expenses (A21 -A19)]], AN_TME_BY[[#All],[Advanced Network/Insurance Carrier Org ID]],J369, AN_TME_BY[[#All],[Insurance Category Code]], 2)+SUMIFS(AN_TME_BY[[#All],[TOTAL Truncated Unadjusted Claims Expenses (A21 -A19)]], AN_TME_BY[[#All],[Advanced Network/Insurance Carrier Org ID]],J369, AN_TME_BY[[#All],[Insurance Category Code]], 6),2)</f>
        <v>0</v>
      </c>
      <c r="L369" s="221">
        <f>ROUND(SUMIFS(StandardDeviation_BY[[#All],[Total Spending After Truncation]], StandardDeviation_BY[[#All],[Advanced Network/Insurance Carrier Org ID]],J369, StandardDeviation_BY[[#All],[Market ID]],2),2)</f>
        <v>0</v>
      </c>
      <c r="M369" s="540" t="str">
        <f t="shared" si="51"/>
        <v>TRUE</v>
      </c>
      <c r="N369" s="233">
        <f>ROUND(SUMIFS(AN_TME_PY[[#All],[TOTAL Truncated Unadjusted Claims Expenses (A21 -A19)]], AN_TME_PY[[#All],[Advanced Network/Insurance Carrier Org ID]],J369, AN_TME_PY[[#All],[Insurance Category Code]], 2)+SUMIFS(AN_TME_PY[[#All],[TOTAL Truncated Unadjusted Claims Expenses (A21 -A19)]], AN_TME_PY[[#All],[Advanced Network/Insurance Carrier Org ID]],J369, AN_TME_PY[[#All],[Insurance Category Code]], 6),2)</f>
        <v>0</v>
      </c>
      <c r="O369" s="221">
        <f>ROUND(SUMIFS(StandardDeviation_PY[[#All],[Total Spending After Truncation]], StandardDeviation_PY[[#All],[Advanced Network/Insurance Carrier Org ID]],J369, StandardDeviation_PY[[#All],[Market ID]],2),2)</f>
        <v>0</v>
      </c>
      <c r="P369" s="540" t="str">
        <f t="shared" si="52"/>
        <v>TRUE</v>
      </c>
      <c r="Q369"/>
      <c r="R369" s="216">
        <v>105</v>
      </c>
      <c r="S369" s="233">
        <f>ROUND(SUMIFS(AN_TME_BY[[#All],[TOTAL Truncated Unadjusted Claims Expenses (A21 -A19)]], AN_TME_BY[[#All],[Advanced Network/Insurance Carrier Org ID]],R369, AN_TME_BY[[#All],[Insurance Category Code]], 3)+SUMIFS(AN_TME_BY[[#All],[TOTAL Truncated Unadjusted Claims Expenses (A21 -A19)]], AN_TME_BY[[#All],[Advanced Network/Insurance Carrier Org ID]],R369, AN_TME_BY[[#All],[Insurance Category Code]], 4),2)</f>
        <v>0</v>
      </c>
      <c r="T369" s="221">
        <f>ROUND(SUMIFS(StandardDeviation_BY[[#All],[Total Spending After Truncation]], StandardDeviation_BY[[#All],[Advanced Network/Insurance Carrier Org ID]],R369, StandardDeviation_BY[[#All],[Market ID]],3),2)</f>
        <v>0</v>
      </c>
      <c r="U369" s="543" t="str">
        <f t="shared" si="53"/>
        <v>TRUE</v>
      </c>
      <c r="V369" s="233">
        <f>ROUND(SUMIFS(AN_TME_PY[[#All],[TOTAL Truncated Unadjusted Claims Expenses (A21 -A19)]], AN_TME_PY[[#All],[Advanced Network/Insurance Carrier Org ID]],R369, AN_TME_PY[[#All],[Insurance Category Code]], 3)+SUMIFS(AN_TME_PY[[#All],[TOTAL Truncated Unadjusted Claims Expenses (A21 -A19)]], AN_TME_PY[[#All],[Advanced Network/Insurance Carrier Org ID]],R369, AN_TME_PY[[#All],[Insurance Category Code]], 4),2)</f>
        <v>0</v>
      </c>
      <c r="W369" s="221">
        <f>ROUND(SUMIFS(StandardDeviation_PY[[#All],[Total Spending After Truncation]], StandardDeviation_PY[[#All],[Advanced Network/Insurance Carrier Org ID]],R369, StandardDeviation_PY[[#All],[Market ID]],3),2)</f>
        <v>0</v>
      </c>
      <c r="X369" s="543" t="str">
        <f t="shared" si="54"/>
        <v>TRUE</v>
      </c>
    </row>
    <row r="370" spans="2:24" s="29" customFormat="1" x14ac:dyDescent="0.25">
      <c r="B370" s="216">
        <v>106</v>
      </c>
      <c r="C370" s="233">
        <f>ROUND(SUMIFS(AN_TME_BY[[#All],[TOTAL Truncated Unadjusted Claims Expenses (A21 -A19)]], AN_TME_BY[[#All],[Advanced Network/Insurance Carrier Org ID]],B370, AN_TME_BY[[#All],[Insurance Category Code]], 1)+SUMIFS(AN_TME_BY[[#All],[TOTAL Truncated Unadjusted Claims Expenses (A21 -A19)]], AN_TME_BY[[#All],[Advanced Network/Insurance Carrier Org ID]],B370, AN_TME_BY[[#All],[Insurance Category Code]], 5),2)</f>
        <v>0</v>
      </c>
      <c r="D370" s="221">
        <f>ROUND(SUMIFS(StandardDeviation_BY[[#All],[Total Spending After Truncation]], StandardDeviation_BY[[#All],[Advanced Network/Insurance Carrier Org ID]],B370, StandardDeviation_BY[[#All],[Market ID]],1),2)</f>
        <v>0</v>
      </c>
      <c r="E370" s="540" t="str">
        <f t="shared" si="49"/>
        <v>TRUE</v>
      </c>
      <c r="F370" s="233">
        <f>ROUND(SUMIFS(AN_TME_PY[[#All],[TOTAL Truncated Unadjusted Claims Expenses (A21 -A19)]], AN_TME_PY[[#All],[Advanced Network/Insurance Carrier Org ID]],B370, AN_TME_PY[[#All],[Insurance Category Code]], 1)+SUMIFS(AN_TME_PY[[#All],[TOTAL Truncated Unadjusted Claims Expenses (A21 -A19)]], AN_TME_PY[[#All],[Advanced Network/Insurance Carrier Org ID]],B370, AN_TME_PY[[#All],[Insurance Category Code]], 5),2)</f>
        <v>0</v>
      </c>
      <c r="G370" s="221">
        <f>ROUND(SUMIFS(StandardDeviation_PY[[#All],[Total Spending After Truncation]], StandardDeviation_PY[[#All],[Advanced Network/Insurance Carrier Org ID]],B370, StandardDeviation_PY[[#All],[Market ID]],1),2)</f>
        <v>0</v>
      </c>
      <c r="H370" s="540" t="str">
        <f t="shared" si="50"/>
        <v>TRUE</v>
      </c>
      <c r="I370"/>
      <c r="J370" s="216">
        <v>106</v>
      </c>
      <c r="K370" s="233">
        <f>ROUND(SUMIFS(AN_TME_BY[[#All],[TOTAL Truncated Unadjusted Claims Expenses (A21 -A19)]], AN_TME_BY[[#All],[Advanced Network/Insurance Carrier Org ID]],J370, AN_TME_BY[[#All],[Insurance Category Code]], 2)+SUMIFS(AN_TME_BY[[#All],[TOTAL Truncated Unadjusted Claims Expenses (A21 -A19)]], AN_TME_BY[[#All],[Advanced Network/Insurance Carrier Org ID]],J370, AN_TME_BY[[#All],[Insurance Category Code]], 6),2)</f>
        <v>0</v>
      </c>
      <c r="L370" s="221">
        <f>ROUND(SUMIFS(StandardDeviation_BY[[#All],[Total Spending After Truncation]], StandardDeviation_BY[[#All],[Advanced Network/Insurance Carrier Org ID]],J370, StandardDeviation_BY[[#All],[Market ID]],2),2)</f>
        <v>0</v>
      </c>
      <c r="M370" s="540" t="str">
        <f t="shared" si="51"/>
        <v>TRUE</v>
      </c>
      <c r="N370" s="233">
        <f>ROUND(SUMIFS(AN_TME_PY[[#All],[TOTAL Truncated Unadjusted Claims Expenses (A21 -A19)]], AN_TME_PY[[#All],[Advanced Network/Insurance Carrier Org ID]],J370, AN_TME_PY[[#All],[Insurance Category Code]], 2)+SUMIFS(AN_TME_PY[[#All],[TOTAL Truncated Unadjusted Claims Expenses (A21 -A19)]], AN_TME_PY[[#All],[Advanced Network/Insurance Carrier Org ID]],J370, AN_TME_PY[[#All],[Insurance Category Code]], 6),2)</f>
        <v>0</v>
      </c>
      <c r="O370" s="221">
        <f>ROUND(SUMIFS(StandardDeviation_PY[[#All],[Total Spending After Truncation]], StandardDeviation_PY[[#All],[Advanced Network/Insurance Carrier Org ID]],J370, StandardDeviation_PY[[#All],[Market ID]],2),2)</f>
        <v>0</v>
      </c>
      <c r="P370" s="540" t="str">
        <f t="shared" si="52"/>
        <v>TRUE</v>
      </c>
      <c r="Q370"/>
      <c r="R370" s="216">
        <v>106</v>
      </c>
      <c r="S370" s="233">
        <f>ROUND(SUMIFS(AN_TME_BY[[#All],[TOTAL Truncated Unadjusted Claims Expenses (A21 -A19)]], AN_TME_BY[[#All],[Advanced Network/Insurance Carrier Org ID]],R370, AN_TME_BY[[#All],[Insurance Category Code]], 3)+SUMIFS(AN_TME_BY[[#All],[TOTAL Truncated Unadjusted Claims Expenses (A21 -A19)]], AN_TME_BY[[#All],[Advanced Network/Insurance Carrier Org ID]],R370, AN_TME_BY[[#All],[Insurance Category Code]], 4),2)</f>
        <v>0</v>
      </c>
      <c r="T370" s="221">
        <f>ROUND(SUMIFS(StandardDeviation_BY[[#All],[Total Spending After Truncation]], StandardDeviation_BY[[#All],[Advanced Network/Insurance Carrier Org ID]],R370, StandardDeviation_BY[[#All],[Market ID]],3),2)</f>
        <v>0</v>
      </c>
      <c r="U370" s="543" t="str">
        <f t="shared" si="53"/>
        <v>TRUE</v>
      </c>
      <c r="V370" s="233">
        <f>ROUND(SUMIFS(AN_TME_PY[[#All],[TOTAL Truncated Unadjusted Claims Expenses (A21 -A19)]], AN_TME_PY[[#All],[Advanced Network/Insurance Carrier Org ID]],R370, AN_TME_PY[[#All],[Insurance Category Code]], 3)+SUMIFS(AN_TME_PY[[#All],[TOTAL Truncated Unadjusted Claims Expenses (A21 -A19)]], AN_TME_PY[[#All],[Advanced Network/Insurance Carrier Org ID]],R370, AN_TME_PY[[#All],[Insurance Category Code]], 4),2)</f>
        <v>0</v>
      </c>
      <c r="W370" s="221">
        <f>ROUND(SUMIFS(StandardDeviation_PY[[#All],[Total Spending After Truncation]], StandardDeviation_PY[[#All],[Advanced Network/Insurance Carrier Org ID]],R370, StandardDeviation_PY[[#All],[Market ID]],3),2)</f>
        <v>0</v>
      </c>
      <c r="X370" s="543" t="str">
        <f t="shared" si="54"/>
        <v>TRUE</v>
      </c>
    </row>
    <row r="371" spans="2:24" s="29" customFormat="1" x14ac:dyDescent="0.25">
      <c r="B371" s="216">
        <v>107</v>
      </c>
      <c r="C371" s="233">
        <f>ROUND(SUMIFS(AN_TME_BY[[#All],[TOTAL Truncated Unadjusted Claims Expenses (A21 -A19)]], AN_TME_BY[[#All],[Advanced Network/Insurance Carrier Org ID]],B371, AN_TME_BY[[#All],[Insurance Category Code]], 1)+SUMIFS(AN_TME_BY[[#All],[TOTAL Truncated Unadjusted Claims Expenses (A21 -A19)]], AN_TME_BY[[#All],[Advanced Network/Insurance Carrier Org ID]],B371, AN_TME_BY[[#All],[Insurance Category Code]], 5),2)</f>
        <v>0</v>
      </c>
      <c r="D371" s="221">
        <f>ROUND(SUMIFS(StandardDeviation_BY[[#All],[Total Spending After Truncation]], StandardDeviation_BY[[#All],[Advanced Network/Insurance Carrier Org ID]],B371, StandardDeviation_BY[[#All],[Market ID]],1),2)</f>
        <v>0</v>
      </c>
      <c r="E371" s="540" t="str">
        <f t="shared" si="49"/>
        <v>TRUE</v>
      </c>
      <c r="F371" s="233">
        <f>ROUND(SUMIFS(AN_TME_PY[[#All],[TOTAL Truncated Unadjusted Claims Expenses (A21 -A19)]], AN_TME_PY[[#All],[Advanced Network/Insurance Carrier Org ID]],B371, AN_TME_PY[[#All],[Insurance Category Code]], 1)+SUMIFS(AN_TME_PY[[#All],[TOTAL Truncated Unadjusted Claims Expenses (A21 -A19)]], AN_TME_PY[[#All],[Advanced Network/Insurance Carrier Org ID]],B371, AN_TME_PY[[#All],[Insurance Category Code]], 5),2)</f>
        <v>0</v>
      </c>
      <c r="G371" s="221">
        <f>ROUND(SUMIFS(StandardDeviation_PY[[#All],[Total Spending After Truncation]], StandardDeviation_PY[[#All],[Advanced Network/Insurance Carrier Org ID]],B371, StandardDeviation_PY[[#All],[Market ID]],1),2)</f>
        <v>0</v>
      </c>
      <c r="H371" s="540" t="str">
        <f t="shared" si="50"/>
        <v>TRUE</v>
      </c>
      <c r="I371"/>
      <c r="J371" s="216">
        <v>107</v>
      </c>
      <c r="K371" s="233">
        <f>ROUND(SUMIFS(AN_TME_BY[[#All],[TOTAL Truncated Unadjusted Claims Expenses (A21 -A19)]], AN_TME_BY[[#All],[Advanced Network/Insurance Carrier Org ID]],J371, AN_TME_BY[[#All],[Insurance Category Code]], 2)+SUMIFS(AN_TME_BY[[#All],[TOTAL Truncated Unadjusted Claims Expenses (A21 -A19)]], AN_TME_BY[[#All],[Advanced Network/Insurance Carrier Org ID]],J371, AN_TME_BY[[#All],[Insurance Category Code]], 6),2)</f>
        <v>0</v>
      </c>
      <c r="L371" s="221">
        <f>ROUND(SUMIFS(StandardDeviation_BY[[#All],[Total Spending After Truncation]], StandardDeviation_BY[[#All],[Advanced Network/Insurance Carrier Org ID]],J371, StandardDeviation_BY[[#All],[Market ID]],2),2)</f>
        <v>0</v>
      </c>
      <c r="M371" s="540" t="str">
        <f t="shared" si="51"/>
        <v>TRUE</v>
      </c>
      <c r="N371" s="233">
        <f>ROUND(SUMIFS(AN_TME_PY[[#All],[TOTAL Truncated Unadjusted Claims Expenses (A21 -A19)]], AN_TME_PY[[#All],[Advanced Network/Insurance Carrier Org ID]],J371, AN_TME_PY[[#All],[Insurance Category Code]], 2)+SUMIFS(AN_TME_PY[[#All],[TOTAL Truncated Unadjusted Claims Expenses (A21 -A19)]], AN_TME_PY[[#All],[Advanced Network/Insurance Carrier Org ID]],J371, AN_TME_PY[[#All],[Insurance Category Code]], 6),2)</f>
        <v>0</v>
      </c>
      <c r="O371" s="221">
        <f>ROUND(SUMIFS(StandardDeviation_PY[[#All],[Total Spending After Truncation]], StandardDeviation_PY[[#All],[Advanced Network/Insurance Carrier Org ID]],J371, StandardDeviation_PY[[#All],[Market ID]],2),2)</f>
        <v>0</v>
      </c>
      <c r="P371" s="540" t="str">
        <f t="shared" si="52"/>
        <v>TRUE</v>
      </c>
      <c r="Q371"/>
      <c r="R371" s="216">
        <v>107</v>
      </c>
      <c r="S371" s="233">
        <f>ROUND(SUMIFS(AN_TME_BY[[#All],[TOTAL Truncated Unadjusted Claims Expenses (A21 -A19)]], AN_TME_BY[[#All],[Advanced Network/Insurance Carrier Org ID]],R371, AN_TME_BY[[#All],[Insurance Category Code]], 3)+SUMIFS(AN_TME_BY[[#All],[TOTAL Truncated Unadjusted Claims Expenses (A21 -A19)]], AN_TME_BY[[#All],[Advanced Network/Insurance Carrier Org ID]],R371, AN_TME_BY[[#All],[Insurance Category Code]], 4),2)</f>
        <v>0</v>
      </c>
      <c r="T371" s="221">
        <f>ROUND(SUMIFS(StandardDeviation_BY[[#All],[Total Spending After Truncation]], StandardDeviation_BY[[#All],[Advanced Network/Insurance Carrier Org ID]],R371, StandardDeviation_BY[[#All],[Market ID]],3),2)</f>
        <v>0</v>
      </c>
      <c r="U371" s="543" t="str">
        <f t="shared" si="53"/>
        <v>TRUE</v>
      </c>
      <c r="V371" s="233">
        <f>ROUND(SUMIFS(AN_TME_PY[[#All],[TOTAL Truncated Unadjusted Claims Expenses (A21 -A19)]], AN_TME_PY[[#All],[Advanced Network/Insurance Carrier Org ID]],R371, AN_TME_PY[[#All],[Insurance Category Code]], 3)+SUMIFS(AN_TME_PY[[#All],[TOTAL Truncated Unadjusted Claims Expenses (A21 -A19)]], AN_TME_PY[[#All],[Advanced Network/Insurance Carrier Org ID]],R371, AN_TME_PY[[#All],[Insurance Category Code]], 4),2)</f>
        <v>0</v>
      </c>
      <c r="W371" s="221">
        <f>ROUND(SUMIFS(StandardDeviation_PY[[#All],[Total Spending After Truncation]], StandardDeviation_PY[[#All],[Advanced Network/Insurance Carrier Org ID]],R371, StandardDeviation_PY[[#All],[Market ID]],3),2)</f>
        <v>0</v>
      </c>
      <c r="X371" s="543" t="str">
        <f t="shared" si="54"/>
        <v>TRUE</v>
      </c>
    </row>
    <row r="372" spans="2:24" s="29" customFormat="1" x14ac:dyDescent="0.25">
      <c r="B372" s="216">
        <v>108</v>
      </c>
      <c r="C372" s="233">
        <f>ROUND(SUMIFS(AN_TME_BY[[#All],[TOTAL Truncated Unadjusted Claims Expenses (A21 -A19)]], AN_TME_BY[[#All],[Advanced Network/Insurance Carrier Org ID]],B372, AN_TME_BY[[#All],[Insurance Category Code]], 1)+SUMIFS(AN_TME_BY[[#All],[TOTAL Truncated Unadjusted Claims Expenses (A21 -A19)]], AN_TME_BY[[#All],[Advanced Network/Insurance Carrier Org ID]],B372, AN_TME_BY[[#All],[Insurance Category Code]], 5),2)</f>
        <v>0</v>
      </c>
      <c r="D372" s="221">
        <f>ROUND(SUMIFS(StandardDeviation_BY[[#All],[Total Spending After Truncation]], StandardDeviation_BY[[#All],[Advanced Network/Insurance Carrier Org ID]],B372, StandardDeviation_BY[[#All],[Market ID]],1),2)</f>
        <v>0</v>
      </c>
      <c r="E372" s="540" t="str">
        <f t="shared" si="49"/>
        <v>TRUE</v>
      </c>
      <c r="F372" s="233">
        <f>ROUND(SUMIFS(AN_TME_PY[[#All],[TOTAL Truncated Unadjusted Claims Expenses (A21 -A19)]], AN_TME_PY[[#All],[Advanced Network/Insurance Carrier Org ID]],B372, AN_TME_PY[[#All],[Insurance Category Code]], 1)+SUMIFS(AN_TME_PY[[#All],[TOTAL Truncated Unadjusted Claims Expenses (A21 -A19)]], AN_TME_PY[[#All],[Advanced Network/Insurance Carrier Org ID]],B372, AN_TME_PY[[#All],[Insurance Category Code]], 5),2)</f>
        <v>0</v>
      </c>
      <c r="G372" s="221">
        <f>ROUND(SUMIFS(StandardDeviation_PY[[#All],[Total Spending After Truncation]], StandardDeviation_PY[[#All],[Advanced Network/Insurance Carrier Org ID]],B372, StandardDeviation_PY[[#All],[Market ID]],1),2)</f>
        <v>0</v>
      </c>
      <c r="H372" s="540" t="str">
        <f t="shared" si="50"/>
        <v>TRUE</v>
      </c>
      <c r="I372"/>
      <c r="J372" s="216">
        <v>108</v>
      </c>
      <c r="K372" s="233">
        <f>ROUND(SUMIFS(AN_TME_BY[[#All],[TOTAL Truncated Unadjusted Claims Expenses (A21 -A19)]], AN_TME_BY[[#All],[Advanced Network/Insurance Carrier Org ID]],J372, AN_TME_BY[[#All],[Insurance Category Code]], 2)+SUMIFS(AN_TME_BY[[#All],[TOTAL Truncated Unadjusted Claims Expenses (A21 -A19)]], AN_TME_BY[[#All],[Advanced Network/Insurance Carrier Org ID]],J372, AN_TME_BY[[#All],[Insurance Category Code]], 6),2)</f>
        <v>0</v>
      </c>
      <c r="L372" s="221">
        <f>ROUND(SUMIFS(StandardDeviation_BY[[#All],[Total Spending After Truncation]], StandardDeviation_BY[[#All],[Advanced Network/Insurance Carrier Org ID]],J372, StandardDeviation_BY[[#All],[Market ID]],2),2)</f>
        <v>0</v>
      </c>
      <c r="M372" s="540" t="str">
        <f t="shared" si="51"/>
        <v>TRUE</v>
      </c>
      <c r="N372" s="233">
        <f>ROUND(SUMIFS(AN_TME_PY[[#All],[TOTAL Truncated Unadjusted Claims Expenses (A21 -A19)]], AN_TME_PY[[#All],[Advanced Network/Insurance Carrier Org ID]],J372, AN_TME_PY[[#All],[Insurance Category Code]], 2)+SUMIFS(AN_TME_PY[[#All],[TOTAL Truncated Unadjusted Claims Expenses (A21 -A19)]], AN_TME_PY[[#All],[Advanced Network/Insurance Carrier Org ID]],J372, AN_TME_PY[[#All],[Insurance Category Code]], 6),2)</f>
        <v>0</v>
      </c>
      <c r="O372" s="221">
        <f>ROUND(SUMIFS(StandardDeviation_PY[[#All],[Total Spending After Truncation]], StandardDeviation_PY[[#All],[Advanced Network/Insurance Carrier Org ID]],J372, StandardDeviation_PY[[#All],[Market ID]],2),2)</f>
        <v>0</v>
      </c>
      <c r="P372" s="540" t="str">
        <f t="shared" si="52"/>
        <v>TRUE</v>
      </c>
      <c r="Q372"/>
      <c r="R372" s="216">
        <v>108</v>
      </c>
      <c r="S372" s="233">
        <f>ROUND(SUMIFS(AN_TME_BY[[#All],[TOTAL Truncated Unadjusted Claims Expenses (A21 -A19)]], AN_TME_BY[[#All],[Advanced Network/Insurance Carrier Org ID]],R372, AN_TME_BY[[#All],[Insurance Category Code]], 3)+SUMIFS(AN_TME_BY[[#All],[TOTAL Truncated Unadjusted Claims Expenses (A21 -A19)]], AN_TME_BY[[#All],[Advanced Network/Insurance Carrier Org ID]],R372, AN_TME_BY[[#All],[Insurance Category Code]], 4),2)</f>
        <v>0</v>
      </c>
      <c r="T372" s="221">
        <f>ROUND(SUMIFS(StandardDeviation_BY[[#All],[Total Spending After Truncation]], StandardDeviation_BY[[#All],[Advanced Network/Insurance Carrier Org ID]],R372, StandardDeviation_BY[[#All],[Market ID]],3),2)</f>
        <v>0</v>
      </c>
      <c r="U372" s="543" t="str">
        <f t="shared" si="53"/>
        <v>TRUE</v>
      </c>
      <c r="V372" s="233">
        <f>ROUND(SUMIFS(AN_TME_PY[[#All],[TOTAL Truncated Unadjusted Claims Expenses (A21 -A19)]], AN_TME_PY[[#All],[Advanced Network/Insurance Carrier Org ID]],R372, AN_TME_PY[[#All],[Insurance Category Code]], 3)+SUMIFS(AN_TME_PY[[#All],[TOTAL Truncated Unadjusted Claims Expenses (A21 -A19)]], AN_TME_PY[[#All],[Advanced Network/Insurance Carrier Org ID]],R372, AN_TME_PY[[#All],[Insurance Category Code]], 4),2)</f>
        <v>0</v>
      </c>
      <c r="W372" s="221">
        <f>ROUND(SUMIFS(StandardDeviation_PY[[#All],[Total Spending After Truncation]], StandardDeviation_PY[[#All],[Advanced Network/Insurance Carrier Org ID]],R372, StandardDeviation_PY[[#All],[Market ID]],3),2)</f>
        <v>0</v>
      </c>
      <c r="X372" s="543" t="str">
        <f t="shared" si="54"/>
        <v>TRUE</v>
      </c>
    </row>
    <row r="373" spans="2:24" s="29" customFormat="1" x14ac:dyDescent="0.25">
      <c r="B373" s="216">
        <v>109</v>
      </c>
      <c r="C373" s="233">
        <f>ROUND(SUMIFS(AN_TME_BY[[#All],[TOTAL Truncated Unadjusted Claims Expenses (A21 -A19)]], AN_TME_BY[[#All],[Advanced Network/Insurance Carrier Org ID]],B373, AN_TME_BY[[#All],[Insurance Category Code]], 1)+SUMIFS(AN_TME_BY[[#All],[TOTAL Truncated Unadjusted Claims Expenses (A21 -A19)]], AN_TME_BY[[#All],[Advanced Network/Insurance Carrier Org ID]],B373, AN_TME_BY[[#All],[Insurance Category Code]], 5),2)</f>
        <v>0</v>
      </c>
      <c r="D373" s="221">
        <f>ROUND(SUMIFS(StandardDeviation_BY[[#All],[Total Spending After Truncation]], StandardDeviation_BY[[#All],[Advanced Network/Insurance Carrier Org ID]],B373, StandardDeviation_BY[[#All],[Market ID]],1),2)</f>
        <v>0</v>
      </c>
      <c r="E373" s="540" t="str">
        <f t="shared" si="49"/>
        <v>TRUE</v>
      </c>
      <c r="F373" s="233">
        <f>ROUND(SUMIFS(AN_TME_PY[[#All],[TOTAL Truncated Unadjusted Claims Expenses (A21 -A19)]], AN_TME_PY[[#All],[Advanced Network/Insurance Carrier Org ID]],B373, AN_TME_PY[[#All],[Insurance Category Code]], 1)+SUMIFS(AN_TME_PY[[#All],[TOTAL Truncated Unadjusted Claims Expenses (A21 -A19)]], AN_TME_PY[[#All],[Advanced Network/Insurance Carrier Org ID]],B373, AN_TME_PY[[#All],[Insurance Category Code]], 5),2)</f>
        <v>0</v>
      </c>
      <c r="G373" s="221">
        <f>ROUND(SUMIFS(StandardDeviation_PY[[#All],[Total Spending After Truncation]], StandardDeviation_PY[[#All],[Advanced Network/Insurance Carrier Org ID]],B373, StandardDeviation_PY[[#All],[Market ID]],1),2)</f>
        <v>0</v>
      </c>
      <c r="H373" s="540" t="str">
        <f t="shared" si="50"/>
        <v>TRUE</v>
      </c>
      <c r="I373"/>
      <c r="J373" s="216">
        <v>109</v>
      </c>
      <c r="K373" s="233">
        <f>ROUND(SUMIFS(AN_TME_BY[[#All],[TOTAL Truncated Unadjusted Claims Expenses (A21 -A19)]], AN_TME_BY[[#All],[Advanced Network/Insurance Carrier Org ID]],J373, AN_TME_BY[[#All],[Insurance Category Code]], 2)+SUMIFS(AN_TME_BY[[#All],[TOTAL Truncated Unadjusted Claims Expenses (A21 -A19)]], AN_TME_BY[[#All],[Advanced Network/Insurance Carrier Org ID]],J373, AN_TME_BY[[#All],[Insurance Category Code]], 6),2)</f>
        <v>0</v>
      </c>
      <c r="L373" s="221">
        <f>ROUND(SUMIFS(StandardDeviation_BY[[#All],[Total Spending After Truncation]], StandardDeviation_BY[[#All],[Advanced Network/Insurance Carrier Org ID]],J373, StandardDeviation_BY[[#All],[Market ID]],2),2)</f>
        <v>0</v>
      </c>
      <c r="M373" s="540" t="str">
        <f t="shared" si="51"/>
        <v>TRUE</v>
      </c>
      <c r="N373" s="233">
        <f>ROUND(SUMIFS(AN_TME_PY[[#All],[TOTAL Truncated Unadjusted Claims Expenses (A21 -A19)]], AN_TME_PY[[#All],[Advanced Network/Insurance Carrier Org ID]],J373, AN_TME_PY[[#All],[Insurance Category Code]], 2)+SUMIFS(AN_TME_PY[[#All],[TOTAL Truncated Unadjusted Claims Expenses (A21 -A19)]], AN_TME_PY[[#All],[Advanced Network/Insurance Carrier Org ID]],J373, AN_TME_PY[[#All],[Insurance Category Code]], 6),2)</f>
        <v>0</v>
      </c>
      <c r="O373" s="221">
        <f>ROUND(SUMIFS(StandardDeviation_PY[[#All],[Total Spending After Truncation]], StandardDeviation_PY[[#All],[Advanced Network/Insurance Carrier Org ID]],J373, StandardDeviation_PY[[#All],[Market ID]],2),2)</f>
        <v>0</v>
      </c>
      <c r="P373" s="540" t="str">
        <f t="shared" si="52"/>
        <v>TRUE</v>
      </c>
      <c r="Q373"/>
      <c r="R373" s="216">
        <v>109</v>
      </c>
      <c r="S373" s="233">
        <f>ROUND(SUMIFS(AN_TME_BY[[#All],[TOTAL Truncated Unadjusted Claims Expenses (A21 -A19)]], AN_TME_BY[[#All],[Advanced Network/Insurance Carrier Org ID]],R373, AN_TME_BY[[#All],[Insurance Category Code]], 3)+SUMIFS(AN_TME_BY[[#All],[TOTAL Truncated Unadjusted Claims Expenses (A21 -A19)]], AN_TME_BY[[#All],[Advanced Network/Insurance Carrier Org ID]],R373, AN_TME_BY[[#All],[Insurance Category Code]], 4),2)</f>
        <v>0</v>
      </c>
      <c r="T373" s="221">
        <f>ROUND(SUMIFS(StandardDeviation_BY[[#All],[Total Spending After Truncation]], StandardDeviation_BY[[#All],[Advanced Network/Insurance Carrier Org ID]],R373, StandardDeviation_BY[[#All],[Market ID]],3),2)</f>
        <v>0</v>
      </c>
      <c r="U373" s="543" t="str">
        <f t="shared" si="53"/>
        <v>TRUE</v>
      </c>
      <c r="V373" s="233">
        <f>ROUND(SUMIFS(AN_TME_PY[[#All],[TOTAL Truncated Unadjusted Claims Expenses (A21 -A19)]], AN_TME_PY[[#All],[Advanced Network/Insurance Carrier Org ID]],R373, AN_TME_PY[[#All],[Insurance Category Code]], 3)+SUMIFS(AN_TME_PY[[#All],[TOTAL Truncated Unadjusted Claims Expenses (A21 -A19)]], AN_TME_PY[[#All],[Advanced Network/Insurance Carrier Org ID]],R373, AN_TME_PY[[#All],[Insurance Category Code]], 4),2)</f>
        <v>0</v>
      </c>
      <c r="W373" s="221">
        <f>ROUND(SUMIFS(StandardDeviation_PY[[#All],[Total Spending After Truncation]], StandardDeviation_PY[[#All],[Advanced Network/Insurance Carrier Org ID]],R373, StandardDeviation_PY[[#All],[Market ID]],3),2)</f>
        <v>0</v>
      </c>
      <c r="X373" s="543" t="str">
        <f t="shared" si="54"/>
        <v>TRUE</v>
      </c>
    </row>
    <row r="374" spans="2:24" s="29" customFormat="1" x14ac:dyDescent="0.25">
      <c r="B374" s="216">
        <v>110</v>
      </c>
      <c r="C374" s="233">
        <f>ROUND(SUMIFS(AN_TME_BY[[#All],[TOTAL Truncated Unadjusted Claims Expenses (A21 -A19)]], AN_TME_BY[[#All],[Advanced Network/Insurance Carrier Org ID]],B374, AN_TME_BY[[#All],[Insurance Category Code]], 1)+SUMIFS(AN_TME_BY[[#All],[TOTAL Truncated Unadjusted Claims Expenses (A21 -A19)]], AN_TME_BY[[#All],[Advanced Network/Insurance Carrier Org ID]],B374, AN_TME_BY[[#All],[Insurance Category Code]], 5),2)</f>
        <v>0</v>
      </c>
      <c r="D374" s="221">
        <f>ROUND(SUMIFS(StandardDeviation_BY[[#All],[Total Spending After Truncation]], StandardDeviation_BY[[#All],[Advanced Network/Insurance Carrier Org ID]],B374, StandardDeviation_BY[[#All],[Market ID]],1),2)</f>
        <v>0</v>
      </c>
      <c r="E374" s="540" t="str">
        <f t="shared" si="49"/>
        <v>TRUE</v>
      </c>
      <c r="F374" s="233">
        <f>ROUND(SUMIFS(AN_TME_PY[[#All],[TOTAL Truncated Unadjusted Claims Expenses (A21 -A19)]], AN_TME_PY[[#All],[Advanced Network/Insurance Carrier Org ID]],B374, AN_TME_PY[[#All],[Insurance Category Code]], 1)+SUMIFS(AN_TME_PY[[#All],[TOTAL Truncated Unadjusted Claims Expenses (A21 -A19)]], AN_TME_PY[[#All],[Advanced Network/Insurance Carrier Org ID]],B374, AN_TME_PY[[#All],[Insurance Category Code]], 5),2)</f>
        <v>0</v>
      </c>
      <c r="G374" s="221">
        <f>ROUND(SUMIFS(StandardDeviation_PY[[#All],[Total Spending After Truncation]], StandardDeviation_PY[[#All],[Advanced Network/Insurance Carrier Org ID]],B374, StandardDeviation_PY[[#All],[Market ID]],1),2)</f>
        <v>0</v>
      </c>
      <c r="H374" s="540" t="str">
        <f t="shared" si="50"/>
        <v>TRUE</v>
      </c>
      <c r="I374"/>
      <c r="J374" s="216">
        <v>110</v>
      </c>
      <c r="K374" s="233">
        <f>ROUND(SUMIFS(AN_TME_BY[[#All],[TOTAL Truncated Unadjusted Claims Expenses (A21 -A19)]], AN_TME_BY[[#All],[Advanced Network/Insurance Carrier Org ID]],J374, AN_TME_BY[[#All],[Insurance Category Code]], 2)+SUMIFS(AN_TME_BY[[#All],[TOTAL Truncated Unadjusted Claims Expenses (A21 -A19)]], AN_TME_BY[[#All],[Advanced Network/Insurance Carrier Org ID]],J374, AN_TME_BY[[#All],[Insurance Category Code]], 6),2)</f>
        <v>0</v>
      </c>
      <c r="L374" s="221">
        <f>ROUND(SUMIFS(StandardDeviation_BY[[#All],[Total Spending After Truncation]], StandardDeviation_BY[[#All],[Advanced Network/Insurance Carrier Org ID]],J374, StandardDeviation_BY[[#All],[Market ID]],2),2)</f>
        <v>0</v>
      </c>
      <c r="M374" s="540" t="str">
        <f t="shared" si="51"/>
        <v>TRUE</v>
      </c>
      <c r="N374" s="233">
        <f>ROUND(SUMIFS(AN_TME_PY[[#All],[TOTAL Truncated Unadjusted Claims Expenses (A21 -A19)]], AN_TME_PY[[#All],[Advanced Network/Insurance Carrier Org ID]],J374, AN_TME_PY[[#All],[Insurance Category Code]], 2)+SUMIFS(AN_TME_PY[[#All],[TOTAL Truncated Unadjusted Claims Expenses (A21 -A19)]], AN_TME_PY[[#All],[Advanced Network/Insurance Carrier Org ID]],J374, AN_TME_PY[[#All],[Insurance Category Code]], 6),2)</f>
        <v>0</v>
      </c>
      <c r="O374" s="221">
        <f>ROUND(SUMIFS(StandardDeviation_PY[[#All],[Total Spending After Truncation]], StandardDeviation_PY[[#All],[Advanced Network/Insurance Carrier Org ID]],J374, StandardDeviation_PY[[#All],[Market ID]],2),2)</f>
        <v>0</v>
      </c>
      <c r="P374" s="540" t="str">
        <f t="shared" si="52"/>
        <v>TRUE</v>
      </c>
      <c r="Q374"/>
      <c r="R374" s="216">
        <v>110</v>
      </c>
      <c r="S374" s="233">
        <f>ROUND(SUMIFS(AN_TME_BY[[#All],[TOTAL Truncated Unadjusted Claims Expenses (A21 -A19)]], AN_TME_BY[[#All],[Advanced Network/Insurance Carrier Org ID]],R374, AN_TME_BY[[#All],[Insurance Category Code]], 3)+SUMIFS(AN_TME_BY[[#All],[TOTAL Truncated Unadjusted Claims Expenses (A21 -A19)]], AN_TME_BY[[#All],[Advanced Network/Insurance Carrier Org ID]],R374, AN_TME_BY[[#All],[Insurance Category Code]], 4),2)</f>
        <v>0</v>
      </c>
      <c r="T374" s="221">
        <f>ROUND(SUMIFS(StandardDeviation_BY[[#All],[Total Spending After Truncation]], StandardDeviation_BY[[#All],[Advanced Network/Insurance Carrier Org ID]],R374, StandardDeviation_BY[[#All],[Market ID]],3),2)</f>
        <v>0</v>
      </c>
      <c r="U374" s="543" t="str">
        <f t="shared" si="53"/>
        <v>TRUE</v>
      </c>
      <c r="V374" s="233">
        <f>ROUND(SUMIFS(AN_TME_PY[[#All],[TOTAL Truncated Unadjusted Claims Expenses (A21 -A19)]], AN_TME_PY[[#All],[Advanced Network/Insurance Carrier Org ID]],R374, AN_TME_PY[[#All],[Insurance Category Code]], 3)+SUMIFS(AN_TME_PY[[#All],[TOTAL Truncated Unadjusted Claims Expenses (A21 -A19)]], AN_TME_PY[[#All],[Advanced Network/Insurance Carrier Org ID]],R374, AN_TME_PY[[#All],[Insurance Category Code]], 4),2)</f>
        <v>0</v>
      </c>
      <c r="W374" s="221">
        <f>ROUND(SUMIFS(StandardDeviation_PY[[#All],[Total Spending After Truncation]], StandardDeviation_PY[[#All],[Advanced Network/Insurance Carrier Org ID]],R374, StandardDeviation_PY[[#All],[Market ID]],3),2)</f>
        <v>0</v>
      </c>
      <c r="X374" s="543" t="str">
        <f t="shared" si="54"/>
        <v>TRUE</v>
      </c>
    </row>
    <row r="375" spans="2:24" s="29" customFormat="1" x14ac:dyDescent="0.25">
      <c r="B375" s="216">
        <v>111</v>
      </c>
      <c r="C375" s="233">
        <f>ROUND(SUMIFS(AN_TME_BY[[#All],[TOTAL Truncated Unadjusted Claims Expenses (A21 -A19)]], AN_TME_BY[[#All],[Advanced Network/Insurance Carrier Org ID]],B375, AN_TME_BY[[#All],[Insurance Category Code]], 1)+SUMIFS(AN_TME_BY[[#All],[TOTAL Truncated Unadjusted Claims Expenses (A21 -A19)]], AN_TME_BY[[#All],[Advanced Network/Insurance Carrier Org ID]],B375, AN_TME_BY[[#All],[Insurance Category Code]], 5),2)</f>
        <v>0</v>
      </c>
      <c r="D375" s="221">
        <f>ROUND(SUMIFS(StandardDeviation_BY[[#All],[Total Spending After Truncation]], StandardDeviation_BY[[#All],[Advanced Network/Insurance Carrier Org ID]],B375, StandardDeviation_BY[[#All],[Market ID]],1),2)</f>
        <v>0</v>
      </c>
      <c r="E375" s="540" t="str">
        <f t="shared" si="49"/>
        <v>TRUE</v>
      </c>
      <c r="F375" s="233">
        <f>ROUND(SUMIFS(AN_TME_PY[[#All],[TOTAL Truncated Unadjusted Claims Expenses (A21 -A19)]], AN_TME_PY[[#All],[Advanced Network/Insurance Carrier Org ID]],B375, AN_TME_PY[[#All],[Insurance Category Code]], 1)+SUMIFS(AN_TME_PY[[#All],[TOTAL Truncated Unadjusted Claims Expenses (A21 -A19)]], AN_TME_PY[[#All],[Advanced Network/Insurance Carrier Org ID]],B375, AN_TME_PY[[#All],[Insurance Category Code]], 5),2)</f>
        <v>0</v>
      </c>
      <c r="G375" s="221">
        <f>ROUND(SUMIFS(StandardDeviation_PY[[#All],[Total Spending After Truncation]], StandardDeviation_PY[[#All],[Advanced Network/Insurance Carrier Org ID]],B375, StandardDeviation_PY[[#All],[Market ID]],1),2)</f>
        <v>0</v>
      </c>
      <c r="H375" s="540" t="str">
        <f t="shared" si="50"/>
        <v>TRUE</v>
      </c>
      <c r="I375"/>
      <c r="J375" s="216">
        <v>111</v>
      </c>
      <c r="K375" s="233">
        <f>ROUND(SUMIFS(AN_TME_BY[[#All],[TOTAL Truncated Unadjusted Claims Expenses (A21 -A19)]], AN_TME_BY[[#All],[Advanced Network/Insurance Carrier Org ID]],J375, AN_TME_BY[[#All],[Insurance Category Code]], 2)+SUMIFS(AN_TME_BY[[#All],[TOTAL Truncated Unadjusted Claims Expenses (A21 -A19)]], AN_TME_BY[[#All],[Advanced Network/Insurance Carrier Org ID]],J375, AN_TME_BY[[#All],[Insurance Category Code]], 6),2)</f>
        <v>0</v>
      </c>
      <c r="L375" s="221">
        <f>ROUND(SUMIFS(StandardDeviation_BY[[#All],[Total Spending After Truncation]], StandardDeviation_BY[[#All],[Advanced Network/Insurance Carrier Org ID]],J375, StandardDeviation_BY[[#All],[Market ID]],2),2)</f>
        <v>0</v>
      </c>
      <c r="M375" s="540" t="str">
        <f t="shared" si="51"/>
        <v>TRUE</v>
      </c>
      <c r="N375" s="233">
        <f>ROUND(SUMIFS(AN_TME_PY[[#All],[TOTAL Truncated Unadjusted Claims Expenses (A21 -A19)]], AN_TME_PY[[#All],[Advanced Network/Insurance Carrier Org ID]],J375, AN_TME_PY[[#All],[Insurance Category Code]], 2)+SUMIFS(AN_TME_PY[[#All],[TOTAL Truncated Unadjusted Claims Expenses (A21 -A19)]], AN_TME_PY[[#All],[Advanced Network/Insurance Carrier Org ID]],J375, AN_TME_PY[[#All],[Insurance Category Code]], 6),2)</f>
        <v>0</v>
      </c>
      <c r="O375" s="221">
        <f>ROUND(SUMIFS(StandardDeviation_PY[[#All],[Total Spending After Truncation]], StandardDeviation_PY[[#All],[Advanced Network/Insurance Carrier Org ID]],J375, StandardDeviation_PY[[#All],[Market ID]],2),2)</f>
        <v>0</v>
      </c>
      <c r="P375" s="540" t="str">
        <f t="shared" si="52"/>
        <v>TRUE</v>
      </c>
      <c r="Q375"/>
      <c r="R375" s="216">
        <v>111</v>
      </c>
      <c r="S375" s="233">
        <f>ROUND(SUMIFS(AN_TME_BY[[#All],[TOTAL Truncated Unadjusted Claims Expenses (A21 -A19)]], AN_TME_BY[[#All],[Advanced Network/Insurance Carrier Org ID]],R375, AN_TME_BY[[#All],[Insurance Category Code]], 3)+SUMIFS(AN_TME_BY[[#All],[TOTAL Truncated Unadjusted Claims Expenses (A21 -A19)]], AN_TME_BY[[#All],[Advanced Network/Insurance Carrier Org ID]],R375, AN_TME_BY[[#All],[Insurance Category Code]], 4),2)</f>
        <v>0</v>
      </c>
      <c r="T375" s="221">
        <f>ROUND(SUMIFS(StandardDeviation_BY[[#All],[Total Spending After Truncation]], StandardDeviation_BY[[#All],[Advanced Network/Insurance Carrier Org ID]],R375, StandardDeviation_BY[[#All],[Market ID]],3),2)</f>
        <v>0</v>
      </c>
      <c r="U375" s="543" t="str">
        <f t="shared" si="53"/>
        <v>TRUE</v>
      </c>
      <c r="V375" s="233">
        <f>ROUND(SUMIFS(AN_TME_PY[[#All],[TOTAL Truncated Unadjusted Claims Expenses (A21 -A19)]], AN_TME_PY[[#All],[Advanced Network/Insurance Carrier Org ID]],R375, AN_TME_PY[[#All],[Insurance Category Code]], 3)+SUMIFS(AN_TME_PY[[#All],[TOTAL Truncated Unadjusted Claims Expenses (A21 -A19)]], AN_TME_PY[[#All],[Advanced Network/Insurance Carrier Org ID]],R375, AN_TME_PY[[#All],[Insurance Category Code]], 4),2)</f>
        <v>0</v>
      </c>
      <c r="W375" s="221">
        <f>ROUND(SUMIFS(StandardDeviation_PY[[#All],[Total Spending After Truncation]], StandardDeviation_PY[[#All],[Advanced Network/Insurance Carrier Org ID]],R375, StandardDeviation_PY[[#All],[Market ID]],3),2)</f>
        <v>0</v>
      </c>
      <c r="X375" s="543" t="str">
        <f t="shared" si="54"/>
        <v>TRUE</v>
      </c>
    </row>
    <row r="376" spans="2:24" s="29" customFormat="1" x14ac:dyDescent="0.25">
      <c r="B376" s="216">
        <v>112</v>
      </c>
      <c r="C376" s="233">
        <f>ROUND(SUMIFS(AN_TME_BY[[#All],[TOTAL Truncated Unadjusted Claims Expenses (A21 -A19)]], AN_TME_BY[[#All],[Advanced Network/Insurance Carrier Org ID]],B376, AN_TME_BY[[#All],[Insurance Category Code]], 1)+SUMIFS(AN_TME_BY[[#All],[TOTAL Truncated Unadjusted Claims Expenses (A21 -A19)]], AN_TME_BY[[#All],[Advanced Network/Insurance Carrier Org ID]],B376, AN_TME_BY[[#All],[Insurance Category Code]], 5),2)</f>
        <v>0</v>
      </c>
      <c r="D376" s="221">
        <f>ROUND(SUMIFS(StandardDeviation_BY[[#All],[Total Spending After Truncation]], StandardDeviation_BY[[#All],[Advanced Network/Insurance Carrier Org ID]],B376, StandardDeviation_BY[[#All],[Market ID]],1),2)</f>
        <v>0</v>
      </c>
      <c r="E376" s="540" t="str">
        <f t="shared" si="49"/>
        <v>TRUE</v>
      </c>
      <c r="F376" s="233">
        <f>ROUND(SUMIFS(AN_TME_PY[[#All],[TOTAL Truncated Unadjusted Claims Expenses (A21 -A19)]], AN_TME_PY[[#All],[Advanced Network/Insurance Carrier Org ID]],B376, AN_TME_PY[[#All],[Insurance Category Code]], 1)+SUMIFS(AN_TME_PY[[#All],[TOTAL Truncated Unadjusted Claims Expenses (A21 -A19)]], AN_TME_PY[[#All],[Advanced Network/Insurance Carrier Org ID]],B376, AN_TME_PY[[#All],[Insurance Category Code]], 5),2)</f>
        <v>0</v>
      </c>
      <c r="G376" s="221">
        <f>ROUND(SUMIFS(StandardDeviation_PY[[#All],[Total Spending After Truncation]], StandardDeviation_PY[[#All],[Advanced Network/Insurance Carrier Org ID]],B376, StandardDeviation_PY[[#All],[Market ID]],1),2)</f>
        <v>0</v>
      </c>
      <c r="H376" s="540" t="str">
        <f t="shared" si="50"/>
        <v>TRUE</v>
      </c>
      <c r="I376"/>
      <c r="J376" s="216">
        <v>112</v>
      </c>
      <c r="K376" s="233">
        <f>ROUND(SUMIFS(AN_TME_BY[[#All],[TOTAL Truncated Unadjusted Claims Expenses (A21 -A19)]], AN_TME_BY[[#All],[Advanced Network/Insurance Carrier Org ID]],J376, AN_TME_BY[[#All],[Insurance Category Code]], 2)+SUMIFS(AN_TME_BY[[#All],[TOTAL Truncated Unadjusted Claims Expenses (A21 -A19)]], AN_TME_BY[[#All],[Advanced Network/Insurance Carrier Org ID]],J376, AN_TME_BY[[#All],[Insurance Category Code]], 6),2)</f>
        <v>0</v>
      </c>
      <c r="L376" s="221">
        <f>ROUND(SUMIFS(StandardDeviation_BY[[#All],[Total Spending After Truncation]], StandardDeviation_BY[[#All],[Advanced Network/Insurance Carrier Org ID]],J376, StandardDeviation_BY[[#All],[Market ID]],2),2)</f>
        <v>0</v>
      </c>
      <c r="M376" s="540" t="str">
        <f t="shared" si="51"/>
        <v>TRUE</v>
      </c>
      <c r="N376" s="233">
        <f>ROUND(SUMIFS(AN_TME_PY[[#All],[TOTAL Truncated Unadjusted Claims Expenses (A21 -A19)]], AN_TME_PY[[#All],[Advanced Network/Insurance Carrier Org ID]],J376, AN_TME_PY[[#All],[Insurance Category Code]], 2)+SUMIFS(AN_TME_PY[[#All],[TOTAL Truncated Unadjusted Claims Expenses (A21 -A19)]], AN_TME_PY[[#All],[Advanced Network/Insurance Carrier Org ID]],J376, AN_TME_PY[[#All],[Insurance Category Code]], 6),2)</f>
        <v>0</v>
      </c>
      <c r="O376" s="221">
        <f>ROUND(SUMIFS(StandardDeviation_PY[[#All],[Total Spending After Truncation]], StandardDeviation_PY[[#All],[Advanced Network/Insurance Carrier Org ID]],J376, StandardDeviation_PY[[#All],[Market ID]],2),2)</f>
        <v>0</v>
      </c>
      <c r="P376" s="540" t="str">
        <f t="shared" si="52"/>
        <v>TRUE</v>
      </c>
      <c r="Q376"/>
      <c r="R376" s="216">
        <v>112</v>
      </c>
      <c r="S376" s="233">
        <f>ROUND(SUMIFS(AN_TME_BY[[#All],[TOTAL Truncated Unadjusted Claims Expenses (A21 -A19)]], AN_TME_BY[[#All],[Advanced Network/Insurance Carrier Org ID]],R376, AN_TME_BY[[#All],[Insurance Category Code]], 3)+SUMIFS(AN_TME_BY[[#All],[TOTAL Truncated Unadjusted Claims Expenses (A21 -A19)]], AN_TME_BY[[#All],[Advanced Network/Insurance Carrier Org ID]],R376, AN_TME_BY[[#All],[Insurance Category Code]], 4),2)</f>
        <v>0</v>
      </c>
      <c r="T376" s="221">
        <f>ROUND(SUMIFS(StandardDeviation_BY[[#All],[Total Spending After Truncation]], StandardDeviation_BY[[#All],[Advanced Network/Insurance Carrier Org ID]],R376, StandardDeviation_BY[[#All],[Market ID]],3),2)</f>
        <v>0</v>
      </c>
      <c r="U376" s="543" t="str">
        <f t="shared" si="53"/>
        <v>TRUE</v>
      </c>
      <c r="V376" s="233">
        <f>ROUND(SUMIFS(AN_TME_PY[[#All],[TOTAL Truncated Unadjusted Claims Expenses (A21 -A19)]], AN_TME_PY[[#All],[Advanced Network/Insurance Carrier Org ID]],R376, AN_TME_PY[[#All],[Insurance Category Code]], 3)+SUMIFS(AN_TME_PY[[#All],[TOTAL Truncated Unadjusted Claims Expenses (A21 -A19)]], AN_TME_PY[[#All],[Advanced Network/Insurance Carrier Org ID]],R376, AN_TME_PY[[#All],[Insurance Category Code]], 4),2)</f>
        <v>0</v>
      </c>
      <c r="W376" s="221">
        <f>ROUND(SUMIFS(StandardDeviation_PY[[#All],[Total Spending After Truncation]], StandardDeviation_PY[[#All],[Advanced Network/Insurance Carrier Org ID]],R376, StandardDeviation_PY[[#All],[Market ID]],3),2)</f>
        <v>0</v>
      </c>
      <c r="X376" s="543" t="str">
        <f t="shared" si="54"/>
        <v>TRUE</v>
      </c>
    </row>
    <row r="377" spans="2:24" s="29" customFormat="1" x14ac:dyDescent="0.25">
      <c r="B377" s="216">
        <v>113</v>
      </c>
      <c r="C377" s="233">
        <f>ROUND(SUMIFS(AN_TME_BY[[#All],[TOTAL Truncated Unadjusted Claims Expenses (A21 -A19)]], AN_TME_BY[[#All],[Advanced Network/Insurance Carrier Org ID]],B377, AN_TME_BY[[#All],[Insurance Category Code]], 1)+SUMIFS(AN_TME_BY[[#All],[TOTAL Truncated Unadjusted Claims Expenses (A21 -A19)]], AN_TME_BY[[#All],[Advanced Network/Insurance Carrier Org ID]],B377, AN_TME_BY[[#All],[Insurance Category Code]], 5),2)</f>
        <v>0</v>
      </c>
      <c r="D377" s="221">
        <f>ROUND(SUMIFS(StandardDeviation_BY[[#All],[Total Spending After Truncation]], StandardDeviation_BY[[#All],[Advanced Network/Insurance Carrier Org ID]],B377, StandardDeviation_BY[[#All],[Market ID]],1),2)</f>
        <v>0</v>
      </c>
      <c r="E377" s="540" t="str">
        <f t="shared" si="49"/>
        <v>TRUE</v>
      </c>
      <c r="F377" s="233">
        <f>ROUND(SUMIFS(AN_TME_PY[[#All],[TOTAL Truncated Unadjusted Claims Expenses (A21 -A19)]], AN_TME_PY[[#All],[Advanced Network/Insurance Carrier Org ID]],B377, AN_TME_PY[[#All],[Insurance Category Code]], 1)+SUMIFS(AN_TME_PY[[#All],[TOTAL Truncated Unadjusted Claims Expenses (A21 -A19)]], AN_TME_PY[[#All],[Advanced Network/Insurance Carrier Org ID]],B377, AN_TME_PY[[#All],[Insurance Category Code]], 5),2)</f>
        <v>0</v>
      </c>
      <c r="G377" s="221">
        <f>ROUND(SUMIFS(StandardDeviation_PY[[#All],[Total Spending After Truncation]], StandardDeviation_PY[[#All],[Advanced Network/Insurance Carrier Org ID]],B377, StandardDeviation_PY[[#All],[Market ID]],1),2)</f>
        <v>0</v>
      </c>
      <c r="H377" s="540" t="str">
        <f t="shared" si="50"/>
        <v>TRUE</v>
      </c>
      <c r="I377"/>
      <c r="J377" s="216">
        <v>113</v>
      </c>
      <c r="K377" s="233">
        <f>ROUND(SUMIFS(AN_TME_BY[[#All],[TOTAL Truncated Unadjusted Claims Expenses (A21 -A19)]], AN_TME_BY[[#All],[Advanced Network/Insurance Carrier Org ID]],J377, AN_TME_BY[[#All],[Insurance Category Code]], 2)+SUMIFS(AN_TME_BY[[#All],[TOTAL Truncated Unadjusted Claims Expenses (A21 -A19)]], AN_TME_BY[[#All],[Advanced Network/Insurance Carrier Org ID]],J377, AN_TME_BY[[#All],[Insurance Category Code]], 6),2)</f>
        <v>0</v>
      </c>
      <c r="L377" s="221">
        <f>ROUND(SUMIFS(StandardDeviation_BY[[#All],[Total Spending After Truncation]], StandardDeviation_BY[[#All],[Advanced Network/Insurance Carrier Org ID]],J377, StandardDeviation_BY[[#All],[Market ID]],2),2)</f>
        <v>0</v>
      </c>
      <c r="M377" s="540" t="str">
        <f t="shared" si="51"/>
        <v>TRUE</v>
      </c>
      <c r="N377" s="233">
        <f>ROUND(SUMIFS(AN_TME_PY[[#All],[TOTAL Truncated Unadjusted Claims Expenses (A21 -A19)]], AN_TME_PY[[#All],[Advanced Network/Insurance Carrier Org ID]],J377, AN_TME_PY[[#All],[Insurance Category Code]], 2)+SUMIFS(AN_TME_PY[[#All],[TOTAL Truncated Unadjusted Claims Expenses (A21 -A19)]], AN_TME_PY[[#All],[Advanced Network/Insurance Carrier Org ID]],J377, AN_TME_PY[[#All],[Insurance Category Code]], 6),2)</f>
        <v>0</v>
      </c>
      <c r="O377" s="221">
        <f>ROUND(SUMIFS(StandardDeviation_PY[[#All],[Total Spending After Truncation]], StandardDeviation_PY[[#All],[Advanced Network/Insurance Carrier Org ID]],J377, StandardDeviation_PY[[#All],[Market ID]],2),2)</f>
        <v>0</v>
      </c>
      <c r="P377" s="540" t="str">
        <f t="shared" si="52"/>
        <v>TRUE</v>
      </c>
      <c r="Q377"/>
      <c r="R377" s="216">
        <v>113</v>
      </c>
      <c r="S377" s="233">
        <f>ROUND(SUMIFS(AN_TME_BY[[#All],[TOTAL Truncated Unadjusted Claims Expenses (A21 -A19)]], AN_TME_BY[[#All],[Advanced Network/Insurance Carrier Org ID]],R377, AN_TME_BY[[#All],[Insurance Category Code]], 3)+SUMIFS(AN_TME_BY[[#All],[TOTAL Truncated Unadjusted Claims Expenses (A21 -A19)]], AN_TME_BY[[#All],[Advanced Network/Insurance Carrier Org ID]],R377, AN_TME_BY[[#All],[Insurance Category Code]], 4),2)</f>
        <v>0</v>
      </c>
      <c r="T377" s="221">
        <f>ROUND(SUMIFS(StandardDeviation_BY[[#All],[Total Spending After Truncation]], StandardDeviation_BY[[#All],[Advanced Network/Insurance Carrier Org ID]],R377, StandardDeviation_BY[[#All],[Market ID]],3),2)</f>
        <v>0</v>
      </c>
      <c r="U377" s="543" t="str">
        <f t="shared" si="53"/>
        <v>TRUE</v>
      </c>
      <c r="V377" s="233">
        <f>ROUND(SUMIFS(AN_TME_PY[[#All],[TOTAL Truncated Unadjusted Claims Expenses (A21 -A19)]], AN_TME_PY[[#All],[Advanced Network/Insurance Carrier Org ID]],R377, AN_TME_PY[[#All],[Insurance Category Code]], 3)+SUMIFS(AN_TME_PY[[#All],[TOTAL Truncated Unadjusted Claims Expenses (A21 -A19)]], AN_TME_PY[[#All],[Advanced Network/Insurance Carrier Org ID]],R377, AN_TME_PY[[#All],[Insurance Category Code]], 4),2)</f>
        <v>0</v>
      </c>
      <c r="W377" s="221">
        <f>ROUND(SUMIFS(StandardDeviation_PY[[#All],[Total Spending After Truncation]], StandardDeviation_PY[[#All],[Advanced Network/Insurance Carrier Org ID]],R377, StandardDeviation_PY[[#All],[Market ID]],3),2)</f>
        <v>0</v>
      </c>
      <c r="X377" s="543" t="str">
        <f t="shared" si="54"/>
        <v>TRUE</v>
      </c>
    </row>
    <row r="378" spans="2:24" s="29" customFormat="1" x14ac:dyDescent="0.25">
      <c r="B378" s="216">
        <v>114</v>
      </c>
      <c r="C378" s="233">
        <f>ROUND(SUMIFS(AN_TME_BY[[#All],[TOTAL Truncated Unadjusted Claims Expenses (A21 -A19)]], AN_TME_BY[[#All],[Advanced Network/Insurance Carrier Org ID]],B378, AN_TME_BY[[#All],[Insurance Category Code]], 1)+SUMIFS(AN_TME_BY[[#All],[TOTAL Truncated Unadjusted Claims Expenses (A21 -A19)]], AN_TME_BY[[#All],[Advanced Network/Insurance Carrier Org ID]],B378, AN_TME_BY[[#All],[Insurance Category Code]], 5),2)</f>
        <v>0</v>
      </c>
      <c r="D378" s="221">
        <f>ROUND(SUMIFS(StandardDeviation_BY[[#All],[Total Spending After Truncation]], StandardDeviation_BY[[#All],[Advanced Network/Insurance Carrier Org ID]],B378, StandardDeviation_BY[[#All],[Market ID]],1),2)</f>
        <v>0</v>
      </c>
      <c r="E378" s="540" t="str">
        <f t="shared" si="49"/>
        <v>TRUE</v>
      </c>
      <c r="F378" s="233">
        <f>ROUND(SUMIFS(AN_TME_PY[[#All],[TOTAL Truncated Unadjusted Claims Expenses (A21 -A19)]], AN_TME_PY[[#All],[Advanced Network/Insurance Carrier Org ID]],B378, AN_TME_PY[[#All],[Insurance Category Code]], 1)+SUMIFS(AN_TME_PY[[#All],[TOTAL Truncated Unadjusted Claims Expenses (A21 -A19)]], AN_TME_PY[[#All],[Advanced Network/Insurance Carrier Org ID]],B378, AN_TME_PY[[#All],[Insurance Category Code]], 5),2)</f>
        <v>0</v>
      </c>
      <c r="G378" s="221">
        <f>ROUND(SUMIFS(StandardDeviation_PY[[#All],[Total Spending After Truncation]], StandardDeviation_PY[[#All],[Advanced Network/Insurance Carrier Org ID]],B378, StandardDeviation_PY[[#All],[Market ID]],1),2)</f>
        <v>0</v>
      </c>
      <c r="H378" s="540" t="str">
        <f t="shared" si="50"/>
        <v>TRUE</v>
      </c>
      <c r="I378"/>
      <c r="J378" s="216">
        <v>114</v>
      </c>
      <c r="K378" s="233">
        <f>ROUND(SUMIFS(AN_TME_BY[[#All],[TOTAL Truncated Unadjusted Claims Expenses (A21 -A19)]], AN_TME_BY[[#All],[Advanced Network/Insurance Carrier Org ID]],J378, AN_TME_BY[[#All],[Insurance Category Code]], 2)+SUMIFS(AN_TME_BY[[#All],[TOTAL Truncated Unadjusted Claims Expenses (A21 -A19)]], AN_TME_BY[[#All],[Advanced Network/Insurance Carrier Org ID]],J378, AN_TME_BY[[#All],[Insurance Category Code]], 6),2)</f>
        <v>0</v>
      </c>
      <c r="L378" s="221">
        <f>ROUND(SUMIFS(StandardDeviation_BY[[#All],[Total Spending After Truncation]], StandardDeviation_BY[[#All],[Advanced Network/Insurance Carrier Org ID]],J378, StandardDeviation_BY[[#All],[Market ID]],2),2)</f>
        <v>0</v>
      </c>
      <c r="M378" s="540" t="str">
        <f t="shared" si="51"/>
        <v>TRUE</v>
      </c>
      <c r="N378" s="233">
        <f>ROUND(SUMIFS(AN_TME_PY[[#All],[TOTAL Truncated Unadjusted Claims Expenses (A21 -A19)]], AN_TME_PY[[#All],[Advanced Network/Insurance Carrier Org ID]],J378, AN_TME_PY[[#All],[Insurance Category Code]], 2)+SUMIFS(AN_TME_PY[[#All],[TOTAL Truncated Unadjusted Claims Expenses (A21 -A19)]], AN_TME_PY[[#All],[Advanced Network/Insurance Carrier Org ID]],J378, AN_TME_PY[[#All],[Insurance Category Code]], 6),2)</f>
        <v>0</v>
      </c>
      <c r="O378" s="221">
        <f>ROUND(SUMIFS(StandardDeviation_PY[[#All],[Total Spending After Truncation]], StandardDeviation_PY[[#All],[Advanced Network/Insurance Carrier Org ID]],J378, StandardDeviation_PY[[#All],[Market ID]],2),2)</f>
        <v>0</v>
      </c>
      <c r="P378" s="540" t="str">
        <f t="shared" si="52"/>
        <v>TRUE</v>
      </c>
      <c r="Q378"/>
      <c r="R378" s="216">
        <v>114</v>
      </c>
      <c r="S378" s="233">
        <f>ROUND(SUMIFS(AN_TME_BY[[#All],[TOTAL Truncated Unadjusted Claims Expenses (A21 -A19)]], AN_TME_BY[[#All],[Advanced Network/Insurance Carrier Org ID]],R378, AN_TME_BY[[#All],[Insurance Category Code]], 3)+SUMIFS(AN_TME_BY[[#All],[TOTAL Truncated Unadjusted Claims Expenses (A21 -A19)]], AN_TME_BY[[#All],[Advanced Network/Insurance Carrier Org ID]],R378, AN_TME_BY[[#All],[Insurance Category Code]], 4),2)</f>
        <v>0</v>
      </c>
      <c r="T378" s="221">
        <f>ROUND(SUMIFS(StandardDeviation_BY[[#All],[Total Spending After Truncation]], StandardDeviation_BY[[#All],[Advanced Network/Insurance Carrier Org ID]],R378, StandardDeviation_BY[[#All],[Market ID]],3),2)</f>
        <v>0</v>
      </c>
      <c r="U378" s="543" t="str">
        <f t="shared" si="53"/>
        <v>TRUE</v>
      </c>
      <c r="V378" s="233">
        <f>ROUND(SUMIFS(AN_TME_PY[[#All],[TOTAL Truncated Unadjusted Claims Expenses (A21 -A19)]], AN_TME_PY[[#All],[Advanced Network/Insurance Carrier Org ID]],R378, AN_TME_PY[[#All],[Insurance Category Code]], 3)+SUMIFS(AN_TME_PY[[#All],[TOTAL Truncated Unadjusted Claims Expenses (A21 -A19)]], AN_TME_PY[[#All],[Advanced Network/Insurance Carrier Org ID]],R378, AN_TME_PY[[#All],[Insurance Category Code]], 4),2)</f>
        <v>0</v>
      </c>
      <c r="W378" s="221">
        <f>ROUND(SUMIFS(StandardDeviation_PY[[#All],[Total Spending After Truncation]], StandardDeviation_PY[[#All],[Advanced Network/Insurance Carrier Org ID]],R378, StandardDeviation_PY[[#All],[Market ID]],3),2)</f>
        <v>0</v>
      </c>
      <c r="X378" s="543" t="str">
        <f t="shared" si="54"/>
        <v>TRUE</v>
      </c>
    </row>
    <row r="379" spans="2:24" s="29" customFormat="1" x14ac:dyDescent="0.25">
      <c r="B379" s="216">
        <v>115</v>
      </c>
      <c r="C379" s="233">
        <f>ROUND(SUMIFS(AN_TME_BY[[#All],[TOTAL Truncated Unadjusted Claims Expenses (A21 -A19)]], AN_TME_BY[[#All],[Advanced Network/Insurance Carrier Org ID]],B379, AN_TME_BY[[#All],[Insurance Category Code]], 1)+SUMIFS(AN_TME_BY[[#All],[TOTAL Truncated Unadjusted Claims Expenses (A21 -A19)]], AN_TME_BY[[#All],[Advanced Network/Insurance Carrier Org ID]],B379, AN_TME_BY[[#All],[Insurance Category Code]], 5),2)</f>
        <v>0</v>
      </c>
      <c r="D379" s="221">
        <f>ROUND(SUMIFS(StandardDeviation_BY[[#All],[Total Spending After Truncation]], StandardDeviation_BY[[#All],[Advanced Network/Insurance Carrier Org ID]],B379, StandardDeviation_BY[[#All],[Market ID]],1),2)</f>
        <v>0</v>
      </c>
      <c r="E379" s="540" t="str">
        <f t="shared" si="49"/>
        <v>TRUE</v>
      </c>
      <c r="F379" s="233">
        <f>ROUND(SUMIFS(AN_TME_PY[[#All],[TOTAL Truncated Unadjusted Claims Expenses (A21 -A19)]], AN_TME_PY[[#All],[Advanced Network/Insurance Carrier Org ID]],B379, AN_TME_PY[[#All],[Insurance Category Code]], 1)+SUMIFS(AN_TME_PY[[#All],[TOTAL Truncated Unadjusted Claims Expenses (A21 -A19)]], AN_TME_PY[[#All],[Advanced Network/Insurance Carrier Org ID]],B379, AN_TME_PY[[#All],[Insurance Category Code]], 5),2)</f>
        <v>0</v>
      </c>
      <c r="G379" s="221">
        <f>ROUND(SUMIFS(StandardDeviation_PY[[#All],[Total Spending After Truncation]], StandardDeviation_PY[[#All],[Advanced Network/Insurance Carrier Org ID]],B379, StandardDeviation_PY[[#All],[Market ID]],1),2)</f>
        <v>0</v>
      </c>
      <c r="H379" s="540" t="str">
        <f t="shared" si="50"/>
        <v>TRUE</v>
      </c>
      <c r="I379"/>
      <c r="J379" s="216">
        <v>115</v>
      </c>
      <c r="K379" s="233">
        <f>ROUND(SUMIFS(AN_TME_BY[[#All],[TOTAL Truncated Unadjusted Claims Expenses (A21 -A19)]], AN_TME_BY[[#All],[Advanced Network/Insurance Carrier Org ID]],J379, AN_TME_BY[[#All],[Insurance Category Code]], 2)+SUMIFS(AN_TME_BY[[#All],[TOTAL Truncated Unadjusted Claims Expenses (A21 -A19)]], AN_TME_BY[[#All],[Advanced Network/Insurance Carrier Org ID]],J379, AN_TME_BY[[#All],[Insurance Category Code]], 6),2)</f>
        <v>0</v>
      </c>
      <c r="L379" s="221">
        <f>ROUND(SUMIFS(StandardDeviation_BY[[#All],[Total Spending After Truncation]], StandardDeviation_BY[[#All],[Advanced Network/Insurance Carrier Org ID]],J379, StandardDeviation_BY[[#All],[Market ID]],2),2)</f>
        <v>0</v>
      </c>
      <c r="M379" s="540" t="str">
        <f t="shared" si="51"/>
        <v>TRUE</v>
      </c>
      <c r="N379" s="233">
        <f>ROUND(SUMIFS(AN_TME_PY[[#All],[TOTAL Truncated Unadjusted Claims Expenses (A21 -A19)]], AN_TME_PY[[#All],[Advanced Network/Insurance Carrier Org ID]],J379, AN_TME_PY[[#All],[Insurance Category Code]], 2)+SUMIFS(AN_TME_PY[[#All],[TOTAL Truncated Unadjusted Claims Expenses (A21 -A19)]], AN_TME_PY[[#All],[Advanced Network/Insurance Carrier Org ID]],J379, AN_TME_PY[[#All],[Insurance Category Code]], 6),2)</f>
        <v>0</v>
      </c>
      <c r="O379" s="221">
        <f>ROUND(SUMIFS(StandardDeviation_PY[[#All],[Total Spending After Truncation]], StandardDeviation_PY[[#All],[Advanced Network/Insurance Carrier Org ID]],J379, StandardDeviation_PY[[#All],[Market ID]],2),2)</f>
        <v>0</v>
      </c>
      <c r="P379" s="540" t="str">
        <f t="shared" si="52"/>
        <v>TRUE</v>
      </c>
      <c r="Q379"/>
      <c r="R379" s="216">
        <v>115</v>
      </c>
      <c r="S379" s="233">
        <f>ROUND(SUMIFS(AN_TME_BY[[#All],[TOTAL Truncated Unadjusted Claims Expenses (A21 -A19)]], AN_TME_BY[[#All],[Advanced Network/Insurance Carrier Org ID]],R379, AN_TME_BY[[#All],[Insurance Category Code]], 3)+SUMIFS(AN_TME_BY[[#All],[TOTAL Truncated Unadjusted Claims Expenses (A21 -A19)]], AN_TME_BY[[#All],[Advanced Network/Insurance Carrier Org ID]],R379, AN_TME_BY[[#All],[Insurance Category Code]], 4),2)</f>
        <v>0</v>
      </c>
      <c r="T379" s="221">
        <f>ROUND(SUMIFS(StandardDeviation_BY[[#All],[Total Spending After Truncation]], StandardDeviation_BY[[#All],[Advanced Network/Insurance Carrier Org ID]],R379, StandardDeviation_BY[[#All],[Market ID]],3),2)</f>
        <v>0</v>
      </c>
      <c r="U379" s="543" t="str">
        <f t="shared" si="53"/>
        <v>TRUE</v>
      </c>
      <c r="V379" s="233">
        <f>ROUND(SUMIFS(AN_TME_PY[[#All],[TOTAL Truncated Unadjusted Claims Expenses (A21 -A19)]], AN_TME_PY[[#All],[Advanced Network/Insurance Carrier Org ID]],R379, AN_TME_PY[[#All],[Insurance Category Code]], 3)+SUMIFS(AN_TME_PY[[#All],[TOTAL Truncated Unadjusted Claims Expenses (A21 -A19)]], AN_TME_PY[[#All],[Advanced Network/Insurance Carrier Org ID]],R379, AN_TME_PY[[#All],[Insurance Category Code]], 4),2)</f>
        <v>0</v>
      </c>
      <c r="W379" s="221">
        <f>ROUND(SUMIFS(StandardDeviation_PY[[#All],[Total Spending After Truncation]], StandardDeviation_PY[[#All],[Advanced Network/Insurance Carrier Org ID]],R379, StandardDeviation_PY[[#All],[Market ID]],3),2)</f>
        <v>0</v>
      </c>
      <c r="X379" s="543" t="str">
        <f t="shared" si="54"/>
        <v>TRUE</v>
      </c>
    </row>
    <row r="380" spans="2:24" s="29" customFormat="1" x14ac:dyDescent="0.25">
      <c r="B380" s="216">
        <v>116</v>
      </c>
      <c r="C380" s="233">
        <f>ROUND(SUMIFS(AN_TME_BY[[#All],[TOTAL Truncated Unadjusted Claims Expenses (A21 -A19)]], AN_TME_BY[[#All],[Advanced Network/Insurance Carrier Org ID]],B380, AN_TME_BY[[#All],[Insurance Category Code]], 1)+SUMIFS(AN_TME_BY[[#All],[TOTAL Truncated Unadjusted Claims Expenses (A21 -A19)]], AN_TME_BY[[#All],[Advanced Network/Insurance Carrier Org ID]],B380, AN_TME_BY[[#All],[Insurance Category Code]], 5),2)</f>
        <v>0</v>
      </c>
      <c r="D380" s="221">
        <f>ROUND(SUMIFS(StandardDeviation_BY[[#All],[Total Spending After Truncation]], StandardDeviation_BY[[#All],[Advanced Network/Insurance Carrier Org ID]],B380, StandardDeviation_BY[[#All],[Market ID]],1),2)</f>
        <v>0</v>
      </c>
      <c r="E380" s="540" t="str">
        <f t="shared" si="49"/>
        <v>TRUE</v>
      </c>
      <c r="F380" s="233">
        <f>ROUND(SUMIFS(AN_TME_PY[[#All],[TOTAL Truncated Unadjusted Claims Expenses (A21 -A19)]], AN_TME_PY[[#All],[Advanced Network/Insurance Carrier Org ID]],B380, AN_TME_PY[[#All],[Insurance Category Code]], 1)+SUMIFS(AN_TME_PY[[#All],[TOTAL Truncated Unadjusted Claims Expenses (A21 -A19)]], AN_TME_PY[[#All],[Advanced Network/Insurance Carrier Org ID]],B380, AN_TME_PY[[#All],[Insurance Category Code]], 5),2)</f>
        <v>0</v>
      </c>
      <c r="G380" s="221">
        <f>ROUND(SUMIFS(StandardDeviation_PY[[#All],[Total Spending After Truncation]], StandardDeviation_PY[[#All],[Advanced Network/Insurance Carrier Org ID]],B380, StandardDeviation_PY[[#All],[Market ID]],1),2)</f>
        <v>0</v>
      </c>
      <c r="H380" s="540" t="str">
        <f t="shared" si="50"/>
        <v>TRUE</v>
      </c>
      <c r="I380"/>
      <c r="J380" s="216">
        <v>116</v>
      </c>
      <c r="K380" s="233">
        <f>ROUND(SUMIFS(AN_TME_BY[[#All],[TOTAL Truncated Unadjusted Claims Expenses (A21 -A19)]], AN_TME_BY[[#All],[Advanced Network/Insurance Carrier Org ID]],J380, AN_TME_BY[[#All],[Insurance Category Code]], 2)+SUMIFS(AN_TME_BY[[#All],[TOTAL Truncated Unadjusted Claims Expenses (A21 -A19)]], AN_TME_BY[[#All],[Advanced Network/Insurance Carrier Org ID]],J380, AN_TME_BY[[#All],[Insurance Category Code]], 6),2)</f>
        <v>0</v>
      </c>
      <c r="L380" s="221">
        <f>ROUND(SUMIFS(StandardDeviation_BY[[#All],[Total Spending After Truncation]], StandardDeviation_BY[[#All],[Advanced Network/Insurance Carrier Org ID]],J380, StandardDeviation_BY[[#All],[Market ID]],2),2)</f>
        <v>0</v>
      </c>
      <c r="M380" s="540" t="str">
        <f t="shared" si="51"/>
        <v>TRUE</v>
      </c>
      <c r="N380" s="233">
        <f>ROUND(SUMIFS(AN_TME_PY[[#All],[TOTAL Truncated Unadjusted Claims Expenses (A21 -A19)]], AN_TME_PY[[#All],[Advanced Network/Insurance Carrier Org ID]],J380, AN_TME_PY[[#All],[Insurance Category Code]], 2)+SUMIFS(AN_TME_PY[[#All],[TOTAL Truncated Unadjusted Claims Expenses (A21 -A19)]], AN_TME_PY[[#All],[Advanced Network/Insurance Carrier Org ID]],J380, AN_TME_PY[[#All],[Insurance Category Code]], 6),2)</f>
        <v>0</v>
      </c>
      <c r="O380" s="221">
        <f>ROUND(SUMIFS(StandardDeviation_PY[[#All],[Total Spending After Truncation]], StandardDeviation_PY[[#All],[Advanced Network/Insurance Carrier Org ID]],J380, StandardDeviation_PY[[#All],[Market ID]],2),2)</f>
        <v>0</v>
      </c>
      <c r="P380" s="540" t="str">
        <f t="shared" si="52"/>
        <v>TRUE</v>
      </c>
      <c r="Q380"/>
      <c r="R380" s="216">
        <v>116</v>
      </c>
      <c r="S380" s="233">
        <f>ROUND(SUMIFS(AN_TME_BY[[#All],[TOTAL Truncated Unadjusted Claims Expenses (A21 -A19)]], AN_TME_BY[[#All],[Advanced Network/Insurance Carrier Org ID]],R380, AN_TME_BY[[#All],[Insurance Category Code]], 3)+SUMIFS(AN_TME_BY[[#All],[TOTAL Truncated Unadjusted Claims Expenses (A21 -A19)]], AN_TME_BY[[#All],[Advanced Network/Insurance Carrier Org ID]],R380, AN_TME_BY[[#All],[Insurance Category Code]], 4),2)</f>
        <v>0</v>
      </c>
      <c r="T380" s="221">
        <f>ROUND(SUMIFS(StandardDeviation_BY[[#All],[Total Spending After Truncation]], StandardDeviation_BY[[#All],[Advanced Network/Insurance Carrier Org ID]],R380, StandardDeviation_BY[[#All],[Market ID]],3),2)</f>
        <v>0</v>
      </c>
      <c r="U380" s="543" t="str">
        <f t="shared" si="53"/>
        <v>TRUE</v>
      </c>
      <c r="V380" s="233">
        <f>ROUND(SUMIFS(AN_TME_PY[[#All],[TOTAL Truncated Unadjusted Claims Expenses (A21 -A19)]], AN_TME_PY[[#All],[Advanced Network/Insurance Carrier Org ID]],R380, AN_TME_PY[[#All],[Insurance Category Code]], 3)+SUMIFS(AN_TME_PY[[#All],[TOTAL Truncated Unadjusted Claims Expenses (A21 -A19)]], AN_TME_PY[[#All],[Advanced Network/Insurance Carrier Org ID]],R380, AN_TME_PY[[#All],[Insurance Category Code]], 4),2)</f>
        <v>0</v>
      </c>
      <c r="W380" s="221">
        <f>ROUND(SUMIFS(StandardDeviation_PY[[#All],[Total Spending After Truncation]], StandardDeviation_PY[[#All],[Advanced Network/Insurance Carrier Org ID]],R380, StandardDeviation_PY[[#All],[Market ID]],3),2)</f>
        <v>0</v>
      </c>
      <c r="X380" s="543" t="str">
        <f t="shared" si="54"/>
        <v>TRUE</v>
      </c>
    </row>
    <row r="381" spans="2:24" s="29" customFormat="1" x14ac:dyDescent="0.25">
      <c r="B381" s="216">
        <v>117</v>
      </c>
      <c r="C381" s="233">
        <f>ROUND(SUMIFS(AN_TME_BY[[#All],[TOTAL Truncated Unadjusted Claims Expenses (A21 -A19)]], AN_TME_BY[[#All],[Advanced Network/Insurance Carrier Org ID]],B381, AN_TME_BY[[#All],[Insurance Category Code]], 1)+SUMIFS(AN_TME_BY[[#All],[TOTAL Truncated Unadjusted Claims Expenses (A21 -A19)]], AN_TME_BY[[#All],[Advanced Network/Insurance Carrier Org ID]],B381, AN_TME_BY[[#All],[Insurance Category Code]], 5),2)</f>
        <v>0</v>
      </c>
      <c r="D381" s="221">
        <f>ROUND(SUMIFS(StandardDeviation_BY[[#All],[Total Spending After Truncation]], StandardDeviation_BY[[#All],[Advanced Network/Insurance Carrier Org ID]],B381, StandardDeviation_BY[[#All],[Market ID]],1),2)</f>
        <v>0</v>
      </c>
      <c r="E381" s="540" t="str">
        <f t="shared" si="49"/>
        <v>TRUE</v>
      </c>
      <c r="F381" s="233">
        <f>ROUND(SUMIFS(AN_TME_PY[[#All],[TOTAL Truncated Unadjusted Claims Expenses (A21 -A19)]], AN_TME_PY[[#All],[Advanced Network/Insurance Carrier Org ID]],B381, AN_TME_PY[[#All],[Insurance Category Code]], 1)+SUMIFS(AN_TME_PY[[#All],[TOTAL Truncated Unadjusted Claims Expenses (A21 -A19)]], AN_TME_PY[[#All],[Advanced Network/Insurance Carrier Org ID]],B381, AN_TME_PY[[#All],[Insurance Category Code]], 5),2)</f>
        <v>0</v>
      </c>
      <c r="G381" s="221">
        <f>ROUND(SUMIFS(StandardDeviation_PY[[#All],[Total Spending After Truncation]], StandardDeviation_PY[[#All],[Advanced Network/Insurance Carrier Org ID]],B381, StandardDeviation_PY[[#All],[Market ID]],1),2)</f>
        <v>0</v>
      </c>
      <c r="H381" s="540" t="str">
        <f t="shared" si="50"/>
        <v>TRUE</v>
      </c>
      <c r="I381"/>
      <c r="J381" s="216">
        <v>117</v>
      </c>
      <c r="K381" s="233">
        <f>ROUND(SUMIFS(AN_TME_BY[[#All],[TOTAL Truncated Unadjusted Claims Expenses (A21 -A19)]], AN_TME_BY[[#All],[Advanced Network/Insurance Carrier Org ID]],J381, AN_TME_BY[[#All],[Insurance Category Code]], 2)+SUMIFS(AN_TME_BY[[#All],[TOTAL Truncated Unadjusted Claims Expenses (A21 -A19)]], AN_TME_BY[[#All],[Advanced Network/Insurance Carrier Org ID]],J381, AN_TME_BY[[#All],[Insurance Category Code]], 6),2)</f>
        <v>0</v>
      </c>
      <c r="L381" s="221">
        <f>ROUND(SUMIFS(StandardDeviation_BY[[#All],[Total Spending After Truncation]], StandardDeviation_BY[[#All],[Advanced Network/Insurance Carrier Org ID]],J381, StandardDeviation_BY[[#All],[Market ID]],2),2)</f>
        <v>0</v>
      </c>
      <c r="M381" s="540" t="str">
        <f t="shared" si="51"/>
        <v>TRUE</v>
      </c>
      <c r="N381" s="233">
        <f>ROUND(SUMIFS(AN_TME_PY[[#All],[TOTAL Truncated Unadjusted Claims Expenses (A21 -A19)]], AN_TME_PY[[#All],[Advanced Network/Insurance Carrier Org ID]],J381, AN_TME_PY[[#All],[Insurance Category Code]], 2)+SUMIFS(AN_TME_PY[[#All],[TOTAL Truncated Unadjusted Claims Expenses (A21 -A19)]], AN_TME_PY[[#All],[Advanced Network/Insurance Carrier Org ID]],J381, AN_TME_PY[[#All],[Insurance Category Code]], 6),2)</f>
        <v>0</v>
      </c>
      <c r="O381" s="221">
        <f>ROUND(SUMIFS(StandardDeviation_PY[[#All],[Total Spending After Truncation]], StandardDeviation_PY[[#All],[Advanced Network/Insurance Carrier Org ID]],J381, StandardDeviation_PY[[#All],[Market ID]],2),2)</f>
        <v>0</v>
      </c>
      <c r="P381" s="540" t="str">
        <f t="shared" si="52"/>
        <v>TRUE</v>
      </c>
      <c r="Q381"/>
      <c r="R381" s="216">
        <v>117</v>
      </c>
      <c r="S381" s="233">
        <f>ROUND(SUMIFS(AN_TME_BY[[#All],[TOTAL Truncated Unadjusted Claims Expenses (A21 -A19)]], AN_TME_BY[[#All],[Advanced Network/Insurance Carrier Org ID]],R381, AN_TME_BY[[#All],[Insurance Category Code]], 3)+SUMIFS(AN_TME_BY[[#All],[TOTAL Truncated Unadjusted Claims Expenses (A21 -A19)]], AN_TME_BY[[#All],[Advanced Network/Insurance Carrier Org ID]],R381, AN_TME_BY[[#All],[Insurance Category Code]], 4),2)</f>
        <v>0</v>
      </c>
      <c r="T381" s="221">
        <f>ROUND(SUMIFS(StandardDeviation_BY[[#All],[Total Spending After Truncation]], StandardDeviation_BY[[#All],[Advanced Network/Insurance Carrier Org ID]],R381, StandardDeviation_BY[[#All],[Market ID]],3),2)</f>
        <v>0</v>
      </c>
      <c r="U381" s="543" t="str">
        <f t="shared" si="53"/>
        <v>TRUE</v>
      </c>
      <c r="V381" s="233">
        <f>ROUND(SUMIFS(AN_TME_PY[[#All],[TOTAL Truncated Unadjusted Claims Expenses (A21 -A19)]], AN_TME_PY[[#All],[Advanced Network/Insurance Carrier Org ID]],R381, AN_TME_PY[[#All],[Insurance Category Code]], 3)+SUMIFS(AN_TME_PY[[#All],[TOTAL Truncated Unadjusted Claims Expenses (A21 -A19)]], AN_TME_PY[[#All],[Advanced Network/Insurance Carrier Org ID]],R381, AN_TME_PY[[#All],[Insurance Category Code]], 4),2)</f>
        <v>0</v>
      </c>
      <c r="W381" s="221">
        <f>ROUND(SUMIFS(StandardDeviation_PY[[#All],[Total Spending After Truncation]], StandardDeviation_PY[[#All],[Advanced Network/Insurance Carrier Org ID]],R381, StandardDeviation_PY[[#All],[Market ID]],3),2)</f>
        <v>0</v>
      </c>
      <c r="X381" s="543" t="str">
        <f t="shared" si="54"/>
        <v>TRUE</v>
      </c>
    </row>
    <row r="382" spans="2:24" s="29" customFormat="1" x14ac:dyDescent="0.25">
      <c r="B382" s="216">
        <v>118</v>
      </c>
      <c r="C382" s="233">
        <f>ROUND(SUMIFS(AN_TME_BY[[#All],[TOTAL Truncated Unadjusted Claims Expenses (A21 -A19)]], AN_TME_BY[[#All],[Advanced Network/Insurance Carrier Org ID]],B382, AN_TME_BY[[#All],[Insurance Category Code]], 1)+SUMIFS(AN_TME_BY[[#All],[TOTAL Truncated Unadjusted Claims Expenses (A21 -A19)]], AN_TME_BY[[#All],[Advanced Network/Insurance Carrier Org ID]],B382, AN_TME_BY[[#All],[Insurance Category Code]], 5),2)</f>
        <v>0</v>
      </c>
      <c r="D382" s="221">
        <f>ROUND(SUMIFS(StandardDeviation_BY[[#All],[Total Spending After Truncation]], StandardDeviation_BY[[#All],[Advanced Network/Insurance Carrier Org ID]],B382, StandardDeviation_BY[[#All],[Market ID]],1),2)</f>
        <v>0</v>
      </c>
      <c r="E382" s="540" t="str">
        <f t="shared" si="49"/>
        <v>TRUE</v>
      </c>
      <c r="F382" s="233">
        <f>ROUND(SUMIFS(AN_TME_PY[[#All],[TOTAL Truncated Unadjusted Claims Expenses (A21 -A19)]], AN_TME_PY[[#All],[Advanced Network/Insurance Carrier Org ID]],B382, AN_TME_PY[[#All],[Insurance Category Code]], 1)+SUMIFS(AN_TME_PY[[#All],[TOTAL Truncated Unadjusted Claims Expenses (A21 -A19)]], AN_TME_PY[[#All],[Advanced Network/Insurance Carrier Org ID]],B382, AN_TME_PY[[#All],[Insurance Category Code]], 5),2)</f>
        <v>0</v>
      </c>
      <c r="G382" s="221">
        <f>ROUND(SUMIFS(StandardDeviation_PY[[#All],[Total Spending After Truncation]], StandardDeviation_PY[[#All],[Advanced Network/Insurance Carrier Org ID]],B382, StandardDeviation_PY[[#All],[Market ID]],1),2)</f>
        <v>0</v>
      </c>
      <c r="H382" s="540" t="str">
        <f t="shared" si="50"/>
        <v>TRUE</v>
      </c>
      <c r="I382"/>
      <c r="J382" s="216">
        <v>118</v>
      </c>
      <c r="K382" s="233">
        <f>ROUND(SUMIFS(AN_TME_BY[[#All],[TOTAL Truncated Unadjusted Claims Expenses (A21 -A19)]], AN_TME_BY[[#All],[Advanced Network/Insurance Carrier Org ID]],J382, AN_TME_BY[[#All],[Insurance Category Code]], 2)+SUMIFS(AN_TME_BY[[#All],[TOTAL Truncated Unadjusted Claims Expenses (A21 -A19)]], AN_TME_BY[[#All],[Advanced Network/Insurance Carrier Org ID]],J382, AN_TME_BY[[#All],[Insurance Category Code]], 6),2)</f>
        <v>0</v>
      </c>
      <c r="L382" s="221">
        <f>ROUND(SUMIFS(StandardDeviation_BY[[#All],[Total Spending After Truncation]], StandardDeviation_BY[[#All],[Advanced Network/Insurance Carrier Org ID]],J382, StandardDeviation_BY[[#All],[Market ID]],2),2)</f>
        <v>0</v>
      </c>
      <c r="M382" s="540" t="str">
        <f t="shared" si="51"/>
        <v>TRUE</v>
      </c>
      <c r="N382" s="233">
        <f>ROUND(SUMIFS(AN_TME_PY[[#All],[TOTAL Truncated Unadjusted Claims Expenses (A21 -A19)]], AN_TME_PY[[#All],[Advanced Network/Insurance Carrier Org ID]],J382, AN_TME_PY[[#All],[Insurance Category Code]], 2)+SUMIFS(AN_TME_PY[[#All],[TOTAL Truncated Unadjusted Claims Expenses (A21 -A19)]], AN_TME_PY[[#All],[Advanced Network/Insurance Carrier Org ID]],J382, AN_TME_PY[[#All],[Insurance Category Code]], 6),2)</f>
        <v>0</v>
      </c>
      <c r="O382" s="221">
        <f>ROUND(SUMIFS(StandardDeviation_PY[[#All],[Total Spending After Truncation]], StandardDeviation_PY[[#All],[Advanced Network/Insurance Carrier Org ID]],J382, StandardDeviation_PY[[#All],[Market ID]],2),2)</f>
        <v>0</v>
      </c>
      <c r="P382" s="540" t="str">
        <f t="shared" si="52"/>
        <v>TRUE</v>
      </c>
      <c r="Q382"/>
      <c r="R382" s="216">
        <v>118</v>
      </c>
      <c r="S382" s="233">
        <f>ROUND(SUMIFS(AN_TME_BY[[#All],[TOTAL Truncated Unadjusted Claims Expenses (A21 -A19)]], AN_TME_BY[[#All],[Advanced Network/Insurance Carrier Org ID]],R382, AN_TME_BY[[#All],[Insurance Category Code]], 3)+SUMIFS(AN_TME_BY[[#All],[TOTAL Truncated Unadjusted Claims Expenses (A21 -A19)]], AN_TME_BY[[#All],[Advanced Network/Insurance Carrier Org ID]],R382, AN_TME_BY[[#All],[Insurance Category Code]], 4),2)</f>
        <v>0</v>
      </c>
      <c r="T382" s="221">
        <f>ROUND(SUMIFS(StandardDeviation_BY[[#All],[Total Spending After Truncation]], StandardDeviation_BY[[#All],[Advanced Network/Insurance Carrier Org ID]],R382, StandardDeviation_BY[[#All],[Market ID]],3),2)</f>
        <v>0</v>
      </c>
      <c r="U382" s="543" t="str">
        <f t="shared" si="53"/>
        <v>TRUE</v>
      </c>
      <c r="V382" s="233">
        <f>ROUND(SUMIFS(AN_TME_PY[[#All],[TOTAL Truncated Unadjusted Claims Expenses (A21 -A19)]], AN_TME_PY[[#All],[Advanced Network/Insurance Carrier Org ID]],R382, AN_TME_PY[[#All],[Insurance Category Code]], 3)+SUMIFS(AN_TME_PY[[#All],[TOTAL Truncated Unadjusted Claims Expenses (A21 -A19)]], AN_TME_PY[[#All],[Advanced Network/Insurance Carrier Org ID]],R382, AN_TME_PY[[#All],[Insurance Category Code]], 4),2)</f>
        <v>0</v>
      </c>
      <c r="W382" s="221">
        <f>ROUND(SUMIFS(StandardDeviation_PY[[#All],[Total Spending After Truncation]], StandardDeviation_PY[[#All],[Advanced Network/Insurance Carrier Org ID]],R382, StandardDeviation_PY[[#All],[Market ID]],3),2)</f>
        <v>0</v>
      </c>
      <c r="X382" s="543" t="str">
        <f t="shared" si="54"/>
        <v>TRUE</v>
      </c>
    </row>
    <row r="383" spans="2:24" s="29" customFormat="1" x14ac:dyDescent="0.25">
      <c r="B383" s="216">
        <v>119</v>
      </c>
      <c r="C383" s="233">
        <f>ROUND(SUMIFS(AN_TME_BY[[#All],[TOTAL Truncated Unadjusted Claims Expenses (A21 -A19)]], AN_TME_BY[[#All],[Advanced Network/Insurance Carrier Org ID]],B383, AN_TME_BY[[#All],[Insurance Category Code]], 1)+SUMIFS(AN_TME_BY[[#All],[TOTAL Truncated Unadjusted Claims Expenses (A21 -A19)]], AN_TME_BY[[#All],[Advanced Network/Insurance Carrier Org ID]],B383, AN_TME_BY[[#All],[Insurance Category Code]], 5),2)</f>
        <v>0</v>
      </c>
      <c r="D383" s="221">
        <f>ROUND(SUMIFS(StandardDeviation_BY[[#All],[Total Spending After Truncation]], StandardDeviation_BY[[#All],[Advanced Network/Insurance Carrier Org ID]],B383, StandardDeviation_BY[[#All],[Market ID]],1),2)</f>
        <v>0</v>
      </c>
      <c r="E383" s="540" t="str">
        <f t="shared" si="49"/>
        <v>TRUE</v>
      </c>
      <c r="F383" s="233">
        <f>ROUND(SUMIFS(AN_TME_PY[[#All],[TOTAL Truncated Unadjusted Claims Expenses (A21 -A19)]], AN_TME_PY[[#All],[Advanced Network/Insurance Carrier Org ID]],B383, AN_TME_PY[[#All],[Insurance Category Code]], 1)+SUMIFS(AN_TME_PY[[#All],[TOTAL Truncated Unadjusted Claims Expenses (A21 -A19)]], AN_TME_PY[[#All],[Advanced Network/Insurance Carrier Org ID]],B383, AN_TME_PY[[#All],[Insurance Category Code]], 5),2)</f>
        <v>0</v>
      </c>
      <c r="G383" s="221">
        <f>ROUND(SUMIFS(StandardDeviation_PY[[#All],[Total Spending After Truncation]], StandardDeviation_PY[[#All],[Advanced Network/Insurance Carrier Org ID]],B383, StandardDeviation_PY[[#All],[Market ID]],1),2)</f>
        <v>0</v>
      </c>
      <c r="H383" s="540" t="str">
        <f t="shared" si="50"/>
        <v>TRUE</v>
      </c>
      <c r="I383"/>
      <c r="J383" s="216">
        <v>119</v>
      </c>
      <c r="K383" s="233">
        <f>ROUND(SUMIFS(AN_TME_BY[[#All],[TOTAL Truncated Unadjusted Claims Expenses (A21 -A19)]], AN_TME_BY[[#All],[Advanced Network/Insurance Carrier Org ID]],J383, AN_TME_BY[[#All],[Insurance Category Code]], 2)+SUMIFS(AN_TME_BY[[#All],[TOTAL Truncated Unadjusted Claims Expenses (A21 -A19)]], AN_TME_BY[[#All],[Advanced Network/Insurance Carrier Org ID]],J383, AN_TME_BY[[#All],[Insurance Category Code]], 6),2)</f>
        <v>0</v>
      </c>
      <c r="L383" s="221">
        <f>ROUND(SUMIFS(StandardDeviation_BY[[#All],[Total Spending After Truncation]], StandardDeviation_BY[[#All],[Advanced Network/Insurance Carrier Org ID]],J383, StandardDeviation_BY[[#All],[Market ID]],2),2)</f>
        <v>0</v>
      </c>
      <c r="M383" s="540" t="str">
        <f t="shared" si="51"/>
        <v>TRUE</v>
      </c>
      <c r="N383" s="233">
        <f>ROUND(SUMIFS(AN_TME_PY[[#All],[TOTAL Truncated Unadjusted Claims Expenses (A21 -A19)]], AN_TME_PY[[#All],[Advanced Network/Insurance Carrier Org ID]],J383, AN_TME_PY[[#All],[Insurance Category Code]], 2)+SUMIFS(AN_TME_PY[[#All],[TOTAL Truncated Unadjusted Claims Expenses (A21 -A19)]], AN_TME_PY[[#All],[Advanced Network/Insurance Carrier Org ID]],J383, AN_TME_PY[[#All],[Insurance Category Code]], 6),2)</f>
        <v>0</v>
      </c>
      <c r="O383" s="221">
        <f>ROUND(SUMIFS(StandardDeviation_PY[[#All],[Total Spending After Truncation]], StandardDeviation_PY[[#All],[Advanced Network/Insurance Carrier Org ID]],J383, StandardDeviation_PY[[#All],[Market ID]],2),2)</f>
        <v>0</v>
      </c>
      <c r="P383" s="540" t="str">
        <f t="shared" si="52"/>
        <v>TRUE</v>
      </c>
      <c r="Q383"/>
      <c r="R383" s="216">
        <v>119</v>
      </c>
      <c r="S383" s="233">
        <f>ROUND(SUMIFS(AN_TME_BY[[#All],[TOTAL Truncated Unadjusted Claims Expenses (A21 -A19)]], AN_TME_BY[[#All],[Advanced Network/Insurance Carrier Org ID]],R383, AN_TME_BY[[#All],[Insurance Category Code]], 3)+SUMIFS(AN_TME_BY[[#All],[TOTAL Truncated Unadjusted Claims Expenses (A21 -A19)]], AN_TME_BY[[#All],[Advanced Network/Insurance Carrier Org ID]],R383, AN_TME_BY[[#All],[Insurance Category Code]], 4),2)</f>
        <v>0</v>
      </c>
      <c r="T383" s="221">
        <f>ROUND(SUMIFS(StandardDeviation_BY[[#All],[Total Spending After Truncation]], StandardDeviation_BY[[#All],[Advanced Network/Insurance Carrier Org ID]],R383, StandardDeviation_BY[[#All],[Market ID]],3),2)</f>
        <v>0</v>
      </c>
      <c r="U383" s="543" t="str">
        <f t="shared" si="53"/>
        <v>TRUE</v>
      </c>
      <c r="V383" s="233">
        <f>ROUND(SUMIFS(AN_TME_PY[[#All],[TOTAL Truncated Unadjusted Claims Expenses (A21 -A19)]], AN_TME_PY[[#All],[Advanced Network/Insurance Carrier Org ID]],R383, AN_TME_PY[[#All],[Insurance Category Code]], 3)+SUMIFS(AN_TME_PY[[#All],[TOTAL Truncated Unadjusted Claims Expenses (A21 -A19)]], AN_TME_PY[[#All],[Advanced Network/Insurance Carrier Org ID]],R383, AN_TME_PY[[#All],[Insurance Category Code]], 4),2)</f>
        <v>0</v>
      </c>
      <c r="W383" s="221">
        <f>ROUND(SUMIFS(StandardDeviation_PY[[#All],[Total Spending After Truncation]], StandardDeviation_PY[[#All],[Advanced Network/Insurance Carrier Org ID]],R383, StandardDeviation_PY[[#All],[Market ID]],3),2)</f>
        <v>0</v>
      </c>
      <c r="X383" s="543" t="str">
        <f t="shared" si="54"/>
        <v>TRUE</v>
      </c>
    </row>
    <row r="384" spans="2:24" s="29" customFormat="1" x14ac:dyDescent="0.25">
      <c r="B384" s="216">
        <v>120</v>
      </c>
      <c r="C384" s="233">
        <f>ROUND(SUMIFS(AN_TME_BY[[#All],[TOTAL Truncated Unadjusted Claims Expenses (A21 -A19)]], AN_TME_BY[[#All],[Advanced Network/Insurance Carrier Org ID]],B384, AN_TME_BY[[#All],[Insurance Category Code]], 1)+SUMIFS(AN_TME_BY[[#All],[TOTAL Truncated Unadjusted Claims Expenses (A21 -A19)]], AN_TME_BY[[#All],[Advanced Network/Insurance Carrier Org ID]],B384, AN_TME_BY[[#All],[Insurance Category Code]], 5),2)</f>
        <v>0</v>
      </c>
      <c r="D384" s="221">
        <f>ROUND(SUMIFS(StandardDeviation_BY[[#All],[Total Spending After Truncation]], StandardDeviation_BY[[#All],[Advanced Network/Insurance Carrier Org ID]],B384, StandardDeviation_BY[[#All],[Market ID]],1),2)</f>
        <v>0</v>
      </c>
      <c r="E384" s="540" t="str">
        <f t="shared" si="49"/>
        <v>TRUE</v>
      </c>
      <c r="F384" s="233">
        <f>ROUND(SUMIFS(AN_TME_PY[[#All],[TOTAL Truncated Unadjusted Claims Expenses (A21 -A19)]], AN_TME_PY[[#All],[Advanced Network/Insurance Carrier Org ID]],B384, AN_TME_PY[[#All],[Insurance Category Code]], 1)+SUMIFS(AN_TME_PY[[#All],[TOTAL Truncated Unadjusted Claims Expenses (A21 -A19)]], AN_TME_PY[[#All],[Advanced Network/Insurance Carrier Org ID]],B384, AN_TME_PY[[#All],[Insurance Category Code]], 5),2)</f>
        <v>0</v>
      </c>
      <c r="G384" s="221">
        <f>ROUND(SUMIFS(StandardDeviation_PY[[#All],[Total Spending After Truncation]], StandardDeviation_PY[[#All],[Advanced Network/Insurance Carrier Org ID]],B384, StandardDeviation_PY[[#All],[Market ID]],1),2)</f>
        <v>0</v>
      </c>
      <c r="H384" s="540" t="str">
        <f t="shared" si="50"/>
        <v>TRUE</v>
      </c>
      <c r="I384"/>
      <c r="J384" s="216">
        <v>120</v>
      </c>
      <c r="K384" s="233">
        <f>ROUND(SUMIFS(AN_TME_BY[[#All],[TOTAL Truncated Unadjusted Claims Expenses (A21 -A19)]], AN_TME_BY[[#All],[Advanced Network/Insurance Carrier Org ID]],J384, AN_TME_BY[[#All],[Insurance Category Code]], 2)+SUMIFS(AN_TME_BY[[#All],[TOTAL Truncated Unadjusted Claims Expenses (A21 -A19)]], AN_TME_BY[[#All],[Advanced Network/Insurance Carrier Org ID]],J384, AN_TME_BY[[#All],[Insurance Category Code]], 6),2)</f>
        <v>0</v>
      </c>
      <c r="L384" s="221">
        <f>ROUND(SUMIFS(StandardDeviation_BY[[#All],[Total Spending After Truncation]], StandardDeviation_BY[[#All],[Advanced Network/Insurance Carrier Org ID]],J384, StandardDeviation_BY[[#All],[Market ID]],2),2)</f>
        <v>0</v>
      </c>
      <c r="M384" s="540" t="str">
        <f t="shared" si="51"/>
        <v>TRUE</v>
      </c>
      <c r="N384" s="233">
        <f>ROUND(SUMIFS(AN_TME_PY[[#All],[TOTAL Truncated Unadjusted Claims Expenses (A21 -A19)]], AN_TME_PY[[#All],[Advanced Network/Insurance Carrier Org ID]],J384, AN_TME_PY[[#All],[Insurance Category Code]], 2)+SUMIFS(AN_TME_PY[[#All],[TOTAL Truncated Unadjusted Claims Expenses (A21 -A19)]], AN_TME_PY[[#All],[Advanced Network/Insurance Carrier Org ID]],J384, AN_TME_PY[[#All],[Insurance Category Code]], 6),2)</f>
        <v>0</v>
      </c>
      <c r="O384" s="221">
        <f>ROUND(SUMIFS(StandardDeviation_PY[[#All],[Total Spending After Truncation]], StandardDeviation_PY[[#All],[Advanced Network/Insurance Carrier Org ID]],J384, StandardDeviation_PY[[#All],[Market ID]],2),2)</f>
        <v>0</v>
      </c>
      <c r="P384" s="540" t="str">
        <f t="shared" si="52"/>
        <v>TRUE</v>
      </c>
      <c r="Q384"/>
      <c r="R384" s="216">
        <v>120</v>
      </c>
      <c r="S384" s="233">
        <f>ROUND(SUMIFS(AN_TME_BY[[#All],[TOTAL Truncated Unadjusted Claims Expenses (A21 -A19)]], AN_TME_BY[[#All],[Advanced Network/Insurance Carrier Org ID]],R384, AN_TME_BY[[#All],[Insurance Category Code]], 3)+SUMIFS(AN_TME_BY[[#All],[TOTAL Truncated Unadjusted Claims Expenses (A21 -A19)]], AN_TME_BY[[#All],[Advanced Network/Insurance Carrier Org ID]],R384, AN_TME_BY[[#All],[Insurance Category Code]], 4),2)</f>
        <v>0</v>
      </c>
      <c r="T384" s="221">
        <f>ROUND(SUMIFS(StandardDeviation_BY[[#All],[Total Spending After Truncation]], StandardDeviation_BY[[#All],[Advanced Network/Insurance Carrier Org ID]],R384, StandardDeviation_BY[[#All],[Market ID]],3),2)</f>
        <v>0</v>
      </c>
      <c r="U384" s="543" t="str">
        <f t="shared" si="53"/>
        <v>TRUE</v>
      </c>
      <c r="V384" s="233">
        <f>ROUND(SUMIFS(AN_TME_PY[[#All],[TOTAL Truncated Unadjusted Claims Expenses (A21 -A19)]], AN_TME_PY[[#All],[Advanced Network/Insurance Carrier Org ID]],R384, AN_TME_PY[[#All],[Insurance Category Code]], 3)+SUMIFS(AN_TME_PY[[#All],[TOTAL Truncated Unadjusted Claims Expenses (A21 -A19)]], AN_TME_PY[[#All],[Advanced Network/Insurance Carrier Org ID]],R384, AN_TME_PY[[#All],[Insurance Category Code]], 4),2)</f>
        <v>0</v>
      </c>
      <c r="W384" s="221">
        <f>ROUND(SUMIFS(StandardDeviation_PY[[#All],[Total Spending After Truncation]], StandardDeviation_PY[[#All],[Advanced Network/Insurance Carrier Org ID]],R384, StandardDeviation_PY[[#All],[Market ID]],3),2)</f>
        <v>0</v>
      </c>
      <c r="X384" s="543" t="str">
        <f t="shared" si="54"/>
        <v>TRUE</v>
      </c>
    </row>
    <row r="385" spans="2:24" s="29" customFormat="1" x14ac:dyDescent="0.25">
      <c r="B385" s="216">
        <v>121</v>
      </c>
      <c r="C385" s="233">
        <f>ROUND(SUMIFS(AN_TME_BY[[#All],[TOTAL Truncated Unadjusted Claims Expenses (A21 -A19)]], AN_TME_BY[[#All],[Advanced Network/Insurance Carrier Org ID]],B385, AN_TME_BY[[#All],[Insurance Category Code]], 1)+SUMIFS(AN_TME_BY[[#All],[TOTAL Truncated Unadjusted Claims Expenses (A21 -A19)]], AN_TME_BY[[#All],[Advanced Network/Insurance Carrier Org ID]],B385, AN_TME_BY[[#All],[Insurance Category Code]], 5),2)</f>
        <v>0</v>
      </c>
      <c r="D385" s="221">
        <f>ROUND(SUMIFS(StandardDeviation_BY[[#All],[Total Spending After Truncation]], StandardDeviation_BY[[#All],[Advanced Network/Insurance Carrier Org ID]],B385, StandardDeviation_BY[[#All],[Market ID]],1),2)</f>
        <v>0</v>
      </c>
      <c r="E385" s="540" t="str">
        <f t="shared" si="49"/>
        <v>TRUE</v>
      </c>
      <c r="F385" s="233">
        <f>ROUND(SUMIFS(AN_TME_PY[[#All],[TOTAL Truncated Unadjusted Claims Expenses (A21 -A19)]], AN_TME_PY[[#All],[Advanced Network/Insurance Carrier Org ID]],B385, AN_TME_PY[[#All],[Insurance Category Code]], 1)+SUMIFS(AN_TME_PY[[#All],[TOTAL Truncated Unadjusted Claims Expenses (A21 -A19)]], AN_TME_PY[[#All],[Advanced Network/Insurance Carrier Org ID]],B385, AN_TME_PY[[#All],[Insurance Category Code]], 5),2)</f>
        <v>0</v>
      </c>
      <c r="G385" s="221">
        <f>ROUND(SUMIFS(StandardDeviation_PY[[#All],[Total Spending After Truncation]], StandardDeviation_PY[[#All],[Advanced Network/Insurance Carrier Org ID]],B385, StandardDeviation_PY[[#All],[Market ID]],1),2)</f>
        <v>0</v>
      </c>
      <c r="H385" s="540" t="str">
        <f t="shared" si="50"/>
        <v>TRUE</v>
      </c>
      <c r="I385"/>
      <c r="J385" s="216">
        <v>121</v>
      </c>
      <c r="K385" s="233">
        <f>ROUND(SUMIFS(AN_TME_BY[[#All],[TOTAL Truncated Unadjusted Claims Expenses (A21 -A19)]], AN_TME_BY[[#All],[Advanced Network/Insurance Carrier Org ID]],J385, AN_TME_BY[[#All],[Insurance Category Code]], 2)+SUMIFS(AN_TME_BY[[#All],[TOTAL Truncated Unadjusted Claims Expenses (A21 -A19)]], AN_TME_BY[[#All],[Advanced Network/Insurance Carrier Org ID]],J385, AN_TME_BY[[#All],[Insurance Category Code]], 6),2)</f>
        <v>0</v>
      </c>
      <c r="L385" s="221">
        <f>ROUND(SUMIFS(StandardDeviation_BY[[#All],[Total Spending After Truncation]], StandardDeviation_BY[[#All],[Advanced Network/Insurance Carrier Org ID]],J385, StandardDeviation_BY[[#All],[Market ID]],2),2)</f>
        <v>0</v>
      </c>
      <c r="M385" s="540" t="str">
        <f t="shared" si="51"/>
        <v>TRUE</v>
      </c>
      <c r="N385" s="233">
        <f>ROUND(SUMIFS(AN_TME_PY[[#All],[TOTAL Truncated Unadjusted Claims Expenses (A21 -A19)]], AN_TME_PY[[#All],[Advanced Network/Insurance Carrier Org ID]],J385, AN_TME_PY[[#All],[Insurance Category Code]], 2)+SUMIFS(AN_TME_PY[[#All],[TOTAL Truncated Unadjusted Claims Expenses (A21 -A19)]], AN_TME_PY[[#All],[Advanced Network/Insurance Carrier Org ID]],J385, AN_TME_PY[[#All],[Insurance Category Code]], 6),2)</f>
        <v>0</v>
      </c>
      <c r="O385" s="221">
        <f>ROUND(SUMIFS(StandardDeviation_PY[[#All],[Total Spending After Truncation]], StandardDeviation_PY[[#All],[Advanced Network/Insurance Carrier Org ID]],J385, StandardDeviation_PY[[#All],[Market ID]],2),2)</f>
        <v>0</v>
      </c>
      <c r="P385" s="540" t="str">
        <f t="shared" si="52"/>
        <v>TRUE</v>
      </c>
      <c r="Q385"/>
      <c r="R385" s="216">
        <v>121</v>
      </c>
      <c r="S385" s="233">
        <f>ROUND(SUMIFS(AN_TME_BY[[#All],[TOTAL Truncated Unadjusted Claims Expenses (A21 -A19)]], AN_TME_BY[[#All],[Advanced Network/Insurance Carrier Org ID]],R385, AN_TME_BY[[#All],[Insurance Category Code]], 3)+SUMIFS(AN_TME_BY[[#All],[TOTAL Truncated Unadjusted Claims Expenses (A21 -A19)]], AN_TME_BY[[#All],[Advanced Network/Insurance Carrier Org ID]],R385, AN_TME_BY[[#All],[Insurance Category Code]], 4),2)</f>
        <v>0</v>
      </c>
      <c r="T385" s="221">
        <f>ROUND(SUMIFS(StandardDeviation_BY[[#All],[Total Spending After Truncation]], StandardDeviation_BY[[#All],[Advanced Network/Insurance Carrier Org ID]],R385, StandardDeviation_BY[[#All],[Market ID]],3),2)</f>
        <v>0</v>
      </c>
      <c r="U385" s="543" t="str">
        <f t="shared" si="53"/>
        <v>TRUE</v>
      </c>
      <c r="V385" s="233">
        <f>ROUND(SUMIFS(AN_TME_PY[[#All],[TOTAL Truncated Unadjusted Claims Expenses (A21 -A19)]], AN_TME_PY[[#All],[Advanced Network/Insurance Carrier Org ID]],R385, AN_TME_PY[[#All],[Insurance Category Code]], 3)+SUMIFS(AN_TME_PY[[#All],[TOTAL Truncated Unadjusted Claims Expenses (A21 -A19)]], AN_TME_PY[[#All],[Advanced Network/Insurance Carrier Org ID]],R385, AN_TME_PY[[#All],[Insurance Category Code]], 4),2)</f>
        <v>0</v>
      </c>
      <c r="W385" s="221">
        <f>ROUND(SUMIFS(StandardDeviation_PY[[#All],[Total Spending After Truncation]], StandardDeviation_PY[[#All],[Advanced Network/Insurance Carrier Org ID]],R385, StandardDeviation_PY[[#All],[Market ID]],3),2)</f>
        <v>0</v>
      </c>
      <c r="X385" s="543" t="str">
        <f t="shared" si="54"/>
        <v>TRUE</v>
      </c>
    </row>
    <row r="386" spans="2:24" s="29" customFormat="1" x14ac:dyDescent="0.25">
      <c r="B386" s="216">
        <v>122</v>
      </c>
      <c r="C386" s="233">
        <f>ROUND(SUMIFS(AN_TME_BY[[#All],[TOTAL Truncated Unadjusted Claims Expenses (A21 -A19)]], AN_TME_BY[[#All],[Advanced Network/Insurance Carrier Org ID]],B386, AN_TME_BY[[#All],[Insurance Category Code]], 1)+SUMIFS(AN_TME_BY[[#All],[TOTAL Truncated Unadjusted Claims Expenses (A21 -A19)]], AN_TME_BY[[#All],[Advanced Network/Insurance Carrier Org ID]],B386, AN_TME_BY[[#All],[Insurance Category Code]], 5),2)</f>
        <v>0</v>
      </c>
      <c r="D386" s="221">
        <f>ROUND(SUMIFS(StandardDeviation_BY[[#All],[Total Spending After Truncation]], StandardDeviation_BY[[#All],[Advanced Network/Insurance Carrier Org ID]],B386, StandardDeviation_BY[[#All],[Market ID]],1),2)</f>
        <v>0</v>
      </c>
      <c r="E386" s="540" t="str">
        <f t="shared" si="49"/>
        <v>TRUE</v>
      </c>
      <c r="F386" s="233">
        <f>ROUND(SUMIFS(AN_TME_PY[[#All],[TOTAL Truncated Unadjusted Claims Expenses (A21 -A19)]], AN_TME_PY[[#All],[Advanced Network/Insurance Carrier Org ID]],B386, AN_TME_PY[[#All],[Insurance Category Code]], 1)+SUMIFS(AN_TME_PY[[#All],[TOTAL Truncated Unadjusted Claims Expenses (A21 -A19)]], AN_TME_PY[[#All],[Advanced Network/Insurance Carrier Org ID]],B386, AN_TME_PY[[#All],[Insurance Category Code]], 5),2)</f>
        <v>0</v>
      </c>
      <c r="G386" s="221">
        <f>ROUND(SUMIFS(StandardDeviation_PY[[#All],[Total Spending After Truncation]], StandardDeviation_PY[[#All],[Advanced Network/Insurance Carrier Org ID]],B386, StandardDeviation_PY[[#All],[Market ID]],1),2)</f>
        <v>0</v>
      </c>
      <c r="H386" s="540" t="str">
        <f t="shared" si="50"/>
        <v>TRUE</v>
      </c>
      <c r="I386"/>
      <c r="J386" s="216">
        <v>122</v>
      </c>
      <c r="K386" s="233">
        <f>ROUND(SUMIFS(AN_TME_BY[[#All],[TOTAL Truncated Unadjusted Claims Expenses (A21 -A19)]], AN_TME_BY[[#All],[Advanced Network/Insurance Carrier Org ID]],J386, AN_TME_BY[[#All],[Insurance Category Code]], 2)+SUMIFS(AN_TME_BY[[#All],[TOTAL Truncated Unadjusted Claims Expenses (A21 -A19)]], AN_TME_BY[[#All],[Advanced Network/Insurance Carrier Org ID]],J386, AN_TME_BY[[#All],[Insurance Category Code]], 6),2)</f>
        <v>0</v>
      </c>
      <c r="L386" s="221">
        <f>ROUND(SUMIFS(StandardDeviation_BY[[#All],[Total Spending After Truncation]], StandardDeviation_BY[[#All],[Advanced Network/Insurance Carrier Org ID]],J386, StandardDeviation_BY[[#All],[Market ID]],2),2)</f>
        <v>0</v>
      </c>
      <c r="M386" s="540" t="str">
        <f t="shared" si="51"/>
        <v>TRUE</v>
      </c>
      <c r="N386" s="233">
        <f>ROUND(SUMIFS(AN_TME_PY[[#All],[TOTAL Truncated Unadjusted Claims Expenses (A21 -A19)]], AN_TME_PY[[#All],[Advanced Network/Insurance Carrier Org ID]],J386, AN_TME_PY[[#All],[Insurance Category Code]], 2)+SUMIFS(AN_TME_PY[[#All],[TOTAL Truncated Unadjusted Claims Expenses (A21 -A19)]], AN_TME_PY[[#All],[Advanced Network/Insurance Carrier Org ID]],J386, AN_TME_PY[[#All],[Insurance Category Code]], 6),2)</f>
        <v>0</v>
      </c>
      <c r="O386" s="221">
        <f>ROUND(SUMIFS(StandardDeviation_PY[[#All],[Total Spending After Truncation]], StandardDeviation_PY[[#All],[Advanced Network/Insurance Carrier Org ID]],J386, StandardDeviation_PY[[#All],[Market ID]],2),2)</f>
        <v>0</v>
      </c>
      <c r="P386" s="540" t="str">
        <f t="shared" si="52"/>
        <v>TRUE</v>
      </c>
      <c r="Q386"/>
      <c r="R386" s="216">
        <v>122</v>
      </c>
      <c r="S386" s="233">
        <f>ROUND(SUMIFS(AN_TME_BY[[#All],[TOTAL Truncated Unadjusted Claims Expenses (A21 -A19)]], AN_TME_BY[[#All],[Advanced Network/Insurance Carrier Org ID]],R386, AN_TME_BY[[#All],[Insurance Category Code]], 3)+SUMIFS(AN_TME_BY[[#All],[TOTAL Truncated Unadjusted Claims Expenses (A21 -A19)]], AN_TME_BY[[#All],[Advanced Network/Insurance Carrier Org ID]],R386, AN_TME_BY[[#All],[Insurance Category Code]], 4),2)</f>
        <v>0</v>
      </c>
      <c r="T386" s="221">
        <f>ROUND(SUMIFS(StandardDeviation_BY[[#All],[Total Spending After Truncation]], StandardDeviation_BY[[#All],[Advanced Network/Insurance Carrier Org ID]],R386, StandardDeviation_BY[[#All],[Market ID]],3),2)</f>
        <v>0</v>
      </c>
      <c r="U386" s="543" t="str">
        <f t="shared" si="53"/>
        <v>TRUE</v>
      </c>
      <c r="V386" s="233">
        <f>ROUND(SUMIFS(AN_TME_PY[[#All],[TOTAL Truncated Unadjusted Claims Expenses (A21 -A19)]], AN_TME_PY[[#All],[Advanced Network/Insurance Carrier Org ID]],R386, AN_TME_PY[[#All],[Insurance Category Code]], 3)+SUMIFS(AN_TME_PY[[#All],[TOTAL Truncated Unadjusted Claims Expenses (A21 -A19)]], AN_TME_PY[[#All],[Advanced Network/Insurance Carrier Org ID]],R386, AN_TME_PY[[#All],[Insurance Category Code]], 4),2)</f>
        <v>0</v>
      </c>
      <c r="W386" s="221">
        <f>ROUND(SUMIFS(StandardDeviation_PY[[#All],[Total Spending After Truncation]], StandardDeviation_PY[[#All],[Advanced Network/Insurance Carrier Org ID]],R386, StandardDeviation_PY[[#All],[Market ID]],3),2)</f>
        <v>0</v>
      </c>
      <c r="X386" s="543" t="str">
        <f t="shared" si="54"/>
        <v>TRUE</v>
      </c>
    </row>
    <row r="387" spans="2:24" s="29" customFormat="1" x14ac:dyDescent="0.25">
      <c r="B387" s="216">
        <v>123</v>
      </c>
      <c r="C387" s="233">
        <f>ROUND(SUMIFS(AN_TME_BY[[#All],[TOTAL Truncated Unadjusted Claims Expenses (A21 -A19)]], AN_TME_BY[[#All],[Advanced Network/Insurance Carrier Org ID]],B387, AN_TME_BY[[#All],[Insurance Category Code]], 1)+SUMIFS(AN_TME_BY[[#All],[TOTAL Truncated Unadjusted Claims Expenses (A21 -A19)]], AN_TME_BY[[#All],[Advanced Network/Insurance Carrier Org ID]],B387, AN_TME_BY[[#All],[Insurance Category Code]], 5),2)</f>
        <v>0</v>
      </c>
      <c r="D387" s="221">
        <f>ROUND(SUMIFS(StandardDeviation_BY[[#All],[Total Spending After Truncation]], StandardDeviation_BY[[#All],[Advanced Network/Insurance Carrier Org ID]],B387, StandardDeviation_BY[[#All],[Market ID]],1),2)</f>
        <v>0</v>
      </c>
      <c r="E387" s="540" t="str">
        <f t="shared" si="49"/>
        <v>TRUE</v>
      </c>
      <c r="F387" s="233">
        <f>ROUND(SUMIFS(AN_TME_PY[[#All],[TOTAL Truncated Unadjusted Claims Expenses (A21 -A19)]], AN_TME_PY[[#All],[Advanced Network/Insurance Carrier Org ID]],B387, AN_TME_PY[[#All],[Insurance Category Code]], 1)+SUMIFS(AN_TME_PY[[#All],[TOTAL Truncated Unadjusted Claims Expenses (A21 -A19)]], AN_TME_PY[[#All],[Advanced Network/Insurance Carrier Org ID]],B387, AN_TME_PY[[#All],[Insurance Category Code]], 5),2)</f>
        <v>0</v>
      </c>
      <c r="G387" s="221">
        <f>ROUND(SUMIFS(StandardDeviation_PY[[#All],[Total Spending After Truncation]], StandardDeviation_PY[[#All],[Advanced Network/Insurance Carrier Org ID]],B387, StandardDeviation_PY[[#All],[Market ID]],1),2)</f>
        <v>0</v>
      </c>
      <c r="H387" s="540" t="str">
        <f t="shared" si="50"/>
        <v>TRUE</v>
      </c>
      <c r="I387"/>
      <c r="J387" s="216">
        <v>123</v>
      </c>
      <c r="K387" s="233">
        <f>ROUND(SUMIFS(AN_TME_BY[[#All],[TOTAL Truncated Unadjusted Claims Expenses (A21 -A19)]], AN_TME_BY[[#All],[Advanced Network/Insurance Carrier Org ID]],J387, AN_TME_BY[[#All],[Insurance Category Code]], 2)+SUMIFS(AN_TME_BY[[#All],[TOTAL Truncated Unadjusted Claims Expenses (A21 -A19)]], AN_TME_BY[[#All],[Advanced Network/Insurance Carrier Org ID]],J387, AN_TME_BY[[#All],[Insurance Category Code]], 6),2)</f>
        <v>0</v>
      </c>
      <c r="L387" s="221">
        <f>ROUND(SUMIFS(StandardDeviation_BY[[#All],[Total Spending After Truncation]], StandardDeviation_BY[[#All],[Advanced Network/Insurance Carrier Org ID]],J387, StandardDeviation_BY[[#All],[Market ID]],2),2)</f>
        <v>0</v>
      </c>
      <c r="M387" s="540" t="str">
        <f t="shared" si="51"/>
        <v>TRUE</v>
      </c>
      <c r="N387" s="233">
        <f>ROUND(SUMIFS(AN_TME_PY[[#All],[TOTAL Truncated Unadjusted Claims Expenses (A21 -A19)]], AN_TME_PY[[#All],[Advanced Network/Insurance Carrier Org ID]],J387, AN_TME_PY[[#All],[Insurance Category Code]], 2)+SUMIFS(AN_TME_PY[[#All],[TOTAL Truncated Unadjusted Claims Expenses (A21 -A19)]], AN_TME_PY[[#All],[Advanced Network/Insurance Carrier Org ID]],J387, AN_TME_PY[[#All],[Insurance Category Code]], 6),2)</f>
        <v>0</v>
      </c>
      <c r="O387" s="221">
        <f>ROUND(SUMIFS(StandardDeviation_PY[[#All],[Total Spending After Truncation]], StandardDeviation_PY[[#All],[Advanced Network/Insurance Carrier Org ID]],J387, StandardDeviation_PY[[#All],[Market ID]],2),2)</f>
        <v>0</v>
      </c>
      <c r="P387" s="540" t="str">
        <f t="shared" si="52"/>
        <v>TRUE</v>
      </c>
      <c r="Q387"/>
      <c r="R387" s="216">
        <v>123</v>
      </c>
      <c r="S387" s="233">
        <f>ROUND(SUMIFS(AN_TME_BY[[#All],[TOTAL Truncated Unadjusted Claims Expenses (A21 -A19)]], AN_TME_BY[[#All],[Advanced Network/Insurance Carrier Org ID]],R387, AN_TME_BY[[#All],[Insurance Category Code]], 3)+SUMIFS(AN_TME_BY[[#All],[TOTAL Truncated Unadjusted Claims Expenses (A21 -A19)]], AN_TME_BY[[#All],[Advanced Network/Insurance Carrier Org ID]],R387, AN_TME_BY[[#All],[Insurance Category Code]], 4),2)</f>
        <v>0</v>
      </c>
      <c r="T387" s="221">
        <f>ROUND(SUMIFS(StandardDeviation_BY[[#All],[Total Spending After Truncation]], StandardDeviation_BY[[#All],[Advanced Network/Insurance Carrier Org ID]],R387, StandardDeviation_BY[[#All],[Market ID]],3),2)</f>
        <v>0</v>
      </c>
      <c r="U387" s="543" t="str">
        <f t="shared" si="53"/>
        <v>TRUE</v>
      </c>
      <c r="V387" s="233">
        <f>ROUND(SUMIFS(AN_TME_PY[[#All],[TOTAL Truncated Unadjusted Claims Expenses (A21 -A19)]], AN_TME_PY[[#All],[Advanced Network/Insurance Carrier Org ID]],R387, AN_TME_PY[[#All],[Insurance Category Code]], 3)+SUMIFS(AN_TME_PY[[#All],[TOTAL Truncated Unadjusted Claims Expenses (A21 -A19)]], AN_TME_PY[[#All],[Advanced Network/Insurance Carrier Org ID]],R387, AN_TME_PY[[#All],[Insurance Category Code]], 4),2)</f>
        <v>0</v>
      </c>
      <c r="W387" s="221">
        <f>ROUND(SUMIFS(StandardDeviation_PY[[#All],[Total Spending After Truncation]], StandardDeviation_PY[[#All],[Advanced Network/Insurance Carrier Org ID]],R387, StandardDeviation_PY[[#All],[Market ID]],3),2)</f>
        <v>0</v>
      </c>
      <c r="X387" s="543" t="str">
        <f t="shared" si="54"/>
        <v>TRUE</v>
      </c>
    </row>
    <row r="388" spans="2:24" s="29" customFormat="1" x14ac:dyDescent="0.25">
      <c r="B388" s="216">
        <v>124</v>
      </c>
      <c r="C388" s="233">
        <f>ROUND(SUMIFS(AN_TME_BY[[#All],[TOTAL Truncated Unadjusted Claims Expenses (A21 -A19)]], AN_TME_BY[[#All],[Advanced Network/Insurance Carrier Org ID]],B388, AN_TME_BY[[#All],[Insurance Category Code]], 1)+SUMIFS(AN_TME_BY[[#All],[TOTAL Truncated Unadjusted Claims Expenses (A21 -A19)]], AN_TME_BY[[#All],[Advanced Network/Insurance Carrier Org ID]],B388, AN_TME_BY[[#All],[Insurance Category Code]], 5),2)</f>
        <v>0</v>
      </c>
      <c r="D388" s="221">
        <f>ROUND(SUMIFS(StandardDeviation_BY[[#All],[Total Spending After Truncation]], StandardDeviation_BY[[#All],[Advanced Network/Insurance Carrier Org ID]],B388, StandardDeviation_BY[[#All],[Market ID]],1),2)</f>
        <v>0</v>
      </c>
      <c r="E388" s="540" t="str">
        <f t="shared" si="49"/>
        <v>TRUE</v>
      </c>
      <c r="F388" s="233">
        <f>ROUND(SUMIFS(AN_TME_PY[[#All],[TOTAL Truncated Unadjusted Claims Expenses (A21 -A19)]], AN_TME_PY[[#All],[Advanced Network/Insurance Carrier Org ID]],B388, AN_TME_PY[[#All],[Insurance Category Code]], 1)+SUMIFS(AN_TME_PY[[#All],[TOTAL Truncated Unadjusted Claims Expenses (A21 -A19)]], AN_TME_PY[[#All],[Advanced Network/Insurance Carrier Org ID]],B388, AN_TME_PY[[#All],[Insurance Category Code]], 5),2)</f>
        <v>0</v>
      </c>
      <c r="G388" s="221">
        <f>ROUND(SUMIFS(StandardDeviation_PY[[#All],[Total Spending After Truncation]], StandardDeviation_PY[[#All],[Advanced Network/Insurance Carrier Org ID]],B388, StandardDeviation_PY[[#All],[Market ID]],1),2)</f>
        <v>0</v>
      </c>
      <c r="H388" s="540" t="str">
        <f t="shared" si="50"/>
        <v>TRUE</v>
      </c>
      <c r="I388"/>
      <c r="J388" s="216">
        <v>124</v>
      </c>
      <c r="K388" s="233">
        <f>ROUND(SUMIFS(AN_TME_BY[[#All],[TOTAL Truncated Unadjusted Claims Expenses (A21 -A19)]], AN_TME_BY[[#All],[Advanced Network/Insurance Carrier Org ID]],J388, AN_TME_BY[[#All],[Insurance Category Code]], 2)+SUMIFS(AN_TME_BY[[#All],[TOTAL Truncated Unadjusted Claims Expenses (A21 -A19)]], AN_TME_BY[[#All],[Advanced Network/Insurance Carrier Org ID]],J388, AN_TME_BY[[#All],[Insurance Category Code]], 6),2)</f>
        <v>0</v>
      </c>
      <c r="L388" s="221">
        <f>ROUND(SUMIFS(StandardDeviation_BY[[#All],[Total Spending After Truncation]], StandardDeviation_BY[[#All],[Advanced Network/Insurance Carrier Org ID]],J388, StandardDeviation_BY[[#All],[Market ID]],2),2)</f>
        <v>0</v>
      </c>
      <c r="M388" s="540" t="str">
        <f t="shared" si="51"/>
        <v>TRUE</v>
      </c>
      <c r="N388" s="233">
        <f>ROUND(SUMIFS(AN_TME_PY[[#All],[TOTAL Truncated Unadjusted Claims Expenses (A21 -A19)]], AN_TME_PY[[#All],[Advanced Network/Insurance Carrier Org ID]],J388, AN_TME_PY[[#All],[Insurance Category Code]], 2)+SUMIFS(AN_TME_PY[[#All],[TOTAL Truncated Unadjusted Claims Expenses (A21 -A19)]], AN_TME_PY[[#All],[Advanced Network/Insurance Carrier Org ID]],J388, AN_TME_PY[[#All],[Insurance Category Code]], 6),2)</f>
        <v>0</v>
      </c>
      <c r="O388" s="221">
        <f>ROUND(SUMIFS(StandardDeviation_PY[[#All],[Total Spending After Truncation]], StandardDeviation_PY[[#All],[Advanced Network/Insurance Carrier Org ID]],J388, StandardDeviation_PY[[#All],[Market ID]],2),2)</f>
        <v>0</v>
      </c>
      <c r="P388" s="540" t="str">
        <f t="shared" si="52"/>
        <v>TRUE</v>
      </c>
      <c r="Q388"/>
      <c r="R388" s="216">
        <v>124</v>
      </c>
      <c r="S388" s="233">
        <f>ROUND(SUMIFS(AN_TME_BY[[#All],[TOTAL Truncated Unadjusted Claims Expenses (A21 -A19)]], AN_TME_BY[[#All],[Advanced Network/Insurance Carrier Org ID]],R388, AN_TME_BY[[#All],[Insurance Category Code]], 3)+SUMIFS(AN_TME_BY[[#All],[TOTAL Truncated Unadjusted Claims Expenses (A21 -A19)]], AN_TME_BY[[#All],[Advanced Network/Insurance Carrier Org ID]],R388, AN_TME_BY[[#All],[Insurance Category Code]], 4),2)</f>
        <v>0</v>
      </c>
      <c r="T388" s="221">
        <f>ROUND(SUMIFS(StandardDeviation_BY[[#All],[Total Spending After Truncation]], StandardDeviation_BY[[#All],[Advanced Network/Insurance Carrier Org ID]],R388, StandardDeviation_BY[[#All],[Market ID]],3),2)</f>
        <v>0</v>
      </c>
      <c r="U388" s="543" t="str">
        <f t="shared" si="53"/>
        <v>TRUE</v>
      </c>
      <c r="V388" s="233">
        <f>ROUND(SUMIFS(AN_TME_PY[[#All],[TOTAL Truncated Unadjusted Claims Expenses (A21 -A19)]], AN_TME_PY[[#All],[Advanced Network/Insurance Carrier Org ID]],R388, AN_TME_PY[[#All],[Insurance Category Code]], 3)+SUMIFS(AN_TME_PY[[#All],[TOTAL Truncated Unadjusted Claims Expenses (A21 -A19)]], AN_TME_PY[[#All],[Advanced Network/Insurance Carrier Org ID]],R388, AN_TME_PY[[#All],[Insurance Category Code]], 4),2)</f>
        <v>0</v>
      </c>
      <c r="W388" s="221">
        <f>ROUND(SUMIFS(StandardDeviation_PY[[#All],[Total Spending After Truncation]], StandardDeviation_PY[[#All],[Advanced Network/Insurance Carrier Org ID]],R388, StandardDeviation_PY[[#All],[Market ID]],3),2)</f>
        <v>0</v>
      </c>
      <c r="X388" s="543" t="str">
        <f t="shared" si="54"/>
        <v>TRUE</v>
      </c>
    </row>
    <row r="389" spans="2:24" s="29" customFormat="1" x14ac:dyDescent="0.25">
      <c r="B389" s="216">
        <v>125</v>
      </c>
      <c r="C389" s="233">
        <f>ROUND(SUMIFS(AN_TME_BY[[#All],[TOTAL Truncated Unadjusted Claims Expenses (A21 -A19)]], AN_TME_BY[[#All],[Advanced Network/Insurance Carrier Org ID]],B389, AN_TME_BY[[#All],[Insurance Category Code]], 1)+SUMIFS(AN_TME_BY[[#All],[TOTAL Truncated Unadjusted Claims Expenses (A21 -A19)]], AN_TME_BY[[#All],[Advanced Network/Insurance Carrier Org ID]],B389, AN_TME_BY[[#All],[Insurance Category Code]], 5),2)</f>
        <v>0</v>
      </c>
      <c r="D389" s="221">
        <f>ROUND(SUMIFS(StandardDeviation_BY[[#All],[Total Spending After Truncation]], StandardDeviation_BY[[#All],[Advanced Network/Insurance Carrier Org ID]],B389, StandardDeviation_BY[[#All],[Market ID]],1),2)</f>
        <v>0</v>
      </c>
      <c r="E389" s="540" t="str">
        <f t="shared" si="49"/>
        <v>TRUE</v>
      </c>
      <c r="F389" s="233">
        <f>ROUND(SUMIFS(AN_TME_PY[[#All],[TOTAL Truncated Unadjusted Claims Expenses (A21 -A19)]], AN_TME_PY[[#All],[Advanced Network/Insurance Carrier Org ID]],B389, AN_TME_PY[[#All],[Insurance Category Code]], 1)+SUMIFS(AN_TME_PY[[#All],[TOTAL Truncated Unadjusted Claims Expenses (A21 -A19)]], AN_TME_PY[[#All],[Advanced Network/Insurance Carrier Org ID]],B389, AN_TME_PY[[#All],[Insurance Category Code]], 5),2)</f>
        <v>0</v>
      </c>
      <c r="G389" s="221">
        <f>ROUND(SUMIFS(StandardDeviation_PY[[#All],[Total Spending After Truncation]], StandardDeviation_PY[[#All],[Advanced Network/Insurance Carrier Org ID]],B389, StandardDeviation_PY[[#All],[Market ID]],1),2)</f>
        <v>0</v>
      </c>
      <c r="H389" s="540" t="str">
        <f t="shared" si="50"/>
        <v>TRUE</v>
      </c>
      <c r="I389"/>
      <c r="J389" s="216">
        <v>125</v>
      </c>
      <c r="K389" s="233">
        <f>ROUND(SUMIFS(AN_TME_BY[[#All],[TOTAL Truncated Unadjusted Claims Expenses (A21 -A19)]], AN_TME_BY[[#All],[Advanced Network/Insurance Carrier Org ID]],J389, AN_TME_BY[[#All],[Insurance Category Code]], 2)+SUMIFS(AN_TME_BY[[#All],[TOTAL Truncated Unadjusted Claims Expenses (A21 -A19)]], AN_TME_BY[[#All],[Advanced Network/Insurance Carrier Org ID]],J389, AN_TME_BY[[#All],[Insurance Category Code]], 6),2)</f>
        <v>0</v>
      </c>
      <c r="L389" s="221">
        <f>ROUND(SUMIFS(StandardDeviation_BY[[#All],[Total Spending After Truncation]], StandardDeviation_BY[[#All],[Advanced Network/Insurance Carrier Org ID]],J389, StandardDeviation_BY[[#All],[Market ID]],2),2)</f>
        <v>0</v>
      </c>
      <c r="M389" s="540" t="str">
        <f t="shared" si="51"/>
        <v>TRUE</v>
      </c>
      <c r="N389" s="233">
        <f>ROUND(SUMIFS(AN_TME_PY[[#All],[TOTAL Truncated Unadjusted Claims Expenses (A21 -A19)]], AN_TME_PY[[#All],[Advanced Network/Insurance Carrier Org ID]],J389, AN_TME_PY[[#All],[Insurance Category Code]], 2)+SUMIFS(AN_TME_PY[[#All],[TOTAL Truncated Unadjusted Claims Expenses (A21 -A19)]], AN_TME_PY[[#All],[Advanced Network/Insurance Carrier Org ID]],J389, AN_TME_PY[[#All],[Insurance Category Code]], 6),2)</f>
        <v>0</v>
      </c>
      <c r="O389" s="221">
        <f>ROUND(SUMIFS(StandardDeviation_PY[[#All],[Total Spending After Truncation]], StandardDeviation_PY[[#All],[Advanced Network/Insurance Carrier Org ID]],J389, StandardDeviation_PY[[#All],[Market ID]],2),2)</f>
        <v>0</v>
      </c>
      <c r="P389" s="540" t="str">
        <f t="shared" si="52"/>
        <v>TRUE</v>
      </c>
      <c r="Q389"/>
      <c r="R389" s="216">
        <v>125</v>
      </c>
      <c r="S389" s="233">
        <f>ROUND(SUMIFS(AN_TME_BY[[#All],[TOTAL Truncated Unadjusted Claims Expenses (A21 -A19)]], AN_TME_BY[[#All],[Advanced Network/Insurance Carrier Org ID]],R389, AN_TME_BY[[#All],[Insurance Category Code]], 3)+SUMIFS(AN_TME_BY[[#All],[TOTAL Truncated Unadjusted Claims Expenses (A21 -A19)]], AN_TME_BY[[#All],[Advanced Network/Insurance Carrier Org ID]],R389, AN_TME_BY[[#All],[Insurance Category Code]], 4),2)</f>
        <v>0</v>
      </c>
      <c r="T389" s="221">
        <f>ROUND(SUMIFS(StandardDeviation_BY[[#All],[Total Spending After Truncation]], StandardDeviation_BY[[#All],[Advanced Network/Insurance Carrier Org ID]],R389, StandardDeviation_BY[[#All],[Market ID]],3),2)</f>
        <v>0</v>
      </c>
      <c r="U389" s="543" t="str">
        <f t="shared" si="53"/>
        <v>TRUE</v>
      </c>
      <c r="V389" s="233">
        <f>ROUND(SUMIFS(AN_TME_PY[[#All],[TOTAL Truncated Unadjusted Claims Expenses (A21 -A19)]], AN_TME_PY[[#All],[Advanced Network/Insurance Carrier Org ID]],R389, AN_TME_PY[[#All],[Insurance Category Code]], 3)+SUMIFS(AN_TME_PY[[#All],[TOTAL Truncated Unadjusted Claims Expenses (A21 -A19)]], AN_TME_PY[[#All],[Advanced Network/Insurance Carrier Org ID]],R389, AN_TME_PY[[#All],[Insurance Category Code]], 4),2)</f>
        <v>0</v>
      </c>
      <c r="W389" s="221">
        <f>ROUND(SUMIFS(StandardDeviation_PY[[#All],[Total Spending After Truncation]], StandardDeviation_PY[[#All],[Advanced Network/Insurance Carrier Org ID]],R389, StandardDeviation_PY[[#All],[Market ID]],3),2)</f>
        <v>0</v>
      </c>
      <c r="X389" s="543" t="str">
        <f t="shared" si="54"/>
        <v>TRUE</v>
      </c>
    </row>
    <row r="390" spans="2:24" x14ac:dyDescent="0.25">
      <c r="B390" s="216">
        <v>126</v>
      </c>
      <c r="C390" s="233">
        <f>ROUND(SUMIFS(AN_TME_BY[[#All],[TOTAL Truncated Unadjusted Claims Expenses (A21 -A19)]], AN_TME_BY[[#All],[Advanced Network/Insurance Carrier Org ID]],B390, AN_TME_BY[[#All],[Insurance Category Code]], 1)+SUMIFS(AN_TME_BY[[#All],[TOTAL Truncated Unadjusted Claims Expenses (A21 -A19)]], AN_TME_BY[[#All],[Advanced Network/Insurance Carrier Org ID]],B390, AN_TME_BY[[#All],[Insurance Category Code]], 5),2)</f>
        <v>0</v>
      </c>
      <c r="D390" s="221">
        <f>ROUND(SUMIFS(StandardDeviation_BY[[#All],[Total Spending After Truncation]], StandardDeviation_BY[[#All],[Advanced Network/Insurance Carrier Org ID]],B390, StandardDeviation_BY[[#All],[Market ID]],1),2)</f>
        <v>0</v>
      </c>
      <c r="E390" s="540" t="str">
        <f t="shared" si="49"/>
        <v>TRUE</v>
      </c>
      <c r="F390" s="233">
        <f>ROUND(SUMIFS(AN_TME_PY[[#All],[TOTAL Truncated Unadjusted Claims Expenses (A21 -A19)]], AN_TME_PY[[#All],[Advanced Network/Insurance Carrier Org ID]],B390, AN_TME_PY[[#All],[Insurance Category Code]], 1)+SUMIFS(AN_TME_PY[[#All],[TOTAL Truncated Unadjusted Claims Expenses (A21 -A19)]], AN_TME_PY[[#All],[Advanced Network/Insurance Carrier Org ID]],B390, AN_TME_PY[[#All],[Insurance Category Code]], 5),2)</f>
        <v>0</v>
      </c>
      <c r="G390" s="221">
        <f>ROUND(SUMIFS(StandardDeviation_PY[[#All],[Total Spending After Truncation]], StandardDeviation_PY[[#All],[Advanced Network/Insurance Carrier Org ID]],B390, StandardDeviation_PY[[#All],[Market ID]],1),2)</f>
        <v>0</v>
      </c>
      <c r="H390" s="540" t="str">
        <f t="shared" si="50"/>
        <v>TRUE</v>
      </c>
      <c r="J390" s="216">
        <v>126</v>
      </c>
      <c r="K390" s="233">
        <f>ROUND(SUMIFS(AN_TME_BY[[#All],[TOTAL Truncated Unadjusted Claims Expenses (A21 -A19)]], AN_TME_BY[[#All],[Advanced Network/Insurance Carrier Org ID]],J390, AN_TME_BY[[#All],[Insurance Category Code]], 2)+SUMIFS(AN_TME_BY[[#All],[TOTAL Truncated Unadjusted Claims Expenses (A21 -A19)]], AN_TME_BY[[#All],[Advanced Network/Insurance Carrier Org ID]],J390, AN_TME_BY[[#All],[Insurance Category Code]], 6),2)</f>
        <v>0</v>
      </c>
      <c r="L390" s="221">
        <f>ROUND(SUMIFS(StandardDeviation_BY[[#All],[Total Spending After Truncation]], StandardDeviation_BY[[#All],[Advanced Network/Insurance Carrier Org ID]],J390, StandardDeviation_BY[[#All],[Market ID]],2),2)</f>
        <v>0</v>
      </c>
      <c r="M390" s="540" t="str">
        <f t="shared" si="51"/>
        <v>TRUE</v>
      </c>
      <c r="N390" s="233">
        <f>ROUND(SUMIFS(AN_TME_PY[[#All],[TOTAL Truncated Unadjusted Claims Expenses (A21 -A19)]], AN_TME_PY[[#All],[Advanced Network/Insurance Carrier Org ID]],J390, AN_TME_PY[[#All],[Insurance Category Code]], 2)+SUMIFS(AN_TME_PY[[#All],[TOTAL Truncated Unadjusted Claims Expenses (A21 -A19)]], AN_TME_PY[[#All],[Advanced Network/Insurance Carrier Org ID]],J390, AN_TME_PY[[#All],[Insurance Category Code]], 6),2)</f>
        <v>0</v>
      </c>
      <c r="O390" s="221">
        <f>ROUND(SUMIFS(StandardDeviation_PY[[#All],[Total Spending After Truncation]], StandardDeviation_PY[[#All],[Advanced Network/Insurance Carrier Org ID]],J390, StandardDeviation_PY[[#All],[Market ID]],2),2)</f>
        <v>0</v>
      </c>
      <c r="P390" s="540" t="str">
        <f t="shared" si="52"/>
        <v>TRUE</v>
      </c>
      <c r="R390" s="216">
        <v>126</v>
      </c>
      <c r="S390" s="233">
        <f>ROUND(SUMIFS(AN_TME_BY[[#All],[TOTAL Truncated Unadjusted Claims Expenses (A21 -A19)]], AN_TME_BY[[#All],[Advanced Network/Insurance Carrier Org ID]],R390, AN_TME_BY[[#All],[Insurance Category Code]], 3)+SUMIFS(AN_TME_BY[[#All],[TOTAL Truncated Unadjusted Claims Expenses (A21 -A19)]], AN_TME_BY[[#All],[Advanced Network/Insurance Carrier Org ID]],R390, AN_TME_BY[[#All],[Insurance Category Code]], 4),2)</f>
        <v>0</v>
      </c>
      <c r="T390" s="221">
        <f>ROUND(SUMIFS(StandardDeviation_BY[[#All],[Total Spending After Truncation]], StandardDeviation_BY[[#All],[Advanced Network/Insurance Carrier Org ID]],R390, StandardDeviation_BY[[#All],[Market ID]],3),2)</f>
        <v>0</v>
      </c>
      <c r="U390" s="543" t="str">
        <f t="shared" si="53"/>
        <v>TRUE</v>
      </c>
      <c r="V390" s="233">
        <f>ROUND(SUMIFS(AN_TME_PY[[#All],[TOTAL Truncated Unadjusted Claims Expenses (A21 -A19)]], AN_TME_PY[[#All],[Advanced Network/Insurance Carrier Org ID]],R390, AN_TME_PY[[#All],[Insurance Category Code]], 3)+SUMIFS(AN_TME_PY[[#All],[TOTAL Truncated Unadjusted Claims Expenses (A21 -A19)]], AN_TME_PY[[#All],[Advanced Network/Insurance Carrier Org ID]],R390, AN_TME_PY[[#All],[Insurance Category Code]], 4),2)</f>
        <v>0</v>
      </c>
      <c r="W390" s="221">
        <f>ROUND(SUMIFS(StandardDeviation_PY[[#All],[Total Spending After Truncation]], StandardDeviation_PY[[#All],[Advanced Network/Insurance Carrier Org ID]],R390, StandardDeviation_PY[[#All],[Market ID]],3),2)</f>
        <v>0</v>
      </c>
      <c r="X390" s="543" t="str">
        <f t="shared" si="54"/>
        <v>TRUE</v>
      </c>
    </row>
    <row r="391" spans="2:24" x14ac:dyDescent="0.25">
      <c r="B391" s="216">
        <v>127</v>
      </c>
      <c r="C391" s="233">
        <f>ROUND(SUMIFS(AN_TME_BY[[#All],[TOTAL Truncated Unadjusted Claims Expenses (A21 -A19)]], AN_TME_BY[[#All],[Advanced Network/Insurance Carrier Org ID]],B391, AN_TME_BY[[#All],[Insurance Category Code]], 1)+SUMIFS(AN_TME_BY[[#All],[TOTAL Truncated Unadjusted Claims Expenses (A21 -A19)]], AN_TME_BY[[#All],[Advanced Network/Insurance Carrier Org ID]],B391, AN_TME_BY[[#All],[Insurance Category Code]], 5),2)</f>
        <v>0</v>
      </c>
      <c r="D391" s="221">
        <f>ROUND(SUMIFS(StandardDeviation_BY[[#All],[Total Spending After Truncation]], StandardDeviation_BY[[#All],[Advanced Network/Insurance Carrier Org ID]],B391, StandardDeviation_BY[[#All],[Market ID]],1),2)</f>
        <v>0</v>
      </c>
      <c r="E391" s="540" t="str">
        <f t="shared" si="49"/>
        <v>TRUE</v>
      </c>
      <c r="F391" s="233">
        <f>ROUND(SUMIFS(AN_TME_PY[[#All],[TOTAL Truncated Unadjusted Claims Expenses (A21 -A19)]], AN_TME_PY[[#All],[Advanced Network/Insurance Carrier Org ID]],B391, AN_TME_PY[[#All],[Insurance Category Code]], 1)+SUMIFS(AN_TME_PY[[#All],[TOTAL Truncated Unadjusted Claims Expenses (A21 -A19)]], AN_TME_PY[[#All],[Advanced Network/Insurance Carrier Org ID]],B391, AN_TME_PY[[#All],[Insurance Category Code]], 5),2)</f>
        <v>0</v>
      </c>
      <c r="G391" s="221">
        <f>ROUND(SUMIFS(StandardDeviation_PY[[#All],[Total Spending After Truncation]], StandardDeviation_PY[[#All],[Advanced Network/Insurance Carrier Org ID]],B391, StandardDeviation_PY[[#All],[Market ID]],1),2)</f>
        <v>0</v>
      </c>
      <c r="H391" s="540" t="str">
        <f t="shared" si="50"/>
        <v>TRUE</v>
      </c>
      <c r="J391" s="216">
        <v>127</v>
      </c>
      <c r="K391" s="233">
        <f>ROUND(SUMIFS(AN_TME_BY[[#All],[TOTAL Truncated Unadjusted Claims Expenses (A21 -A19)]], AN_TME_BY[[#All],[Advanced Network/Insurance Carrier Org ID]],J391, AN_TME_BY[[#All],[Insurance Category Code]], 2)+SUMIFS(AN_TME_BY[[#All],[TOTAL Truncated Unadjusted Claims Expenses (A21 -A19)]], AN_TME_BY[[#All],[Advanced Network/Insurance Carrier Org ID]],J391, AN_TME_BY[[#All],[Insurance Category Code]], 6),2)</f>
        <v>0</v>
      </c>
      <c r="L391" s="221">
        <f>ROUND(SUMIFS(StandardDeviation_BY[[#All],[Total Spending After Truncation]], StandardDeviation_BY[[#All],[Advanced Network/Insurance Carrier Org ID]],J391, StandardDeviation_BY[[#All],[Market ID]],2),2)</f>
        <v>0</v>
      </c>
      <c r="M391" s="540" t="str">
        <f t="shared" si="51"/>
        <v>TRUE</v>
      </c>
      <c r="N391" s="233">
        <f>ROUND(SUMIFS(AN_TME_PY[[#All],[TOTAL Truncated Unadjusted Claims Expenses (A21 -A19)]], AN_TME_PY[[#All],[Advanced Network/Insurance Carrier Org ID]],J391, AN_TME_PY[[#All],[Insurance Category Code]], 2)+SUMIFS(AN_TME_PY[[#All],[TOTAL Truncated Unadjusted Claims Expenses (A21 -A19)]], AN_TME_PY[[#All],[Advanced Network/Insurance Carrier Org ID]],J391, AN_TME_PY[[#All],[Insurance Category Code]], 6),2)</f>
        <v>0</v>
      </c>
      <c r="O391" s="221">
        <f>ROUND(SUMIFS(StandardDeviation_PY[[#All],[Total Spending After Truncation]], StandardDeviation_PY[[#All],[Advanced Network/Insurance Carrier Org ID]],J391, StandardDeviation_PY[[#All],[Market ID]],2),2)</f>
        <v>0</v>
      </c>
      <c r="P391" s="540" t="str">
        <f t="shared" si="52"/>
        <v>TRUE</v>
      </c>
      <c r="R391" s="216">
        <v>127</v>
      </c>
      <c r="S391" s="233">
        <f>ROUND(SUMIFS(AN_TME_BY[[#All],[TOTAL Truncated Unadjusted Claims Expenses (A21 -A19)]], AN_TME_BY[[#All],[Advanced Network/Insurance Carrier Org ID]],R391, AN_TME_BY[[#All],[Insurance Category Code]], 3)+SUMIFS(AN_TME_BY[[#All],[TOTAL Truncated Unadjusted Claims Expenses (A21 -A19)]], AN_TME_BY[[#All],[Advanced Network/Insurance Carrier Org ID]],R391, AN_TME_BY[[#All],[Insurance Category Code]], 4),2)</f>
        <v>0</v>
      </c>
      <c r="T391" s="221">
        <f>ROUND(SUMIFS(StandardDeviation_BY[[#All],[Total Spending After Truncation]], StandardDeviation_BY[[#All],[Advanced Network/Insurance Carrier Org ID]],R391, StandardDeviation_BY[[#All],[Market ID]],3),2)</f>
        <v>0</v>
      </c>
      <c r="U391" s="543" t="str">
        <f t="shared" si="53"/>
        <v>TRUE</v>
      </c>
      <c r="V391" s="233">
        <f>ROUND(SUMIFS(AN_TME_PY[[#All],[TOTAL Truncated Unadjusted Claims Expenses (A21 -A19)]], AN_TME_PY[[#All],[Advanced Network/Insurance Carrier Org ID]],R391, AN_TME_PY[[#All],[Insurance Category Code]], 3)+SUMIFS(AN_TME_PY[[#All],[TOTAL Truncated Unadjusted Claims Expenses (A21 -A19)]], AN_TME_PY[[#All],[Advanced Network/Insurance Carrier Org ID]],R391, AN_TME_PY[[#All],[Insurance Category Code]], 4),2)</f>
        <v>0</v>
      </c>
      <c r="W391" s="221">
        <f>ROUND(SUMIFS(StandardDeviation_PY[[#All],[Total Spending After Truncation]], StandardDeviation_PY[[#All],[Advanced Network/Insurance Carrier Org ID]],R391, StandardDeviation_PY[[#All],[Market ID]],3),2)</f>
        <v>0</v>
      </c>
      <c r="X391" s="543" t="str">
        <f t="shared" si="54"/>
        <v>TRUE</v>
      </c>
    </row>
    <row r="392" spans="2:24" ht="14.45" customHeight="1" x14ac:dyDescent="0.25">
      <c r="B392" s="216">
        <v>128</v>
      </c>
      <c r="C392" s="233">
        <f>ROUND(SUMIFS(AN_TME_BY[[#All],[TOTAL Truncated Unadjusted Claims Expenses (A21 -A19)]], AN_TME_BY[[#All],[Advanced Network/Insurance Carrier Org ID]],B392, AN_TME_BY[[#All],[Insurance Category Code]], 1)+SUMIFS(AN_TME_BY[[#All],[TOTAL Truncated Unadjusted Claims Expenses (A21 -A19)]], AN_TME_BY[[#All],[Advanced Network/Insurance Carrier Org ID]],B392, AN_TME_BY[[#All],[Insurance Category Code]], 5),2)</f>
        <v>0</v>
      </c>
      <c r="D392" s="221">
        <f>ROUND(SUMIFS(StandardDeviation_BY[[#All],[Total Spending After Truncation]], StandardDeviation_BY[[#All],[Advanced Network/Insurance Carrier Org ID]],B392, StandardDeviation_BY[[#All],[Market ID]],1),2)</f>
        <v>0</v>
      </c>
      <c r="E392" s="540" t="str">
        <f t="shared" si="49"/>
        <v>TRUE</v>
      </c>
      <c r="F392" s="233">
        <f>ROUND(SUMIFS(AN_TME_PY[[#All],[TOTAL Truncated Unadjusted Claims Expenses (A21 -A19)]], AN_TME_PY[[#All],[Advanced Network/Insurance Carrier Org ID]],B392, AN_TME_PY[[#All],[Insurance Category Code]], 1)+SUMIFS(AN_TME_PY[[#All],[TOTAL Truncated Unadjusted Claims Expenses (A21 -A19)]], AN_TME_PY[[#All],[Advanced Network/Insurance Carrier Org ID]],B392, AN_TME_PY[[#All],[Insurance Category Code]], 5),2)</f>
        <v>0</v>
      </c>
      <c r="G392" s="221">
        <f>ROUND(SUMIFS(StandardDeviation_PY[[#All],[Total Spending After Truncation]], StandardDeviation_PY[[#All],[Advanced Network/Insurance Carrier Org ID]],B392, StandardDeviation_PY[[#All],[Market ID]],1),2)</f>
        <v>0</v>
      </c>
      <c r="H392" s="540" t="str">
        <f t="shared" si="50"/>
        <v>TRUE</v>
      </c>
      <c r="J392" s="216">
        <v>128</v>
      </c>
      <c r="K392" s="233">
        <f>ROUND(SUMIFS(AN_TME_BY[[#All],[TOTAL Truncated Unadjusted Claims Expenses (A21 -A19)]], AN_TME_BY[[#All],[Advanced Network/Insurance Carrier Org ID]],J392, AN_TME_BY[[#All],[Insurance Category Code]], 2)+SUMIFS(AN_TME_BY[[#All],[TOTAL Truncated Unadjusted Claims Expenses (A21 -A19)]], AN_TME_BY[[#All],[Advanced Network/Insurance Carrier Org ID]],J392, AN_TME_BY[[#All],[Insurance Category Code]], 6),2)</f>
        <v>0</v>
      </c>
      <c r="L392" s="221">
        <f>ROUND(SUMIFS(StandardDeviation_BY[[#All],[Total Spending After Truncation]], StandardDeviation_BY[[#All],[Advanced Network/Insurance Carrier Org ID]],J392, StandardDeviation_BY[[#All],[Market ID]],2),2)</f>
        <v>0</v>
      </c>
      <c r="M392" s="540" t="str">
        <f t="shared" si="51"/>
        <v>TRUE</v>
      </c>
      <c r="N392" s="233">
        <f>ROUND(SUMIFS(AN_TME_PY[[#All],[TOTAL Truncated Unadjusted Claims Expenses (A21 -A19)]], AN_TME_PY[[#All],[Advanced Network/Insurance Carrier Org ID]],J392, AN_TME_PY[[#All],[Insurance Category Code]], 2)+SUMIFS(AN_TME_PY[[#All],[TOTAL Truncated Unadjusted Claims Expenses (A21 -A19)]], AN_TME_PY[[#All],[Advanced Network/Insurance Carrier Org ID]],J392, AN_TME_PY[[#All],[Insurance Category Code]], 6),2)</f>
        <v>0</v>
      </c>
      <c r="O392" s="221">
        <f>ROUND(SUMIFS(StandardDeviation_PY[[#All],[Total Spending After Truncation]], StandardDeviation_PY[[#All],[Advanced Network/Insurance Carrier Org ID]],J392, StandardDeviation_PY[[#All],[Market ID]],2),2)</f>
        <v>0</v>
      </c>
      <c r="P392" s="540" t="str">
        <f t="shared" si="52"/>
        <v>TRUE</v>
      </c>
      <c r="R392" s="216">
        <v>128</v>
      </c>
      <c r="S392" s="233">
        <f>ROUND(SUMIFS(AN_TME_BY[[#All],[TOTAL Truncated Unadjusted Claims Expenses (A21 -A19)]], AN_TME_BY[[#All],[Advanced Network/Insurance Carrier Org ID]],R392, AN_TME_BY[[#All],[Insurance Category Code]], 3)+SUMIFS(AN_TME_BY[[#All],[TOTAL Truncated Unadjusted Claims Expenses (A21 -A19)]], AN_TME_BY[[#All],[Advanced Network/Insurance Carrier Org ID]],R392, AN_TME_BY[[#All],[Insurance Category Code]], 4),2)</f>
        <v>0</v>
      </c>
      <c r="T392" s="221">
        <f>ROUND(SUMIFS(StandardDeviation_BY[[#All],[Total Spending After Truncation]], StandardDeviation_BY[[#All],[Advanced Network/Insurance Carrier Org ID]],R392, StandardDeviation_BY[[#All],[Market ID]],3),2)</f>
        <v>0</v>
      </c>
      <c r="U392" s="543" t="str">
        <f t="shared" si="53"/>
        <v>TRUE</v>
      </c>
      <c r="V392" s="233">
        <f>ROUND(SUMIFS(AN_TME_PY[[#All],[TOTAL Truncated Unadjusted Claims Expenses (A21 -A19)]], AN_TME_PY[[#All],[Advanced Network/Insurance Carrier Org ID]],R392, AN_TME_PY[[#All],[Insurance Category Code]], 3)+SUMIFS(AN_TME_PY[[#All],[TOTAL Truncated Unadjusted Claims Expenses (A21 -A19)]], AN_TME_PY[[#All],[Advanced Network/Insurance Carrier Org ID]],R392, AN_TME_PY[[#All],[Insurance Category Code]], 4),2)</f>
        <v>0</v>
      </c>
      <c r="W392" s="221">
        <f>ROUND(SUMIFS(StandardDeviation_PY[[#All],[Total Spending After Truncation]], StandardDeviation_PY[[#All],[Advanced Network/Insurance Carrier Org ID]],R392, StandardDeviation_PY[[#All],[Market ID]],3),2)</f>
        <v>0</v>
      </c>
      <c r="X392" s="543" t="str">
        <f t="shared" si="54"/>
        <v>TRUE</v>
      </c>
    </row>
    <row r="393" spans="2:24" x14ac:dyDescent="0.25">
      <c r="B393" s="216">
        <v>129</v>
      </c>
      <c r="C393" s="233">
        <f>ROUND(SUMIFS(AN_TME_BY[[#All],[TOTAL Truncated Unadjusted Claims Expenses (A21 -A19)]], AN_TME_BY[[#All],[Advanced Network/Insurance Carrier Org ID]],B393, AN_TME_BY[[#All],[Insurance Category Code]], 1)+SUMIFS(AN_TME_BY[[#All],[TOTAL Truncated Unadjusted Claims Expenses (A21 -A19)]], AN_TME_BY[[#All],[Advanced Network/Insurance Carrier Org ID]],B393, AN_TME_BY[[#All],[Insurance Category Code]], 5),2)</f>
        <v>0</v>
      </c>
      <c r="D393" s="221">
        <f>ROUND(SUMIFS(StandardDeviation_BY[[#All],[Total Spending After Truncation]], StandardDeviation_BY[[#All],[Advanced Network/Insurance Carrier Org ID]],B393, StandardDeviation_BY[[#All],[Market ID]],1),2)</f>
        <v>0</v>
      </c>
      <c r="E393" s="540" t="str">
        <f t="shared" si="49"/>
        <v>TRUE</v>
      </c>
      <c r="F393" s="233">
        <f>ROUND(SUMIFS(AN_TME_PY[[#All],[TOTAL Truncated Unadjusted Claims Expenses (A21 -A19)]], AN_TME_PY[[#All],[Advanced Network/Insurance Carrier Org ID]],B393, AN_TME_PY[[#All],[Insurance Category Code]], 1)+SUMIFS(AN_TME_PY[[#All],[TOTAL Truncated Unadjusted Claims Expenses (A21 -A19)]], AN_TME_PY[[#All],[Advanced Network/Insurance Carrier Org ID]],B393, AN_TME_PY[[#All],[Insurance Category Code]], 5),2)</f>
        <v>0</v>
      </c>
      <c r="G393" s="221">
        <f>ROUND(SUMIFS(StandardDeviation_PY[[#All],[Total Spending After Truncation]], StandardDeviation_PY[[#All],[Advanced Network/Insurance Carrier Org ID]],B393, StandardDeviation_PY[[#All],[Market ID]],1),2)</f>
        <v>0</v>
      </c>
      <c r="H393" s="540" t="str">
        <f t="shared" si="50"/>
        <v>TRUE</v>
      </c>
      <c r="J393" s="216">
        <v>129</v>
      </c>
      <c r="K393" s="233">
        <f>ROUND(SUMIFS(AN_TME_BY[[#All],[TOTAL Truncated Unadjusted Claims Expenses (A21 -A19)]], AN_TME_BY[[#All],[Advanced Network/Insurance Carrier Org ID]],J393, AN_TME_BY[[#All],[Insurance Category Code]], 2)+SUMIFS(AN_TME_BY[[#All],[TOTAL Truncated Unadjusted Claims Expenses (A21 -A19)]], AN_TME_BY[[#All],[Advanced Network/Insurance Carrier Org ID]],J393, AN_TME_BY[[#All],[Insurance Category Code]], 6),2)</f>
        <v>0</v>
      </c>
      <c r="L393" s="221">
        <f>ROUND(SUMIFS(StandardDeviation_BY[[#All],[Total Spending After Truncation]], StandardDeviation_BY[[#All],[Advanced Network/Insurance Carrier Org ID]],J393, StandardDeviation_BY[[#All],[Market ID]],2),2)</f>
        <v>0</v>
      </c>
      <c r="M393" s="540" t="str">
        <f t="shared" si="51"/>
        <v>TRUE</v>
      </c>
      <c r="N393" s="233">
        <f>ROUND(SUMIFS(AN_TME_PY[[#All],[TOTAL Truncated Unadjusted Claims Expenses (A21 -A19)]], AN_TME_PY[[#All],[Advanced Network/Insurance Carrier Org ID]],J393, AN_TME_PY[[#All],[Insurance Category Code]], 2)+SUMIFS(AN_TME_PY[[#All],[TOTAL Truncated Unadjusted Claims Expenses (A21 -A19)]], AN_TME_PY[[#All],[Advanced Network/Insurance Carrier Org ID]],J393, AN_TME_PY[[#All],[Insurance Category Code]], 6),2)</f>
        <v>0</v>
      </c>
      <c r="O393" s="221">
        <f>ROUND(SUMIFS(StandardDeviation_PY[[#All],[Total Spending After Truncation]], StandardDeviation_PY[[#All],[Advanced Network/Insurance Carrier Org ID]],J393, StandardDeviation_PY[[#All],[Market ID]],2),2)</f>
        <v>0</v>
      </c>
      <c r="P393" s="540" t="str">
        <f t="shared" si="52"/>
        <v>TRUE</v>
      </c>
      <c r="R393" s="216">
        <v>129</v>
      </c>
      <c r="S393" s="233">
        <f>ROUND(SUMIFS(AN_TME_BY[[#All],[TOTAL Truncated Unadjusted Claims Expenses (A21 -A19)]], AN_TME_BY[[#All],[Advanced Network/Insurance Carrier Org ID]],R393, AN_TME_BY[[#All],[Insurance Category Code]], 3)+SUMIFS(AN_TME_BY[[#All],[TOTAL Truncated Unadjusted Claims Expenses (A21 -A19)]], AN_TME_BY[[#All],[Advanced Network/Insurance Carrier Org ID]],R393, AN_TME_BY[[#All],[Insurance Category Code]], 4),2)</f>
        <v>0</v>
      </c>
      <c r="T393" s="221">
        <f>ROUND(SUMIFS(StandardDeviation_BY[[#All],[Total Spending After Truncation]], StandardDeviation_BY[[#All],[Advanced Network/Insurance Carrier Org ID]],R393, StandardDeviation_BY[[#All],[Market ID]],3),2)</f>
        <v>0</v>
      </c>
      <c r="U393" s="543" t="str">
        <f t="shared" si="53"/>
        <v>TRUE</v>
      </c>
      <c r="V393" s="233">
        <f>ROUND(SUMIFS(AN_TME_PY[[#All],[TOTAL Truncated Unadjusted Claims Expenses (A21 -A19)]], AN_TME_PY[[#All],[Advanced Network/Insurance Carrier Org ID]],R393, AN_TME_PY[[#All],[Insurance Category Code]], 3)+SUMIFS(AN_TME_PY[[#All],[TOTAL Truncated Unadjusted Claims Expenses (A21 -A19)]], AN_TME_PY[[#All],[Advanced Network/Insurance Carrier Org ID]],R393, AN_TME_PY[[#All],[Insurance Category Code]], 4),2)</f>
        <v>0</v>
      </c>
      <c r="W393" s="221">
        <f>ROUND(SUMIFS(StandardDeviation_PY[[#All],[Total Spending After Truncation]], StandardDeviation_PY[[#All],[Advanced Network/Insurance Carrier Org ID]],R393, StandardDeviation_PY[[#All],[Market ID]],3),2)</f>
        <v>0</v>
      </c>
      <c r="X393" s="543" t="str">
        <f t="shared" si="54"/>
        <v>TRUE</v>
      </c>
    </row>
    <row r="394" spans="2:24" x14ac:dyDescent="0.25">
      <c r="B394" s="216">
        <v>130</v>
      </c>
      <c r="C394" s="233">
        <f>ROUND(SUMIFS(AN_TME_BY[[#All],[TOTAL Truncated Unadjusted Claims Expenses (A21 -A19)]], AN_TME_BY[[#All],[Advanced Network/Insurance Carrier Org ID]],B394, AN_TME_BY[[#All],[Insurance Category Code]], 1)+SUMIFS(AN_TME_BY[[#All],[TOTAL Truncated Unadjusted Claims Expenses (A21 -A19)]], AN_TME_BY[[#All],[Advanced Network/Insurance Carrier Org ID]],B394, AN_TME_BY[[#All],[Insurance Category Code]], 5),2)</f>
        <v>0</v>
      </c>
      <c r="D394" s="221">
        <f>ROUND(SUMIFS(StandardDeviation_BY[[#All],[Total Spending After Truncation]], StandardDeviation_BY[[#All],[Advanced Network/Insurance Carrier Org ID]],B394, StandardDeviation_BY[[#All],[Market ID]],1),2)</f>
        <v>0</v>
      </c>
      <c r="E394" s="540" t="str">
        <f t="shared" si="49"/>
        <v>TRUE</v>
      </c>
      <c r="F394" s="233">
        <f>ROUND(SUMIFS(AN_TME_PY[[#All],[TOTAL Truncated Unadjusted Claims Expenses (A21 -A19)]], AN_TME_PY[[#All],[Advanced Network/Insurance Carrier Org ID]],B394, AN_TME_PY[[#All],[Insurance Category Code]], 1)+SUMIFS(AN_TME_PY[[#All],[TOTAL Truncated Unadjusted Claims Expenses (A21 -A19)]], AN_TME_PY[[#All],[Advanced Network/Insurance Carrier Org ID]],B394, AN_TME_PY[[#All],[Insurance Category Code]], 5),2)</f>
        <v>0</v>
      </c>
      <c r="G394" s="221">
        <f>ROUND(SUMIFS(StandardDeviation_PY[[#All],[Total Spending After Truncation]], StandardDeviation_PY[[#All],[Advanced Network/Insurance Carrier Org ID]],B394, StandardDeviation_PY[[#All],[Market ID]],1),2)</f>
        <v>0</v>
      </c>
      <c r="H394" s="540" t="str">
        <f t="shared" si="50"/>
        <v>TRUE</v>
      </c>
      <c r="J394" s="216">
        <v>130</v>
      </c>
      <c r="K394" s="233">
        <f>ROUND(SUMIFS(AN_TME_BY[[#All],[TOTAL Truncated Unadjusted Claims Expenses (A21 -A19)]], AN_TME_BY[[#All],[Advanced Network/Insurance Carrier Org ID]],J394, AN_TME_BY[[#All],[Insurance Category Code]], 2)+SUMIFS(AN_TME_BY[[#All],[TOTAL Truncated Unadjusted Claims Expenses (A21 -A19)]], AN_TME_BY[[#All],[Advanced Network/Insurance Carrier Org ID]],J394, AN_TME_BY[[#All],[Insurance Category Code]], 6),2)</f>
        <v>0</v>
      </c>
      <c r="L394" s="221">
        <f>ROUND(SUMIFS(StandardDeviation_BY[[#All],[Total Spending After Truncation]], StandardDeviation_BY[[#All],[Advanced Network/Insurance Carrier Org ID]],J394, StandardDeviation_BY[[#All],[Market ID]],2),2)</f>
        <v>0</v>
      </c>
      <c r="M394" s="540" t="str">
        <f t="shared" si="51"/>
        <v>TRUE</v>
      </c>
      <c r="N394" s="233">
        <f>ROUND(SUMIFS(AN_TME_PY[[#All],[TOTAL Truncated Unadjusted Claims Expenses (A21 -A19)]], AN_TME_PY[[#All],[Advanced Network/Insurance Carrier Org ID]],J394, AN_TME_PY[[#All],[Insurance Category Code]], 2)+SUMIFS(AN_TME_PY[[#All],[TOTAL Truncated Unadjusted Claims Expenses (A21 -A19)]], AN_TME_PY[[#All],[Advanced Network/Insurance Carrier Org ID]],J394, AN_TME_PY[[#All],[Insurance Category Code]], 6),2)</f>
        <v>0</v>
      </c>
      <c r="O394" s="221">
        <f>ROUND(SUMIFS(StandardDeviation_PY[[#All],[Total Spending After Truncation]], StandardDeviation_PY[[#All],[Advanced Network/Insurance Carrier Org ID]],J394, StandardDeviation_PY[[#All],[Market ID]],2),2)</f>
        <v>0</v>
      </c>
      <c r="P394" s="540" t="str">
        <f t="shared" si="52"/>
        <v>TRUE</v>
      </c>
      <c r="R394" s="216">
        <v>130</v>
      </c>
      <c r="S394" s="233">
        <f>ROUND(SUMIFS(AN_TME_BY[[#All],[TOTAL Truncated Unadjusted Claims Expenses (A21 -A19)]], AN_TME_BY[[#All],[Advanced Network/Insurance Carrier Org ID]],R394, AN_TME_BY[[#All],[Insurance Category Code]], 3)+SUMIFS(AN_TME_BY[[#All],[TOTAL Truncated Unadjusted Claims Expenses (A21 -A19)]], AN_TME_BY[[#All],[Advanced Network/Insurance Carrier Org ID]],R394, AN_TME_BY[[#All],[Insurance Category Code]], 4),2)</f>
        <v>0</v>
      </c>
      <c r="T394" s="221">
        <f>ROUND(SUMIFS(StandardDeviation_BY[[#All],[Total Spending After Truncation]], StandardDeviation_BY[[#All],[Advanced Network/Insurance Carrier Org ID]],R394, StandardDeviation_BY[[#All],[Market ID]],3),2)</f>
        <v>0</v>
      </c>
      <c r="U394" s="543" t="str">
        <f t="shared" si="53"/>
        <v>TRUE</v>
      </c>
      <c r="V394" s="233">
        <f>ROUND(SUMIFS(AN_TME_PY[[#All],[TOTAL Truncated Unadjusted Claims Expenses (A21 -A19)]], AN_TME_PY[[#All],[Advanced Network/Insurance Carrier Org ID]],R394, AN_TME_PY[[#All],[Insurance Category Code]], 3)+SUMIFS(AN_TME_PY[[#All],[TOTAL Truncated Unadjusted Claims Expenses (A21 -A19)]], AN_TME_PY[[#All],[Advanced Network/Insurance Carrier Org ID]],R394, AN_TME_PY[[#All],[Insurance Category Code]], 4),2)</f>
        <v>0</v>
      </c>
      <c r="W394" s="221">
        <f>ROUND(SUMIFS(StandardDeviation_PY[[#All],[Total Spending After Truncation]], StandardDeviation_PY[[#All],[Advanced Network/Insurance Carrier Org ID]],R394, StandardDeviation_PY[[#All],[Market ID]],3),2)</f>
        <v>0</v>
      </c>
      <c r="X394" s="543" t="str">
        <f t="shared" si="54"/>
        <v>TRUE</v>
      </c>
    </row>
    <row r="395" spans="2:24" x14ac:dyDescent="0.25">
      <c r="B395" s="216">
        <v>131</v>
      </c>
      <c r="C395" s="233">
        <f>ROUND(SUMIFS(AN_TME_BY[[#All],[TOTAL Truncated Unadjusted Claims Expenses (A21 -A19)]], AN_TME_BY[[#All],[Advanced Network/Insurance Carrier Org ID]],B395, AN_TME_BY[[#All],[Insurance Category Code]], 1)+SUMIFS(AN_TME_BY[[#All],[TOTAL Truncated Unadjusted Claims Expenses (A21 -A19)]], AN_TME_BY[[#All],[Advanced Network/Insurance Carrier Org ID]],B395, AN_TME_BY[[#All],[Insurance Category Code]], 5),2)</f>
        <v>0</v>
      </c>
      <c r="D395" s="221">
        <f>ROUND(SUMIFS(StandardDeviation_BY[[#All],[Total Spending After Truncation]], StandardDeviation_BY[[#All],[Advanced Network/Insurance Carrier Org ID]],B395, StandardDeviation_BY[[#All],[Market ID]],1),2)</f>
        <v>0</v>
      </c>
      <c r="E395" s="540" t="str">
        <f t="shared" si="49"/>
        <v>TRUE</v>
      </c>
      <c r="F395" s="233">
        <f>ROUND(SUMIFS(AN_TME_PY[[#All],[TOTAL Truncated Unadjusted Claims Expenses (A21 -A19)]], AN_TME_PY[[#All],[Advanced Network/Insurance Carrier Org ID]],B395, AN_TME_PY[[#All],[Insurance Category Code]], 1)+SUMIFS(AN_TME_PY[[#All],[TOTAL Truncated Unadjusted Claims Expenses (A21 -A19)]], AN_TME_PY[[#All],[Advanced Network/Insurance Carrier Org ID]],B395, AN_TME_PY[[#All],[Insurance Category Code]], 5),2)</f>
        <v>0</v>
      </c>
      <c r="G395" s="221">
        <f>ROUND(SUMIFS(StandardDeviation_PY[[#All],[Total Spending After Truncation]], StandardDeviation_PY[[#All],[Advanced Network/Insurance Carrier Org ID]],B395, StandardDeviation_PY[[#All],[Market ID]],1),2)</f>
        <v>0</v>
      </c>
      <c r="H395" s="540" t="str">
        <f t="shared" si="50"/>
        <v>TRUE</v>
      </c>
      <c r="J395" s="216">
        <v>131</v>
      </c>
      <c r="K395" s="233">
        <f>ROUND(SUMIFS(AN_TME_BY[[#All],[TOTAL Truncated Unadjusted Claims Expenses (A21 -A19)]], AN_TME_BY[[#All],[Advanced Network/Insurance Carrier Org ID]],J395, AN_TME_BY[[#All],[Insurance Category Code]], 2)+SUMIFS(AN_TME_BY[[#All],[TOTAL Truncated Unadjusted Claims Expenses (A21 -A19)]], AN_TME_BY[[#All],[Advanced Network/Insurance Carrier Org ID]],J395, AN_TME_BY[[#All],[Insurance Category Code]], 6),2)</f>
        <v>0</v>
      </c>
      <c r="L395" s="221">
        <f>ROUND(SUMIFS(StandardDeviation_BY[[#All],[Total Spending After Truncation]], StandardDeviation_BY[[#All],[Advanced Network/Insurance Carrier Org ID]],J395, StandardDeviation_BY[[#All],[Market ID]],2),2)</f>
        <v>0</v>
      </c>
      <c r="M395" s="540" t="str">
        <f t="shared" si="51"/>
        <v>TRUE</v>
      </c>
      <c r="N395" s="233">
        <f>ROUND(SUMIFS(AN_TME_PY[[#All],[TOTAL Truncated Unadjusted Claims Expenses (A21 -A19)]], AN_TME_PY[[#All],[Advanced Network/Insurance Carrier Org ID]],J395, AN_TME_PY[[#All],[Insurance Category Code]], 2)+SUMIFS(AN_TME_PY[[#All],[TOTAL Truncated Unadjusted Claims Expenses (A21 -A19)]], AN_TME_PY[[#All],[Advanced Network/Insurance Carrier Org ID]],J395, AN_TME_PY[[#All],[Insurance Category Code]], 6),2)</f>
        <v>0</v>
      </c>
      <c r="O395" s="221">
        <f>ROUND(SUMIFS(StandardDeviation_PY[[#All],[Total Spending After Truncation]], StandardDeviation_PY[[#All],[Advanced Network/Insurance Carrier Org ID]],J395, StandardDeviation_PY[[#All],[Market ID]],2),2)</f>
        <v>0</v>
      </c>
      <c r="P395" s="540" t="str">
        <f t="shared" si="52"/>
        <v>TRUE</v>
      </c>
      <c r="R395" s="216">
        <v>131</v>
      </c>
      <c r="S395" s="233">
        <f>ROUND(SUMIFS(AN_TME_BY[[#All],[TOTAL Truncated Unadjusted Claims Expenses (A21 -A19)]], AN_TME_BY[[#All],[Advanced Network/Insurance Carrier Org ID]],R395, AN_TME_BY[[#All],[Insurance Category Code]], 3)+SUMIFS(AN_TME_BY[[#All],[TOTAL Truncated Unadjusted Claims Expenses (A21 -A19)]], AN_TME_BY[[#All],[Advanced Network/Insurance Carrier Org ID]],R395, AN_TME_BY[[#All],[Insurance Category Code]], 4),2)</f>
        <v>0</v>
      </c>
      <c r="T395" s="221">
        <f>ROUND(SUMIFS(StandardDeviation_BY[[#All],[Total Spending After Truncation]], StandardDeviation_BY[[#All],[Advanced Network/Insurance Carrier Org ID]],R395, StandardDeviation_BY[[#All],[Market ID]],3),2)</f>
        <v>0</v>
      </c>
      <c r="U395" s="543" t="str">
        <f t="shared" si="53"/>
        <v>TRUE</v>
      </c>
      <c r="V395" s="233">
        <f>ROUND(SUMIFS(AN_TME_PY[[#All],[TOTAL Truncated Unadjusted Claims Expenses (A21 -A19)]], AN_TME_PY[[#All],[Advanced Network/Insurance Carrier Org ID]],R395, AN_TME_PY[[#All],[Insurance Category Code]], 3)+SUMIFS(AN_TME_PY[[#All],[TOTAL Truncated Unadjusted Claims Expenses (A21 -A19)]], AN_TME_PY[[#All],[Advanced Network/Insurance Carrier Org ID]],R395, AN_TME_PY[[#All],[Insurance Category Code]], 4),2)</f>
        <v>0</v>
      </c>
      <c r="W395" s="221">
        <f>ROUND(SUMIFS(StandardDeviation_PY[[#All],[Total Spending After Truncation]], StandardDeviation_PY[[#All],[Advanced Network/Insurance Carrier Org ID]],R395, StandardDeviation_PY[[#All],[Market ID]],3),2)</f>
        <v>0</v>
      </c>
      <c r="X395" s="543" t="str">
        <f t="shared" si="54"/>
        <v>TRUE</v>
      </c>
    </row>
    <row r="396" spans="2:24" x14ac:dyDescent="0.25">
      <c r="B396" s="216">
        <v>132</v>
      </c>
      <c r="C396" s="233">
        <f>ROUND(SUMIFS(AN_TME_BY[[#All],[TOTAL Truncated Unadjusted Claims Expenses (A21 -A19)]], AN_TME_BY[[#All],[Advanced Network/Insurance Carrier Org ID]],B396, AN_TME_BY[[#All],[Insurance Category Code]], 1)+SUMIFS(AN_TME_BY[[#All],[TOTAL Truncated Unadjusted Claims Expenses (A21 -A19)]], AN_TME_BY[[#All],[Advanced Network/Insurance Carrier Org ID]],B396, AN_TME_BY[[#All],[Insurance Category Code]], 5),2)</f>
        <v>0</v>
      </c>
      <c r="D396" s="221">
        <f>ROUND(SUMIFS(StandardDeviation_BY[[#All],[Total Spending After Truncation]], StandardDeviation_BY[[#All],[Advanced Network/Insurance Carrier Org ID]],B396, StandardDeviation_BY[[#All],[Market ID]],1),2)</f>
        <v>0</v>
      </c>
      <c r="E396" s="540" t="str">
        <f t="shared" si="49"/>
        <v>TRUE</v>
      </c>
      <c r="F396" s="233">
        <f>ROUND(SUMIFS(AN_TME_PY[[#All],[TOTAL Truncated Unadjusted Claims Expenses (A21 -A19)]], AN_TME_PY[[#All],[Advanced Network/Insurance Carrier Org ID]],B396, AN_TME_PY[[#All],[Insurance Category Code]], 1)+SUMIFS(AN_TME_PY[[#All],[TOTAL Truncated Unadjusted Claims Expenses (A21 -A19)]], AN_TME_PY[[#All],[Advanced Network/Insurance Carrier Org ID]],B396, AN_TME_PY[[#All],[Insurance Category Code]], 5),2)</f>
        <v>0</v>
      </c>
      <c r="G396" s="221">
        <f>ROUND(SUMIFS(StandardDeviation_PY[[#All],[Total Spending After Truncation]], StandardDeviation_PY[[#All],[Advanced Network/Insurance Carrier Org ID]],B396, StandardDeviation_PY[[#All],[Market ID]],1),2)</f>
        <v>0</v>
      </c>
      <c r="H396" s="540" t="str">
        <f t="shared" si="50"/>
        <v>TRUE</v>
      </c>
      <c r="J396" s="216">
        <v>132</v>
      </c>
      <c r="K396" s="233">
        <f>ROUND(SUMIFS(AN_TME_BY[[#All],[TOTAL Truncated Unadjusted Claims Expenses (A21 -A19)]], AN_TME_BY[[#All],[Advanced Network/Insurance Carrier Org ID]],J396, AN_TME_BY[[#All],[Insurance Category Code]], 2)+SUMIFS(AN_TME_BY[[#All],[TOTAL Truncated Unadjusted Claims Expenses (A21 -A19)]], AN_TME_BY[[#All],[Advanced Network/Insurance Carrier Org ID]],J396, AN_TME_BY[[#All],[Insurance Category Code]], 6),2)</f>
        <v>0</v>
      </c>
      <c r="L396" s="221">
        <f>ROUND(SUMIFS(StandardDeviation_BY[[#All],[Total Spending After Truncation]], StandardDeviation_BY[[#All],[Advanced Network/Insurance Carrier Org ID]],J396, StandardDeviation_BY[[#All],[Market ID]],2),2)</f>
        <v>0</v>
      </c>
      <c r="M396" s="540" t="str">
        <f t="shared" si="51"/>
        <v>TRUE</v>
      </c>
      <c r="N396" s="233">
        <f>ROUND(SUMIFS(AN_TME_PY[[#All],[TOTAL Truncated Unadjusted Claims Expenses (A21 -A19)]], AN_TME_PY[[#All],[Advanced Network/Insurance Carrier Org ID]],J396, AN_TME_PY[[#All],[Insurance Category Code]], 2)+SUMIFS(AN_TME_PY[[#All],[TOTAL Truncated Unadjusted Claims Expenses (A21 -A19)]], AN_TME_PY[[#All],[Advanced Network/Insurance Carrier Org ID]],J396, AN_TME_PY[[#All],[Insurance Category Code]], 6),2)</f>
        <v>0</v>
      </c>
      <c r="O396" s="221">
        <f>ROUND(SUMIFS(StandardDeviation_PY[[#All],[Total Spending After Truncation]], StandardDeviation_PY[[#All],[Advanced Network/Insurance Carrier Org ID]],J396, StandardDeviation_PY[[#All],[Market ID]],2),2)</f>
        <v>0</v>
      </c>
      <c r="P396" s="540" t="str">
        <f t="shared" si="52"/>
        <v>TRUE</v>
      </c>
      <c r="R396" s="216">
        <v>132</v>
      </c>
      <c r="S396" s="233">
        <f>ROUND(SUMIFS(AN_TME_BY[[#All],[TOTAL Truncated Unadjusted Claims Expenses (A21 -A19)]], AN_TME_BY[[#All],[Advanced Network/Insurance Carrier Org ID]],R396, AN_TME_BY[[#All],[Insurance Category Code]], 3)+SUMIFS(AN_TME_BY[[#All],[TOTAL Truncated Unadjusted Claims Expenses (A21 -A19)]], AN_TME_BY[[#All],[Advanced Network/Insurance Carrier Org ID]],R396, AN_TME_BY[[#All],[Insurance Category Code]], 4),2)</f>
        <v>0</v>
      </c>
      <c r="T396" s="221">
        <f>ROUND(SUMIFS(StandardDeviation_BY[[#All],[Total Spending After Truncation]], StandardDeviation_BY[[#All],[Advanced Network/Insurance Carrier Org ID]],R396, StandardDeviation_BY[[#All],[Market ID]],3),2)</f>
        <v>0</v>
      </c>
      <c r="U396" s="543" t="str">
        <f t="shared" si="53"/>
        <v>TRUE</v>
      </c>
      <c r="V396" s="233">
        <f>ROUND(SUMIFS(AN_TME_PY[[#All],[TOTAL Truncated Unadjusted Claims Expenses (A21 -A19)]], AN_TME_PY[[#All],[Advanced Network/Insurance Carrier Org ID]],R396, AN_TME_PY[[#All],[Insurance Category Code]], 3)+SUMIFS(AN_TME_PY[[#All],[TOTAL Truncated Unadjusted Claims Expenses (A21 -A19)]], AN_TME_PY[[#All],[Advanced Network/Insurance Carrier Org ID]],R396, AN_TME_PY[[#All],[Insurance Category Code]], 4),2)</f>
        <v>0</v>
      </c>
      <c r="W396" s="221">
        <f>ROUND(SUMIFS(StandardDeviation_PY[[#All],[Total Spending After Truncation]], StandardDeviation_PY[[#All],[Advanced Network/Insurance Carrier Org ID]],R396, StandardDeviation_PY[[#All],[Market ID]],3),2)</f>
        <v>0</v>
      </c>
      <c r="X396" s="543" t="str">
        <f t="shared" si="54"/>
        <v>TRUE</v>
      </c>
    </row>
    <row r="397" spans="2:24" x14ac:dyDescent="0.25">
      <c r="B397" s="216">
        <v>133</v>
      </c>
      <c r="C397" s="233">
        <f>ROUND(SUMIFS(AN_TME_BY[[#All],[TOTAL Truncated Unadjusted Claims Expenses (A21 -A19)]], AN_TME_BY[[#All],[Advanced Network/Insurance Carrier Org ID]],B397, AN_TME_BY[[#All],[Insurance Category Code]], 1)+SUMIFS(AN_TME_BY[[#All],[TOTAL Truncated Unadjusted Claims Expenses (A21 -A19)]], AN_TME_BY[[#All],[Advanced Network/Insurance Carrier Org ID]],B397, AN_TME_BY[[#All],[Insurance Category Code]], 5),2)</f>
        <v>0</v>
      </c>
      <c r="D397" s="221">
        <f>ROUND(SUMIFS(StandardDeviation_BY[[#All],[Total Spending After Truncation]], StandardDeviation_BY[[#All],[Advanced Network/Insurance Carrier Org ID]],B397, StandardDeviation_BY[[#All],[Market ID]],1),2)</f>
        <v>0</v>
      </c>
      <c r="E397" s="540" t="str">
        <f t="shared" si="49"/>
        <v>TRUE</v>
      </c>
      <c r="F397" s="233">
        <f>ROUND(SUMIFS(AN_TME_PY[[#All],[TOTAL Truncated Unadjusted Claims Expenses (A21 -A19)]], AN_TME_PY[[#All],[Advanced Network/Insurance Carrier Org ID]],B397, AN_TME_PY[[#All],[Insurance Category Code]], 1)+SUMIFS(AN_TME_PY[[#All],[TOTAL Truncated Unadjusted Claims Expenses (A21 -A19)]], AN_TME_PY[[#All],[Advanced Network/Insurance Carrier Org ID]],B397, AN_TME_PY[[#All],[Insurance Category Code]], 5),2)</f>
        <v>0</v>
      </c>
      <c r="G397" s="221">
        <f>ROUND(SUMIFS(StandardDeviation_PY[[#All],[Total Spending After Truncation]], StandardDeviation_PY[[#All],[Advanced Network/Insurance Carrier Org ID]],B397, StandardDeviation_PY[[#All],[Market ID]],1),2)</f>
        <v>0</v>
      </c>
      <c r="H397" s="540" t="str">
        <f t="shared" si="50"/>
        <v>TRUE</v>
      </c>
      <c r="J397" s="216">
        <v>133</v>
      </c>
      <c r="K397" s="233">
        <f>ROUND(SUMIFS(AN_TME_BY[[#All],[TOTAL Truncated Unadjusted Claims Expenses (A21 -A19)]], AN_TME_BY[[#All],[Advanced Network/Insurance Carrier Org ID]],J397, AN_TME_BY[[#All],[Insurance Category Code]], 2)+SUMIFS(AN_TME_BY[[#All],[TOTAL Truncated Unadjusted Claims Expenses (A21 -A19)]], AN_TME_BY[[#All],[Advanced Network/Insurance Carrier Org ID]],J397, AN_TME_BY[[#All],[Insurance Category Code]], 6),2)</f>
        <v>0</v>
      </c>
      <c r="L397" s="221">
        <f>ROUND(SUMIFS(StandardDeviation_BY[[#All],[Total Spending After Truncation]], StandardDeviation_BY[[#All],[Advanced Network/Insurance Carrier Org ID]],J397, StandardDeviation_BY[[#All],[Market ID]],2),2)</f>
        <v>0</v>
      </c>
      <c r="M397" s="540" t="str">
        <f t="shared" si="51"/>
        <v>TRUE</v>
      </c>
      <c r="N397" s="233">
        <f>ROUND(SUMIFS(AN_TME_PY[[#All],[TOTAL Truncated Unadjusted Claims Expenses (A21 -A19)]], AN_TME_PY[[#All],[Advanced Network/Insurance Carrier Org ID]],J397, AN_TME_PY[[#All],[Insurance Category Code]], 2)+SUMIFS(AN_TME_PY[[#All],[TOTAL Truncated Unadjusted Claims Expenses (A21 -A19)]], AN_TME_PY[[#All],[Advanced Network/Insurance Carrier Org ID]],J397, AN_TME_PY[[#All],[Insurance Category Code]], 6),2)</f>
        <v>0</v>
      </c>
      <c r="O397" s="221">
        <f>ROUND(SUMIFS(StandardDeviation_PY[[#All],[Total Spending After Truncation]], StandardDeviation_PY[[#All],[Advanced Network/Insurance Carrier Org ID]],J397, StandardDeviation_PY[[#All],[Market ID]],2),2)</f>
        <v>0</v>
      </c>
      <c r="P397" s="540" t="str">
        <f t="shared" si="52"/>
        <v>TRUE</v>
      </c>
      <c r="R397" s="216">
        <v>133</v>
      </c>
      <c r="S397" s="233">
        <f>ROUND(SUMIFS(AN_TME_BY[[#All],[TOTAL Truncated Unadjusted Claims Expenses (A21 -A19)]], AN_TME_BY[[#All],[Advanced Network/Insurance Carrier Org ID]],R397, AN_TME_BY[[#All],[Insurance Category Code]], 3)+SUMIFS(AN_TME_BY[[#All],[TOTAL Truncated Unadjusted Claims Expenses (A21 -A19)]], AN_TME_BY[[#All],[Advanced Network/Insurance Carrier Org ID]],R397, AN_TME_BY[[#All],[Insurance Category Code]], 4),2)</f>
        <v>0</v>
      </c>
      <c r="T397" s="221">
        <f>ROUND(SUMIFS(StandardDeviation_BY[[#All],[Total Spending After Truncation]], StandardDeviation_BY[[#All],[Advanced Network/Insurance Carrier Org ID]],R397, StandardDeviation_BY[[#All],[Market ID]],3),2)</f>
        <v>0</v>
      </c>
      <c r="U397" s="543" t="str">
        <f t="shared" si="53"/>
        <v>TRUE</v>
      </c>
      <c r="V397" s="233">
        <f>ROUND(SUMIFS(AN_TME_PY[[#All],[TOTAL Truncated Unadjusted Claims Expenses (A21 -A19)]], AN_TME_PY[[#All],[Advanced Network/Insurance Carrier Org ID]],R397, AN_TME_PY[[#All],[Insurance Category Code]], 3)+SUMIFS(AN_TME_PY[[#All],[TOTAL Truncated Unadjusted Claims Expenses (A21 -A19)]], AN_TME_PY[[#All],[Advanced Network/Insurance Carrier Org ID]],R397, AN_TME_PY[[#All],[Insurance Category Code]], 4),2)</f>
        <v>0</v>
      </c>
      <c r="W397" s="221">
        <f>ROUND(SUMIFS(StandardDeviation_PY[[#All],[Total Spending After Truncation]], StandardDeviation_PY[[#All],[Advanced Network/Insurance Carrier Org ID]],R397, StandardDeviation_PY[[#All],[Market ID]],3),2)</f>
        <v>0</v>
      </c>
      <c r="X397" s="543" t="str">
        <f t="shared" si="54"/>
        <v>TRUE</v>
      </c>
    </row>
    <row r="398" spans="2:24" x14ac:dyDescent="0.25">
      <c r="B398" s="216">
        <v>134</v>
      </c>
      <c r="C398" s="233">
        <f>ROUND(SUMIFS(AN_TME_BY[[#All],[TOTAL Truncated Unadjusted Claims Expenses (A21 -A19)]], AN_TME_BY[[#All],[Advanced Network/Insurance Carrier Org ID]],B398, AN_TME_BY[[#All],[Insurance Category Code]], 1)+SUMIFS(AN_TME_BY[[#All],[TOTAL Truncated Unadjusted Claims Expenses (A21 -A19)]], AN_TME_BY[[#All],[Advanced Network/Insurance Carrier Org ID]],B398, AN_TME_BY[[#All],[Insurance Category Code]], 5),2)</f>
        <v>0</v>
      </c>
      <c r="D398" s="221">
        <f>ROUND(SUMIFS(StandardDeviation_BY[[#All],[Total Spending After Truncation]], StandardDeviation_BY[[#All],[Advanced Network/Insurance Carrier Org ID]],B398, StandardDeviation_BY[[#All],[Market ID]],1),2)</f>
        <v>0</v>
      </c>
      <c r="E398" s="540" t="str">
        <f t="shared" si="49"/>
        <v>TRUE</v>
      </c>
      <c r="F398" s="233">
        <f>ROUND(SUMIFS(AN_TME_PY[[#All],[TOTAL Truncated Unadjusted Claims Expenses (A21 -A19)]], AN_TME_PY[[#All],[Advanced Network/Insurance Carrier Org ID]],B398, AN_TME_PY[[#All],[Insurance Category Code]], 1)+SUMIFS(AN_TME_PY[[#All],[TOTAL Truncated Unadjusted Claims Expenses (A21 -A19)]], AN_TME_PY[[#All],[Advanced Network/Insurance Carrier Org ID]],B398, AN_TME_PY[[#All],[Insurance Category Code]], 5),2)</f>
        <v>0</v>
      </c>
      <c r="G398" s="221">
        <f>ROUND(SUMIFS(StandardDeviation_PY[[#All],[Total Spending After Truncation]], StandardDeviation_PY[[#All],[Advanced Network/Insurance Carrier Org ID]],B398, StandardDeviation_PY[[#All],[Market ID]],1),2)</f>
        <v>0</v>
      </c>
      <c r="H398" s="540" t="str">
        <f t="shared" si="50"/>
        <v>TRUE</v>
      </c>
      <c r="J398" s="216">
        <v>134</v>
      </c>
      <c r="K398" s="233">
        <f>ROUND(SUMIFS(AN_TME_BY[[#All],[TOTAL Truncated Unadjusted Claims Expenses (A21 -A19)]], AN_TME_BY[[#All],[Advanced Network/Insurance Carrier Org ID]],J398, AN_TME_BY[[#All],[Insurance Category Code]], 2)+SUMIFS(AN_TME_BY[[#All],[TOTAL Truncated Unadjusted Claims Expenses (A21 -A19)]], AN_TME_BY[[#All],[Advanced Network/Insurance Carrier Org ID]],J398, AN_TME_BY[[#All],[Insurance Category Code]], 6),2)</f>
        <v>0</v>
      </c>
      <c r="L398" s="221">
        <f>ROUND(SUMIFS(StandardDeviation_BY[[#All],[Total Spending After Truncation]], StandardDeviation_BY[[#All],[Advanced Network/Insurance Carrier Org ID]],J398, StandardDeviation_BY[[#All],[Market ID]],2),2)</f>
        <v>0</v>
      </c>
      <c r="M398" s="540" t="str">
        <f t="shared" si="51"/>
        <v>TRUE</v>
      </c>
      <c r="N398" s="233">
        <f>ROUND(SUMIFS(AN_TME_PY[[#All],[TOTAL Truncated Unadjusted Claims Expenses (A21 -A19)]], AN_TME_PY[[#All],[Advanced Network/Insurance Carrier Org ID]],J398, AN_TME_PY[[#All],[Insurance Category Code]], 2)+SUMIFS(AN_TME_PY[[#All],[TOTAL Truncated Unadjusted Claims Expenses (A21 -A19)]], AN_TME_PY[[#All],[Advanced Network/Insurance Carrier Org ID]],J398, AN_TME_PY[[#All],[Insurance Category Code]], 6),2)</f>
        <v>0</v>
      </c>
      <c r="O398" s="221">
        <f>ROUND(SUMIFS(StandardDeviation_PY[[#All],[Total Spending After Truncation]], StandardDeviation_PY[[#All],[Advanced Network/Insurance Carrier Org ID]],J398, StandardDeviation_PY[[#All],[Market ID]],2),2)</f>
        <v>0</v>
      </c>
      <c r="P398" s="540" t="str">
        <f t="shared" si="52"/>
        <v>TRUE</v>
      </c>
      <c r="R398" s="216">
        <v>134</v>
      </c>
      <c r="S398" s="233">
        <f>ROUND(SUMIFS(AN_TME_BY[[#All],[TOTAL Truncated Unadjusted Claims Expenses (A21 -A19)]], AN_TME_BY[[#All],[Advanced Network/Insurance Carrier Org ID]],R398, AN_TME_BY[[#All],[Insurance Category Code]], 3)+SUMIFS(AN_TME_BY[[#All],[TOTAL Truncated Unadjusted Claims Expenses (A21 -A19)]], AN_TME_BY[[#All],[Advanced Network/Insurance Carrier Org ID]],R398, AN_TME_BY[[#All],[Insurance Category Code]], 4),2)</f>
        <v>0</v>
      </c>
      <c r="T398" s="221">
        <f>ROUND(SUMIFS(StandardDeviation_BY[[#All],[Total Spending After Truncation]], StandardDeviation_BY[[#All],[Advanced Network/Insurance Carrier Org ID]],R398, StandardDeviation_BY[[#All],[Market ID]],3),2)</f>
        <v>0</v>
      </c>
      <c r="U398" s="543" t="str">
        <f t="shared" si="53"/>
        <v>TRUE</v>
      </c>
      <c r="V398" s="233">
        <f>ROUND(SUMIFS(AN_TME_PY[[#All],[TOTAL Truncated Unadjusted Claims Expenses (A21 -A19)]], AN_TME_PY[[#All],[Advanced Network/Insurance Carrier Org ID]],R398, AN_TME_PY[[#All],[Insurance Category Code]], 3)+SUMIFS(AN_TME_PY[[#All],[TOTAL Truncated Unadjusted Claims Expenses (A21 -A19)]], AN_TME_PY[[#All],[Advanced Network/Insurance Carrier Org ID]],R398, AN_TME_PY[[#All],[Insurance Category Code]], 4),2)</f>
        <v>0</v>
      </c>
      <c r="W398" s="221">
        <f>ROUND(SUMIFS(StandardDeviation_PY[[#All],[Total Spending After Truncation]], StandardDeviation_PY[[#All],[Advanced Network/Insurance Carrier Org ID]],R398, StandardDeviation_PY[[#All],[Market ID]],3),2)</f>
        <v>0</v>
      </c>
      <c r="X398" s="543" t="str">
        <f t="shared" si="54"/>
        <v>TRUE</v>
      </c>
    </row>
    <row r="399" spans="2:24" ht="15.75" thickBot="1" x14ac:dyDescent="0.3">
      <c r="B399" s="217">
        <v>999</v>
      </c>
      <c r="C399" s="234">
        <f>ROUND(SUMIFS(AN_TME_BY[[#All],[TOTAL Truncated Unadjusted Claims Expenses (A21 -A19)]], AN_TME_BY[[#All],[Advanced Network/Insurance Carrier Org ID]],B399, AN_TME_BY[[#All],[Insurance Category Code]], 1)+SUMIFS(AN_TME_BY[[#All],[TOTAL Truncated Unadjusted Claims Expenses (A21 -A19)]], AN_TME_BY[[#All],[Advanced Network/Insurance Carrier Org ID]],B399, AN_TME_BY[[#All],[Insurance Category Code]], 5),2)</f>
        <v>0</v>
      </c>
      <c r="D399" s="222">
        <f>ROUND(SUMIFS(StandardDeviation_BY[[#All],[Total Spending After Truncation]], StandardDeviation_BY[[#All],[Advanced Network/Insurance Carrier Org ID]],B399, StandardDeviation_BY[[#All],[Market ID]],1),2)</f>
        <v>0</v>
      </c>
      <c r="E399" s="541" t="str">
        <f t="shared" si="49"/>
        <v>TRUE</v>
      </c>
      <c r="F399" s="234">
        <f>ROUND(SUMIFS(AN_TME_PY[[#All],[TOTAL Truncated Unadjusted Claims Expenses (A21 -A19)]], AN_TME_PY[[#All],[Advanced Network/Insurance Carrier Org ID]],B399, AN_TME_PY[[#All],[Insurance Category Code]], 1)+SUMIFS(AN_TME_PY[[#All],[TOTAL Truncated Unadjusted Claims Expenses (A21 -A19)]], AN_TME_PY[[#All],[Advanced Network/Insurance Carrier Org ID]],B399, AN_TME_PY[[#All],[Insurance Category Code]], 5),2)</f>
        <v>0</v>
      </c>
      <c r="G399" s="222">
        <f>ROUND(SUMIFS(StandardDeviation_PY[[#All],[Total Spending After Truncation]], StandardDeviation_PY[[#All],[Advanced Network/Insurance Carrier Org ID]],B399, StandardDeviation_PY[[#All],[Market ID]],1),2)</f>
        <v>0</v>
      </c>
      <c r="H399" s="541" t="str">
        <f t="shared" si="50"/>
        <v>TRUE</v>
      </c>
      <c r="J399" s="217">
        <v>999</v>
      </c>
      <c r="K399" s="234">
        <f>ROUND(SUMIFS(AN_TME_BY[[#All],[TOTAL Truncated Unadjusted Claims Expenses (A21 -A19)]], AN_TME_BY[[#All],[Advanced Network/Insurance Carrier Org ID]],J399, AN_TME_BY[[#All],[Insurance Category Code]], 2)+SUMIFS(AN_TME_BY[[#All],[TOTAL Truncated Unadjusted Claims Expenses (A21 -A19)]], AN_TME_BY[[#All],[Advanced Network/Insurance Carrier Org ID]],J399, AN_TME_BY[[#All],[Insurance Category Code]], 6),2)</f>
        <v>0</v>
      </c>
      <c r="L399" s="222">
        <f>ROUND(SUMIFS(StandardDeviation_BY[[#All],[Total Spending After Truncation]], StandardDeviation_BY[[#All],[Advanced Network/Insurance Carrier Org ID]],J399, StandardDeviation_BY[[#All],[Market ID]],2),2)</f>
        <v>0</v>
      </c>
      <c r="M399" s="541" t="str">
        <f t="shared" si="51"/>
        <v>TRUE</v>
      </c>
      <c r="N399" s="234">
        <f>ROUND(SUMIFS(AN_TME_PY[[#All],[TOTAL Truncated Unadjusted Claims Expenses (A21 -A19)]], AN_TME_PY[[#All],[Advanced Network/Insurance Carrier Org ID]],J399, AN_TME_PY[[#All],[Insurance Category Code]], 2)+SUMIFS(AN_TME_PY[[#All],[TOTAL Truncated Unadjusted Claims Expenses (A21 -A19)]], AN_TME_PY[[#All],[Advanced Network/Insurance Carrier Org ID]],J399, AN_TME_PY[[#All],[Insurance Category Code]], 6),2)</f>
        <v>0</v>
      </c>
      <c r="O399" s="222">
        <f>ROUND(SUMIFS(StandardDeviation_PY[[#All],[Total Spending After Truncation]], StandardDeviation_PY[[#All],[Advanced Network/Insurance Carrier Org ID]],J399, StandardDeviation_PY[[#All],[Market ID]],2),2)</f>
        <v>0</v>
      </c>
      <c r="P399" s="541" t="str">
        <f t="shared" si="52"/>
        <v>TRUE</v>
      </c>
      <c r="R399" s="217">
        <v>999</v>
      </c>
      <c r="S399" s="234">
        <f>ROUND(SUMIFS(AN_TME_BY[[#All],[TOTAL Truncated Unadjusted Claims Expenses (A21 -A19)]], AN_TME_BY[[#All],[Advanced Network/Insurance Carrier Org ID]],R399, AN_TME_BY[[#All],[Insurance Category Code]], 3)+SUMIFS(AN_TME_BY[[#All],[TOTAL Truncated Unadjusted Claims Expenses (A21 -A19)]], AN_TME_BY[[#All],[Advanced Network/Insurance Carrier Org ID]],R399, AN_TME_BY[[#All],[Insurance Category Code]], 4),2)</f>
        <v>0</v>
      </c>
      <c r="T399" s="222">
        <f>ROUND(SUMIFS(StandardDeviation_BY[[#All],[Total Spending After Truncation]], StandardDeviation_BY[[#All],[Advanced Network/Insurance Carrier Org ID]],R399, StandardDeviation_BY[[#All],[Market ID]],3),2)</f>
        <v>0</v>
      </c>
      <c r="U399" s="544" t="str">
        <f t="shared" si="53"/>
        <v>TRUE</v>
      </c>
      <c r="V399" s="234">
        <f>ROUND(SUMIFS(AN_TME_PY[[#All],[TOTAL Truncated Unadjusted Claims Expenses (A21 -A19)]], AN_TME_PY[[#All],[Advanced Network/Insurance Carrier Org ID]],R399, AN_TME_PY[[#All],[Insurance Category Code]], 3)+SUMIFS(AN_TME_PY[[#All],[TOTAL Truncated Unadjusted Claims Expenses (A21 -A19)]], AN_TME_PY[[#All],[Advanced Network/Insurance Carrier Org ID]],R399, AN_TME_PY[[#All],[Insurance Category Code]], 4),2)</f>
        <v>0</v>
      </c>
      <c r="W399" s="222">
        <f>ROUND(SUMIFS(StandardDeviation_PY[[#All],[Total Spending After Truncation]], StandardDeviation_PY[[#All],[Advanced Network/Insurance Carrier Org ID]],R399, StandardDeviation_PY[[#All],[Market ID]],3),2)</f>
        <v>0</v>
      </c>
      <c r="X399" s="544" t="str">
        <f t="shared" si="54"/>
        <v>TRUE</v>
      </c>
    </row>
    <row r="400" spans="2:24" x14ac:dyDescent="0.25">
      <c r="O400" s="2"/>
      <c r="R400" s="2"/>
    </row>
    <row r="401" spans="2:16" x14ac:dyDescent="0.25">
      <c r="B401" s="318" t="s">
        <v>384</v>
      </c>
    </row>
    <row r="403" spans="2:16" ht="18.75" x14ac:dyDescent="0.3">
      <c r="B403" s="249" t="s">
        <v>425</v>
      </c>
    </row>
    <row r="404" spans="2:16" x14ac:dyDescent="0.25">
      <c r="B404" s="26" t="s">
        <v>426</v>
      </c>
    </row>
    <row r="405" spans="2:16" ht="45" x14ac:dyDescent="0.25">
      <c r="B405" s="32" t="s">
        <v>80</v>
      </c>
      <c r="C405" s="32" t="s">
        <v>427</v>
      </c>
      <c r="D405" s="32" t="s">
        <v>124</v>
      </c>
      <c r="E405" s="32" t="s">
        <v>125</v>
      </c>
      <c r="F405" s="32" t="s">
        <v>127</v>
      </c>
      <c r="G405" s="32" t="s">
        <v>128</v>
      </c>
      <c r="H405" s="32" t="s">
        <v>129</v>
      </c>
      <c r="I405" s="32" t="s">
        <v>130</v>
      </c>
      <c r="J405" s="32" t="s">
        <v>132</v>
      </c>
      <c r="K405" s="32" t="s">
        <v>133</v>
      </c>
      <c r="L405" s="32" t="s">
        <v>134</v>
      </c>
      <c r="M405" s="32" t="s">
        <v>428</v>
      </c>
      <c r="N405" s="301" t="s">
        <v>429</v>
      </c>
      <c r="O405" s="301" t="s">
        <v>430</v>
      </c>
      <c r="P405" s="301" t="s">
        <v>431</v>
      </c>
    </row>
    <row r="406" spans="2:16" x14ac:dyDescent="0.25">
      <c r="B406" s="4">
        <v>1</v>
      </c>
      <c r="C406" s="54" t="str">
        <f>IF(C64&lt;&gt;0,SUMIFS(AN_TME_BY[[#All],[TOTAL Non-Truncated Unadjusted Expenses (A21 + A23)]], AN_TME_BY[[#All],[Insurance Category Code]], B406, AN_TME_BY[[#All],[Advanced Network/Insurance Carrier Org ID]],100)/C64,"NA")</f>
        <v>NA</v>
      </c>
      <c r="D406" s="55" t="str">
        <f>IF(C64&lt;&gt;0,SUMIFS(AN_TME_BY[[#All],[Claims: Hospital Inpatient]], AN_TME_BY[[#All],[Insurance Category Code]], B406, AN_TME_BY[[#All],[Advanced Network/Insurance Carrier Org ID]],100)/C64,"NA")</f>
        <v>NA</v>
      </c>
      <c r="E406" s="55" t="str">
        <f>IF(C64&lt;&gt;0,SUMIFS(AN_TME_BY[[#All],[Claims: Hospital Outpatient]], AN_TME_BY[[#All],[Insurance Category Code]], B406, AN_TME_BY[[#All],[Advanced Network/Insurance Carrier Org ID]],100)/C64,"NA")</f>
        <v>NA</v>
      </c>
      <c r="F406" s="55" t="str">
        <f>IF(C64&lt;&gt;0,SUMIFS(AN_TME_BY[[#All],[Claims: Professional, Primary Care]], AN_TME_BY[[#All],[Insurance Category Code]], B406, AN_TME_BY[[#All],[Advanced Network/Insurance Carrier Org ID]],100)/C64,"NA")</f>
        <v>NA</v>
      </c>
      <c r="G406" s="55" t="str">
        <f>IF(C64&lt;&gt;0,SUMIFS(AN_TME_BY[[#All],[Claims: Professional, Primary Care (for Monitoring Purposes)]], AN_TME_BY[[#All],[Insurance Category Code]], B406, AN_TME_BY[[#All],[Advanced Network/Insurance Carrier Org ID]],100)/C64,"NA")</f>
        <v>NA</v>
      </c>
      <c r="H406" s="55" t="str">
        <f>IF(C64&lt;&gt;0,SUMIFS(AN_TME_BY[[#All],[Claims: Professional, Specialty]], AN_TME_BY[[#All],[Insurance Category Code]], B406, AN_TME_BY[[#All],[Advanced Network/Insurance Carrier Org ID]],100)/C64,"NA")</f>
        <v>NA</v>
      </c>
      <c r="I406" s="55" t="str">
        <f>IF(C64&lt;&gt;0,SUMIFS(AN_TME_BY[[#All],[Claims: Professional Other]], AN_TME_BY[[#All],[Insurance Category Code]], B406, AN_TME_BY[[#All],[Advanced Network/Insurance Carrier Org ID]],100)/C64,"NA")</f>
        <v>NA</v>
      </c>
      <c r="J406" s="54" t="str">
        <f>IF(C64&lt;&gt;0,SUMIFS(AN_TME_BY[[#All],[Claims: Pharmacy]], AN_TME_BY[[#All],[Insurance Category Code]], B406, AN_TME_BY[[#All],[Advanced Network/Insurance Carrier Org ID]],100)/C64,"NA")</f>
        <v>NA</v>
      </c>
      <c r="K406" s="56" t="str">
        <f>IF(C64&lt;&gt;0,SUMIFS(AN_TME_BY[[#All],[Claims: Long-Term Care]], AN_TME_BY[[#All],[Insurance Category Code]], B406, AN_TME_BY[[#All],[Advanced Network/Insurance Carrier Org ID]],100)/C64,"NA")</f>
        <v>NA</v>
      </c>
      <c r="L406" s="56" t="str">
        <f>IF(C64&lt;&gt;0,SUMIFS(AN_TME_BY[[#All],[Claims: Other]], AN_TME_BY[[#All],[Insurance Category Code]], B406, AN_TME_BY[[#All],[Advanced Network/Insurance Carrier Org ID]],100)/C64,"NA")</f>
        <v>NA</v>
      </c>
      <c r="M406" s="56" t="str">
        <f>IF(C64&lt;&gt;0,SUMIFS(AN_TME_BY[[#All],[TOTAL Non-Claims Expenses]], AN_TME_BY[[#All],[Insurance Category Code]], B406, AN_TME_BY[[#All],[Advanced Network/Insurance Carrier Org ID]],100)/C64,"NA")</f>
        <v>NA</v>
      </c>
      <c r="N406" s="221">
        <f>SUMIFS(AN_TME_BY[[#All],[Claims: Pharmacy]], AN_TME_BY[[#All],[Insurance Category Code]], B406, AN_TME_BY[[#All],[Advanced Network/Insurance Carrier Org ID]],100)</f>
        <v>0</v>
      </c>
      <c r="O406" s="221">
        <f>ABS(SUMIF(RX_REBATES_BY[[#All],[Insurance Category Code]], B406, RX_REBATES_BY[[#All],[Total Pharmacy Rebates]]))</f>
        <v>0</v>
      </c>
      <c r="P406" s="9" t="str">
        <f>IF(O406&lt;N406,"No","Yes, please resubmit")</f>
        <v>Yes, please resubmit</v>
      </c>
    </row>
    <row r="407" spans="2:16" x14ac:dyDescent="0.25">
      <c r="B407" s="4">
        <v>2</v>
      </c>
      <c r="C407" s="54" t="str">
        <f>IF(C65&lt;&gt;0,SUMIFS(AN_TME_BY[[#All],[TOTAL Non-Truncated Unadjusted Expenses (A21 + A23)]], AN_TME_BY[[#All],[Insurance Category Code]], B407, AN_TME_BY[[#All],[Advanced Network/Insurance Carrier Org ID]],100)/C65,"NA")</f>
        <v>NA</v>
      </c>
      <c r="D407" s="55" t="str">
        <f>IF(C65&lt;&gt;0,SUMIFS(AN_TME_BY[[#All],[Claims: Hospital Inpatient]], AN_TME_BY[[#All],[Insurance Category Code]], B407, AN_TME_BY[[#All],[Advanced Network/Insurance Carrier Org ID]],100)/C65,"NA")</f>
        <v>NA</v>
      </c>
      <c r="E407" s="55" t="str">
        <f>IF(C65&lt;&gt;0,SUMIFS(AN_TME_BY[[#All],[Claims: Hospital Outpatient]], AN_TME_BY[[#All],[Insurance Category Code]], B407, AN_TME_BY[[#All],[Advanced Network/Insurance Carrier Org ID]],100)/C65,"NA")</f>
        <v>NA</v>
      </c>
      <c r="F407" s="55" t="str">
        <f>IF(C65&lt;&gt;0,SUMIFS(AN_TME_BY[[#All],[Claims: Professional, Primary Care]], AN_TME_BY[[#All],[Insurance Category Code]], B407, AN_TME_BY[[#All],[Advanced Network/Insurance Carrier Org ID]],100)/C65,"NA")</f>
        <v>NA</v>
      </c>
      <c r="G407" s="55" t="str">
        <f>IF(C65&lt;&gt;0,SUMIFS(AN_TME_BY[[#All],[Claims: Professional, Primary Care (for Monitoring Purposes)]], AN_TME_BY[[#All],[Insurance Category Code]], B407, AN_TME_BY[[#All],[Advanced Network/Insurance Carrier Org ID]],100)/C65,"NA")</f>
        <v>NA</v>
      </c>
      <c r="H407" s="55" t="str">
        <f>IF(C65&lt;&gt;0,SUMIFS(AN_TME_BY[[#All],[Claims: Professional, Specialty]], AN_TME_BY[[#All],[Insurance Category Code]], B407, AN_TME_BY[[#All],[Advanced Network/Insurance Carrier Org ID]],100)/C65,"NA")</f>
        <v>NA</v>
      </c>
      <c r="I407" s="55" t="str">
        <f>IF(C65&lt;&gt;0,SUMIFS(AN_TME_BY[[#All],[Claims: Professional Other]], AN_TME_BY[[#All],[Insurance Category Code]], B407, AN_TME_BY[[#All],[Advanced Network/Insurance Carrier Org ID]],100)/C65,"NA")</f>
        <v>NA</v>
      </c>
      <c r="J407" s="54" t="str">
        <f>IF(C65&lt;&gt;0,SUMIFS(AN_TME_BY[[#All],[Claims: Pharmacy]], AN_TME_BY[[#All],[Insurance Category Code]], B407, AN_TME_BY[[#All],[Advanced Network/Insurance Carrier Org ID]],100)/C65,"NA")</f>
        <v>NA</v>
      </c>
      <c r="K407" s="56" t="str">
        <f>IF(C65&lt;&gt;0,SUMIFS(AN_TME_BY[[#All],[Claims: Long-Term Care]], AN_TME_BY[[#All],[Insurance Category Code]], B407, AN_TME_BY[[#All],[Advanced Network/Insurance Carrier Org ID]],100)/C65,"NA")</f>
        <v>NA</v>
      </c>
      <c r="L407" s="56" t="str">
        <f>IF(C65&lt;&gt;0,SUMIFS(AN_TME_BY[[#All],[Claims: Other]], AN_TME_BY[[#All],[Insurance Category Code]], B407, AN_TME_BY[[#All],[Advanced Network/Insurance Carrier Org ID]],100)/C65,"NA")</f>
        <v>NA</v>
      </c>
      <c r="M407" s="56" t="str">
        <f>IF(C65&lt;&gt;0,SUMIFS(AN_TME_BY[[#All],[TOTAL Non-Claims Expenses]], AN_TME_BY[[#All],[Insurance Category Code]], B407, AN_TME_BY[[#All],[Advanced Network/Insurance Carrier Org ID]],100)/C65,"NA")</f>
        <v>NA</v>
      </c>
      <c r="N407" s="221">
        <f>SUMIFS(AN_TME_BY[[#All],[Claims: Pharmacy]], AN_TME_BY[[#All],[Insurance Category Code]], B407, AN_TME_BY[[#All],[Advanced Network/Insurance Carrier Org ID]],100)</f>
        <v>0</v>
      </c>
      <c r="O407" s="221">
        <f>ABS(SUMIF(RX_REBATES_BY[[#All],[Insurance Category Code]], B407, RX_REBATES_BY[[#All],[Total Pharmacy Rebates]]))</f>
        <v>0</v>
      </c>
      <c r="P407" s="9" t="str">
        <f t="shared" ref="P407:P411" si="55">IF(O407&lt;N407,"No","Yes, please resubmit")</f>
        <v>Yes, please resubmit</v>
      </c>
    </row>
    <row r="408" spans="2:16" x14ac:dyDescent="0.25">
      <c r="B408" s="4">
        <v>3</v>
      </c>
      <c r="C408" s="54" t="str">
        <f>IF(C66&lt;&gt;0,SUMIFS(AN_TME_BY[[#All],[TOTAL Non-Truncated Unadjusted Expenses (A21 + A23)]], AN_TME_BY[[#All],[Insurance Category Code]], B408, AN_TME_BY[[#All],[Advanced Network/Insurance Carrier Org ID]],100)/C66,"NA")</f>
        <v>NA</v>
      </c>
      <c r="D408" s="55" t="str">
        <f>IF(C66&lt;&gt;0,SUMIFS(AN_TME_BY[[#All],[Claims: Hospital Inpatient]], AN_TME_BY[[#All],[Insurance Category Code]], B408, AN_TME_BY[[#All],[Advanced Network/Insurance Carrier Org ID]],100)/C66,"NA")</f>
        <v>NA</v>
      </c>
      <c r="E408" s="55" t="str">
        <f>IF(C66&lt;&gt;0,SUMIFS(AN_TME_BY[[#All],[Claims: Hospital Outpatient]], AN_TME_BY[[#All],[Insurance Category Code]], B408, AN_TME_BY[[#All],[Advanced Network/Insurance Carrier Org ID]],100)/C66,"NA")</f>
        <v>NA</v>
      </c>
      <c r="F408" s="55" t="str">
        <f>IF(C66&lt;&gt;0,SUMIFS(AN_TME_BY[[#All],[Claims: Professional, Primary Care]], AN_TME_BY[[#All],[Insurance Category Code]], B408, AN_TME_BY[[#All],[Advanced Network/Insurance Carrier Org ID]],100)/C66,"NA")</f>
        <v>NA</v>
      </c>
      <c r="G408" s="55" t="str">
        <f>IF(C66&lt;&gt;0,SUMIFS(AN_TME_BY[[#All],[Claims: Professional, Primary Care (for Monitoring Purposes)]], AN_TME_BY[[#All],[Insurance Category Code]], B408, AN_TME_BY[[#All],[Advanced Network/Insurance Carrier Org ID]],100)/C66,"NA")</f>
        <v>NA</v>
      </c>
      <c r="H408" s="55" t="str">
        <f>IF(C66&lt;&gt;0,SUMIFS(AN_TME_BY[[#All],[Claims: Professional, Specialty]], AN_TME_BY[[#All],[Insurance Category Code]], B408, AN_TME_BY[[#All],[Advanced Network/Insurance Carrier Org ID]],100)/C66,"NA")</f>
        <v>NA</v>
      </c>
      <c r="I408" s="55" t="str">
        <f>IF(C66&lt;&gt;0,SUMIFS(AN_TME_BY[[#All],[Claims: Professional Other]], AN_TME_BY[[#All],[Insurance Category Code]], B408, AN_TME_BY[[#All],[Advanced Network/Insurance Carrier Org ID]],100)/C66,"NA")</f>
        <v>NA</v>
      </c>
      <c r="J408" s="54" t="str">
        <f>IF(C66&lt;&gt;0,SUMIFS(AN_TME_BY[[#All],[Claims: Pharmacy]], AN_TME_BY[[#All],[Insurance Category Code]], B408, AN_TME_BY[[#All],[Advanced Network/Insurance Carrier Org ID]],100)/C66,"NA")</f>
        <v>NA</v>
      </c>
      <c r="K408" s="56" t="str">
        <f>IF(C66&lt;&gt;0,SUMIFS(AN_TME_BY[[#All],[Claims: Long-Term Care]], AN_TME_BY[[#All],[Insurance Category Code]], B408, AN_TME_BY[[#All],[Advanced Network/Insurance Carrier Org ID]],100)/C66,"NA")</f>
        <v>NA</v>
      </c>
      <c r="L408" s="56" t="str">
        <f>IF(C66&lt;&gt;0,SUMIFS(AN_TME_BY[[#All],[Claims: Other]], AN_TME_BY[[#All],[Insurance Category Code]], B408, AN_TME_BY[[#All],[Advanced Network/Insurance Carrier Org ID]],100)/C66,"NA")</f>
        <v>NA</v>
      </c>
      <c r="M408" s="56" t="str">
        <f>IF(C66&lt;&gt;0,SUMIFS(AN_TME_BY[[#All],[TOTAL Non-Claims Expenses]], AN_TME_BY[[#All],[Insurance Category Code]], B408, AN_TME_BY[[#All],[Advanced Network/Insurance Carrier Org ID]],100)/C66,"NA")</f>
        <v>NA</v>
      </c>
      <c r="N408" s="221">
        <f>SUMIFS(AN_TME_BY[[#All],[Claims: Pharmacy]], AN_TME_BY[[#All],[Insurance Category Code]], B408, AN_TME_BY[[#All],[Advanced Network/Insurance Carrier Org ID]],100)</f>
        <v>0</v>
      </c>
      <c r="O408" s="221">
        <f>ABS(SUMIF(RX_REBATES_BY[[#All],[Insurance Category Code]], B408, RX_REBATES_BY[[#All],[Total Pharmacy Rebates]]))</f>
        <v>0</v>
      </c>
      <c r="P408" s="9" t="str">
        <f t="shared" si="55"/>
        <v>Yes, please resubmit</v>
      </c>
    </row>
    <row r="409" spans="2:16" x14ac:dyDescent="0.25">
      <c r="B409" s="4">
        <v>4</v>
      </c>
      <c r="C409" s="54" t="str">
        <f>IF(C67&lt;&gt;0,SUMIFS(AN_TME_BY[[#All],[TOTAL Non-Truncated Unadjusted Expenses (A21 + A23)]], AN_TME_BY[[#All],[Insurance Category Code]], B409, AN_TME_BY[[#All],[Advanced Network/Insurance Carrier Org ID]],100)/C67,"NA")</f>
        <v>NA</v>
      </c>
      <c r="D409" s="55" t="str">
        <f>IF(C67&lt;&gt;0,SUMIFS(AN_TME_BY[[#All],[Claims: Hospital Inpatient]], AN_TME_BY[[#All],[Insurance Category Code]], B409, AN_TME_BY[[#All],[Advanced Network/Insurance Carrier Org ID]],100)/C67,"NA")</f>
        <v>NA</v>
      </c>
      <c r="E409" s="55" t="str">
        <f>IF(C67&lt;&gt;0,SUMIFS(AN_TME_BY[[#All],[Claims: Hospital Outpatient]], AN_TME_BY[[#All],[Insurance Category Code]], B409, AN_TME_BY[[#All],[Advanced Network/Insurance Carrier Org ID]],100)/C67,"NA")</f>
        <v>NA</v>
      </c>
      <c r="F409" s="55" t="str">
        <f>IF(C67&lt;&gt;0,SUMIFS(AN_TME_BY[[#All],[Claims: Professional, Primary Care]], AN_TME_BY[[#All],[Insurance Category Code]], B409, AN_TME_BY[[#All],[Advanced Network/Insurance Carrier Org ID]],100)/C67,"NA")</f>
        <v>NA</v>
      </c>
      <c r="G409" s="55" t="str">
        <f>IF(C67&lt;&gt;0,SUMIFS(AN_TME_BY[[#All],[Claims: Professional, Primary Care (for Monitoring Purposes)]], AN_TME_BY[[#All],[Insurance Category Code]], B409, AN_TME_BY[[#All],[Advanced Network/Insurance Carrier Org ID]],100)/C67,"NA")</f>
        <v>NA</v>
      </c>
      <c r="H409" s="55" t="str">
        <f>IF(C67&lt;&gt;0,SUMIFS(AN_TME_BY[[#All],[Claims: Professional, Specialty]], AN_TME_BY[[#All],[Insurance Category Code]], B409, AN_TME_BY[[#All],[Advanced Network/Insurance Carrier Org ID]],100)/C67,"NA")</f>
        <v>NA</v>
      </c>
      <c r="I409" s="55" t="str">
        <f>IF(C67&lt;&gt;0,SUMIFS(AN_TME_BY[[#All],[Claims: Professional Other]], AN_TME_BY[[#All],[Insurance Category Code]], B409, AN_TME_BY[[#All],[Advanced Network/Insurance Carrier Org ID]],100)/C67,"NA")</f>
        <v>NA</v>
      </c>
      <c r="J409" s="54" t="str">
        <f>IF(C67&lt;&gt;0,SUMIFS(AN_TME_BY[[#All],[Claims: Pharmacy]], AN_TME_BY[[#All],[Insurance Category Code]], B409, AN_TME_BY[[#All],[Advanced Network/Insurance Carrier Org ID]],100)/C67,"NA")</f>
        <v>NA</v>
      </c>
      <c r="K409" s="56" t="str">
        <f>IF(C67&lt;&gt;0,SUMIFS(AN_TME_BY[[#All],[Claims: Long-Term Care]], AN_TME_BY[[#All],[Insurance Category Code]], B409, AN_TME_BY[[#All],[Advanced Network/Insurance Carrier Org ID]],100)/C67,"NA")</f>
        <v>NA</v>
      </c>
      <c r="L409" s="56" t="str">
        <f>IF(C67&lt;&gt;0,SUMIFS(AN_TME_BY[[#All],[Claims: Other]], AN_TME_BY[[#All],[Insurance Category Code]], B409, AN_TME_BY[[#All],[Advanced Network/Insurance Carrier Org ID]],100)/C67,"NA")</f>
        <v>NA</v>
      </c>
      <c r="M409" s="56" t="str">
        <f>IF(C67&lt;&gt;0,SUMIFS(AN_TME_BY[[#All],[TOTAL Non-Claims Expenses]], AN_TME_BY[[#All],[Insurance Category Code]], B409, AN_TME_BY[[#All],[Advanced Network/Insurance Carrier Org ID]],100)/C67,"NA")</f>
        <v>NA</v>
      </c>
      <c r="N409" s="221">
        <f>SUMIFS(AN_TME_BY[[#All],[Claims: Pharmacy]], AN_TME_BY[[#All],[Insurance Category Code]], B409, AN_TME_BY[[#All],[Advanced Network/Insurance Carrier Org ID]],100)</f>
        <v>0</v>
      </c>
      <c r="O409" s="221">
        <f>ABS(SUMIF(RX_REBATES_BY[[#All],[Insurance Category Code]], B409, RX_REBATES_BY[[#All],[Total Pharmacy Rebates]]))</f>
        <v>0</v>
      </c>
      <c r="P409" s="9" t="str">
        <f t="shared" si="55"/>
        <v>Yes, please resubmit</v>
      </c>
    </row>
    <row r="410" spans="2:16" x14ac:dyDescent="0.25">
      <c r="B410" s="4">
        <v>5</v>
      </c>
      <c r="C410" s="54" t="str">
        <f>IF(C68&lt;&gt;0,SUMIFS(AN_TME_BY[[#All],[TOTAL Non-Truncated Unadjusted Expenses (A21 + A23)]], AN_TME_BY[[#All],[Insurance Category Code]], B410, AN_TME_BY[[#All],[Advanced Network/Insurance Carrier Org ID]],100)/C68,"NA")</f>
        <v>NA</v>
      </c>
      <c r="D410" s="55" t="str">
        <f>IF(C68&lt;&gt;0,SUMIFS(AN_TME_BY[[#All],[Claims: Hospital Inpatient]], AN_TME_BY[[#All],[Insurance Category Code]], B410, AN_TME_BY[[#All],[Advanced Network/Insurance Carrier Org ID]],100)/C68,"NA")</f>
        <v>NA</v>
      </c>
      <c r="E410" s="55" t="str">
        <f>IF(C68&lt;&gt;0,SUMIFS(AN_TME_BY[[#All],[Claims: Hospital Outpatient]], AN_TME_BY[[#All],[Insurance Category Code]], B410, AN_TME_BY[[#All],[Advanced Network/Insurance Carrier Org ID]],100)/C68,"NA")</f>
        <v>NA</v>
      </c>
      <c r="F410" s="55" t="str">
        <f>IF(C68&lt;&gt;0,SUMIFS(AN_TME_BY[[#All],[Claims: Professional, Primary Care]], AN_TME_BY[[#All],[Insurance Category Code]], B410, AN_TME_BY[[#All],[Advanced Network/Insurance Carrier Org ID]],100)/C68,"NA")</f>
        <v>NA</v>
      </c>
      <c r="G410" s="55" t="str">
        <f>IF(C68&lt;&gt;0,SUMIFS(AN_TME_BY[[#All],[Claims: Professional, Primary Care (for Monitoring Purposes)]], AN_TME_BY[[#All],[Insurance Category Code]], B410, AN_TME_BY[[#All],[Advanced Network/Insurance Carrier Org ID]],100)/C68,"NA")</f>
        <v>NA</v>
      </c>
      <c r="H410" s="55" t="str">
        <f>IF(C68&lt;&gt;0,SUMIFS(AN_TME_BY[[#All],[Claims: Professional, Specialty]], AN_TME_BY[[#All],[Insurance Category Code]], B410, AN_TME_BY[[#All],[Advanced Network/Insurance Carrier Org ID]],100)/C68,"NA")</f>
        <v>NA</v>
      </c>
      <c r="I410" s="55" t="str">
        <f>IF(C68&lt;&gt;0,SUMIFS(AN_TME_BY[[#All],[Claims: Professional Other]], AN_TME_BY[[#All],[Insurance Category Code]], B410, AN_TME_BY[[#All],[Advanced Network/Insurance Carrier Org ID]],100)/C68,"NA")</f>
        <v>NA</v>
      </c>
      <c r="J410" s="54" t="str">
        <f>IF(C68&lt;&gt;0,SUMIFS(AN_TME_BY[[#All],[Claims: Pharmacy]], AN_TME_BY[[#All],[Insurance Category Code]], B410, AN_TME_BY[[#All],[Advanced Network/Insurance Carrier Org ID]],100)/C68,"NA")</f>
        <v>NA</v>
      </c>
      <c r="K410" s="56" t="str">
        <f>IF(C68&lt;&gt;0,SUMIFS(AN_TME_BY[[#All],[Claims: Long-Term Care]], AN_TME_BY[[#All],[Insurance Category Code]], B410, AN_TME_BY[[#All],[Advanced Network/Insurance Carrier Org ID]],100)/C68,"NA")</f>
        <v>NA</v>
      </c>
      <c r="L410" s="56" t="str">
        <f>IF(C68&lt;&gt;0,SUMIFS(AN_TME_BY[[#All],[Claims: Other]], AN_TME_BY[[#All],[Insurance Category Code]], B410, AN_TME_BY[[#All],[Advanced Network/Insurance Carrier Org ID]],100)/C68,"NA")</f>
        <v>NA</v>
      </c>
      <c r="M410" s="56" t="str">
        <f>IF(C68&lt;&gt;0,SUMIFS(AN_TME_BY[[#All],[TOTAL Non-Claims Expenses]], AN_TME_BY[[#All],[Insurance Category Code]], B410, AN_TME_BY[[#All],[Advanced Network/Insurance Carrier Org ID]],100)/C68,"NA")</f>
        <v>NA</v>
      </c>
      <c r="N410" s="221">
        <f>SUMIFS(AN_TME_BY[[#All],[Claims: Pharmacy]], AN_TME_BY[[#All],[Insurance Category Code]], B410, AN_TME_BY[[#All],[Advanced Network/Insurance Carrier Org ID]],100)</f>
        <v>0</v>
      </c>
      <c r="O410" s="221">
        <f>ABS(SUMIF(RX_REBATES_BY[[#All],[Insurance Category Code]], B410, RX_REBATES_BY[[#All],[Total Pharmacy Rebates]]))</f>
        <v>0</v>
      </c>
      <c r="P410" s="9" t="str">
        <f t="shared" si="55"/>
        <v>Yes, please resubmit</v>
      </c>
    </row>
    <row r="411" spans="2:16" ht="15.75" thickBot="1" x14ac:dyDescent="0.3">
      <c r="B411" s="4">
        <v>6</v>
      </c>
      <c r="C411" s="54" t="str">
        <f>IF(C69&lt;&gt;0,SUMIFS(AN_TME_BY[[#All],[TOTAL Non-Truncated Unadjusted Expenses (A21 + A23)]], AN_TME_BY[[#All],[Insurance Category Code]], B411, AN_TME_BY[[#All],[Advanced Network/Insurance Carrier Org ID]],100)/C69,"NA")</f>
        <v>NA</v>
      </c>
      <c r="D411" s="55" t="str">
        <f>IF(C69&lt;&gt;0,SUMIFS(AN_TME_BY[[#All],[Claims: Hospital Inpatient]], AN_TME_BY[[#All],[Insurance Category Code]], B411, AN_TME_BY[[#All],[Advanced Network/Insurance Carrier Org ID]],100)/C69,"NA")</f>
        <v>NA</v>
      </c>
      <c r="E411" s="55" t="str">
        <f>IF(C69&lt;&gt;0,SUMIFS(AN_TME_BY[[#All],[Claims: Hospital Outpatient]], AN_TME_BY[[#All],[Insurance Category Code]], B411, AN_TME_BY[[#All],[Advanced Network/Insurance Carrier Org ID]],100)/C69,"NA")</f>
        <v>NA</v>
      </c>
      <c r="F411" s="55" t="str">
        <f>IF(C69&lt;&gt;0,SUMIFS(AN_TME_BY[[#All],[Claims: Professional, Primary Care]], AN_TME_BY[[#All],[Insurance Category Code]], B411, AN_TME_BY[[#All],[Advanced Network/Insurance Carrier Org ID]],100)/C69,"NA")</f>
        <v>NA</v>
      </c>
      <c r="G411" s="55" t="str">
        <f>IF(C69&lt;&gt;0,SUMIFS(AN_TME_BY[[#All],[Claims: Professional, Primary Care (for Monitoring Purposes)]], AN_TME_BY[[#All],[Insurance Category Code]], B411, AN_TME_BY[[#All],[Advanced Network/Insurance Carrier Org ID]],100)/C69,"NA")</f>
        <v>NA</v>
      </c>
      <c r="H411" s="55" t="str">
        <f>IF(C69&lt;&gt;0,SUMIFS(AN_TME_BY[[#All],[Claims: Professional, Specialty]], AN_TME_BY[[#All],[Insurance Category Code]], B411, AN_TME_BY[[#All],[Advanced Network/Insurance Carrier Org ID]],100)/C69,"NA")</f>
        <v>NA</v>
      </c>
      <c r="I411" s="55" t="str">
        <f>IF(C69&lt;&gt;0,SUMIFS(AN_TME_BY[[#All],[Claims: Professional Other]], AN_TME_BY[[#All],[Insurance Category Code]], B411, AN_TME_BY[[#All],[Advanced Network/Insurance Carrier Org ID]],100)/C69,"NA")</f>
        <v>NA</v>
      </c>
      <c r="J411" s="54" t="str">
        <f>IF(C69&lt;&gt;0,SUMIFS(AN_TME_BY[[#All],[Claims: Pharmacy]], AN_TME_BY[[#All],[Insurance Category Code]], B411, AN_TME_BY[[#All],[Advanced Network/Insurance Carrier Org ID]],100)/C69,"NA")</f>
        <v>NA</v>
      </c>
      <c r="K411" s="56" t="str">
        <f>IF(C69&lt;&gt;0,SUMIFS(AN_TME_BY[[#All],[Claims: Long-Term Care]], AN_TME_BY[[#All],[Insurance Category Code]], B411, AN_TME_BY[[#All],[Advanced Network/Insurance Carrier Org ID]],100)/C69,"NA")</f>
        <v>NA</v>
      </c>
      <c r="L411" s="56" t="str">
        <f>IF(C69&lt;&gt;0,SUMIFS(AN_TME_BY[[#All],[Claims: Other]], AN_TME_BY[[#All],[Insurance Category Code]], B411, AN_TME_BY[[#All],[Advanced Network/Insurance Carrier Org ID]],100)/C69,"NA")</f>
        <v>NA</v>
      </c>
      <c r="M411" s="56" t="str">
        <f>IF(C69&lt;&gt;0,SUMIFS(AN_TME_BY[[#All],[TOTAL Non-Claims Expenses]], AN_TME_BY[[#All],[Insurance Category Code]], B411, AN_TME_BY[[#All],[Advanced Network/Insurance Carrier Org ID]],100)/C69,"NA")</f>
        <v>NA</v>
      </c>
      <c r="N411" s="276">
        <f>SUMIFS(AN_TME_BY[[#All],[Claims: Pharmacy]], AN_TME_BY[[#All],[Insurance Category Code]], B411, AN_TME_BY[[#All],[Advanced Network/Insurance Carrier Org ID]],100)</f>
        <v>0</v>
      </c>
      <c r="O411" s="276">
        <f>ABS(SUMIF(RX_REBATES_BY[[#All],[Insurance Category Code]], B411, RX_REBATES_BY[[#All],[Total Pharmacy Rebates]]))</f>
        <v>0</v>
      </c>
      <c r="P411" s="277" t="str">
        <f t="shared" si="55"/>
        <v>Yes, please resubmit</v>
      </c>
    </row>
    <row r="412" spans="2:16" ht="66.95" customHeight="1" thickBot="1" x14ac:dyDescent="0.3">
      <c r="B412" s="33" t="s">
        <v>432</v>
      </c>
      <c r="C412" s="57" t="str">
        <f t="shared" ref="C412:M412" si="56">IFERROR(IF(ABS(C409/C408-1)&lt;10%,"No","Yes"), "NA")</f>
        <v>NA</v>
      </c>
      <c r="D412" s="57" t="str">
        <f t="shared" si="56"/>
        <v>NA</v>
      </c>
      <c r="E412" s="57" t="str">
        <f t="shared" si="56"/>
        <v>NA</v>
      </c>
      <c r="F412" s="57" t="str">
        <f t="shared" si="56"/>
        <v>NA</v>
      </c>
      <c r="G412" s="57" t="str">
        <f t="shared" si="56"/>
        <v>NA</v>
      </c>
      <c r="H412" s="57" t="str">
        <f t="shared" si="56"/>
        <v>NA</v>
      </c>
      <c r="I412" s="57" t="str">
        <f t="shared" si="56"/>
        <v>NA</v>
      </c>
      <c r="J412" s="57" t="str">
        <f t="shared" si="56"/>
        <v>NA</v>
      </c>
      <c r="K412" s="58" t="str">
        <f t="shared" si="56"/>
        <v>NA</v>
      </c>
      <c r="L412" s="58" t="str">
        <f t="shared" si="56"/>
        <v>NA</v>
      </c>
      <c r="M412" s="275" t="str">
        <f t="shared" si="56"/>
        <v>NA</v>
      </c>
      <c r="N412" s="278" t="s">
        <v>46</v>
      </c>
      <c r="O412" s="279" t="s">
        <v>46</v>
      </c>
      <c r="P412" s="280" t="s">
        <v>46</v>
      </c>
    </row>
    <row r="414" spans="2:16" x14ac:dyDescent="0.25">
      <c r="B414" s="318" t="s">
        <v>384</v>
      </c>
    </row>
    <row r="416" spans="2:16" ht="18.75" x14ac:dyDescent="0.3">
      <c r="B416" s="249" t="s">
        <v>433</v>
      </c>
    </row>
    <row r="417" spans="2:16" x14ac:dyDescent="0.25">
      <c r="B417" s="26" t="s">
        <v>426</v>
      </c>
      <c r="I417" s="14"/>
    </row>
    <row r="418" spans="2:16" ht="45" x14ac:dyDescent="0.25">
      <c r="B418" s="32" t="s">
        <v>80</v>
      </c>
      <c r="C418" s="32" t="s">
        <v>427</v>
      </c>
      <c r="D418" s="32" t="s">
        <v>124</v>
      </c>
      <c r="E418" s="32" t="s">
        <v>125</v>
      </c>
      <c r="F418" s="32" t="s">
        <v>127</v>
      </c>
      <c r="G418" s="32" t="s">
        <v>128</v>
      </c>
      <c r="H418" s="32" t="s">
        <v>129</v>
      </c>
      <c r="I418" s="32" t="s">
        <v>130</v>
      </c>
      <c r="J418" s="32" t="s">
        <v>132</v>
      </c>
      <c r="K418" s="32" t="s">
        <v>133</v>
      </c>
      <c r="L418" s="32" t="s">
        <v>134</v>
      </c>
      <c r="M418" s="32" t="s">
        <v>428</v>
      </c>
      <c r="N418" s="301" t="s">
        <v>429</v>
      </c>
      <c r="O418" s="301" t="s">
        <v>430</v>
      </c>
      <c r="P418" s="301" t="s">
        <v>431</v>
      </c>
    </row>
    <row r="419" spans="2:16" x14ac:dyDescent="0.25">
      <c r="B419" s="4">
        <v>1</v>
      </c>
      <c r="C419" s="54" t="str">
        <f>IF(G64&lt;&gt;0,SUMIFS(AN_TME_PY[[#All],[TOTAL Non-Truncated Unadjusted Expenses (A21 + A23)]], AN_TME_PY[[#All],[Insurance Category Code]], B406, AN_TME_PY[[#All],[Advanced Network/Insurance Carrier Org ID]],100)/G64,"NA")</f>
        <v>NA</v>
      </c>
      <c r="D419" s="55" t="str">
        <f>IF(G64&lt;&gt;0,SUMIFS(AN_TME_PY[[#All],[Claims: Hospital Inpatient]], AN_TME_PY[[#All],[Insurance Category Code]], B406, AN_TME_PY[[#All],[Advanced Network/Insurance Carrier Org ID]],100)/G64,"NA")</f>
        <v>NA</v>
      </c>
      <c r="E419" s="55" t="str">
        <f>IF(G64&lt;&gt;0,SUMIFS(AN_TME_PY[[#All],[Claims: Hospital Outpatient]], AN_TME_PY[[#All],[Insurance Category Code]], B406, AN_TME_PY[[#All],[Advanced Network/Insurance Carrier Org ID]],100)/G64,"NA")</f>
        <v>NA</v>
      </c>
      <c r="F419" s="55" t="str">
        <f>IF(G64&lt;&gt;0,SUMIFS(AN_TME_PY[[#All],[Claims: Professional, Primary Care]], AN_TME_PY[[#All],[Insurance Category Code]], B406, AN_TME_PY[[#All],[Advanced Network/Insurance Carrier Org ID]],100)/G64,"NA")</f>
        <v>NA</v>
      </c>
      <c r="G419" s="55" t="str">
        <f>IF(G64&lt;&gt;0,SUMIFS(AN_TME_PY[[#All],[Claims: Professional, Primary Care (for Monitoring Purposes)]], AN_TME_PY[[#All],[Insurance Category Code]], B406, AN_TME_PY[[#All],[Advanced Network/Insurance Carrier Org ID]],100)/G64,"NA")</f>
        <v>NA</v>
      </c>
      <c r="H419" s="55" t="str">
        <f>IF(G64&lt;&gt;0,SUMIFS(AN_TME_PY[[#All],[Claims: Professional, Specialty]], AN_TME_PY[[#All],[Insurance Category Code]], B406, AN_TME_PY[[#All],[Advanced Network/Insurance Carrier Org ID]],100)/G64,"NA")</f>
        <v>NA</v>
      </c>
      <c r="I419" s="55" t="str">
        <f>IF(G64&lt;&gt;0,SUMIFS(AN_TME_PY[[#All],[Claims: Professional Other]], AN_TME_PY[[#All],[Insurance Category Code]], B406, AN_TME_PY[[#All],[Advanced Network/Insurance Carrier Org ID]],100)/G64,"NA")</f>
        <v>NA</v>
      </c>
      <c r="J419" s="54" t="str">
        <f>IF(G64&lt;&gt;0,SUMIFS(AN_TME_PY[[#All],[Claims: Pharmacy]], AN_TME_PY[[#All],[Insurance Category Code]], B406, AN_TME_PY[[#All],[Advanced Network/Insurance Carrier Org ID]],100)/G64,"NA")</f>
        <v>NA</v>
      </c>
      <c r="K419" s="56" t="str">
        <f>IF(G64&lt;&gt;0,SUMIFS(AN_TME_PY[[#All],[Claims: Long-Term Care]], AN_TME_PY[[#All],[Insurance Category Code]], B406, AN_TME_PY[[#All],[Advanced Network/Insurance Carrier Org ID]],100)/G64,"NA")</f>
        <v>NA</v>
      </c>
      <c r="L419" s="56" t="str">
        <f>IF(G64&lt;&gt;0,SUMIFS(AN_TME_PY[[#All],[Claims: Other]], AN_TME_PY[[#All],[Insurance Category Code]], B406, AN_TME_PY[[#All],[Advanced Network/Insurance Carrier Org ID]],100)/G64,"NA")</f>
        <v>NA</v>
      </c>
      <c r="M419" s="56" t="str">
        <f>IF(G64&lt;&gt;0,SUMIFS(AN_TME_PY[[#All],[TOTAL Non-Claims Expenses]], AN_TME_PY[[#All],[Insurance Category Code]], B406, AN_TME_PY[[#All],[Advanced Network/Insurance Carrier Org ID]],100)/G64,"NA")</f>
        <v>NA</v>
      </c>
      <c r="N419" s="221">
        <f>SUMIFS(AN_TME_PY[[#All],[Claims: Pharmacy]], AN_TME_PY[[#All],[Insurance Category Code]], B419, AN_TME_PY[[#All],[Advanced Network/Insurance Carrier Org ID]],100)</f>
        <v>0</v>
      </c>
      <c r="O419" s="221">
        <f>ABS(SUMIF(RX_REBATES_PY[[#All],[Insurance Category Code]], B419, RX_REBATES_PY[[#All],[Total Pharmacy Rebates]]))</f>
        <v>0</v>
      </c>
      <c r="P419" s="9" t="str">
        <f>IF(O419&lt;N419,"No","Yes, please resubmit")</f>
        <v>Yes, please resubmit</v>
      </c>
    </row>
    <row r="420" spans="2:16" x14ac:dyDescent="0.25">
      <c r="B420" s="4">
        <v>2</v>
      </c>
      <c r="C420" s="54" t="str">
        <f>IF(G65&lt;&gt;0,SUMIFS(AN_TME_PY[[#All],[TOTAL Non-Truncated Unadjusted Expenses (A21 + A23)]], AN_TME_PY[[#All],[Insurance Category Code]], B407, AN_TME_PY[[#All],[Advanced Network/Insurance Carrier Org ID]],100)/G65,"NA")</f>
        <v>NA</v>
      </c>
      <c r="D420" s="55" t="str">
        <f>IF(G65&lt;&gt;0,SUMIFS(AN_TME_PY[[#All],[Claims: Hospital Inpatient]], AN_TME_PY[[#All],[Insurance Category Code]], B407, AN_TME_PY[[#All],[Advanced Network/Insurance Carrier Org ID]],100)/G65,"NA")</f>
        <v>NA</v>
      </c>
      <c r="E420" s="55" t="str">
        <f>IF(G65&lt;&gt;0,SUMIFS(AN_TME_PY[[#All],[Claims: Hospital Outpatient]], AN_TME_PY[[#All],[Insurance Category Code]], B407, AN_TME_PY[[#All],[Advanced Network/Insurance Carrier Org ID]],100)/G65,"NA")</f>
        <v>NA</v>
      </c>
      <c r="F420" s="55" t="str">
        <f>IF(G65&lt;&gt;0,SUMIFS(AN_TME_PY[[#All],[Claims: Professional, Primary Care]], AN_TME_PY[[#All],[Insurance Category Code]], B407, AN_TME_PY[[#All],[Advanced Network/Insurance Carrier Org ID]],100)/G65,"NA")</f>
        <v>NA</v>
      </c>
      <c r="G420" s="55" t="str">
        <f>IF(G65&lt;&gt;0,SUMIFS(AN_TME_PY[[#All],[Claims: Professional, Primary Care (for Monitoring Purposes)]], AN_TME_PY[[#All],[Insurance Category Code]], B407, AN_TME_PY[[#All],[Advanced Network/Insurance Carrier Org ID]],100)/G65,"NA")</f>
        <v>NA</v>
      </c>
      <c r="H420" s="55" t="str">
        <f>IF(G65&lt;&gt;0,SUMIFS(AN_TME_PY[[#All],[Claims: Professional, Specialty]], AN_TME_PY[[#All],[Insurance Category Code]], B407, AN_TME_PY[[#All],[Advanced Network/Insurance Carrier Org ID]],100)/G65,"NA")</f>
        <v>NA</v>
      </c>
      <c r="I420" s="55" t="str">
        <f>IF(G65&lt;&gt;0,SUMIFS(AN_TME_PY[[#All],[Claims: Professional Other]], AN_TME_PY[[#All],[Insurance Category Code]], B407, AN_TME_PY[[#All],[Advanced Network/Insurance Carrier Org ID]],100)/G65,"NA")</f>
        <v>NA</v>
      </c>
      <c r="J420" s="54" t="str">
        <f>IF(G65&lt;&gt;0,SUMIFS(AN_TME_PY[[#All],[Claims: Pharmacy]], AN_TME_PY[[#All],[Insurance Category Code]], B407, AN_TME_PY[[#All],[Advanced Network/Insurance Carrier Org ID]],100)/G65,"NA")</f>
        <v>NA</v>
      </c>
      <c r="K420" s="56" t="str">
        <f>IF(G65&lt;&gt;0,SUMIFS(AN_TME_PY[[#All],[Claims: Long-Term Care]], AN_TME_PY[[#All],[Insurance Category Code]], B407, AN_TME_PY[[#All],[Advanced Network/Insurance Carrier Org ID]],100)/G65,"NA")</f>
        <v>NA</v>
      </c>
      <c r="L420" s="56" t="str">
        <f>IF(G65&lt;&gt;0,SUMIFS(AN_TME_PY[[#All],[Claims: Other]], AN_TME_PY[[#All],[Insurance Category Code]], B407, AN_TME_PY[[#All],[Advanced Network/Insurance Carrier Org ID]],100)/G65,"NA")</f>
        <v>NA</v>
      </c>
      <c r="M420" s="56" t="str">
        <f>IF(G65&lt;&gt;0,SUMIFS(AN_TME_PY[[#All],[TOTAL Non-Claims Expenses]], AN_TME_PY[[#All],[Insurance Category Code]], B407, AN_TME_PY[[#All],[Advanced Network/Insurance Carrier Org ID]],100)/G65,"NA")</f>
        <v>NA</v>
      </c>
      <c r="N420" s="221">
        <f>SUMIFS(AN_TME_PY[[#All],[Claims: Pharmacy]], AN_TME_PY[[#All],[Insurance Category Code]], B420, AN_TME_PY[[#All],[Advanced Network/Insurance Carrier Org ID]],100)</f>
        <v>0</v>
      </c>
      <c r="O420" s="221">
        <f>ABS(SUMIF(RX_REBATES_PY[[#All],[Insurance Category Code]], B420, RX_REBATES_PY[[#All],[Total Pharmacy Rebates]]))</f>
        <v>0</v>
      </c>
      <c r="P420" s="9" t="str">
        <f t="shared" ref="P420:P424" si="57">IF(O420&lt;N420,"No","Yes, please resubmit")</f>
        <v>Yes, please resubmit</v>
      </c>
    </row>
    <row r="421" spans="2:16" x14ac:dyDescent="0.25">
      <c r="B421" s="4">
        <v>3</v>
      </c>
      <c r="C421" s="54" t="str">
        <f>IF(G66&lt;&gt;0,SUMIFS(AN_TME_PY[[#All],[TOTAL Non-Truncated Unadjusted Expenses (A21 + A23)]], AN_TME_PY[[#All],[Insurance Category Code]], B408, AN_TME_PY[[#All],[Advanced Network/Insurance Carrier Org ID]],100)/G66,"NA")</f>
        <v>NA</v>
      </c>
      <c r="D421" s="55" t="str">
        <f>IF(G66&lt;&gt;0,SUMIFS(AN_TME_PY[[#All],[Claims: Hospital Inpatient]], AN_TME_PY[[#All],[Insurance Category Code]], B408, AN_TME_PY[[#All],[Advanced Network/Insurance Carrier Org ID]],100)/G66,"NA")</f>
        <v>NA</v>
      </c>
      <c r="E421" s="55" t="str">
        <f>IF(G66&lt;&gt;0,SUMIFS(AN_TME_PY[[#All],[Claims: Hospital Outpatient]], AN_TME_PY[[#All],[Insurance Category Code]], B408, AN_TME_PY[[#All],[Advanced Network/Insurance Carrier Org ID]],100)/G66,"NA")</f>
        <v>NA</v>
      </c>
      <c r="F421" s="55" t="str">
        <f>IF(G66&lt;&gt;0,SUMIFS(AN_TME_PY[[#All],[Claims: Professional, Primary Care]], AN_TME_PY[[#All],[Insurance Category Code]], B408, AN_TME_PY[[#All],[Advanced Network/Insurance Carrier Org ID]],100)/G66,"NA")</f>
        <v>NA</v>
      </c>
      <c r="G421" s="55" t="str">
        <f>IF(G66&lt;&gt;0,SUMIFS(AN_TME_PY[[#All],[Claims: Professional, Primary Care (for Monitoring Purposes)]], AN_TME_PY[[#All],[Insurance Category Code]], B408, AN_TME_PY[[#All],[Advanced Network/Insurance Carrier Org ID]],100)/G66,"NA")</f>
        <v>NA</v>
      </c>
      <c r="H421" s="55" t="str">
        <f>IF(G66&lt;&gt;0,SUMIFS(AN_TME_PY[[#All],[Claims: Professional, Specialty]], AN_TME_PY[[#All],[Insurance Category Code]], B408, AN_TME_PY[[#All],[Advanced Network/Insurance Carrier Org ID]],100)/G66,"NA")</f>
        <v>NA</v>
      </c>
      <c r="I421" s="55" t="str">
        <f>IF(G66&lt;&gt;0,SUMIFS(AN_TME_PY[[#All],[Claims: Professional Other]], AN_TME_PY[[#All],[Insurance Category Code]], B408, AN_TME_PY[[#All],[Advanced Network/Insurance Carrier Org ID]],100)/G66,"NA")</f>
        <v>NA</v>
      </c>
      <c r="J421" s="54" t="str">
        <f>IF(G66&lt;&gt;0,SUMIFS(AN_TME_PY[[#All],[Claims: Pharmacy]], AN_TME_PY[[#All],[Insurance Category Code]], B408, AN_TME_PY[[#All],[Advanced Network/Insurance Carrier Org ID]],100)/G66,"NA")</f>
        <v>NA</v>
      </c>
      <c r="K421" s="56" t="str">
        <f>IF(G66&lt;&gt;0,SUMIFS(AN_TME_PY[[#All],[Claims: Long-Term Care]], AN_TME_PY[[#All],[Insurance Category Code]], B408, AN_TME_PY[[#All],[Advanced Network/Insurance Carrier Org ID]],100)/G66,"NA")</f>
        <v>NA</v>
      </c>
      <c r="L421" s="56" t="str">
        <f>IF(G66&lt;&gt;0,SUMIFS(AN_TME_PY[[#All],[Claims: Other]], AN_TME_PY[[#All],[Insurance Category Code]], B408, AN_TME_PY[[#All],[Advanced Network/Insurance Carrier Org ID]],100)/G66,"NA")</f>
        <v>NA</v>
      </c>
      <c r="M421" s="56" t="str">
        <f>IF(G66&lt;&gt;0,SUMIFS(AN_TME_PY[[#All],[TOTAL Non-Claims Expenses]], AN_TME_PY[[#All],[Insurance Category Code]], B408, AN_TME_PY[[#All],[Advanced Network/Insurance Carrier Org ID]],100)/G66,"NA")</f>
        <v>NA</v>
      </c>
      <c r="N421" s="221">
        <f>SUMIFS(AN_TME_PY[[#All],[Claims: Pharmacy]], AN_TME_PY[[#All],[Insurance Category Code]], B421, AN_TME_PY[[#All],[Advanced Network/Insurance Carrier Org ID]],100)</f>
        <v>0</v>
      </c>
      <c r="O421" s="221">
        <f>ABS(SUMIF(RX_REBATES_PY[[#All],[Insurance Category Code]], B421, RX_REBATES_PY[[#All],[Total Pharmacy Rebates]]))</f>
        <v>0</v>
      </c>
      <c r="P421" s="9" t="str">
        <f t="shared" si="57"/>
        <v>Yes, please resubmit</v>
      </c>
    </row>
    <row r="422" spans="2:16" x14ac:dyDescent="0.25">
      <c r="B422" s="4">
        <v>4</v>
      </c>
      <c r="C422" s="54" t="str">
        <f>IF(G67&lt;&gt;0,SUMIFS(AN_TME_PY[[#All],[TOTAL Non-Truncated Unadjusted Expenses (A21 + A23)]], AN_TME_PY[[#All],[Insurance Category Code]], B409, AN_TME_PY[[#All],[Advanced Network/Insurance Carrier Org ID]],100)/G67,"NA")</f>
        <v>NA</v>
      </c>
      <c r="D422" s="55" t="str">
        <f>IF(G67&lt;&gt;0,SUMIFS(AN_TME_PY[[#All],[Claims: Hospital Inpatient]], AN_TME_PY[[#All],[Insurance Category Code]], B409, AN_TME_PY[[#All],[Advanced Network/Insurance Carrier Org ID]],100)/G67,"NA")</f>
        <v>NA</v>
      </c>
      <c r="E422" s="55" t="str">
        <f>IF(G67&lt;&gt;0,SUMIFS(AN_TME_PY[[#All],[Claims: Hospital Outpatient]], AN_TME_PY[[#All],[Insurance Category Code]], B409, AN_TME_PY[[#All],[Advanced Network/Insurance Carrier Org ID]],100)/G67,"NA")</f>
        <v>NA</v>
      </c>
      <c r="F422" s="55" t="str">
        <f>IF(G67&lt;&gt;0,SUMIFS(AN_TME_PY[[#All],[Claims: Professional, Primary Care]], AN_TME_PY[[#All],[Insurance Category Code]], B409, AN_TME_PY[[#All],[Advanced Network/Insurance Carrier Org ID]],100)/G67,"NA")</f>
        <v>NA</v>
      </c>
      <c r="G422" s="55" t="str">
        <f>IF(G67&lt;&gt;0,SUMIFS(AN_TME_PY[[#All],[Claims: Professional, Primary Care (for Monitoring Purposes)]], AN_TME_PY[[#All],[Insurance Category Code]], B409, AN_TME_PY[[#All],[Advanced Network/Insurance Carrier Org ID]],100)/G67,"NA")</f>
        <v>NA</v>
      </c>
      <c r="H422" s="55" t="str">
        <f>IF(G67&lt;&gt;0,SUMIFS(AN_TME_PY[[#All],[Claims: Professional, Specialty]], AN_TME_PY[[#All],[Insurance Category Code]], B409, AN_TME_PY[[#All],[Advanced Network/Insurance Carrier Org ID]],100)/G67,"NA")</f>
        <v>NA</v>
      </c>
      <c r="I422" s="55" t="str">
        <f>IF(G67&lt;&gt;0,SUMIFS(AN_TME_PY[[#All],[Claims: Professional Other]], AN_TME_PY[[#All],[Insurance Category Code]], B409, AN_TME_PY[[#All],[Advanced Network/Insurance Carrier Org ID]],100)/G67,"NA")</f>
        <v>NA</v>
      </c>
      <c r="J422" s="54" t="str">
        <f>IF(G67&lt;&gt;0,SUMIFS(AN_TME_PY[[#All],[Claims: Pharmacy]], AN_TME_PY[[#All],[Insurance Category Code]], B409, AN_TME_PY[[#All],[Advanced Network/Insurance Carrier Org ID]],100)/G67,"NA")</f>
        <v>NA</v>
      </c>
      <c r="K422" s="56" t="str">
        <f>IF(G67&lt;&gt;0,SUMIFS(AN_TME_PY[[#All],[Claims: Long-Term Care]], AN_TME_PY[[#All],[Insurance Category Code]], B409, AN_TME_PY[[#All],[Advanced Network/Insurance Carrier Org ID]],100)/G67,"NA")</f>
        <v>NA</v>
      </c>
      <c r="L422" s="56" t="str">
        <f>IF(G67&lt;&gt;0,SUMIFS(AN_TME_PY[[#All],[Claims: Other]], AN_TME_PY[[#All],[Insurance Category Code]], B409, AN_TME_PY[[#All],[Advanced Network/Insurance Carrier Org ID]],100)/G67,"NA")</f>
        <v>NA</v>
      </c>
      <c r="M422" s="56" t="str">
        <f>IF(G67&lt;&gt;0,SUMIFS(AN_TME_PY[[#All],[TOTAL Non-Claims Expenses]], AN_TME_PY[[#All],[Insurance Category Code]], B409, AN_TME_PY[[#All],[Advanced Network/Insurance Carrier Org ID]],100)/G67,"NA")</f>
        <v>NA</v>
      </c>
      <c r="N422" s="221">
        <f>SUMIFS(AN_TME_PY[[#All],[Claims: Pharmacy]], AN_TME_PY[[#All],[Insurance Category Code]], B422, AN_TME_PY[[#All],[Advanced Network/Insurance Carrier Org ID]],100)</f>
        <v>0</v>
      </c>
      <c r="O422" s="221">
        <f>ABS(SUMIF(RX_REBATES_PY[[#All],[Insurance Category Code]], B422, RX_REBATES_PY[[#All],[Total Pharmacy Rebates]]))</f>
        <v>0</v>
      </c>
      <c r="P422" s="9" t="str">
        <f t="shared" si="57"/>
        <v>Yes, please resubmit</v>
      </c>
    </row>
    <row r="423" spans="2:16" x14ac:dyDescent="0.25">
      <c r="B423" s="4">
        <v>5</v>
      </c>
      <c r="C423" s="54" t="str">
        <f>IF(G68&lt;&gt;0,SUMIFS(AN_TME_PY[[#All],[TOTAL Non-Truncated Unadjusted Expenses (A21 + A23)]], AN_TME_PY[[#All],[Insurance Category Code]], B410, AN_TME_PY[[#All],[Advanced Network/Insurance Carrier Org ID]],100)/G68,"NA")</f>
        <v>NA</v>
      </c>
      <c r="D423" s="55" t="str">
        <f>IF(G68&lt;&gt;0,SUMIFS(AN_TME_PY[[#All],[Claims: Hospital Inpatient]], AN_TME_PY[[#All],[Insurance Category Code]], B410, AN_TME_PY[[#All],[Advanced Network/Insurance Carrier Org ID]],100)/G68,"NA")</f>
        <v>NA</v>
      </c>
      <c r="E423" s="55" t="str">
        <f>IF(G68&lt;&gt;0,SUMIFS(AN_TME_PY[[#All],[Claims: Hospital Outpatient]], AN_TME_PY[[#All],[Insurance Category Code]], B410, AN_TME_PY[[#All],[Advanced Network/Insurance Carrier Org ID]],100)/G68,"NA")</f>
        <v>NA</v>
      </c>
      <c r="F423" s="55" t="str">
        <f>IF(G68&lt;&gt;0,SUMIFS(AN_TME_PY[[#All],[Claims: Professional, Primary Care]], AN_TME_PY[[#All],[Insurance Category Code]], B410, AN_TME_PY[[#All],[Advanced Network/Insurance Carrier Org ID]],100)/G68,"NA")</f>
        <v>NA</v>
      </c>
      <c r="G423" s="55" t="str">
        <f>IF(G68&lt;&gt;0,SUMIFS(AN_TME_PY[[#All],[Claims: Professional, Primary Care (for Monitoring Purposes)]], AN_TME_PY[[#All],[Insurance Category Code]], B410, AN_TME_PY[[#All],[Advanced Network/Insurance Carrier Org ID]],100)/G68,"NA")</f>
        <v>NA</v>
      </c>
      <c r="H423" s="55" t="str">
        <f>IF(G68&lt;&gt;0,SUMIFS(AN_TME_PY[[#All],[Claims: Professional, Specialty]], AN_TME_PY[[#All],[Insurance Category Code]], B410, AN_TME_PY[[#All],[Advanced Network/Insurance Carrier Org ID]],100)/G68,"NA")</f>
        <v>NA</v>
      </c>
      <c r="I423" s="55" t="str">
        <f>IF(G68&lt;&gt;0,SUMIFS(AN_TME_PY[[#All],[Claims: Professional Other]], AN_TME_PY[[#All],[Insurance Category Code]], B410, AN_TME_PY[[#All],[Advanced Network/Insurance Carrier Org ID]],100)/G68,"NA")</f>
        <v>NA</v>
      </c>
      <c r="J423" s="54" t="str">
        <f>IF(G68&lt;&gt;0,SUMIFS(AN_TME_PY[[#All],[Claims: Pharmacy]], AN_TME_PY[[#All],[Insurance Category Code]], B410, AN_TME_PY[[#All],[Advanced Network/Insurance Carrier Org ID]],100)/G68,"NA")</f>
        <v>NA</v>
      </c>
      <c r="K423" s="56" t="str">
        <f>IF(G68&lt;&gt;0,SUMIFS(AN_TME_PY[[#All],[Claims: Long-Term Care]], AN_TME_PY[[#All],[Insurance Category Code]], B410, AN_TME_PY[[#All],[Advanced Network/Insurance Carrier Org ID]],100)/G68,"NA")</f>
        <v>NA</v>
      </c>
      <c r="L423" s="56" t="str">
        <f>IF(G68&lt;&gt;0,SUMIFS(AN_TME_PY[[#All],[Claims: Other]], AN_TME_PY[[#All],[Insurance Category Code]], B410, AN_TME_PY[[#All],[Advanced Network/Insurance Carrier Org ID]],100)/G68,"NA")</f>
        <v>NA</v>
      </c>
      <c r="M423" s="56" t="str">
        <f>IF(G68&lt;&gt;0,SUMIFS(AN_TME_PY[[#All],[TOTAL Non-Claims Expenses]], AN_TME_PY[[#All],[Insurance Category Code]], B410, AN_TME_PY[[#All],[Advanced Network/Insurance Carrier Org ID]],100)/G68,"NA")</f>
        <v>NA</v>
      </c>
      <c r="N423" s="221">
        <f>SUMIFS(AN_TME_PY[[#All],[Claims: Pharmacy]], AN_TME_PY[[#All],[Insurance Category Code]], B423, AN_TME_PY[[#All],[Advanced Network/Insurance Carrier Org ID]],100)</f>
        <v>0</v>
      </c>
      <c r="O423" s="221">
        <f>ABS(SUMIF(RX_REBATES_PY[[#All],[Insurance Category Code]], B423, RX_REBATES_PY[[#All],[Total Pharmacy Rebates]]))</f>
        <v>0</v>
      </c>
      <c r="P423" s="9" t="str">
        <f t="shared" si="57"/>
        <v>Yes, please resubmit</v>
      </c>
    </row>
    <row r="424" spans="2:16" ht="15.75" thickBot="1" x14ac:dyDescent="0.3">
      <c r="B424" s="4">
        <v>6</v>
      </c>
      <c r="C424" s="54" t="str">
        <f>IF(G69&lt;&gt;0,SUMIFS(AN_TME_PY[[#All],[TOTAL Non-Truncated Unadjusted Expenses (A21 + A23)]], AN_TME_PY[[#All],[Insurance Category Code]], B411, AN_TME_PY[[#All],[Advanced Network/Insurance Carrier Org ID]],100)/G69,"NA")</f>
        <v>NA</v>
      </c>
      <c r="D424" s="55" t="str">
        <f>IF(G69&lt;&gt;0,SUMIFS(AN_TME_PY[[#All],[Claims: Hospital Inpatient]], AN_TME_PY[[#All],[Insurance Category Code]], B411, AN_TME_PY[[#All],[Advanced Network/Insurance Carrier Org ID]],100)/G69,"NA")</f>
        <v>NA</v>
      </c>
      <c r="E424" s="55" t="str">
        <f>IF(G69&lt;&gt;0,SUMIFS(AN_TME_PY[[#All],[Claims: Hospital Outpatient]], AN_TME_PY[[#All],[Insurance Category Code]], B411, AN_TME_PY[[#All],[Advanced Network/Insurance Carrier Org ID]],100)/G69,"NA")</f>
        <v>NA</v>
      </c>
      <c r="F424" s="55" t="str">
        <f>IF(G69&lt;&gt;0,SUMIFS(AN_TME_PY[[#All],[Claims: Professional, Primary Care]], AN_TME_PY[[#All],[Insurance Category Code]], B411, AN_TME_PY[[#All],[Advanced Network/Insurance Carrier Org ID]],100)/G69,"NA")</f>
        <v>NA</v>
      </c>
      <c r="G424" s="55" t="str">
        <f>IF(G69&lt;&gt;0,SUMIFS(AN_TME_PY[[#All],[Claims: Professional, Primary Care (for Monitoring Purposes)]], AN_TME_PY[[#All],[Insurance Category Code]], B411, AN_TME_PY[[#All],[Advanced Network/Insurance Carrier Org ID]],100)/G69,"NA")</f>
        <v>NA</v>
      </c>
      <c r="H424" s="55" t="str">
        <f>IF(G69&lt;&gt;0,SUMIFS(AN_TME_PY[[#All],[Claims: Professional, Specialty]], AN_TME_PY[[#All],[Insurance Category Code]], B411, AN_TME_PY[[#All],[Advanced Network/Insurance Carrier Org ID]],100)/G69,"NA")</f>
        <v>NA</v>
      </c>
      <c r="I424" s="55" t="str">
        <f>IF(G69&lt;&gt;0,SUMIFS(AN_TME_PY[[#All],[Claims: Professional Other]], AN_TME_PY[[#All],[Insurance Category Code]], B411, AN_TME_PY[[#All],[Advanced Network/Insurance Carrier Org ID]],100)/G69,"NA")</f>
        <v>NA</v>
      </c>
      <c r="J424" s="54" t="str">
        <f>IF(G69&lt;&gt;0,SUMIFS(AN_TME_PY[[#All],[Claims: Pharmacy]], AN_TME_PY[[#All],[Insurance Category Code]], B411, AN_TME_PY[[#All],[Advanced Network/Insurance Carrier Org ID]],100)/G69,"NA")</f>
        <v>NA</v>
      </c>
      <c r="K424" s="56" t="str">
        <f>IF(G69&lt;&gt;0,SUMIFS(AN_TME_PY[[#All],[Claims: Long-Term Care]], AN_TME_PY[[#All],[Insurance Category Code]], B411, AN_TME_PY[[#All],[Advanced Network/Insurance Carrier Org ID]],100)/G69,"NA")</f>
        <v>NA</v>
      </c>
      <c r="L424" s="56" t="str">
        <f>IF(G69&lt;&gt;0,SUMIFS(AN_TME_PY[[#All],[Claims: Other]], AN_TME_PY[[#All],[Insurance Category Code]], B411, AN_TME_PY[[#All],[Advanced Network/Insurance Carrier Org ID]],100)/G69,"NA")</f>
        <v>NA</v>
      </c>
      <c r="M424" s="56" t="str">
        <f>IF(G69&lt;&gt;0,SUMIFS(AN_TME_PY[[#All],[TOTAL Non-Claims Expenses]], AN_TME_PY[[#All],[Insurance Category Code]], B411, AN_TME_PY[[#All],[Advanced Network/Insurance Carrier Org ID]],100)/G69,"NA")</f>
        <v>NA</v>
      </c>
      <c r="N424" s="276">
        <f>SUMIFS(AN_TME_PY[[#All],[Claims: Pharmacy]], AN_TME_PY[[#All],[Insurance Category Code]], B424, AN_TME_PY[[#All],[Advanced Network/Insurance Carrier Org ID]],100)</f>
        <v>0</v>
      </c>
      <c r="O424" s="276">
        <f>ABS(SUMIF(RX_REBATES_PY[[#All],[Insurance Category Code]], B424, RX_REBATES_PY[[#All],[Total Pharmacy Rebates]]))</f>
        <v>0</v>
      </c>
      <c r="P424" s="277" t="str">
        <f t="shared" si="57"/>
        <v>Yes, please resubmit</v>
      </c>
    </row>
    <row r="425" spans="2:16" ht="45.75" thickBot="1" x14ac:dyDescent="0.3">
      <c r="B425" s="33" t="s">
        <v>432</v>
      </c>
      <c r="C425" s="57" t="str">
        <f t="shared" ref="C425:M425" si="58">IFERROR(IF(ABS(C422/C421-1)&lt;10%,"No","Yes"), "NA")</f>
        <v>NA</v>
      </c>
      <c r="D425" s="57" t="str">
        <f t="shared" si="58"/>
        <v>NA</v>
      </c>
      <c r="E425" s="57" t="str">
        <f t="shared" si="58"/>
        <v>NA</v>
      </c>
      <c r="F425" s="57" t="str">
        <f t="shared" si="58"/>
        <v>NA</v>
      </c>
      <c r="G425" s="57" t="str">
        <f t="shared" si="58"/>
        <v>NA</v>
      </c>
      <c r="H425" s="57" t="str">
        <f t="shared" si="58"/>
        <v>NA</v>
      </c>
      <c r="I425" s="57" t="str">
        <f t="shared" si="58"/>
        <v>NA</v>
      </c>
      <c r="J425" s="57" t="str">
        <f t="shared" si="58"/>
        <v>NA</v>
      </c>
      <c r="K425" s="58" t="str">
        <f t="shared" si="58"/>
        <v>NA</v>
      </c>
      <c r="L425" s="58" t="str">
        <f t="shared" si="58"/>
        <v>NA</v>
      </c>
      <c r="M425" s="59" t="str">
        <f t="shared" si="58"/>
        <v>NA</v>
      </c>
      <c r="N425" s="278" t="s">
        <v>46</v>
      </c>
      <c r="O425" s="279" t="s">
        <v>46</v>
      </c>
      <c r="P425" s="280" t="s">
        <v>46</v>
      </c>
    </row>
    <row r="427" spans="2:16" x14ac:dyDescent="0.25">
      <c r="B427" s="318" t="s">
        <v>384</v>
      </c>
    </row>
    <row r="429" spans="2:16" ht="18.75" x14ac:dyDescent="0.3">
      <c r="B429" s="249" t="s">
        <v>434</v>
      </c>
      <c r="D429" s="36"/>
      <c r="F429" s="15" t="s">
        <v>435</v>
      </c>
      <c r="H429" s="36"/>
    </row>
    <row r="430" spans="2:16" x14ac:dyDescent="0.25">
      <c r="B430" s="26" t="s">
        <v>436</v>
      </c>
      <c r="F430" s="26" t="s">
        <v>436</v>
      </c>
    </row>
    <row r="431" spans="2:16" x14ac:dyDescent="0.25">
      <c r="B431" s="5" t="s">
        <v>80</v>
      </c>
      <c r="C431" s="5" t="s">
        <v>437</v>
      </c>
      <c r="D431" s="5" t="s">
        <v>438</v>
      </c>
      <c r="F431" s="5" t="s">
        <v>80</v>
      </c>
      <c r="G431" s="5" t="s">
        <v>437</v>
      </c>
      <c r="H431" s="5" t="s">
        <v>438</v>
      </c>
    </row>
    <row r="432" spans="2:16" ht="45" x14ac:dyDescent="0.25">
      <c r="B432" s="300" t="s">
        <v>439</v>
      </c>
      <c r="C432" s="34" t="s">
        <v>440</v>
      </c>
      <c r="D432" s="35" t="str">
        <f>IF(C64+C68=0,"NA",ABS((C64+C68)/(VLOOKUP(C1,PublicData22[],2,FALSE))-1))</f>
        <v>NA</v>
      </c>
      <c r="F432" s="300" t="s">
        <v>439</v>
      </c>
      <c r="G432" s="34" t="s">
        <v>440</v>
      </c>
      <c r="H432" s="35" t="str">
        <f>IF(G64+G68=0,"NA",ABS((G64+G68)/(VLOOKUP(C1,PublicData23[],2,FALSE))-1))</f>
        <v>NA</v>
      </c>
    </row>
    <row r="434" spans="2:6" x14ac:dyDescent="0.25">
      <c r="B434" s="18"/>
      <c r="C434" s="29"/>
      <c r="D434" s="14"/>
    </row>
    <row r="435" spans="2:6" x14ac:dyDescent="0.25">
      <c r="B435" s="18"/>
      <c r="C435" s="29"/>
      <c r="D435" s="14"/>
    </row>
    <row r="436" spans="2:6" ht="18.75" x14ac:dyDescent="0.3">
      <c r="B436" s="249" t="s">
        <v>441</v>
      </c>
      <c r="C436" s="29"/>
    </row>
    <row r="437" spans="2:6" x14ac:dyDescent="0.25">
      <c r="B437" s="123" t="s">
        <v>442</v>
      </c>
      <c r="C437" s="29"/>
    </row>
    <row r="438" spans="2:6" x14ac:dyDescent="0.25">
      <c r="B438" s="124" t="s">
        <v>443</v>
      </c>
      <c r="C438" s="8" t="s">
        <v>444</v>
      </c>
      <c r="D438" s="8" t="s">
        <v>445</v>
      </c>
      <c r="E438" s="8" t="s">
        <v>446</v>
      </c>
      <c r="F438" s="8" t="s">
        <v>445</v>
      </c>
    </row>
    <row r="439" spans="2:6" ht="60" x14ac:dyDescent="0.25">
      <c r="B439" s="193" t="s">
        <v>261</v>
      </c>
      <c r="C439" s="9">
        <f>'Mandatory Questions'!C12</f>
        <v>0</v>
      </c>
      <c r="D439" s="9" t="str">
        <f>IF(C439=VLOOKUP(B439,MandatoryQ[#All],2,FALSE),"Yes","No")</f>
        <v>No</v>
      </c>
      <c r="E439" s="9">
        <f>'Mandatory Questions'!D12</f>
        <v>0</v>
      </c>
      <c r="F439" s="9" t="str">
        <f>IF(E439=VLOOKUP(B439,MandatoryQ[#All],2,FALSE),"Yes","No")</f>
        <v>No</v>
      </c>
    </row>
    <row r="440" spans="2:6" ht="30" x14ac:dyDescent="0.25">
      <c r="B440" s="193" t="s">
        <v>262</v>
      </c>
      <c r="C440" s="9">
        <f>'Mandatory Questions'!C13</f>
        <v>0</v>
      </c>
      <c r="D440" s="9" t="str">
        <f>IF(C440=VLOOKUP(B440,MandatoryQ[#All],2,FALSE),"Yes","No")</f>
        <v>No</v>
      </c>
      <c r="E440" s="9">
        <f>'Mandatory Questions'!D13</f>
        <v>0</v>
      </c>
      <c r="F440" s="9" t="str">
        <f>IF(E440=VLOOKUP(B440,MandatoryQ[#All],2,FALSE),"Yes","No")</f>
        <v>No</v>
      </c>
    </row>
    <row r="441" spans="2:6" ht="30" x14ac:dyDescent="0.25">
      <c r="B441" s="193" t="s">
        <v>263</v>
      </c>
      <c r="C441" s="9">
        <f>'Mandatory Questions'!C14</f>
        <v>0</v>
      </c>
      <c r="D441" s="9" t="str">
        <f>IF(C441=VLOOKUP(B441,MandatoryQ[#All],2,FALSE),"Yes","No")</f>
        <v>No</v>
      </c>
      <c r="E441" s="9">
        <f>'Mandatory Questions'!D14</f>
        <v>0</v>
      </c>
      <c r="F441" s="9" t="str">
        <f>IF(E441=VLOOKUP(B441,MandatoryQ[#All],2,FALSE),"Yes","No")</f>
        <v>No</v>
      </c>
    </row>
    <row r="442" spans="2:6" ht="30" x14ac:dyDescent="0.25">
      <c r="B442" s="193" t="s">
        <v>264</v>
      </c>
      <c r="C442" s="9">
        <f>'Mandatory Questions'!C15</f>
        <v>0</v>
      </c>
      <c r="D442" s="9" t="str">
        <f>IF(C442=VLOOKUP(B442,MandatoryQ[#All],2,FALSE),"Yes","No")</f>
        <v>No</v>
      </c>
      <c r="E442" s="9">
        <f>'Mandatory Questions'!D15</f>
        <v>0</v>
      </c>
      <c r="F442" s="9" t="str">
        <f>IF(E442=VLOOKUP(B442,MandatoryQ[#All],2,FALSE),"Yes","No")</f>
        <v>No</v>
      </c>
    </row>
    <row r="443" spans="2:6" ht="30" x14ac:dyDescent="0.25">
      <c r="B443" s="193" t="s">
        <v>265</v>
      </c>
      <c r="C443" s="9">
        <f>'Mandatory Questions'!C16</f>
        <v>0</v>
      </c>
      <c r="D443" s="9" t="str">
        <f>IF(C443=VLOOKUP(B443,MandatoryQ[#All],2,FALSE),"Yes","No")</f>
        <v>No</v>
      </c>
      <c r="E443" s="9">
        <f>'Mandatory Questions'!D16</f>
        <v>0</v>
      </c>
      <c r="F443" s="9" t="str">
        <f>IF(E443=VLOOKUP(B443,MandatoryQ[#All],2,FALSE),"Yes","No")</f>
        <v>No</v>
      </c>
    </row>
    <row r="444" spans="2:6" ht="45" x14ac:dyDescent="0.25">
      <c r="B444" s="193" t="s">
        <v>266</v>
      </c>
      <c r="C444" s="9">
        <v>0</v>
      </c>
      <c r="D444" s="9" t="s">
        <v>5</v>
      </c>
      <c r="E444" s="9">
        <v>0</v>
      </c>
      <c r="F444" s="9" t="s">
        <v>5</v>
      </c>
    </row>
    <row r="445" spans="2:6" ht="30" x14ac:dyDescent="0.25">
      <c r="B445" s="193" t="s">
        <v>267</v>
      </c>
      <c r="C445" s="9">
        <f>'Mandatory Questions'!C18</f>
        <v>0</v>
      </c>
      <c r="D445" s="9" t="str">
        <f>IF(C445=VLOOKUP(B445,MandatoryQ[#All],2,FALSE),"Yes","No")</f>
        <v>No</v>
      </c>
      <c r="E445" s="9">
        <f>'Mandatory Questions'!D18</f>
        <v>0</v>
      </c>
      <c r="F445" s="9" t="str">
        <f>IF(E445=VLOOKUP(B445,MandatoryQ[#All],2,FALSE),"Yes","No")</f>
        <v>No</v>
      </c>
    </row>
    <row r="446" spans="2:6" ht="45" x14ac:dyDescent="0.25">
      <c r="B446" s="193" t="s">
        <v>268</v>
      </c>
      <c r="C446" s="9">
        <f>'Mandatory Questions'!C19</f>
        <v>0</v>
      </c>
      <c r="D446" s="9" t="str">
        <f>IF(C446=VLOOKUP(B446,MandatoryQ[#All],2,FALSE),"Yes","No")</f>
        <v>No</v>
      </c>
      <c r="E446" s="9">
        <f>'Mandatory Questions'!D19</f>
        <v>0</v>
      </c>
      <c r="F446" s="9" t="str">
        <f>IF(E446=VLOOKUP(B446,MandatoryQ[#All],2,FALSE),"Yes","No")</f>
        <v>No</v>
      </c>
    </row>
    <row r="447" spans="2:6" ht="45" x14ac:dyDescent="0.25">
      <c r="B447" s="193" t="s">
        <v>269</v>
      </c>
      <c r="C447" s="9">
        <f>'Mandatory Questions'!C20</f>
        <v>0</v>
      </c>
      <c r="D447" s="9" t="str">
        <f>IF(C447=VLOOKUP(B447,MandatoryQ[#All],2,FALSE),"Yes","No")</f>
        <v>No</v>
      </c>
      <c r="E447" s="9">
        <f>'Mandatory Questions'!D20</f>
        <v>0</v>
      </c>
      <c r="F447" s="9" t="str">
        <f>IF(E447=VLOOKUP(B447,MandatoryQ[#All],2,FALSE),"Yes","No")</f>
        <v>No</v>
      </c>
    </row>
    <row r="448" spans="2:6" ht="45" x14ac:dyDescent="0.25">
      <c r="B448" s="193" t="s">
        <v>270</v>
      </c>
      <c r="C448" s="9">
        <f>'Mandatory Questions'!C21</f>
        <v>0</v>
      </c>
      <c r="D448" s="9" t="str">
        <f>IF(C448=VLOOKUP(B448,MandatoryQ[#All],2,FALSE),"Yes","No")</f>
        <v>No</v>
      </c>
      <c r="E448" s="9">
        <f>'Mandatory Questions'!D21</f>
        <v>0</v>
      </c>
      <c r="F448" s="9" t="str">
        <f>IF(E448=VLOOKUP(B448,MandatoryQ[#All],2,FALSE),"Yes","No")</f>
        <v>No</v>
      </c>
    </row>
    <row r="449" spans="2:6" ht="30" x14ac:dyDescent="0.25">
      <c r="B449" s="193" t="s">
        <v>271</v>
      </c>
      <c r="C449" s="9">
        <f>'Mandatory Questions'!C22</f>
        <v>0</v>
      </c>
      <c r="D449" s="9" t="str">
        <f>IF(C449=VLOOKUP(B449,MandatoryQ[#All],2,FALSE),"Yes","No")</f>
        <v>No</v>
      </c>
      <c r="E449" s="9">
        <f>'Mandatory Questions'!D22</f>
        <v>0</v>
      </c>
      <c r="F449" s="9" t="str">
        <f>IF(E449=VLOOKUP(B449,MandatoryQ[#All],2,FALSE),"Yes","No")</f>
        <v>No</v>
      </c>
    </row>
    <row r="450" spans="2:6" ht="30" x14ac:dyDescent="0.25">
      <c r="B450" s="193" t="s">
        <v>272</v>
      </c>
      <c r="C450" s="9">
        <f>'Mandatory Questions'!C23</f>
        <v>0</v>
      </c>
      <c r="D450" s="9" t="str">
        <f>IF(C450=VLOOKUP(B450,MandatoryQ[#All],2,FALSE),"Yes","No")</f>
        <v>No</v>
      </c>
      <c r="E450" s="9">
        <f>'Mandatory Questions'!D23</f>
        <v>0</v>
      </c>
      <c r="F450" s="9" t="str">
        <f>IF(E450=VLOOKUP(B450,MandatoryQ[#All],2,FALSE),"Yes","No")</f>
        <v>No</v>
      </c>
    </row>
    <row r="451" spans="2:6" ht="30" x14ac:dyDescent="0.25">
      <c r="B451" s="193" t="s">
        <v>273</v>
      </c>
      <c r="C451" s="9">
        <f>'Mandatory Questions'!C24</f>
        <v>0</v>
      </c>
      <c r="D451" s="9" t="str">
        <f>IF(C451=VLOOKUP(B451,MandatoryQ[#All],2,FALSE),"Yes","No")</f>
        <v>No</v>
      </c>
      <c r="E451" s="9">
        <f>'Mandatory Questions'!D24</f>
        <v>0</v>
      </c>
      <c r="F451" s="9" t="str">
        <f>IF(E451=VLOOKUP(B451,MandatoryQ[#All],2,FALSE),"Yes","No")</f>
        <v>No</v>
      </c>
    </row>
    <row r="452" spans="2:6" ht="30" x14ac:dyDescent="0.25">
      <c r="B452" s="193" t="s">
        <v>274</v>
      </c>
      <c r="C452" s="9">
        <f>'Mandatory Questions'!C25</f>
        <v>0</v>
      </c>
      <c r="D452" s="9" t="str">
        <f>IF(C452=VLOOKUP(B452,MandatoryQ[#All],2,FALSE),"Yes","No")</f>
        <v>Yes</v>
      </c>
      <c r="E452" s="9">
        <f>'Mandatory Questions'!D25</f>
        <v>0</v>
      </c>
      <c r="F452" s="9" t="str">
        <f>IF(E452=VLOOKUP(B452,MandatoryQ[#All],2,FALSE),"Yes","No")</f>
        <v>Yes</v>
      </c>
    </row>
    <row r="453" spans="2:6" ht="30" x14ac:dyDescent="0.25">
      <c r="B453" s="193" t="s">
        <v>275</v>
      </c>
      <c r="C453" s="9">
        <f>'Mandatory Questions'!C26</f>
        <v>0</v>
      </c>
      <c r="D453" s="9" t="str">
        <f>IF(C453=VLOOKUP(B453,MandatoryQ[#All],2,FALSE),"Yes","No")</f>
        <v>No</v>
      </c>
      <c r="E453" s="9">
        <f>'Mandatory Questions'!D26</f>
        <v>0</v>
      </c>
      <c r="F453" s="9" t="str">
        <f>IF(E453=VLOOKUP(B453,MandatoryQ[#All],2,FALSE),"Yes","No")</f>
        <v>No</v>
      </c>
    </row>
    <row r="454" spans="2:6" x14ac:dyDescent="0.25">
      <c r="B454" s="193" t="s">
        <v>276</v>
      </c>
      <c r="C454" s="9">
        <f>'Mandatory Questions'!C27</f>
        <v>0</v>
      </c>
      <c r="D454" s="9" t="str">
        <f>IF(C454=VLOOKUP(B454,MandatoryQ[#All],2,FALSE),"Yes","No")</f>
        <v>No</v>
      </c>
      <c r="E454" s="9">
        <f>'Mandatory Questions'!D27</f>
        <v>0</v>
      </c>
      <c r="F454" s="9" t="str">
        <f>IF(E454=VLOOKUP(B454,MandatoryQ[#All],2,FALSE),"Yes","No")</f>
        <v>No</v>
      </c>
    </row>
    <row r="455" spans="2:6" ht="75" x14ac:dyDescent="0.25">
      <c r="B455" s="193" t="s">
        <v>277</v>
      </c>
      <c r="C455" s="9">
        <f>'Mandatory Questions'!C28</f>
        <v>0</v>
      </c>
      <c r="D455" s="9" t="str">
        <f>IF(C455=VLOOKUP(B455,MandatoryQ[#All],2,FALSE),"Yes","No")</f>
        <v>Yes</v>
      </c>
      <c r="E455" s="9">
        <f>'Mandatory Questions'!D28</f>
        <v>0</v>
      </c>
      <c r="F455" s="9" t="str">
        <f>IF(E455=VLOOKUP(B455,MandatoryQ[#All],2,FALSE),"Yes","No")</f>
        <v>Yes</v>
      </c>
    </row>
    <row r="456" spans="2:6" ht="30" x14ac:dyDescent="0.25">
      <c r="B456" s="193" t="s">
        <v>278</v>
      </c>
      <c r="C456" s="9">
        <f>'Mandatory Questions'!C29</f>
        <v>0</v>
      </c>
      <c r="D456" s="9" t="str">
        <f>IF(C456=VLOOKUP(B456,MandatoryQ[#All],2,FALSE),"Yes","No")</f>
        <v>No</v>
      </c>
      <c r="E456" s="9">
        <f>'Mandatory Questions'!D29</f>
        <v>0</v>
      </c>
      <c r="F456" s="9" t="str">
        <f>IF(E456=VLOOKUP(B456,MandatoryQ[#All],2,FALSE),"Yes","No")</f>
        <v>No</v>
      </c>
    </row>
    <row r="457" spans="2:6" ht="30" x14ac:dyDescent="0.25">
      <c r="B457" s="193" t="s">
        <v>279</v>
      </c>
      <c r="C457" s="9">
        <f>'Mandatory Questions'!C30</f>
        <v>0</v>
      </c>
      <c r="D457" s="9" t="str">
        <f>IF(C457=VLOOKUP(B457,MandatoryQ[#All],2,FALSE),"Yes","No")</f>
        <v>Yes</v>
      </c>
      <c r="E457" s="9">
        <f>'Mandatory Questions'!D30</f>
        <v>0</v>
      </c>
      <c r="F457" s="9" t="str">
        <f>IF(E457=VLOOKUP(B457,MandatoryQ[#All],2,FALSE),"Yes","No")</f>
        <v>Yes</v>
      </c>
    </row>
    <row r="458" spans="2:6" ht="45" x14ac:dyDescent="0.25">
      <c r="B458" s="193" t="s">
        <v>280</v>
      </c>
      <c r="C458" s="9">
        <f>'Mandatory Questions'!C31</f>
        <v>0</v>
      </c>
      <c r="D458" s="9" t="str">
        <f>IF(C458=VLOOKUP(B458,MandatoryQ[#All],2,FALSE),"Yes","No")</f>
        <v>Yes</v>
      </c>
      <c r="E458" s="9">
        <f>'Mandatory Questions'!D31</f>
        <v>0</v>
      </c>
      <c r="F458" s="9" t="str">
        <f>IF(E458=VLOOKUP(B458,MandatoryQ[#All],2,FALSE),"Yes","No")</f>
        <v>Yes</v>
      </c>
    </row>
    <row r="459" spans="2:6" ht="45" x14ac:dyDescent="0.25">
      <c r="B459" s="197" t="s">
        <v>281</v>
      </c>
      <c r="C459" s="9">
        <f>'Mandatory Questions'!C32</f>
        <v>0</v>
      </c>
      <c r="D459" s="9" t="str">
        <f>IF(C459=VLOOKUP(B459,MandatoryQ[#All],2,FALSE),"Yes","No")</f>
        <v>No</v>
      </c>
      <c r="E459" s="9">
        <f>'Mandatory Questions'!D32</f>
        <v>0</v>
      </c>
      <c r="F459" s="9" t="str">
        <f>IF(E459=VLOOKUP(B459,MandatoryQ[#All],2,FALSE),"Yes","No")</f>
        <v>No</v>
      </c>
    </row>
    <row r="460" spans="2:6" ht="60" x14ac:dyDescent="0.25">
      <c r="B460" s="197" t="s">
        <v>282</v>
      </c>
      <c r="C460" s="9">
        <f>'Mandatory Questions'!C33</f>
        <v>0</v>
      </c>
      <c r="D460" s="9" t="str">
        <f>IF(C460=VLOOKUP(B460,MandatoryQ[#All],2,FALSE),"Yes","No")</f>
        <v>No</v>
      </c>
      <c r="E460" s="9">
        <f>'Mandatory Questions'!D33</f>
        <v>0</v>
      </c>
      <c r="F460" s="9" t="str">
        <f>IF(E460=VLOOKUP(B460,MandatoryQ[#All],2,FALSE),"Yes","No")</f>
        <v>No</v>
      </c>
    </row>
    <row r="461" spans="2:6" ht="30" x14ac:dyDescent="0.25">
      <c r="B461" s="197" t="s">
        <v>283</v>
      </c>
      <c r="C461" s="9">
        <f>'Mandatory Questions'!C34</f>
        <v>0</v>
      </c>
      <c r="D461" s="9" t="str">
        <f>IF(C461=VLOOKUP(B461,MandatoryQ[#All],2,FALSE),"Yes","No")</f>
        <v>No</v>
      </c>
      <c r="E461" s="9">
        <f>'Mandatory Questions'!D34</f>
        <v>0</v>
      </c>
      <c r="F461" s="9" t="str">
        <f>IF(E461=VLOOKUP(B461,MandatoryQ[#All],2,FALSE),"Yes","No")</f>
        <v>No</v>
      </c>
    </row>
    <row r="462" spans="2:6" ht="45" x14ac:dyDescent="0.25">
      <c r="B462" s="197" t="s">
        <v>284</v>
      </c>
      <c r="C462" s="9">
        <f>'Mandatory Questions'!C35</f>
        <v>0</v>
      </c>
      <c r="D462" s="9" t="str">
        <f>IF(C462=VLOOKUP(B462,MandatoryQ[#All],2,FALSE),"Yes","No")</f>
        <v>No</v>
      </c>
      <c r="E462" s="9">
        <f>'Mandatory Questions'!D35</f>
        <v>0</v>
      </c>
      <c r="F462" s="9" t="str">
        <f>IF(E462=VLOOKUP(B462,MandatoryQ[#All],2,FALSE),"Yes","No")</f>
        <v>No</v>
      </c>
    </row>
    <row r="463" spans="2:6" ht="60" x14ac:dyDescent="0.25">
      <c r="B463" s="197" t="s">
        <v>285</v>
      </c>
      <c r="C463" s="9">
        <f>'Mandatory Questions'!C36</f>
        <v>0</v>
      </c>
      <c r="D463" s="9" t="str">
        <f>IF(C463=VLOOKUP(B463,MandatoryQ[#All],2,FALSE),"Yes","No")</f>
        <v>No</v>
      </c>
      <c r="E463" s="9">
        <f>'Mandatory Questions'!D36</f>
        <v>0</v>
      </c>
      <c r="F463" s="9" t="str">
        <f>IF(E463=VLOOKUP(B463,MandatoryQ[#All],2,FALSE),"Yes","No")</f>
        <v>No</v>
      </c>
    </row>
    <row r="464" spans="2:6" ht="90" x14ac:dyDescent="0.25">
      <c r="B464" s="197" t="s">
        <v>489</v>
      </c>
      <c r="C464" s="9">
        <f>'Mandatory Questions'!C37</f>
        <v>0</v>
      </c>
      <c r="D464" s="9" t="str">
        <f>IF(C464=VLOOKUP(B464,MandatoryQ[#All],2,FALSE),"Yes","No")</f>
        <v>No</v>
      </c>
      <c r="E464" s="9">
        <f>'Mandatory Questions'!D37</f>
        <v>0</v>
      </c>
      <c r="F464" s="9" t="str">
        <f>IF(E464=VLOOKUP(B464,MandatoryQ[#All],2,FALSE),"Yes","No")</f>
        <v>No</v>
      </c>
    </row>
    <row r="465" spans="2:6" ht="30" x14ac:dyDescent="0.25">
      <c r="B465" s="193" t="s">
        <v>286</v>
      </c>
      <c r="C465" s="9">
        <f>'Mandatory Questions'!C38</f>
        <v>0</v>
      </c>
      <c r="D465" s="9" t="str">
        <f>IF(C465=VLOOKUP(B465,MandatoryQ[#All],2,FALSE),"Yes","No")</f>
        <v>Yes</v>
      </c>
      <c r="E465" s="9">
        <f>'Mandatory Questions'!D38</f>
        <v>0</v>
      </c>
      <c r="F465" s="9" t="str">
        <f>IF(E465=VLOOKUP(B465,MandatoryQ[#All],2,FALSE),"Yes","No")</f>
        <v>Yes</v>
      </c>
    </row>
  </sheetData>
  <sheetProtection algorithmName="SHA-512" hashValue="qKjHWn/e4BBP5bbxbrzXRglxQyPYuFey9rmbspmBJ4bSZqnwTCbPdg5t0wyud+nJDKTCPcPleM+BDjDjGExdOg==" saltValue="ihjC+86io7Rpp5MCcIWSHQ==" spinCount="100000" sheet="1" sort="0"/>
  <mergeCells count="46">
    <mergeCell ref="C10:H10"/>
    <mergeCell ref="C19:E19"/>
    <mergeCell ref="F19:H19"/>
    <mergeCell ref="I10:N10"/>
    <mergeCell ref="S362:U362"/>
    <mergeCell ref="H113:L113"/>
    <mergeCell ref="K362:M362"/>
    <mergeCell ref="N362:P362"/>
    <mergeCell ref="M113:O113"/>
    <mergeCell ref="C113:G113"/>
    <mergeCell ref="M195:O195"/>
    <mergeCell ref="M318:O318"/>
    <mergeCell ref="M277:O277"/>
    <mergeCell ref="M236:O236"/>
    <mergeCell ref="V362:X362"/>
    <mergeCell ref="C154:G154"/>
    <mergeCell ref="H154:L154"/>
    <mergeCell ref="C195:G195"/>
    <mergeCell ref="H195:L195"/>
    <mergeCell ref="C236:G236"/>
    <mergeCell ref="H236:L236"/>
    <mergeCell ref="C277:G277"/>
    <mergeCell ref="H277:L277"/>
    <mergeCell ref="C318:G318"/>
    <mergeCell ref="H318:L318"/>
    <mergeCell ref="R154:V154"/>
    <mergeCell ref="W154:AA154"/>
    <mergeCell ref="C362:E362"/>
    <mergeCell ref="F362:H362"/>
    <mergeCell ref="M154:O154"/>
    <mergeCell ref="AB236:AD236"/>
    <mergeCell ref="R113:V113"/>
    <mergeCell ref="W113:AA113"/>
    <mergeCell ref="AB277:AD277"/>
    <mergeCell ref="AB318:AD318"/>
    <mergeCell ref="R318:V318"/>
    <mergeCell ref="W318:AA318"/>
    <mergeCell ref="W195:AA195"/>
    <mergeCell ref="R236:V236"/>
    <mergeCell ref="W236:AA236"/>
    <mergeCell ref="R277:V277"/>
    <mergeCell ref="W277:AA277"/>
    <mergeCell ref="R195:V195"/>
    <mergeCell ref="AB113:AD113"/>
    <mergeCell ref="AB154:AD154"/>
    <mergeCell ref="AB195:AD195"/>
  </mergeCells>
  <conditionalFormatting sqref="C439:C465 E439:E465">
    <cfRule type="expression" dxfId="116" priority="489">
      <formula>D439="No"</formula>
    </cfRule>
    <cfRule type="cellIs" dxfId="115" priority="488" operator="equal">
      <formula>0</formula>
    </cfRule>
    <cfRule type="expression" dxfId="114" priority="490">
      <formula>D439="Yes"</formula>
    </cfRule>
  </conditionalFormatting>
  <conditionalFormatting sqref="C5:D7">
    <cfRule type="cellIs" dxfId="113" priority="65" operator="greaterThan">
      <formula>0</formula>
    </cfRule>
    <cfRule type="cellIs" dxfId="112" priority="66" operator="equal">
      <formula>0</formula>
    </cfRule>
  </conditionalFormatting>
  <conditionalFormatting sqref="C75:F108 H75:K108">
    <cfRule type="cellIs" dxfId="111" priority="35" operator="lessThanOrEqual">
      <formula>0</formula>
    </cfRule>
    <cfRule type="cellIs" dxfId="110" priority="36" operator="greaterThan">
      <formula>0</formula>
    </cfRule>
  </conditionalFormatting>
  <conditionalFormatting sqref="C420:F424 H420:M424">
    <cfRule type="cellIs" dxfId="109" priority="373" operator="lessThan">
      <formula>10</formula>
    </cfRule>
  </conditionalFormatting>
  <conditionalFormatting sqref="C17:H17">
    <cfRule type="cellIs" dxfId="108" priority="53" operator="greaterThan">
      <formula>0</formula>
    </cfRule>
    <cfRule type="cellIs" dxfId="107" priority="54" operator="equal">
      <formula>0</formula>
    </cfRule>
  </conditionalFormatting>
  <conditionalFormatting sqref="C21:H21">
    <cfRule type="cellIs" dxfId="106" priority="69" operator="greaterThan">
      <formula>0</formula>
    </cfRule>
    <cfRule type="cellIs" dxfId="105" priority="70" operator="equal">
      <formula>0</formula>
    </cfRule>
  </conditionalFormatting>
  <conditionalFormatting sqref="C412:J412">
    <cfRule type="cellIs" dxfId="104" priority="510" operator="equal">
      <formula>"Yes"</formula>
    </cfRule>
    <cfRule type="cellIs" dxfId="103" priority="509" operator="equal">
      <formula>"No"</formula>
    </cfRule>
  </conditionalFormatting>
  <conditionalFormatting sqref="C425:J425">
    <cfRule type="cellIs" dxfId="102" priority="504" operator="equal">
      <formula>"Yes"</formula>
    </cfRule>
    <cfRule type="cellIs" dxfId="101" priority="503" operator="equal">
      <formula>"No"</formula>
    </cfRule>
  </conditionalFormatting>
  <conditionalFormatting sqref="C406:M411">
    <cfRule type="cellIs" dxfId="100" priority="73" operator="lessThan">
      <formula>10</formula>
    </cfRule>
  </conditionalFormatting>
  <conditionalFormatting sqref="C419:M424">
    <cfRule type="cellIs" dxfId="99" priority="441" operator="lessThan">
      <formula>10</formula>
    </cfRule>
  </conditionalFormatting>
  <conditionalFormatting sqref="C12:N13">
    <cfRule type="cellIs" dxfId="98" priority="55" operator="greaterThan">
      <formula>0</formula>
    </cfRule>
    <cfRule type="cellIs" dxfId="97" priority="56" operator="equal">
      <formula>0</formula>
    </cfRule>
  </conditionalFormatting>
  <conditionalFormatting sqref="C14:N15 I16:N17">
    <cfRule type="containsText" dxfId="96" priority="71" operator="containsText" text="No">
      <formula>NOT(ISERROR(SEARCH("No",C14)))</formula>
    </cfRule>
    <cfRule type="containsText" dxfId="95" priority="72" operator="containsText" text="Yes">
      <formula>NOT(ISERROR(SEARCH("Yes",C14)))</formula>
    </cfRule>
  </conditionalFormatting>
  <conditionalFormatting sqref="D33:D38">
    <cfRule type="containsText" dxfId="94" priority="171" operator="containsText" text="No">
      <formula>NOT(ISERROR(SEARCH("No",D33)))</formula>
    </cfRule>
    <cfRule type="containsText" dxfId="93" priority="172" operator="containsText" text="Yes">
      <formula>NOT(ISERROR(SEARCH("Yes",D33)))</formula>
    </cfRule>
  </conditionalFormatting>
  <conditionalFormatting sqref="D432">
    <cfRule type="cellIs" dxfId="92" priority="535" operator="lessThanOrEqual">
      <formula>0.1</formula>
    </cfRule>
    <cfRule type="cellIs" dxfId="91" priority="534" stopIfTrue="1" operator="equal">
      <formula>"NA"</formula>
    </cfRule>
    <cfRule type="cellIs" dxfId="90" priority="536" operator="greaterThan">
      <formula>0.1</formula>
    </cfRule>
  </conditionalFormatting>
  <conditionalFormatting sqref="E45:E49">
    <cfRule type="cellIs" dxfId="89" priority="548" operator="equal">
      <formula>"Yes"</formula>
    </cfRule>
  </conditionalFormatting>
  <conditionalFormatting sqref="E55:E59">
    <cfRule type="cellIs" dxfId="86" priority="341" operator="equal">
      <formula>"Yes"</formula>
    </cfRule>
  </conditionalFormatting>
  <conditionalFormatting sqref="E56:E59">
    <cfRule type="cellIs" dxfId="85" priority="547" operator="equal">
      <formula>"No"</formula>
    </cfRule>
    <cfRule type="cellIs" dxfId="84" priority="546" operator="equal">
      <formula>"Yes"</formula>
    </cfRule>
  </conditionalFormatting>
  <conditionalFormatting sqref="E364">
    <cfRule type="notContainsText" dxfId="82" priority="204" operator="notContains" text="TRUE">
      <formula>ISERROR(SEARCH("TRUE",E364))</formula>
    </cfRule>
  </conditionalFormatting>
  <conditionalFormatting sqref="E364:E399">
    <cfRule type="notContainsText" dxfId="81" priority="202" operator="notContains" text="TRUE">
      <formula>ISERROR(SEARCH("TRUE",E364))</formula>
    </cfRule>
    <cfRule type="notContainsText" dxfId="80" priority="200" operator="notContains" text="TRUE">
      <formula>ISERROR(SEARCH("TRUE",E364))</formula>
    </cfRule>
  </conditionalFormatting>
  <conditionalFormatting sqref="E64:F69">
    <cfRule type="cellIs" dxfId="78" priority="61" operator="equal">
      <formula>"Yes"</formula>
    </cfRule>
  </conditionalFormatting>
  <conditionalFormatting sqref="F33:G38">
    <cfRule type="containsText" dxfId="76" priority="173" operator="containsText" text="No">
      <formula>NOT(ISERROR(SEARCH("No",F33)))</formula>
    </cfRule>
    <cfRule type="containsText" dxfId="75" priority="174" operator="containsText" text="Yes">
      <formula>NOT(ISERROR(SEARCH("Yes",F33)))</formula>
    </cfRule>
  </conditionalFormatting>
  <conditionalFormatting sqref="G45:G49">
    <cfRule type="cellIs" dxfId="73" priority="335" operator="equal">
      <formula>"Yes"</formula>
    </cfRule>
  </conditionalFormatting>
  <conditionalFormatting sqref="G55:G59">
    <cfRule type="cellIs" dxfId="72" priority="359" operator="equal">
      <formula>"Yes"</formula>
    </cfRule>
    <cfRule type="cellIs" dxfId="71" priority="360" operator="equal">
      <formula>"No"</formula>
    </cfRule>
  </conditionalFormatting>
  <conditionalFormatting sqref="H364:H399">
    <cfRule type="notContainsText" dxfId="70" priority="197" operator="notContains" text="TRUE">
      <formula>ISERROR(SEARCH("TRUE",H364))</formula>
    </cfRule>
    <cfRule type="notContainsText" dxfId="69" priority="199" operator="notContains" text="TRUE">
      <formula>ISERROR(SEARCH("TRUE",H364))</formula>
    </cfRule>
    <cfRule type="notContainsText" dxfId="67" priority="195" operator="notContains" text="TRUE">
      <formula>ISERROR(SEARCH("TRUE",H364))</formula>
    </cfRule>
  </conditionalFormatting>
  <conditionalFormatting sqref="H432">
    <cfRule type="cellIs" dxfId="65" priority="533" operator="greaterThan">
      <formula>0.1</formula>
    </cfRule>
    <cfRule type="cellIs" dxfId="64" priority="531" stopIfTrue="1" operator="equal">
      <formula>"NA"</formula>
    </cfRule>
    <cfRule type="cellIs" dxfId="63" priority="532" operator="lessThanOrEqual">
      <formula>0.1</formula>
    </cfRule>
  </conditionalFormatting>
  <conditionalFormatting sqref="H116:L150">
    <cfRule type="notContainsText" dxfId="62" priority="238" operator="notContains" text="TRUE">
      <formula>ISERROR(SEARCH("TRUE",H116))</formula>
    </cfRule>
  </conditionalFormatting>
  <conditionalFormatting sqref="H407:M411">
    <cfRule type="cellIs" dxfId="61" priority="374" operator="lessThan">
      <formula>10</formula>
    </cfRule>
  </conditionalFormatting>
  <conditionalFormatting sqref="H115:O150">
    <cfRule type="notContainsText" dxfId="59" priority="354" operator="notContains" text="TRUE">
      <formula>ISERROR(SEARCH("TRUE",H115))</formula>
    </cfRule>
  </conditionalFormatting>
  <conditionalFormatting sqref="H156:O191">
    <cfRule type="notContainsText" dxfId="58" priority="29" operator="notContains" text="TRUE">
      <formula>ISERROR(SEARCH("TRUE",H156))</formula>
    </cfRule>
  </conditionalFormatting>
  <conditionalFormatting sqref="H197:O232">
    <cfRule type="notContainsText" dxfId="56" priority="26" operator="notContains" text="TRUE">
      <formula>ISERROR(SEARCH("TRUE",H197))</formula>
    </cfRule>
  </conditionalFormatting>
  <conditionalFormatting sqref="H238:O273">
    <cfRule type="notContainsText" dxfId="53" priority="23" operator="notContains" text="TRUE">
      <formula>ISERROR(SEARCH("TRUE",H238))</formula>
    </cfRule>
  </conditionalFormatting>
  <conditionalFormatting sqref="H279:O314">
    <cfRule type="notContainsText" dxfId="52" priority="20" operator="notContains" text="TRUE">
      <formula>ISERROR(SEARCH("TRUE",H279))</formula>
    </cfRule>
  </conditionalFormatting>
  <conditionalFormatting sqref="H320:O355">
    <cfRule type="notContainsText" dxfId="50" priority="17" operator="notContains" text="TRUE">
      <formula>ISERROR(SEARCH("TRUE",H320))</formula>
    </cfRule>
  </conditionalFormatting>
  <conditionalFormatting sqref="I45:I47">
    <cfRule type="cellIs" dxfId="48" priority="333" operator="equal">
      <formula>"Yes"</formula>
    </cfRule>
  </conditionalFormatting>
  <conditionalFormatting sqref="I48">
    <cfRule type="expression" dxfId="46" priority="45">
      <formula>"NA"</formula>
    </cfRule>
  </conditionalFormatting>
  <conditionalFormatting sqref="I49">
    <cfRule type="cellIs" dxfId="45" priority="46" operator="equal">
      <formula>"Yes"</formula>
    </cfRule>
  </conditionalFormatting>
  <conditionalFormatting sqref="I55:I57">
    <cfRule type="cellIs" dxfId="43" priority="50" operator="equal">
      <formula>"Yes"</formula>
    </cfRule>
  </conditionalFormatting>
  <conditionalFormatting sqref="I58">
    <cfRule type="expression" dxfId="41" priority="332">
      <formula>"NA"</formula>
    </cfRule>
  </conditionalFormatting>
  <conditionalFormatting sqref="I59">
    <cfRule type="cellIs" dxfId="40" priority="48" operator="equal">
      <formula>"Yes"</formula>
    </cfRule>
  </conditionalFormatting>
  <conditionalFormatting sqref="I64:J69">
    <cfRule type="cellIs" dxfId="37" priority="57" operator="equal">
      <formula>"Yes"</formula>
    </cfRule>
  </conditionalFormatting>
  <conditionalFormatting sqref="M364">
    <cfRule type="notContainsText" dxfId="35" priority="100" operator="notContains" text="TRUE">
      <formula>ISERROR(SEARCH("TRUE",M364))</formula>
    </cfRule>
  </conditionalFormatting>
  <conditionalFormatting sqref="M364:M399">
    <cfRule type="notContainsText" dxfId="34" priority="96" operator="notContains" text="TRUE">
      <formula>ISERROR(SEARCH("TRUE",M364))</formula>
    </cfRule>
    <cfRule type="notContainsText" dxfId="32" priority="98" operator="notContains" text="TRUE">
      <formula>ISERROR(SEARCH("TRUE",M364))</formula>
    </cfRule>
  </conditionalFormatting>
  <conditionalFormatting sqref="O400">
    <cfRule type="cellIs" dxfId="31" priority="402" operator="equal">
      <formula>"Yes"</formula>
    </cfRule>
    <cfRule type="cellIs" dxfId="30" priority="401" operator="equal">
      <formula>"No"</formula>
    </cfRule>
  </conditionalFormatting>
  <conditionalFormatting sqref="P364:P399">
    <cfRule type="notContainsText" dxfId="29" priority="91" operator="notContains" text="TRUE">
      <formula>ISERROR(SEARCH("TRUE",P364))</formula>
    </cfRule>
    <cfRule type="notContainsText" dxfId="28" priority="95" operator="notContains" text="TRUE">
      <formula>ISERROR(SEARCH("TRUE",P364))</formula>
    </cfRule>
    <cfRule type="notContainsText" dxfId="26" priority="93" operator="notContains" text="TRUE">
      <formula>ISERROR(SEARCH("TRUE",P364))</formula>
    </cfRule>
  </conditionalFormatting>
  <conditionalFormatting sqref="R400">
    <cfRule type="cellIs" dxfId="24" priority="406" operator="equal">
      <formula>"Yes"</formula>
    </cfRule>
    <cfRule type="cellIs" dxfId="23" priority="405" operator="equal">
      <formula>"No"</formula>
    </cfRule>
  </conditionalFormatting>
  <conditionalFormatting sqref="U364">
    <cfRule type="notContainsText" dxfId="22" priority="90" operator="notContains" text="TRUE">
      <formula>ISERROR(SEARCH("TRUE",U364))</formula>
    </cfRule>
  </conditionalFormatting>
  <conditionalFormatting sqref="U364:U399">
    <cfRule type="notContainsText" dxfId="20" priority="86" operator="notContains" text="TRUE">
      <formula>ISERROR(SEARCH("TRUE",U364))</formula>
    </cfRule>
    <cfRule type="notContainsText" dxfId="19" priority="88" operator="notContains" text="TRUE">
      <formula>ISERROR(SEARCH("TRUE",U364))</formula>
    </cfRule>
  </conditionalFormatting>
  <conditionalFormatting sqref="W116:AA150">
    <cfRule type="notContainsText" dxfId="17" priority="142" operator="notContains" text="TRUE">
      <formula>ISERROR(SEARCH("TRUE",W116))</formula>
    </cfRule>
  </conditionalFormatting>
  <conditionalFormatting sqref="W115:AD150">
    <cfRule type="notContainsText" dxfId="15" priority="144" operator="notContains" text="TRUE">
      <formula>ISERROR(SEARCH("TRUE",W115))</formula>
    </cfRule>
  </conditionalFormatting>
  <conditionalFormatting sqref="W156:AD191">
    <cfRule type="notContainsText" dxfId="14" priority="14" operator="notContains" text="TRUE">
      <formula>ISERROR(SEARCH("TRUE",W156))</formula>
    </cfRule>
  </conditionalFormatting>
  <conditionalFormatting sqref="W197:AD232">
    <cfRule type="notContainsText" dxfId="12" priority="11" operator="notContains" text="TRUE">
      <formula>ISERROR(SEARCH("TRUE",W197))</formula>
    </cfRule>
  </conditionalFormatting>
  <conditionalFormatting sqref="W238:AD273">
    <cfRule type="notContainsText" dxfId="10" priority="8" operator="notContains" text="TRUE">
      <formula>ISERROR(SEARCH("TRUE",W238))</formula>
    </cfRule>
  </conditionalFormatting>
  <conditionalFormatting sqref="W279:AD314">
    <cfRule type="notContainsText" dxfId="8" priority="5" operator="notContains" text="TRUE">
      <formula>ISERROR(SEARCH("TRUE",W279))</formula>
    </cfRule>
  </conditionalFormatting>
  <conditionalFormatting sqref="W320:AD355">
    <cfRule type="notContainsText" dxfId="5" priority="2" operator="notContains" text="TRUE">
      <formula>ISERROR(SEARCH("TRUE",W320))</formula>
    </cfRule>
  </conditionalFormatting>
  <conditionalFormatting sqref="X364">
    <cfRule type="notContainsText" dxfId="3" priority="80" operator="notContains" text="TRUE">
      <formula>ISERROR(SEARCH("TRUE",X364))</formula>
    </cfRule>
  </conditionalFormatting>
  <conditionalFormatting sqref="X364:X399">
    <cfRule type="notContainsText" dxfId="2" priority="76" operator="notContains" text="TRUE">
      <formula>ISERROR(SEARCH("TRUE",X364))</formula>
    </cfRule>
    <cfRule type="notContainsText" dxfId="1" priority="78" operator="notContains" text="TRUE">
      <formula>ISERROR(SEARCH("TRUE",X364))</formula>
    </cfRule>
  </conditionalFormatting>
  <hyperlinks>
    <hyperlink ref="B5" location="MMConsistencybyMkt" display="Alignment of member months across the Advanced Network, Age/Sex, Line of Business, and Standard Deviation tabs by Market" xr:uid="{7C6BB8A8-92EC-4D50-AC01-0F11B00724A2}"/>
    <hyperlink ref="B6" location="MMConsistencybyICC" display="Alignment of member months across the Advanced Network, Age/Sex, Line of Business, and Standard Deviation tabs by ICC" xr:uid="{18B550E7-EF59-421C-8BAB-AC9A1A703DDD}"/>
    <hyperlink ref="B7" location="ReasonablenessPMPMs" display="Reasonableness of PMPMs - is there a greater than 10% difference between ICCs 3 and 4 for any Claims category?" xr:uid="{C08D837F-4FA5-4DF7-8441-08877661AA70}"/>
    <hyperlink ref="B12" location="TruncSpendMembersbyICC" display="Alignment of truncated and non-truncated spending by Advanced Network Across the Advanced Network and Age/Sex tabs" xr:uid="{3E3DBF04-473D-4861-80CC-BE35FA61F374}"/>
    <hyperlink ref="B21" location="TruncSpendingSDbyMkt" display="Alignment of Truncated Spending by Market between Advanced Network and Standard Deviation" xr:uid="{29318D8D-E928-4501-A8A9-60EE58649169}"/>
    <hyperlink ref="B17" location="AdvNet_MMs" display="For how many Advanced Networks was there a significant (&gt;20%) increase or decrease in member months attributed?" xr:uid="{9263235C-32AF-43AA-8301-7C102C255147}"/>
    <hyperlink ref="B152" location="Backtotop" display="[back to top]" xr:uid="{C0CABB7A-D45F-4EE3-9F4D-477CC3900C36}"/>
    <hyperlink ref="B71" location="Backtotop" display="[back to top]" xr:uid="{30A7B20B-DA44-468C-A987-73248EF8A7DE}"/>
    <hyperlink ref="B61" location="Backtotop" display="[back to top]" xr:uid="{279D58B6-82AC-4CC3-869C-E3938E7A8455}"/>
    <hyperlink ref="Q152" location="Backtotop" display="[back to top]" xr:uid="{0C773ED5-0FC3-4E61-B5E9-51AB9BE9C171}"/>
    <hyperlink ref="B193" location="Backtotop" display="[back to top]" xr:uid="{053036CD-6329-46F8-8798-2063579FEE71}"/>
    <hyperlink ref="Q193" location="Backtotop" display="[back to top]" xr:uid="{0A0CA349-5CA8-4A74-A250-450C32749FC5}"/>
    <hyperlink ref="B234" location="Backtotop" display="[back to top]" xr:uid="{77E0AAD0-16B0-4970-BBBB-42DB649F9517}"/>
    <hyperlink ref="Q234" location="Backtotop" display="[back to top]" xr:uid="{AFD1CDD4-40B1-453E-8FCB-27655A2053BB}"/>
    <hyperlink ref="B275" location="Backtotop" display="[back to top]" xr:uid="{A227D349-9BBF-4615-A368-1B965000D578}"/>
    <hyperlink ref="Q275" location="Backtotop" display="[back to top]" xr:uid="{52B97815-B466-4485-A73F-83A776B272FC}"/>
    <hyperlink ref="B316" location="Backtotop" display="[back to top]" xr:uid="{FA70B231-4EDE-4E57-B868-2E7AC8460FCE}"/>
    <hyperlink ref="Q316" location="Backtotop" display="[back to top]" xr:uid="{978661A0-2102-4663-B715-3A506B8F23A9}"/>
    <hyperlink ref="B358" location="Backtotop" display="[back to top]" xr:uid="{436EA5CD-DA4B-4B0D-B5D3-E4CD11079600}"/>
    <hyperlink ref="Q358" location="Backtotop" display="[back to top]" xr:uid="{B451A694-43D3-4999-BB69-1620157BAC6F}"/>
    <hyperlink ref="B401" location="Backtotop" display="[back to top]" xr:uid="{7EE61A8F-CEC7-4DEB-B543-090C6029A7A7}"/>
    <hyperlink ref="B414" location="Backtotop" display="[back to top]" xr:uid="{AC2689BC-2061-494E-B493-18E29D90FF26}"/>
    <hyperlink ref="B427" location="Backtotop" display="[back to top]" xr:uid="{A0A3F2A8-89C6-4E7A-8C26-1887E2B289B1}"/>
    <hyperlink ref="B13" location="'Data Validation'!B73" display="Advanced Networks With No Spending Attributed" xr:uid="{253DEA96-6F20-4044-BD9B-657976FB65A9}"/>
  </hyperlinks>
  <pageMargins left="0.7" right="0.7" top="0.75" bottom="0.75" header="0.3" footer="0.3"/>
  <pageSetup orientation="portrait" r:id="rId1"/>
  <ignoredErrors>
    <ignoredError sqref="D33:D38" formula="1"/>
  </ignoredErrors>
  <extLst>
    <ext xmlns:x14="http://schemas.microsoft.com/office/spreadsheetml/2009/9/main" uri="{78C0D931-6437-407d-A8EE-F0AAD7539E65}">
      <x14:conditionalFormattings>
        <x14:conditionalFormatting xmlns:xm="http://schemas.microsoft.com/office/excel/2006/main">
          <x14:cfRule type="notContainsText" priority="549" operator="notContains" id="{17C91439-E556-415E-BC7D-46D4D09610F2}">
            <xm:f>ISERROR(SEARCH("Yes",E45))</xm:f>
            <xm:f>"Yes"</xm:f>
            <x14:dxf>
              <font>
                <color rgb="FF9C0006"/>
              </font>
              <fill>
                <patternFill>
                  <bgColor rgb="FFFF9999"/>
                </patternFill>
              </fill>
            </x14:dxf>
          </x14:cfRule>
          <xm:sqref>E45:E49</xm:sqref>
        </x14:conditionalFormatting>
        <x14:conditionalFormatting xmlns:xm="http://schemas.microsoft.com/office/excel/2006/main">
          <x14:cfRule type="notContainsText" priority="342" operator="notContains" id="{F3E3DB2C-B6C7-4BD9-916E-4036BBD41E48}">
            <xm:f>ISERROR(SEARCH("Yes",E55))</xm:f>
            <xm:f>"Yes"</xm:f>
            <x14:dxf>
              <font>
                <color rgb="FF9C0006"/>
              </font>
              <fill>
                <patternFill>
                  <bgColor rgb="FFFF9999"/>
                </patternFill>
              </fill>
            </x14:dxf>
          </x14:cfRule>
          <xm:sqref>E55:E59</xm:sqref>
        </x14:conditionalFormatting>
        <x14:conditionalFormatting xmlns:xm="http://schemas.microsoft.com/office/excel/2006/main">
          <x14:cfRule type="containsText" priority="203" operator="containsText" id="{88B540EE-2223-4E25-9833-B82603B94A10}">
            <xm:f>NOT(ISERROR(SEARCH("TRUE",E364)))</xm:f>
            <xm:f>"TRUE"</xm:f>
            <x14:dxf>
              <fill>
                <patternFill>
                  <bgColor rgb="FF92D050"/>
                </patternFill>
              </fill>
            </x14:dxf>
          </x14:cfRule>
          <xm:sqref>E364</xm:sqref>
        </x14:conditionalFormatting>
        <x14:conditionalFormatting xmlns:xm="http://schemas.microsoft.com/office/excel/2006/main">
          <x14:cfRule type="containsText" priority="201" operator="containsText" id="{13E814B1-D899-4FB8-AC97-06334729CEA0}">
            <xm:f>NOT(ISERROR(SEARCH("TRUE",E364)))</xm:f>
            <xm:f>"TRUE"</xm:f>
            <x14:dxf>
              <fill>
                <patternFill>
                  <bgColor theme="6"/>
                </patternFill>
              </fill>
            </x14:dxf>
          </x14:cfRule>
          <xm:sqref>E364:E399</xm:sqref>
        </x14:conditionalFormatting>
        <x14:conditionalFormatting xmlns:xm="http://schemas.microsoft.com/office/excel/2006/main">
          <x14:cfRule type="notContainsText" priority="62" operator="notContains" id="{40FA0CA3-0742-4426-9371-4131CBDC8D4B}">
            <xm:f>ISERROR(SEARCH("Yes",E64))</xm:f>
            <xm:f>"Yes"</xm:f>
            <x14:dxf>
              <font>
                <color rgb="FF9C0006"/>
              </font>
              <fill>
                <patternFill>
                  <bgColor rgb="FFFF9999"/>
                </patternFill>
              </fill>
            </x14:dxf>
          </x14:cfRule>
          <xm:sqref>E64:F69</xm:sqref>
        </x14:conditionalFormatting>
        <x14:conditionalFormatting xmlns:xm="http://schemas.microsoft.com/office/excel/2006/main">
          <x14:cfRule type="notContainsText" priority="336" operator="notContains" id="{D2C2F454-4F33-4B0E-BA47-6722F13B16C5}">
            <xm:f>ISERROR(SEARCH("Yes",G45))</xm:f>
            <xm:f>"Yes"</xm:f>
            <x14:dxf>
              <font>
                <color rgb="FF9C0006"/>
              </font>
              <fill>
                <patternFill>
                  <bgColor rgb="FFFF9999"/>
                </patternFill>
              </fill>
            </x14:dxf>
          </x14:cfRule>
          <xm:sqref>G45:G49</xm:sqref>
        </x14:conditionalFormatting>
        <x14:conditionalFormatting xmlns:xm="http://schemas.microsoft.com/office/excel/2006/main">
          <x14:cfRule type="containsText" priority="196" operator="containsText" id="{94D24A7C-2B3A-4FC1-BF35-DA3C9F061CF0}">
            <xm:f>NOT(ISERROR(SEARCH("TRUE",H364)))</xm:f>
            <xm:f>"TRUE"</xm:f>
            <x14:dxf>
              <fill>
                <patternFill>
                  <bgColor theme="6"/>
                </patternFill>
              </fill>
            </x14:dxf>
          </x14:cfRule>
          <x14:cfRule type="containsText" priority="198" operator="containsText" id="{17599781-B29F-4DCC-AE2B-D5E8ABABC645}">
            <xm:f>NOT(ISERROR(SEARCH("TRUE",H364)))</xm:f>
            <xm:f>"TRUE"</xm:f>
            <x14:dxf>
              <fill>
                <patternFill>
                  <bgColor rgb="FF92D050"/>
                </patternFill>
              </fill>
            </x14:dxf>
          </x14:cfRule>
          <xm:sqref>H364:H399</xm:sqref>
        </x14:conditionalFormatting>
        <x14:conditionalFormatting xmlns:xm="http://schemas.microsoft.com/office/excel/2006/main">
          <x14:cfRule type="containsText" priority="237" operator="containsText" id="{17EF2E72-25E9-416C-945C-7E9A55F8E05B}">
            <xm:f>NOT(ISERROR(SEARCH("TRUE",H115)))</xm:f>
            <xm:f>"TRUE"</xm:f>
            <x14:dxf>
              <fill>
                <patternFill>
                  <bgColor theme="6"/>
                </patternFill>
              </fill>
            </x14:dxf>
          </x14:cfRule>
          <xm:sqref>H115:O150</xm:sqref>
        </x14:conditionalFormatting>
        <x14:conditionalFormatting xmlns:xm="http://schemas.microsoft.com/office/excel/2006/main">
          <x14:cfRule type="containsText" priority="28" operator="containsText" id="{D797AD68-576D-438C-AA9A-C6F9B60CCDE7}">
            <xm:f>NOT(ISERROR(SEARCH("TRUE",H156)))</xm:f>
            <xm:f>"TRUE"</xm:f>
            <x14:dxf>
              <fill>
                <patternFill>
                  <bgColor theme="6"/>
                </patternFill>
              </fill>
            </x14:dxf>
          </x14:cfRule>
          <xm:sqref>H156:O191</xm:sqref>
        </x14:conditionalFormatting>
        <x14:conditionalFormatting xmlns:xm="http://schemas.microsoft.com/office/excel/2006/main">
          <x14:cfRule type="containsText" priority="25" operator="containsText" id="{61BC2A2A-A45B-44DF-91D0-995B462C749C}">
            <xm:f>NOT(ISERROR(SEARCH("TRUE",H197)))</xm:f>
            <xm:f>"TRUE"</xm:f>
            <x14:dxf>
              <fill>
                <patternFill>
                  <bgColor theme="6"/>
                </patternFill>
              </fill>
            </x14:dxf>
          </x14:cfRule>
          <xm:sqref>H197:O232</xm:sqref>
        </x14:conditionalFormatting>
        <x14:conditionalFormatting xmlns:xm="http://schemas.microsoft.com/office/excel/2006/main">
          <x14:cfRule type="containsText" priority="22" operator="containsText" id="{99ECBD1F-0081-46BC-B48D-898A105E9A32}">
            <xm:f>NOT(ISERROR(SEARCH("TRUE",H238)))</xm:f>
            <xm:f>"TRUE"</xm:f>
            <x14:dxf>
              <fill>
                <patternFill>
                  <bgColor theme="6"/>
                </patternFill>
              </fill>
            </x14:dxf>
          </x14:cfRule>
          <xm:sqref>H238:O273</xm:sqref>
        </x14:conditionalFormatting>
        <x14:conditionalFormatting xmlns:xm="http://schemas.microsoft.com/office/excel/2006/main">
          <x14:cfRule type="containsText" priority="19" operator="containsText" id="{4B146FCC-6810-4DCE-BD5B-4843FCB74284}">
            <xm:f>NOT(ISERROR(SEARCH("TRUE",H279)))</xm:f>
            <xm:f>"TRUE"</xm:f>
            <x14:dxf>
              <fill>
                <patternFill>
                  <bgColor theme="6"/>
                </patternFill>
              </fill>
            </x14:dxf>
          </x14:cfRule>
          <xm:sqref>H279:O314</xm:sqref>
        </x14:conditionalFormatting>
        <x14:conditionalFormatting xmlns:xm="http://schemas.microsoft.com/office/excel/2006/main">
          <x14:cfRule type="containsText" priority="16" operator="containsText" id="{CA4129DC-D54C-4D47-8E32-0F89F7AC6C9A}">
            <xm:f>NOT(ISERROR(SEARCH("TRUE",H320)))</xm:f>
            <xm:f>"TRUE"</xm:f>
            <x14:dxf>
              <fill>
                <patternFill>
                  <bgColor theme="6"/>
                </patternFill>
              </fill>
            </x14:dxf>
          </x14:cfRule>
          <xm:sqref>H320:O355</xm:sqref>
        </x14:conditionalFormatting>
        <x14:conditionalFormatting xmlns:xm="http://schemas.microsoft.com/office/excel/2006/main">
          <x14:cfRule type="notContainsText" priority="334" operator="notContains" id="{12A743E8-CF8B-46A8-8F58-C30847BCAC57}">
            <xm:f>ISERROR(SEARCH("Yes",I45))</xm:f>
            <xm:f>"Yes"</xm:f>
            <x14:dxf>
              <font>
                <color rgb="FF9C0006"/>
              </font>
              <fill>
                <patternFill>
                  <bgColor rgb="FFFF9999"/>
                </patternFill>
              </fill>
            </x14:dxf>
          </x14:cfRule>
          <xm:sqref>I45:I47</xm:sqref>
        </x14:conditionalFormatting>
        <x14:conditionalFormatting xmlns:xm="http://schemas.microsoft.com/office/excel/2006/main">
          <x14:cfRule type="notContainsText" priority="47" operator="notContains" id="{B0912289-E949-4966-92D8-1FC672F7DA9B}">
            <xm:f>ISERROR(SEARCH("Yes",I49))</xm:f>
            <xm:f>"Yes"</xm:f>
            <x14:dxf>
              <font>
                <color rgb="FF9C0006"/>
              </font>
              <fill>
                <patternFill>
                  <bgColor rgb="FFFF9999"/>
                </patternFill>
              </fill>
            </x14:dxf>
          </x14:cfRule>
          <xm:sqref>I49</xm:sqref>
        </x14:conditionalFormatting>
        <x14:conditionalFormatting xmlns:xm="http://schemas.microsoft.com/office/excel/2006/main">
          <x14:cfRule type="notContainsText" priority="331" operator="notContains" id="{00ED8E87-58EE-4A22-88BB-DB715157FCEE}">
            <xm:f>ISERROR(SEARCH("Yes",I55))</xm:f>
            <xm:f>"Yes"</xm:f>
            <x14:dxf>
              <font>
                <color rgb="FF9C0006"/>
              </font>
              <fill>
                <patternFill>
                  <bgColor rgb="FFFF9999"/>
                </patternFill>
              </fill>
            </x14:dxf>
          </x14:cfRule>
          <xm:sqref>I55:I57</xm:sqref>
        </x14:conditionalFormatting>
        <x14:conditionalFormatting xmlns:xm="http://schemas.microsoft.com/office/excel/2006/main">
          <x14:cfRule type="notContainsText" priority="49" operator="notContains" id="{50D4EDC7-D6C5-41C5-AFDF-5C5C00ECFAA3}">
            <xm:f>ISERROR(SEARCH("Yes",I59))</xm:f>
            <xm:f>"Yes"</xm:f>
            <x14:dxf>
              <font>
                <color rgb="FF9C0006"/>
              </font>
              <fill>
                <patternFill>
                  <bgColor rgb="FFFF9999"/>
                </patternFill>
              </fill>
            </x14:dxf>
          </x14:cfRule>
          <xm:sqref>I59</xm:sqref>
        </x14:conditionalFormatting>
        <x14:conditionalFormatting xmlns:xm="http://schemas.microsoft.com/office/excel/2006/main">
          <x14:cfRule type="notContainsText" priority="58" operator="notContains" id="{A3F50817-C2AD-4361-BE4A-FDFAF18F66F9}">
            <xm:f>ISERROR(SEARCH("Yes",I64))</xm:f>
            <xm:f>"Yes"</xm:f>
            <x14:dxf>
              <font>
                <color rgb="FF9C0006"/>
              </font>
              <fill>
                <patternFill>
                  <bgColor rgb="FFFF9999"/>
                </patternFill>
              </fill>
            </x14:dxf>
          </x14:cfRule>
          <xm:sqref>I64:J69</xm:sqref>
        </x14:conditionalFormatting>
        <x14:conditionalFormatting xmlns:xm="http://schemas.microsoft.com/office/excel/2006/main">
          <x14:cfRule type="containsText" priority="99" operator="containsText" id="{C102CA58-88FC-4E12-94C5-A3F600DAF5AF}">
            <xm:f>NOT(ISERROR(SEARCH("TRUE",M364)))</xm:f>
            <xm:f>"TRUE"</xm:f>
            <x14:dxf>
              <fill>
                <patternFill>
                  <bgColor rgb="FF92D050"/>
                </patternFill>
              </fill>
            </x14:dxf>
          </x14:cfRule>
          <xm:sqref>M364</xm:sqref>
        </x14:conditionalFormatting>
        <x14:conditionalFormatting xmlns:xm="http://schemas.microsoft.com/office/excel/2006/main">
          <x14:cfRule type="containsText" priority="97" operator="containsText" id="{5EE84EED-388C-45A3-BAC2-64FEB6D4C780}">
            <xm:f>NOT(ISERROR(SEARCH("TRUE",M364)))</xm:f>
            <xm:f>"TRUE"</xm:f>
            <x14:dxf>
              <fill>
                <patternFill>
                  <bgColor theme="6"/>
                </patternFill>
              </fill>
            </x14:dxf>
          </x14:cfRule>
          <xm:sqref>M364:M399</xm:sqref>
        </x14:conditionalFormatting>
        <x14:conditionalFormatting xmlns:xm="http://schemas.microsoft.com/office/excel/2006/main">
          <x14:cfRule type="containsText" priority="94" operator="containsText" id="{E3342C40-334B-46E0-AF3C-BC02901AFDAA}">
            <xm:f>NOT(ISERROR(SEARCH("TRUE",P364)))</xm:f>
            <xm:f>"TRUE"</xm:f>
            <x14:dxf>
              <fill>
                <patternFill>
                  <bgColor rgb="FF92D050"/>
                </patternFill>
              </fill>
            </x14:dxf>
          </x14:cfRule>
          <x14:cfRule type="containsText" priority="92" operator="containsText" id="{37079345-7BE8-438A-927A-F40BF54D5039}">
            <xm:f>NOT(ISERROR(SEARCH("TRUE",P364)))</xm:f>
            <xm:f>"TRUE"</xm:f>
            <x14:dxf>
              <fill>
                <patternFill>
                  <bgColor theme="6"/>
                </patternFill>
              </fill>
            </x14:dxf>
          </x14:cfRule>
          <xm:sqref>P364:P399</xm:sqref>
        </x14:conditionalFormatting>
        <x14:conditionalFormatting xmlns:xm="http://schemas.microsoft.com/office/excel/2006/main">
          <x14:cfRule type="containsText" priority="89" operator="containsText" id="{55733DB9-BA37-4DF3-B78F-1C5E4545A6B3}">
            <xm:f>NOT(ISERROR(SEARCH("TRUE",U364)))</xm:f>
            <xm:f>"TRUE"</xm:f>
            <x14:dxf>
              <fill>
                <patternFill>
                  <bgColor rgb="FF92D050"/>
                </patternFill>
              </fill>
            </x14:dxf>
          </x14:cfRule>
          <xm:sqref>U364</xm:sqref>
        </x14:conditionalFormatting>
        <x14:conditionalFormatting xmlns:xm="http://schemas.microsoft.com/office/excel/2006/main">
          <x14:cfRule type="containsText" priority="87" operator="containsText" id="{EB441DE9-E82A-4A2C-A359-FCBE427A9A27}">
            <xm:f>NOT(ISERROR(SEARCH("TRUE",U364)))</xm:f>
            <xm:f>"TRUE"</xm:f>
            <x14:dxf>
              <fill>
                <patternFill>
                  <bgColor theme="6"/>
                </patternFill>
              </fill>
            </x14:dxf>
          </x14:cfRule>
          <xm:sqref>U364:U399</xm:sqref>
        </x14:conditionalFormatting>
        <x14:conditionalFormatting xmlns:xm="http://schemas.microsoft.com/office/excel/2006/main">
          <x14:cfRule type="containsText" priority="141" operator="containsText" id="{0D895690-AEBE-45EF-B61A-DFE76F349E54}">
            <xm:f>NOT(ISERROR(SEARCH("TRUE",W115)))</xm:f>
            <xm:f>"TRUE"</xm:f>
            <x14:dxf>
              <fill>
                <patternFill>
                  <bgColor theme="6"/>
                </patternFill>
              </fill>
            </x14:dxf>
          </x14:cfRule>
          <xm:sqref>W115:AD150</xm:sqref>
        </x14:conditionalFormatting>
        <x14:conditionalFormatting xmlns:xm="http://schemas.microsoft.com/office/excel/2006/main">
          <x14:cfRule type="containsText" priority="13" operator="containsText" id="{EA7AF8E3-36A1-4455-B962-FD8EC3FC6617}">
            <xm:f>NOT(ISERROR(SEARCH("TRUE",W156)))</xm:f>
            <xm:f>"TRUE"</xm:f>
            <x14:dxf>
              <fill>
                <patternFill>
                  <bgColor theme="6"/>
                </patternFill>
              </fill>
            </x14:dxf>
          </x14:cfRule>
          <xm:sqref>W156:AD191</xm:sqref>
        </x14:conditionalFormatting>
        <x14:conditionalFormatting xmlns:xm="http://schemas.microsoft.com/office/excel/2006/main">
          <x14:cfRule type="containsText" priority="10" operator="containsText" id="{02287F30-7A53-4217-ADE7-975B82F1445B}">
            <xm:f>NOT(ISERROR(SEARCH("TRUE",W197)))</xm:f>
            <xm:f>"TRUE"</xm:f>
            <x14:dxf>
              <fill>
                <patternFill>
                  <bgColor theme="6"/>
                </patternFill>
              </fill>
            </x14:dxf>
          </x14:cfRule>
          <xm:sqref>W197:AD232</xm:sqref>
        </x14:conditionalFormatting>
        <x14:conditionalFormatting xmlns:xm="http://schemas.microsoft.com/office/excel/2006/main">
          <x14:cfRule type="containsText" priority="7" operator="containsText" id="{D8F07674-5114-4A1F-A6C3-81599CF91172}">
            <xm:f>NOT(ISERROR(SEARCH("TRUE",W238)))</xm:f>
            <xm:f>"TRUE"</xm:f>
            <x14:dxf>
              <fill>
                <patternFill>
                  <bgColor theme="6"/>
                </patternFill>
              </fill>
            </x14:dxf>
          </x14:cfRule>
          <xm:sqref>W238:AD273</xm:sqref>
        </x14:conditionalFormatting>
        <x14:conditionalFormatting xmlns:xm="http://schemas.microsoft.com/office/excel/2006/main">
          <x14:cfRule type="containsText" priority="4" operator="containsText" id="{9B2CD1C5-E75E-49B7-83FF-2E962C347C7E}">
            <xm:f>NOT(ISERROR(SEARCH("TRUE",W279)))</xm:f>
            <xm:f>"TRUE"</xm:f>
            <x14:dxf>
              <fill>
                <patternFill>
                  <bgColor theme="6"/>
                </patternFill>
              </fill>
            </x14:dxf>
          </x14:cfRule>
          <xm:sqref>W279:AD314</xm:sqref>
        </x14:conditionalFormatting>
        <x14:conditionalFormatting xmlns:xm="http://schemas.microsoft.com/office/excel/2006/main">
          <x14:cfRule type="containsText" priority="1" operator="containsText" id="{586F2A7F-9A37-49BE-8AD5-60991FD19C48}">
            <xm:f>NOT(ISERROR(SEARCH("TRUE",W320)))</xm:f>
            <xm:f>"TRUE"</xm:f>
            <x14:dxf>
              <fill>
                <patternFill>
                  <bgColor theme="6"/>
                </patternFill>
              </fill>
            </x14:dxf>
          </x14:cfRule>
          <xm:sqref>W320:AD355</xm:sqref>
        </x14:conditionalFormatting>
        <x14:conditionalFormatting xmlns:xm="http://schemas.microsoft.com/office/excel/2006/main">
          <x14:cfRule type="containsText" priority="79" operator="containsText" id="{712D4E5A-2FD8-47D0-ACB1-EAE4CA0BA89E}">
            <xm:f>NOT(ISERROR(SEARCH("TRUE",X364)))</xm:f>
            <xm:f>"TRUE"</xm:f>
            <x14:dxf>
              <fill>
                <patternFill>
                  <bgColor rgb="FF92D050"/>
                </patternFill>
              </fill>
            </x14:dxf>
          </x14:cfRule>
          <xm:sqref>X364</xm:sqref>
        </x14:conditionalFormatting>
        <x14:conditionalFormatting xmlns:xm="http://schemas.microsoft.com/office/excel/2006/main">
          <x14:cfRule type="containsText" priority="77" operator="containsText" id="{9BFC4F2C-D601-4E83-B8F3-E5533EF53691}">
            <xm:f>NOT(ISERROR(SEARCH("TRUE",X364)))</xm:f>
            <xm:f>"TRUE"</xm:f>
            <x14:dxf>
              <fill>
                <patternFill>
                  <bgColor theme="6"/>
                </patternFill>
              </fill>
            </x14:dxf>
          </x14:cfRule>
          <xm:sqref>X364:X399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error="Please select an option from the drop down menu." prompt="Please select an option from the drop down menu." xr:uid="{70B49168-C8B3-40E8-A801-5504546A0FE6}">
          <x14:formula1>
            <xm:f>'Reference Tables'!$B$51:$B$57</xm:f>
          </x14:formula1>
          <xm:sqref>C1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C2D9-82C0-4BEE-BDEE-8854974E3553}">
  <sheetPr codeName="Sheet2"/>
  <dimension ref="A1:I50"/>
  <sheetViews>
    <sheetView topLeftCell="A43" zoomScale="115" zoomScaleNormal="115" workbookViewId="0">
      <selection activeCell="E49" sqref="E49"/>
    </sheetView>
  </sheetViews>
  <sheetFormatPr defaultRowHeight="15" x14ac:dyDescent="0.25"/>
  <cols>
    <col min="1" max="1" width="33" bestFit="1" customWidth="1"/>
    <col min="2" max="2" width="23.5703125" customWidth="1"/>
    <col min="3" max="3" width="20.140625" customWidth="1"/>
    <col min="4" max="4" width="28.5703125" bestFit="1" customWidth="1"/>
    <col min="5" max="5" width="27.28515625" customWidth="1"/>
    <col min="6" max="6" width="19" customWidth="1"/>
    <col min="7" max="7" width="28.5703125" bestFit="1" customWidth="1"/>
    <col min="8" max="8" width="34.140625" customWidth="1"/>
    <col min="9" max="9" width="42.5703125" customWidth="1"/>
  </cols>
  <sheetData>
    <row r="1" spans="1:9" x14ac:dyDescent="0.25">
      <c r="A1" s="40"/>
      <c r="B1" s="40"/>
      <c r="C1" s="40"/>
      <c r="D1" s="40"/>
      <c r="E1" s="40"/>
      <c r="F1" s="40"/>
      <c r="G1" s="40"/>
      <c r="H1" s="40"/>
      <c r="I1" s="40"/>
    </row>
    <row r="2" spans="1:9" x14ac:dyDescent="0.25">
      <c r="A2" s="41"/>
      <c r="B2" s="41"/>
      <c r="C2" s="40"/>
      <c r="D2" s="40"/>
      <c r="E2" s="40"/>
      <c r="F2" s="40"/>
      <c r="G2" s="40"/>
      <c r="H2" s="40"/>
      <c r="I2" s="40"/>
    </row>
    <row r="3" spans="1:9" x14ac:dyDescent="0.25">
      <c r="A3" s="42" t="s">
        <v>447</v>
      </c>
      <c r="B3" s="42">
        <v>1</v>
      </c>
      <c r="C3" s="42">
        <v>2</v>
      </c>
      <c r="D3" s="42">
        <v>3</v>
      </c>
      <c r="E3" s="42">
        <v>4</v>
      </c>
      <c r="F3" s="42">
        <v>5</v>
      </c>
      <c r="G3" s="42">
        <v>6</v>
      </c>
      <c r="H3" s="42">
        <v>7</v>
      </c>
      <c r="I3" s="40"/>
    </row>
    <row r="4" spans="1:9" ht="30" x14ac:dyDescent="0.25">
      <c r="A4" s="43" t="s">
        <v>72</v>
      </c>
      <c r="B4" s="44" t="s">
        <v>95</v>
      </c>
      <c r="C4" s="44" t="s">
        <v>448</v>
      </c>
      <c r="D4" s="44" t="s">
        <v>449</v>
      </c>
      <c r="E4" s="45" t="s">
        <v>450</v>
      </c>
      <c r="F4" s="46" t="s">
        <v>451</v>
      </c>
      <c r="G4" s="45" t="s">
        <v>452</v>
      </c>
      <c r="H4" s="45" t="s">
        <v>88</v>
      </c>
      <c r="I4" s="40"/>
    </row>
    <row r="5" spans="1:9" x14ac:dyDescent="0.25">
      <c r="A5" s="47" t="s">
        <v>73</v>
      </c>
      <c r="B5" s="171" t="s">
        <v>453</v>
      </c>
      <c r="C5" s="171"/>
      <c r="D5" s="171" t="s">
        <v>453</v>
      </c>
      <c r="E5" s="171" t="s">
        <v>453</v>
      </c>
      <c r="F5" s="171" t="s">
        <v>453</v>
      </c>
      <c r="G5" s="171"/>
      <c r="H5" s="171"/>
      <c r="I5" s="40"/>
    </row>
    <row r="6" spans="1:9" x14ac:dyDescent="0.25">
      <c r="A6" s="47" t="s">
        <v>74</v>
      </c>
      <c r="B6" s="171" t="s">
        <v>453</v>
      </c>
      <c r="C6" s="171"/>
      <c r="D6" s="171" t="s">
        <v>453</v>
      </c>
      <c r="E6" s="171" t="s">
        <v>453</v>
      </c>
      <c r="F6" s="171" t="s">
        <v>453</v>
      </c>
      <c r="G6" s="171"/>
      <c r="H6" s="171"/>
      <c r="I6" s="40"/>
    </row>
    <row r="7" spans="1:9" x14ac:dyDescent="0.25">
      <c r="A7" s="47" t="s">
        <v>75</v>
      </c>
      <c r="B7" s="171"/>
      <c r="C7" s="171"/>
      <c r="D7" s="171" t="s">
        <v>453</v>
      </c>
      <c r="E7" s="171"/>
      <c r="F7" s="171" t="s">
        <v>453</v>
      </c>
      <c r="G7" s="171"/>
      <c r="H7" s="171"/>
      <c r="I7" s="40"/>
    </row>
    <row r="8" spans="1:9" x14ac:dyDescent="0.25">
      <c r="A8" s="47" t="s">
        <v>76</v>
      </c>
      <c r="B8" s="171" t="s">
        <v>453</v>
      </c>
      <c r="C8" s="171"/>
      <c r="D8" s="171" t="s">
        <v>453</v>
      </c>
      <c r="E8" s="171" t="s">
        <v>453</v>
      </c>
      <c r="F8" s="171" t="s">
        <v>453</v>
      </c>
      <c r="G8" s="171"/>
      <c r="H8" s="171"/>
      <c r="I8" s="40"/>
    </row>
    <row r="9" spans="1:9" x14ac:dyDescent="0.25">
      <c r="A9" s="47" t="s">
        <v>77</v>
      </c>
      <c r="B9" s="171" t="s">
        <v>453</v>
      </c>
      <c r="C9" s="171"/>
      <c r="D9" s="171" t="s">
        <v>453</v>
      </c>
      <c r="E9" s="171" t="s">
        <v>453</v>
      </c>
      <c r="F9" s="171" t="s">
        <v>453</v>
      </c>
      <c r="G9" s="171"/>
      <c r="H9" s="171"/>
      <c r="I9" s="40"/>
    </row>
    <row r="10" spans="1:9" x14ac:dyDescent="0.25">
      <c r="A10" s="48" t="s">
        <v>454</v>
      </c>
      <c r="B10" s="171" t="s">
        <v>453</v>
      </c>
      <c r="C10" s="171"/>
      <c r="D10" s="171" t="s">
        <v>453</v>
      </c>
      <c r="E10" s="171"/>
      <c r="F10" s="171"/>
      <c r="G10" s="171"/>
      <c r="H10" s="171"/>
      <c r="I10" s="40"/>
    </row>
    <row r="11" spans="1:9" x14ac:dyDescent="0.25">
      <c r="A11" s="48" t="s">
        <v>79</v>
      </c>
      <c r="B11" s="171" t="s">
        <v>453</v>
      </c>
      <c r="C11" s="171"/>
      <c r="D11" s="171"/>
      <c r="E11" s="171"/>
      <c r="F11" s="171" t="s">
        <v>453</v>
      </c>
      <c r="G11" s="171"/>
      <c r="H11" s="171"/>
      <c r="I11" s="40"/>
    </row>
    <row r="12" spans="1:9" x14ac:dyDescent="0.25">
      <c r="A12" s="40"/>
      <c r="B12" s="40"/>
      <c r="C12" s="40"/>
      <c r="D12" s="40"/>
      <c r="E12" s="40"/>
      <c r="F12" s="40"/>
      <c r="G12" s="40"/>
      <c r="H12" s="40"/>
      <c r="I12" s="40"/>
    </row>
    <row r="13" spans="1:9" x14ac:dyDescent="0.25">
      <c r="A13" s="40"/>
      <c r="B13" s="40"/>
      <c r="C13" s="40"/>
      <c r="D13" s="40"/>
      <c r="E13" s="40"/>
      <c r="F13" s="40"/>
      <c r="G13" s="40"/>
      <c r="H13" s="40"/>
      <c r="I13" s="40"/>
    </row>
    <row r="14" spans="1:9" ht="60" x14ac:dyDescent="0.25">
      <c r="A14" s="49" t="s">
        <v>290</v>
      </c>
      <c r="B14" s="44" t="s">
        <v>455</v>
      </c>
      <c r="D14" s="49" t="s">
        <v>291</v>
      </c>
      <c r="E14" s="44" t="s">
        <v>455</v>
      </c>
    </row>
    <row r="15" spans="1:9" x14ac:dyDescent="0.25">
      <c r="A15" s="47" t="s">
        <v>73</v>
      </c>
      <c r="B15" s="199">
        <v>1418160</v>
      </c>
      <c r="D15" s="47" t="s">
        <v>73</v>
      </c>
      <c r="E15" s="199">
        <v>1710528</v>
      </c>
    </row>
    <row r="16" spans="1:9" x14ac:dyDescent="0.25">
      <c r="A16" s="47" t="s">
        <v>74</v>
      </c>
      <c r="B16" s="199">
        <v>561084</v>
      </c>
      <c r="D16" s="47" t="s">
        <v>74</v>
      </c>
      <c r="E16" s="199">
        <v>606336</v>
      </c>
    </row>
    <row r="17" spans="1:9" x14ac:dyDescent="0.25">
      <c r="A17" s="47" t="s">
        <v>75</v>
      </c>
      <c r="B17" s="199">
        <v>0</v>
      </c>
      <c r="D17" s="47" t="s">
        <v>75</v>
      </c>
      <c r="E17" s="199">
        <v>0</v>
      </c>
    </row>
    <row r="18" spans="1:9" x14ac:dyDescent="0.25">
      <c r="A18" s="47" t="s">
        <v>76</v>
      </c>
      <c r="B18" s="199">
        <v>444120</v>
      </c>
      <c r="D18" s="47" t="s">
        <v>76</v>
      </c>
      <c r="E18" s="199">
        <v>380052</v>
      </c>
    </row>
    <row r="19" spans="1:9" x14ac:dyDescent="0.25">
      <c r="A19" s="48" t="s">
        <v>77</v>
      </c>
      <c r="B19" s="200">
        <v>2031024</v>
      </c>
      <c r="D19" s="48" t="s">
        <v>77</v>
      </c>
      <c r="E19" s="200">
        <v>2098488</v>
      </c>
    </row>
    <row r="20" spans="1:9" x14ac:dyDescent="0.25">
      <c r="A20" s="48" t="s">
        <v>79</v>
      </c>
      <c r="B20" s="200">
        <v>169212</v>
      </c>
      <c r="D20" s="48" t="s">
        <v>79</v>
      </c>
      <c r="E20" s="200">
        <v>141252</v>
      </c>
    </row>
    <row r="21" spans="1:9" x14ac:dyDescent="0.25">
      <c r="A21" s="40"/>
      <c r="B21" s="40"/>
      <c r="D21" s="40"/>
      <c r="E21" s="40"/>
      <c r="G21" s="40"/>
      <c r="H21" s="40"/>
    </row>
    <row r="22" spans="1:9" x14ac:dyDescent="0.25">
      <c r="A22" s="40"/>
      <c r="B22" s="40"/>
      <c r="C22" s="40"/>
      <c r="D22" s="40"/>
      <c r="E22" s="50"/>
      <c r="F22" s="40"/>
      <c r="G22" s="40"/>
      <c r="H22" s="40"/>
      <c r="I22" s="40"/>
    </row>
    <row r="23" spans="1:9" x14ac:dyDescent="0.25">
      <c r="A23" s="116" t="s">
        <v>443</v>
      </c>
      <c r="B23" s="115" t="s">
        <v>456</v>
      </c>
      <c r="C23" s="40"/>
      <c r="F23" s="40"/>
      <c r="I23" s="40"/>
    </row>
    <row r="24" spans="1:9" ht="75" x14ac:dyDescent="0.25">
      <c r="A24" s="192" t="s">
        <v>261</v>
      </c>
      <c r="B24" s="196" t="s">
        <v>10</v>
      </c>
      <c r="C24" s="40"/>
      <c r="D24" s="40"/>
      <c r="E24" s="40"/>
      <c r="F24" s="40"/>
      <c r="G24" s="40"/>
      <c r="H24" s="40"/>
      <c r="I24" s="40"/>
    </row>
    <row r="25" spans="1:9" ht="30" x14ac:dyDescent="0.25">
      <c r="A25" s="192" t="s">
        <v>262</v>
      </c>
      <c r="B25" s="196" t="s">
        <v>10</v>
      </c>
      <c r="C25" s="40"/>
      <c r="D25" s="40"/>
      <c r="E25" s="40"/>
      <c r="F25" s="40"/>
      <c r="G25" s="40"/>
      <c r="H25" s="40"/>
      <c r="I25" s="40"/>
    </row>
    <row r="26" spans="1:9" ht="45" x14ac:dyDescent="0.25">
      <c r="A26" s="192" t="s">
        <v>263</v>
      </c>
      <c r="B26" s="196" t="s">
        <v>10</v>
      </c>
      <c r="C26" s="40"/>
      <c r="F26" s="40"/>
      <c r="I26" s="40"/>
    </row>
    <row r="27" spans="1:9" ht="45" x14ac:dyDescent="0.25">
      <c r="A27" s="192" t="s">
        <v>264</v>
      </c>
      <c r="B27" s="196" t="s">
        <v>10</v>
      </c>
    </row>
    <row r="28" spans="1:9" ht="45" x14ac:dyDescent="0.25">
      <c r="A28" s="192" t="s">
        <v>265</v>
      </c>
      <c r="B28" s="195" t="s">
        <v>10</v>
      </c>
    </row>
    <row r="29" spans="1:9" ht="45" x14ac:dyDescent="0.25">
      <c r="A29" s="192" t="s">
        <v>266</v>
      </c>
      <c r="B29" s="195" t="s">
        <v>10</v>
      </c>
    </row>
    <row r="30" spans="1:9" ht="30" x14ac:dyDescent="0.25">
      <c r="A30" s="192" t="s">
        <v>267</v>
      </c>
      <c r="B30" s="195" t="s">
        <v>10</v>
      </c>
    </row>
    <row r="31" spans="1:9" ht="45" x14ac:dyDescent="0.25">
      <c r="A31" s="192" t="s">
        <v>268</v>
      </c>
      <c r="B31" s="195" t="s">
        <v>10</v>
      </c>
    </row>
    <row r="32" spans="1:9" ht="45" x14ac:dyDescent="0.25">
      <c r="A32" s="192" t="s">
        <v>269</v>
      </c>
      <c r="B32" s="195" t="s">
        <v>10</v>
      </c>
    </row>
    <row r="33" spans="1:2" ht="45" x14ac:dyDescent="0.25">
      <c r="A33" s="192" t="s">
        <v>270</v>
      </c>
      <c r="B33" s="195" t="s">
        <v>10</v>
      </c>
    </row>
    <row r="34" spans="1:2" ht="30" x14ac:dyDescent="0.25">
      <c r="A34" s="192" t="s">
        <v>271</v>
      </c>
      <c r="B34" s="195" t="s">
        <v>10</v>
      </c>
    </row>
    <row r="35" spans="1:2" ht="45" x14ac:dyDescent="0.25">
      <c r="A35" s="193" t="s">
        <v>272</v>
      </c>
      <c r="B35" s="195" t="s">
        <v>457</v>
      </c>
    </row>
    <row r="36" spans="1:2" ht="45" x14ac:dyDescent="0.25">
      <c r="A36" s="192" t="s">
        <v>273</v>
      </c>
      <c r="B36" s="195" t="s">
        <v>457</v>
      </c>
    </row>
    <row r="37" spans="1:2" ht="30" x14ac:dyDescent="0.25">
      <c r="A37" s="192" t="s">
        <v>274</v>
      </c>
      <c r="B37" s="195"/>
    </row>
    <row r="38" spans="1:2" ht="30" x14ac:dyDescent="0.25">
      <c r="A38" s="192" t="s">
        <v>275</v>
      </c>
      <c r="B38" s="195" t="s">
        <v>5</v>
      </c>
    </row>
    <row r="39" spans="1:2" ht="30" x14ac:dyDescent="0.25">
      <c r="A39" s="192" t="s">
        <v>276</v>
      </c>
      <c r="B39" s="195" t="s">
        <v>10</v>
      </c>
    </row>
    <row r="40" spans="1:2" ht="105" x14ac:dyDescent="0.25">
      <c r="A40" s="193" t="s">
        <v>277</v>
      </c>
      <c r="B40" s="172"/>
    </row>
    <row r="41" spans="1:2" ht="30" x14ac:dyDescent="0.25">
      <c r="A41" s="192" t="s">
        <v>278</v>
      </c>
      <c r="B41" s="172" t="s">
        <v>10</v>
      </c>
    </row>
    <row r="42" spans="1:2" ht="30" x14ac:dyDescent="0.25">
      <c r="A42" s="192" t="s">
        <v>279</v>
      </c>
      <c r="B42" s="172"/>
    </row>
    <row r="43" spans="1:2" ht="60" x14ac:dyDescent="0.25">
      <c r="A43" s="192" t="s">
        <v>280</v>
      </c>
      <c r="B43" s="172"/>
    </row>
    <row r="44" spans="1:2" ht="45" x14ac:dyDescent="0.25">
      <c r="A44" s="194" t="s">
        <v>281</v>
      </c>
      <c r="B44" s="172" t="s">
        <v>10</v>
      </c>
    </row>
    <row r="45" spans="1:2" ht="75" x14ac:dyDescent="0.25">
      <c r="A45" s="194" t="s">
        <v>282</v>
      </c>
      <c r="B45" s="172" t="s">
        <v>10</v>
      </c>
    </row>
    <row r="46" spans="1:2" ht="30" x14ac:dyDescent="0.25">
      <c r="A46" s="194" t="s">
        <v>283</v>
      </c>
      <c r="B46" s="172" t="s">
        <v>10</v>
      </c>
    </row>
    <row r="47" spans="1:2" ht="45" x14ac:dyDescent="0.25">
      <c r="A47" s="194" t="s">
        <v>284</v>
      </c>
      <c r="B47" s="172" t="s">
        <v>10</v>
      </c>
    </row>
    <row r="48" spans="1:2" ht="90" x14ac:dyDescent="0.25">
      <c r="A48" s="10" t="s">
        <v>285</v>
      </c>
      <c r="B48" s="451" t="s">
        <v>10</v>
      </c>
    </row>
    <row r="49" spans="1:2" ht="105" x14ac:dyDescent="0.25">
      <c r="A49" s="10" t="s">
        <v>489</v>
      </c>
      <c r="B49" s="173" t="s">
        <v>458</v>
      </c>
    </row>
    <row r="50" spans="1:2" ht="45" x14ac:dyDescent="0.25">
      <c r="A50" s="192" t="s">
        <v>286</v>
      </c>
      <c r="B50" s="173"/>
    </row>
  </sheetData>
  <sheetProtection sort="0"/>
  <phoneticPr fontId="21" type="noConversion"/>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BD31-47B4-49E7-BCF5-08D2BB256923}">
  <sheetPr codeName="Sheet4">
    <tabColor theme="0" tint="-0.249977111117893"/>
  </sheetPr>
  <dimension ref="A1:F102"/>
  <sheetViews>
    <sheetView zoomScale="130" zoomScaleNormal="130" workbookViewId="0">
      <selection sqref="A1:B2"/>
    </sheetView>
  </sheetViews>
  <sheetFormatPr defaultRowHeight="15" x14ac:dyDescent="0.25"/>
  <cols>
    <col min="1" max="1" width="46.140625" style="19" customWidth="1"/>
    <col min="2" max="2" width="64.85546875" customWidth="1"/>
    <col min="5" max="5" width="13.140625" customWidth="1"/>
  </cols>
  <sheetData>
    <row r="1" spans="1:5" x14ac:dyDescent="0.25">
      <c r="A1" s="545" t="s">
        <v>30</v>
      </c>
      <c r="B1" s="545"/>
      <c r="C1" s="17"/>
      <c r="D1" s="17"/>
      <c r="E1" s="17"/>
    </row>
    <row r="2" spans="1:5" x14ac:dyDescent="0.25">
      <c r="A2" s="545"/>
      <c r="B2" s="545"/>
      <c r="C2" s="17"/>
      <c r="D2" s="17"/>
      <c r="E2" s="17"/>
    </row>
    <row r="3" spans="1:5" x14ac:dyDescent="0.25">
      <c r="A3"/>
    </row>
    <row r="4" spans="1:5" x14ac:dyDescent="0.25">
      <c r="A4" s="21" t="s">
        <v>31</v>
      </c>
      <c r="B4" s="21" t="s">
        <v>32</v>
      </c>
      <c r="C4" s="1"/>
      <c r="D4" s="1"/>
      <c r="E4" s="1"/>
    </row>
    <row r="5" spans="1:5" x14ac:dyDescent="0.25">
      <c r="A5" s="183">
        <v>44365</v>
      </c>
      <c r="B5" s="20" t="s">
        <v>33</v>
      </c>
    </row>
    <row r="6" spans="1:5" x14ac:dyDescent="0.25">
      <c r="A6" s="183">
        <v>44788</v>
      </c>
      <c r="B6" s="20" t="s">
        <v>34</v>
      </c>
    </row>
    <row r="7" spans="1:5" x14ac:dyDescent="0.25">
      <c r="A7" s="183">
        <v>45153</v>
      </c>
      <c r="B7" s="20" t="s">
        <v>35</v>
      </c>
    </row>
    <row r="8" spans="1:5" x14ac:dyDescent="0.25">
      <c r="A8" s="183">
        <v>45519</v>
      </c>
      <c r="B8" s="20" t="s">
        <v>36</v>
      </c>
    </row>
    <row r="9" spans="1:5" x14ac:dyDescent="0.25">
      <c r="A9" s="183">
        <v>45884</v>
      </c>
      <c r="B9" s="20" t="s">
        <v>37</v>
      </c>
    </row>
    <row r="10" spans="1:5" x14ac:dyDescent="0.25">
      <c r="A10" s="183">
        <v>46249</v>
      </c>
      <c r="B10" s="20" t="s">
        <v>38</v>
      </c>
    </row>
    <row r="11" spans="1:5" x14ac:dyDescent="0.25">
      <c r="A11"/>
    </row>
    <row r="12" spans="1:5" x14ac:dyDescent="0.25">
      <c r="A12" s="52" t="s">
        <v>39</v>
      </c>
      <c r="B12" s="22" t="s">
        <v>40</v>
      </c>
      <c r="D12" s="1"/>
      <c r="E12" s="1"/>
    </row>
    <row r="13" spans="1:5" x14ac:dyDescent="0.25">
      <c r="A13" s="184">
        <v>100</v>
      </c>
      <c r="B13" s="185" t="s">
        <v>41</v>
      </c>
      <c r="D13" s="1"/>
      <c r="E13" s="1"/>
    </row>
    <row r="14" spans="1:5" ht="30" x14ac:dyDescent="0.25">
      <c r="A14" s="184">
        <v>101</v>
      </c>
      <c r="B14" s="185" t="s">
        <v>42</v>
      </c>
    </row>
    <row r="15" spans="1:5" x14ac:dyDescent="0.25">
      <c r="A15" s="184">
        <v>102</v>
      </c>
      <c r="B15" s="185" t="s">
        <v>43</v>
      </c>
    </row>
    <row r="16" spans="1:5" x14ac:dyDescent="0.25">
      <c r="A16" s="184">
        <v>103</v>
      </c>
      <c r="B16" s="185" t="s">
        <v>44</v>
      </c>
    </row>
    <row r="17" spans="1:2" x14ac:dyDescent="0.25">
      <c r="A17" s="184">
        <v>104</v>
      </c>
      <c r="B17" s="185" t="s">
        <v>45</v>
      </c>
    </row>
    <row r="18" spans="1:2" x14ac:dyDescent="0.25">
      <c r="A18" s="184">
        <v>105</v>
      </c>
      <c r="B18" s="185" t="s">
        <v>46</v>
      </c>
    </row>
    <row r="19" spans="1:2" x14ac:dyDescent="0.25">
      <c r="A19" s="184">
        <v>106</v>
      </c>
      <c r="B19" s="185" t="s">
        <v>47</v>
      </c>
    </row>
    <row r="20" spans="1:2" x14ac:dyDescent="0.25">
      <c r="A20" s="186">
        <v>107</v>
      </c>
      <c r="B20" s="185" t="s">
        <v>491</v>
      </c>
    </row>
    <row r="21" spans="1:2" ht="30" x14ac:dyDescent="0.25">
      <c r="A21" s="186">
        <v>108</v>
      </c>
      <c r="B21" s="185" t="s">
        <v>48</v>
      </c>
    </row>
    <row r="22" spans="1:2" x14ac:dyDescent="0.25">
      <c r="A22" s="186">
        <v>109</v>
      </c>
      <c r="B22" s="185" t="s">
        <v>487</v>
      </c>
    </row>
    <row r="23" spans="1:2" x14ac:dyDescent="0.25">
      <c r="A23" s="186">
        <v>110</v>
      </c>
      <c r="B23" s="185" t="s">
        <v>49</v>
      </c>
    </row>
    <row r="24" spans="1:2" x14ac:dyDescent="0.25">
      <c r="A24" s="186">
        <v>111</v>
      </c>
      <c r="B24" s="185" t="s">
        <v>46</v>
      </c>
    </row>
    <row r="25" spans="1:2" x14ac:dyDescent="0.25">
      <c r="A25" s="186">
        <v>112</v>
      </c>
      <c r="B25" s="185" t="s">
        <v>50</v>
      </c>
    </row>
    <row r="26" spans="1:2" x14ac:dyDescent="0.25">
      <c r="A26" s="186">
        <v>113</v>
      </c>
      <c r="B26" s="185" t="s">
        <v>51</v>
      </c>
    </row>
    <row r="27" spans="1:2" x14ac:dyDescent="0.25">
      <c r="A27" s="186">
        <v>114</v>
      </c>
      <c r="B27" s="185" t="s">
        <v>52</v>
      </c>
    </row>
    <row r="28" spans="1:2" x14ac:dyDescent="0.25">
      <c r="A28" s="186">
        <v>115</v>
      </c>
      <c r="B28" s="185" t="s">
        <v>53</v>
      </c>
    </row>
    <row r="29" spans="1:2" x14ac:dyDescent="0.25">
      <c r="A29" s="186">
        <v>116</v>
      </c>
      <c r="B29" s="185" t="s">
        <v>54</v>
      </c>
    </row>
    <row r="30" spans="1:2" x14ac:dyDescent="0.25">
      <c r="A30" s="186">
        <v>117</v>
      </c>
      <c r="B30" s="185" t="s">
        <v>55</v>
      </c>
    </row>
    <row r="31" spans="1:2" x14ac:dyDescent="0.25">
      <c r="A31" s="186">
        <v>118</v>
      </c>
      <c r="B31" s="185" t="s">
        <v>56</v>
      </c>
    </row>
    <row r="32" spans="1:2" x14ac:dyDescent="0.25">
      <c r="A32" s="186">
        <v>119</v>
      </c>
      <c r="B32" s="185" t="s">
        <v>57</v>
      </c>
    </row>
    <row r="33" spans="1:2" x14ac:dyDescent="0.25">
      <c r="A33" s="186">
        <v>120</v>
      </c>
      <c r="B33" s="185" t="s">
        <v>58</v>
      </c>
    </row>
    <row r="34" spans="1:2" x14ac:dyDescent="0.25">
      <c r="A34" s="186">
        <v>121</v>
      </c>
      <c r="B34" s="185" t="s">
        <v>59</v>
      </c>
    </row>
    <row r="35" spans="1:2" x14ac:dyDescent="0.25">
      <c r="A35" s="186">
        <v>122</v>
      </c>
      <c r="B35" s="185" t="s">
        <v>60</v>
      </c>
    </row>
    <row r="36" spans="1:2" x14ac:dyDescent="0.25">
      <c r="A36" s="186">
        <v>123</v>
      </c>
      <c r="B36" s="185" t="s">
        <v>61</v>
      </c>
    </row>
    <row r="37" spans="1:2" x14ac:dyDescent="0.25">
      <c r="A37" s="186">
        <v>124</v>
      </c>
      <c r="B37" s="185" t="s">
        <v>62</v>
      </c>
    </row>
    <row r="38" spans="1:2" x14ac:dyDescent="0.25">
      <c r="A38" s="186">
        <v>125</v>
      </c>
      <c r="B38" s="185" t="s">
        <v>63</v>
      </c>
    </row>
    <row r="39" spans="1:2" x14ac:dyDescent="0.25">
      <c r="A39" s="186">
        <v>126</v>
      </c>
      <c r="B39" s="185" t="s">
        <v>64</v>
      </c>
    </row>
    <row r="40" spans="1:2" x14ac:dyDescent="0.25">
      <c r="A40" s="186">
        <v>127</v>
      </c>
      <c r="B40" s="185" t="s">
        <v>65</v>
      </c>
    </row>
    <row r="41" spans="1:2" x14ac:dyDescent="0.25">
      <c r="A41" s="186">
        <v>128</v>
      </c>
      <c r="B41" s="185" t="s">
        <v>66</v>
      </c>
    </row>
    <row r="42" spans="1:2" x14ac:dyDescent="0.25">
      <c r="A42" s="186">
        <v>129</v>
      </c>
      <c r="B42" s="185" t="s">
        <v>490</v>
      </c>
    </row>
    <row r="43" spans="1:2" x14ac:dyDescent="0.25">
      <c r="A43" s="186">
        <v>130</v>
      </c>
      <c r="B43" s="185" t="s">
        <v>67</v>
      </c>
    </row>
    <row r="44" spans="1:2" x14ac:dyDescent="0.25">
      <c r="A44" s="19">
        <v>131</v>
      </c>
      <c r="B44" s="185" t="s">
        <v>68</v>
      </c>
    </row>
    <row r="45" spans="1:2" x14ac:dyDescent="0.25">
      <c r="A45" s="19">
        <v>132</v>
      </c>
      <c r="B45" s="185" t="s">
        <v>488</v>
      </c>
    </row>
    <row r="46" spans="1:2" x14ac:dyDescent="0.25">
      <c r="A46" s="19">
        <v>133</v>
      </c>
      <c r="B46" s="185" t="s">
        <v>69</v>
      </c>
    </row>
    <row r="47" spans="1:2" ht="30" x14ac:dyDescent="0.25">
      <c r="A47" s="19">
        <v>134</v>
      </c>
      <c r="B47" s="185" t="s">
        <v>486</v>
      </c>
    </row>
    <row r="48" spans="1:2" x14ac:dyDescent="0.25">
      <c r="A48" s="186">
        <v>999</v>
      </c>
      <c r="B48" s="185" t="s">
        <v>70</v>
      </c>
    </row>
    <row r="50" spans="1:6" x14ac:dyDescent="0.25">
      <c r="A50" s="22" t="s">
        <v>71</v>
      </c>
      <c r="B50" s="22" t="s">
        <v>72</v>
      </c>
      <c r="C50" s="2"/>
      <c r="D50" s="1"/>
      <c r="E50" s="1"/>
    </row>
    <row r="51" spans="1:6" x14ac:dyDescent="0.25">
      <c r="A51" s="2">
        <v>201</v>
      </c>
      <c r="B51" s="23" t="s">
        <v>73</v>
      </c>
      <c r="C51" s="2"/>
    </row>
    <row r="52" spans="1:6" x14ac:dyDescent="0.25">
      <c r="A52" s="2">
        <v>202</v>
      </c>
      <c r="B52" s="23" t="s">
        <v>74</v>
      </c>
      <c r="C52" s="2"/>
    </row>
    <row r="53" spans="1:6" x14ac:dyDescent="0.25">
      <c r="A53" s="2">
        <v>203</v>
      </c>
      <c r="B53" s="23" t="s">
        <v>75</v>
      </c>
      <c r="C53" s="2"/>
    </row>
    <row r="54" spans="1:6" x14ac:dyDescent="0.25">
      <c r="A54" s="2">
        <v>204</v>
      </c>
      <c r="B54" s="23" t="s">
        <v>76</v>
      </c>
      <c r="C54" s="2"/>
    </row>
    <row r="55" spans="1:6" x14ac:dyDescent="0.25">
      <c r="A55" s="2">
        <v>206</v>
      </c>
      <c r="B55" s="23" t="s">
        <v>77</v>
      </c>
      <c r="C55" s="2"/>
    </row>
    <row r="56" spans="1:6" x14ac:dyDescent="0.25">
      <c r="A56" s="2">
        <v>207</v>
      </c>
      <c r="B56" s="23" t="s">
        <v>78</v>
      </c>
      <c r="C56" s="2"/>
    </row>
    <row r="57" spans="1:6" x14ac:dyDescent="0.25">
      <c r="A57" s="19">
        <v>208</v>
      </c>
      <c r="B57" s="23" t="s">
        <v>79</v>
      </c>
      <c r="C57" s="2"/>
    </row>
    <row r="59" spans="1:6" x14ac:dyDescent="0.25">
      <c r="A59" s="24" t="s">
        <v>80</v>
      </c>
      <c r="B59" s="22" t="s">
        <v>81</v>
      </c>
      <c r="C59" s="1"/>
      <c r="D59" s="1"/>
      <c r="E59" s="1"/>
      <c r="F59" s="1"/>
    </row>
    <row r="60" spans="1:6" x14ac:dyDescent="0.25">
      <c r="A60" s="19">
        <v>1</v>
      </c>
      <c r="B60" s="13" t="s">
        <v>82</v>
      </c>
    </row>
    <row r="61" spans="1:6" x14ac:dyDescent="0.25">
      <c r="A61" s="19">
        <v>2</v>
      </c>
      <c r="B61" s="13" t="s">
        <v>83</v>
      </c>
    </row>
    <row r="62" spans="1:6" x14ac:dyDescent="0.25">
      <c r="A62" s="19">
        <v>3</v>
      </c>
      <c r="B62" s="13" t="s">
        <v>84</v>
      </c>
    </row>
    <row r="63" spans="1:6" x14ac:dyDescent="0.25">
      <c r="A63" s="19">
        <v>4</v>
      </c>
      <c r="B63" s="13" t="s">
        <v>85</v>
      </c>
    </row>
    <row r="64" spans="1:6" x14ac:dyDescent="0.25">
      <c r="A64" s="19">
        <v>5</v>
      </c>
      <c r="B64" s="13" t="s">
        <v>86</v>
      </c>
    </row>
    <row r="65" spans="1:5" x14ac:dyDescent="0.25">
      <c r="A65" s="19">
        <v>6</v>
      </c>
      <c r="B65" s="13" t="s">
        <v>87</v>
      </c>
      <c r="C65" s="18"/>
      <c r="D65" s="18"/>
      <c r="E65" s="18"/>
    </row>
    <row r="66" spans="1:5" x14ac:dyDescent="0.25">
      <c r="A66" s="19">
        <v>7</v>
      </c>
      <c r="B66" s="13" t="s">
        <v>88</v>
      </c>
    </row>
    <row r="68" spans="1:5" x14ac:dyDescent="0.25">
      <c r="A68" s="24" t="s">
        <v>89</v>
      </c>
      <c r="B68" s="22" t="s">
        <v>81</v>
      </c>
      <c r="C68" s="1"/>
      <c r="D68" s="1"/>
      <c r="E68" s="1"/>
    </row>
    <row r="69" spans="1:5" x14ac:dyDescent="0.25">
      <c r="A69" s="19">
        <v>901</v>
      </c>
      <c r="B69" s="2" t="s">
        <v>90</v>
      </c>
    </row>
    <row r="70" spans="1:5" x14ac:dyDescent="0.25">
      <c r="A70" s="19">
        <v>902</v>
      </c>
      <c r="B70" s="2" t="s">
        <v>91</v>
      </c>
    </row>
    <row r="71" spans="1:5" x14ac:dyDescent="0.25">
      <c r="A71" s="19">
        <v>903</v>
      </c>
      <c r="B71" s="2" t="s">
        <v>92</v>
      </c>
    </row>
    <row r="72" spans="1:5" x14ac:dyDescent="0.25">
      <c r="A72" s="19">
        <v>904</v>
      </c>
      <c r="B72" s="2" t="s">
        <v>93</v>
      </c>
    </row>
    <row r="73" spans="1:5" x14ac:dyDescent="0.25">
      <c r="A73" s="19">
        <v>905</v>
      </c>
      <c r="B73" s="2" t="s">
        <v>94</v>
      </c>
    </row>
    <row r="74" spans="1:5" x14ac:dyDescent="0.25">
      <c r="A74" s="19">
        <v>906</v>
      </c>
      <c r="B74" s="2" t="s">
        <v>95</v>
      </c>
    </row>
    <row r="75" spans="1:5" x14ac:dyDescent="0.25">
      <c r="A75" s="19">
        <v>907</v>
      </c>
      <c r="B75" s="2" t="s">
        <v>96</v>
      </c>
    </row>
    <row r="76" spans="1:5" x14ac:dyDescent="0.25">
      <c r="A76" s="19">
        <v>908</v>
      </c>
      <c r="B76" s="2" t="s">
        <v>97</v>
      </c>
    </row>
    <row r="78" spans="1:5" x14ac:dyDescent="0.25">
      <c r="A78" s="187" t="s">
        <v>98</v>
      </c>
      <c r="B78" s="188" t="s">
        <v>81</v>
      </c>
    </row>
    <row r="79" spans="1:5" x14ac:dyDescent="0.25">
      <c r="A79" s="19">
        <v>1</v>
      </c>
      <c r="B79" s="19" t="s">
        <v>99</v>
      </c>
    </row>
    <row r="80" spans="1:5" x14ac:dyDescent="0.25">
      <c r="A80" s="19">
        <v>2</v>
      </c>
      <c r="B80" s="19" t="s">
        <v>100</v>
      </c>
    </row>
    <row r="81" spans="1:2" x14ac:dyDescent="0.25">
      <c r="A81" s="19">
        <v>3</v>
      </c>
      <c r="B81" s="19" t="s">
        <v>101</v>
      </c>
    </row>
    <row r="83" spans="1:2" x14ac:dyDescent="0.25">
      <c r="A83" s="187" t="s">
        <v>102</v>
      </c>
      <c r="B83" s="188" t="s">
        <v>81</v>
      </c>
    </row>
    <row r="84" spans="1:2" x14ac:dyDescent="0.25">
      <c r="A84" s="19">
        <v>1</v>
      </c>
      <c r="B84" s="19" t="s">
        <v>103</v>
      </c>
    </row>
    <row r="85" spans="1:2" x14ac:dyDescent="0.25">
      <c r="A85" s="19">
        <v>2</v>
      </c>
      <c r="B85" s="19" t="s">
        <v>104</v>
      </c>
    </row>
    <row r="86" spans="1:2" x14ac:dyDescent="0.25">
      <c r="A86" s="19">
        <v>3</v>
      </c>
      <c r="B86" s="19" t="s">
        <v>105</v>
      </c>
    </row>
    <row r="87" spans="1:2" x14ac:dyDescent="0.25">
      <c r="A87" s="19">
        <v>4</v>
      </c>
      <c r="B87" s="19" t="s">
        <v>106</v>
      </c>
    </row>
    <row r="88" spans="1:2" x14ac:dyDescent="0.25">
      <c r="A88" s="19">
        <v>5</v>
      </c>
      <c r="B88" s="19" t="s">
        <v>107</v>
      </c>
    </row>
    <row r="89" spans="1:2" x14ac:dyDescent="0.25">
      <c r="A89" s="19">
        <v>6</v>
      </c>
      <c r="B89" s="19" t="s">
        <v>108</v>
      </c>
    </row>
    <row r="90" spans="1:2" x14ac:dyDescent="0.25">
      <c r="A90" s="19">
        <v>7</v>
      </c>
      <c r="B90" s="19" t="s">
        <v>109</v>
      </c>
    </row>
    <row r="91" spans="1:2" x14ac:dyDescent="0.25">
      <c r="A91" s="19">
        <v>8</v>
      </c>
      <c r="B91" s="19" t="s">
        <v>110</v>
      </c>
    </row>
    <row r="93" spans="1:2" x14ac:dyDescent="0.25">
      <c r="A93" s="189" t="s">
        <v>111</v>
      </c>
      <c r="B93" s="188" t="s">
        <v>81</v>
      </c>
    </row>
    <row r="94" spans="1:2" x14ac:dyDescent="0.25">
      <c r="A94" s="186">
        <v>1</v>
      </c>
      <c r="B94" s="186" t="s">
        <v>112</v>
      </c>
    </row>
    <row r="95" spans="1:2" x14ac:dyDescent="0.25">
      <c r="A95" s="186">
        <v>2</v>
      </c>
      <c r="B95" s="186" t="s">
        <v>113</v>
      </c>
    </row>
    <row r="97" spans="1:2" x14ac:dyDescent="0.25">
      <c r="A97" s="21" t="s">
        <v>114</v>
      </c>
      <c r="B97" s="21" t="s">
        <v>81</v>
      </c>
    </row>
    <row r="98" spans="1:2" x14ac:dyDescent="0.25">
      <c r="A98" s="20">
        <v>1</v>
      </c>
      <c r="B98" s="455" t="s">
        <v>115</v>
      </c>
    </row>
    <row r="99" spans="1:2" x14ac:dyDescent="0.25">
      <c r="A99" s="20">
        <v>2</v>
      </c>
      <c r="B99" s="455" t="s">
        <v>116</v>
      </c>
    </row>
    <row r="100" spans="1:2" x14ac:dyDescent="0.25">
      <c r="A100" s="20">
        <v>3</v>
      </c>
      <c r="B100" s="455" t="s">
        <v>117</v>
      </c>
    </row>
    <row r="101" spans="1:2" x14ac:dyDescent="0.25">
      <c r="A101" s="20">
        <v>4</v>
      </c>
      <c r="B101" s="455" t="s">
        <v>118</v>
      </c>
    </row>
    <row r="102" spans="1:2" x14ac:dyDescent="0.25">
      <c r="A102" s="20">
        <v>5</v>
      </c>
      <c r="B102" s="455" t="s">
        <v>119</v>
      </c>
    </row>
  </sheetData>
  <sheetProtection algorithmName="SHA-512" hashValue="zeOli/9+obg4XAXXjtV8cF0H/F+E+RQIzVcHOrRFj2ZBNfM1dashEgCPE2eNcDbNSdXCCgkzUdMCkWouYx0FKA==" saltValue="8hkXsYlbNXN0Qxmn3A/Lpw==" spinCount="100000" sheet="1" objects="1" scenarios="1"/>
  <mergeCells count="1">
    <mergeCell ref="A1:B2"/>
  </mergeCells>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D03-231A-4E1D-BD76-642205510FCE}">
  <sheetPr codeName="Sheet5">
    <tabColor theme="0" tint="-0.249977111117893"/>
  </sheetPr>
  <dimension ref="A1:B59"/>
  <sheetViews>
    <sheetView zoomScaleNormal="100" workbookViewId="0"/>
  </sheetViews>
  <sheetFormatPr defaultRowHeight="15" x14ac:dyDescent="0.25"/>
  <cols>
    <col min="1" max="1" width="44.42578125" style="38" customWidth="1"/>
    <col min="2" max="2" width="101" style="37" customWidth="1"/>
  </cols>
  <sheetData>
    <row r="1" spans="1:2" x14ac:dyDescent="0.25">
      <c r="A1" s="31" t="s">
        <v>7</v>
      </c>
    </row>
    <row r="2" spans="1:2" x14ac:dyDescent="0.25">
      <c r="A2" s="51" t="s">
        <v>492</v>
      </c>
    </row>
    <row r="3" spans="1:2" x14ac:dyDescent="0.25">
      <c r="A3" s="39"/>
    </row>
    <row r="4" spans="1:2" x14ac:dyDescent="0.25">
      <c r="A4" s="31" t="s">
        <v>120</v>
      </c>
    </row>
    <row r="5" spans="1:2" x14ac:dyDescent="0.25">
      <c r="A5" s="177" t="s">
        <v>121</v>
      </c>
      <c r="B5" s="178" t="s">
        <v>81</v>
      </c>
    </row>
    <row r="6" spans="1:2" ht="60" x14ac:dyDescent="0.25">
      <c r="A6" s="174" t="s">
        <v>122</v>
      </c>
      <c r="B6" s="175" t="s">
        <v>476</v>
      </c>
    </row>
    <row r="7" spans="1:2" ht="409.5" x14ac:dyDescent="0.25">
      <c r="A7" s="174" t="s">
        <v>80</v>
      </c>
      <c r="B7" s="176" t="s">
        <v>475</v>
      </c>
    </row>
    <row r="8" spans="1:2" ht="75" x14ac:dyDescent="0.25">
      <c r="A8" s="174" t="s">
        <v>114</v>
      </c>
      <c r="B8" s="176" t="s">
        <v>473</v>
      </c>
    </row>
    <row r="9" spans="1:2" ht="60" x14ac:dyDescent="0.25">
      <c r="A9" s="174" t="s">
        <v>123</v>
      </c>
      <c r="B9" s="176" t="s">
        <v>474</v>
      </c>
    </row>
    <row r="10" spans="1:2" ht="105" x14ac:dyDescent="0.25">
      <c r="A10" s="174" t="s">
        <v>124</v>
      </c>
      <c r="B10" s="176" t="s">
        <v>472</v>
      </c>
    </row>
    <row r="11" spans="1:2" ht="75" x14ac:dyDescent="0.25">
      <c r="A11" s="174" t="s">
        <v>125</v>
      </c>
      <c r="B11" s="176" t="s">
        <v>126</v>
      </c>
    </row>
    <row r="12" spans="1:2" ht="210" x14ac:dyDescent="0.25">
      <c r="A12" s="174" t="s">
        <v>127</v>
      </c>
      <c r="B12" s="176" t="s">
        <v>459</v>
      </c>
    </row>
    <row r="13" spans="1:2" ht="255" x14ac:dyDescent="0.25">
      <c r="A13" s="176" t="s">
        <v>128</v>
      </c>
      <c r="B13" s="176" t="s">
        <v>460</v>
      </c>
    </row>
    <row r="14" spans="1:2" ht="90" x14ac:dyDescent="0.25">
      <c r="A14" s="174" t="s">
        <v>129</v>
      </c>
      <c r="B14" s="176" t="s">
        <v>461</v>
      </c>
    </row>
    <row r="15" spans="1:2" ht="90" x14ac:dyDescent="0.25">
      <c r="A15" s="174" t="s">
        <v>130</v>
      </c>
      <c r="B15" s="176" t="s">
        <v>131</v>
      </c>
    </row>
    <row r="16" spans="1:2" ht="120" x14ac:dyDescent="0.25">
      <c r="A16" s="174" t="s">
        <v>132</v>
      </c>
      <c r="B16" s="176" t="s">
        <v>471</v>
      </c>
    </row>
    <row r="17" spans="1:2" ht="135" x14ac:dyDescent="0.25">
      <c r="A17" s="176" t="s">
        <v>133</v>
      </c>
      <c r="B17" s="176" t="s">
        <v>470</v>
      </c>
    </row>
    <row r="18" spans="1:2" ht="165" x14ac:dyDescent="0.25">
      <c r="A18" s="176" t="s">
        <v>134</v>
      </c>
      <c r="B18" s="176" t="s">
        <v>135</v>
      </c>
    </row>
    <row r="19" spans="1:2" ht="105" x14ac:dyDescent="0.25">
      <c r="A19" s="176" t="s">
        <v>136</v>
      </c>
      <c r="B19" s="176" t="s">
        <v>462</v>
      </c>
    </row>
    <row r="20" spans="1:2" ht="105" x14ac:dyDescent="0.25">
      <c r="A20" s="176" t="s">
        <v>213</v>
      </c>
      <c r="B20" s="176" t="s">
        <v>463</v>
      </c>
    </row>
    <row r="21" spans="1:2" ht="75" x14ac:dyDescent="0.25">
      <c r="A21" s="176" t="s">
        <v>214</v>
      </c>
      <c r="B21" s="176" t="s">
        <v>464</v>
      </c>
    </row>
    <row r="22" spans="1:2" ht="90" x14ac:dyDescent="0.25">
      <c r="A22" s="176" t="s">
        <v>215</v>
      </c>
      <c r="B22" s="176" t="s">
        <v>465</v>
      </c>
    </row>
    <row r="23" spans="1:2" ht="75" x14ac:dyDescent="0.25">
      <c r="A23" s="176" t="s">
        <v>137</v>
      </c>
      <c r="B23" s="176" t="s">
        <v>466</v>
      </c>
    </row>
    <row r="24" spans="1:2" ht="75" x14ac:dyDescent="0.25">
      <c r="A24" s="176" t="s">
        <v>138</v>
      </c>
      <c r="B24" s="176" t="s">
        <v>467</v>
      </c>
    </row>
    <row r="25" spans="1:2" ht="165" x14ac:dyDescent="0.25">
      <c r="A25" s="176" t="s">
        <v>139</v>
      </c>
      <c r="B25" s="176" t="s">
        <v>468</v>
      </c>
    </row>
    <row r="26" spans="1:2" ht="60" x14ac:dyDescent="0.25">
      <c r="A26" s="176" t="s">
        <v>140</v>
      </c>
      <c r="B26" s="176" t="s">
        <v>469</v>
      </c>
    </row>
    <row r="27" spans="1:2" x14ac:dyDescent="0.25">
      <c r="A27" s="37"/>
    </row>
    <row r="29" spans="1:2" x14ac:dyDescent="0.25">
      <c r="A29" s="31" t="s">
        <v>141</v>
      </c>
    </row>
    <row r="30" spans="1:2" x14ac:dyDescent="0.25">
      <c r="A30" s="177" t="s">
        <v>121</v>
      </c>
      <c r="B30" s="178" t="s">
        <v>81</v>
      </c>
    </row>
    <row r="31" spans="1:2" ht="60" x14ac:dyDescent="0.25">
      <c r="A31" s="174" t="s">
        <v>80</v>
      </c>
      <c r="B31" s="176" t="s">
        <v>477</v>
      </c>
    </row>
    <row r="32" spans="1:2" ht="195" x14ac:dyDescent="0.25">
      <c r="A32" s="174" t="s">
        <v>142</v>
      </c>
      <c r="B32" s="176" t="s">
        <v>478</v>
      </c>
    </row>
    <row r="33" spans="1:2" ht="409.5" x14ac:dyDescent="0.25">
      <c r="A33" s="174" t="s">
        <v>143</v>
      </c>
      <c r="B33" s="176" t="s">
        <v>144</v>
      </c>
    </row>
    <row r="35" spans="1:2" x14ac:dyDescent="0.25">
      <c r="A35" s="31" t="s">
        <v>145</v>
      </c>
    </row>
    <row r="36" spans="1:2" x14ac:dyDescent="0.25">
      <c r="A36" s="177" t="s">
        <v>121</v>
      </c>
      <c r="B36" s="178" t="s">
        <v>81</v>
      </c>
    </row>
    <row r="37" spans="1:2" ht="90" x14ac:dyDescent="0.25">
      <c r="A37" s="174" t="s">
        <v>146</v>
      </c>
      <c r="B37" s="176" t="s">
        <v>479</v>
      </c>
    </row>
    <row r="38" spans="1:2" ht="60" x14ac:dyDescent="0.25">
      <c r="A38" s="174" t="s">
        <v>123</v>
      </c>
      <c r="B38" s="176" t="s">
        <v>474</v>
      </c>
    </row>
    <row r="39" spans="1:2" ht="75" x14ac:dyDescent="0.25">
      <c r="A39" s="174" t="s">
        <v>147</v>
      </c>
      <c r="B39" s="176" t="s">
        <v>480</v>
      </c>
    </row>
    <row r="41" spans="1:2" x14ac:dyDescent="0.25">
      <c r="A41" s="31" t="s">
        <v>148</v>
      </c>
    </row>
    <row r="42" spans="1:2" x14ac:dyDescent="0.25">
      <c r="A42" s="177" t="s">
        <v>121</v>
      </c>
      <c r="B42" s="178" t="s">
        <v>81</v>
      </c>
    </row>
    <row r="43" spans="1:2" ht="60" x14ac:dyDescent="0.25">
      <c r="A43" s="174" t="s">
        <v>122</v>
      </c>
      <c r="B43" s="175" t="s">
        <v>476</v>
      </c>
    </row>
    <row r="44" spans="1:2" ht="45" x14ac:dyDescent="0.25">
      <c r="A44" s="174" t="s">
        <v>98</v>
      </c>
      <c r="B44" s="176" t="s">
        <v>481</v>
      </c>
    </row>
    <row r="45" spans="1:2" ht="60" x14ac:dyDescent="0.25">
      <c r="A45" s="174" t="s">
        <v>123</v>
      </c>
      <c r="B45" s="176" t="s">
        <v>474</v>
      </c>
    </row>
    <row r="46" spans="1:2" ht="210" x14ac:dyDescent="0.25">
      <c r="A46" s="174" t="s">
        <v>149</v>
      </c>
      <c r="B46" s="176" t="s">
        <v>150</v>
      </c>
    </row>
    <row r="47" spans="1:2" ht="195" x14ac:dyDescent="0.25">
      <c r="A47" s="174" t="s">
        <v>151</v>
      </c>
      <c r="B47" s="176" t="s">
        <v>152</v>
      </c>
    </row>
    <row r="49" spans="1:2" x14ac:dyDescent="0.25">
      <c r="A49" s="31" t="s">
        <v>153</v>
      </c>
    </row>
    <row r="50" spans="1:2" x14ac:dyDescent="0.25">
      <c r="A50" s="177" t="s">
        <v>121</v>
      </c>
      <c r="B50" s="178" t="s">
        <v>81</v>
      </c>
    </row>
    <row r="51" spans="1:2" ht="60" x14ac:dyDescent="0.25">
      <c r="A51" s="176" t="s">
        <v>102</v>
      </c>
      <c r="B51" s="175" t="s">
        <v>482</v>
      </c>
    </row>
    <row r="52" spans="1:2" x14ac:dyDescent="0.25">
      <c r="A52" s="176" t="s">
        <v>154</v>
      </c>
      <c r="B52" s="175" t="s">
        <v>155</v>
      </c>
    </row>
    <row r="53" spans="1:2" ht="75" x14ac:dyDescent="0.25">
      <c r="A53" s="176" t="s">
        <v>156</v>
      </c>
      <c r="B53" s="175" t="s">
        <v>483</v>
      </c>
    </row>
    <row r="54" spans="1:2" ht="75" x14ac:dyDescent="0.25">
      <c r="A54" s="176" t="s">
        <v>157</v>
      </c>
      <c r="B54" s="175" t="s">
        <v>484</v>
      </c>
    </row>
    <row r="55" spans="1:2" ht="60" x14ac:dyDescent="0.25">
      <c r="A55" s="176" t="s">
        <v>158</v>
      </c>
      <c r="B55" s="175" t="s">
        <v>485</v>
      </c>
    </row>
    <row r="56" spans="1:2" ht="210" x14ac:dyDescent="0.25">
      <c r="A56" s="176" t="s">
        <v>159</v>
      </c>
      <c r="B56" s="176" t="s">
        <v>150</v>
      </c>
    </row>
    <row r="57" spans="1:2" ht="30" x14ac:dyDescent="0.25">
      <c r="A57" s="176" t="s">
        <v>160</v>
      </c>
      <c r="B57" s="175" t="s">
        <v>161</v>
      </c>
    </row>
    <row r="58" spans="1:2" x14ac:dyDescent="0.25">
      <c r="A58" s="37"/>
    </row>
    <row r="59" spans="1:2" x14ac:dyDescent="0.25">
      <c r="A59" s="37"/>
    </row>
  </sheetData>
  <sheetProtection algorithmName="SHA-512" hashValue="+8n6M3ZGnQNLAIarkNgDIahLFZ7DTDnNPnZsu9gelkdvpWnhLbR7PfjX46YIII5lCCakhFhwU/tK3ABA5zV0OQ==" saltValue="q3lovUeWtXh8DdCSaRRO4Q==" spinCount="100000" sheet="1" objects="1" scenarios="1"/>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1522-AF3A-4753-B4AA-1882630A6F7C}">
  <sheetPr codeName="Sheet6">
    <tabColor theme="4"/>
  </sheetPr>
  <dimension ref="A1:F20"/>
  <sheetViews>
    <sheetView zoomScaleNormal="100" workbookViewId="0"/>
  </sheetViews>
  <sheetFormatPr defaultColWidth="9.140625" defaultRowHeight="15" x14ac:dyDescent="0.25"/>
  <cols>
    <col min="1" max="5" width="20.5703125" customWidth="1"/>
  </cols>
  <sheetData>
    <row r="1" spans="1:6" x14ac:dyDescent="0.25">
      <c r="A1" s="1" t="s">
        <v>162</v>
      </c>
    </row>
    <row r="2" spans="1:6" x14ac:dyDescent="0.25">
      <c r="A2" s="1" t="s">
        <v>163</v>
      </c>
    </row>
    <row r="4" spans="1:6" x14ac:dyDescent="0.25">
      <c r="A4" t="s">
        <v>164</v>
      </c>
      <c r="C4" s="546" t="s">
        <v>165</v>
      </c>
      <c r="D4" s="547"/>
      <c r="E4" s="547"/>
    </row>
    <row r="5" spans="1:6" x14ac:dyDescent="0.25">
      <c r="C5" s="547"/>
      <c r="D5" s="547"/>
      <c r="E5" s="547"/>
    </row>
    <row r="9" spans="1:6" x14ac:dyDescent="0.25">
      <c r="A9" s="4" t="s">
        <v>166</v>
      </c>
      <c r="B9" s="4" t="s">
        <v>167</v>
      </c>
      <c r="C9" s="4" t="s">
        <v>168</v>
      </c>
      <c r="D9" s="4" t="s">
        <v>169</v>
      </c>
      <c r="E9" s="4" t="s">
        <v>170</v>
      </c>
    </row>
    <row r="10" spans="1:6" s="165" customFormat="1" ht="30" x14ac:dyDescent="0.25">
      <c r="A10" s="163" t="s">
        <v>171</v>
      </c>
      <c r="B10" s="167" t="s">
        <v>172</v>
      </c>
      <c r="C10" s="167" t="s">
        <v>173</v>
      </c>
      <c r="D10" s="167" t="s">
        <v>174</v>
      </c>
      <c r="E10" s="162" t="s">
        <v>175</v>
      </c>
    </row>
    <row r="11" spans="1:6" x14ac:dyDescent="0.25">
      <c r="A11" s="179"/>
      <c r="B11" s="180"/>
      <c r="C11" s="180"/>
      <c r="D11" s="181"/>
      <c r="E11" s="170"/>
    </row>
    <row r="12" spans="1:6" x14ac:dyDescent="0.25">
      <c r="A12" s="12"/>
      <c r="B12" s="12"/>
      <c r="C12" s="12"/>
      <c r="D12" s="12"/>
      <c r="E12" s="12"/>
      <c r="F12" s="12"/>
    </row>
    <row r="13" spans="1:6" x14ac:dyDescent="0.25">
      <c r="A13" s="12"/>
      <c r="B13" s="12"/>
      <c r="C13" s="12"/>
      <c r="D13" s="12"/>
      <c r="E13" s="12"/>
    </row>
    <row r="14" spans="1:6" x14ac:dyDescent="0.25">
      <c r="A14" s="12"/>
      <c r="B14" s="12"/>
      <c r="C14" s="12"/>
      <c r="D14" s="12"/>
      <c r="E14" s="12"/>
    </row>
    <row r="15" spans="1:6" x14ac:dyDescent="0.25">
      <c r="A15" s="12"/>
      <c r="B15" s="12"/>
      <c r="C15" s="12"/>
      <c r="D15" s="12"/>
      <c r="E15" s="12"/>
    </row>
    <row r="16" spans="1:6" x14ac:dyDescent="0.25">
      <c r="A16" s="12"/>
      <c r="B16" s="12"/>
      <c r="C16" s="12"/>
      <c r="D16" s="12"/>
      <c r="E16" s="12"/>
    </row>
    <row r="17" spans="1:5" x14ac:dyDescent="0.25">
      <c r="A17" s="12"/>
      <c r="B17" s="12"/>
      <c r="C17" s="12"/>
      <c r="D17" s="12"/>
      <c r="E17" s="12"/>
    </row>
    <row r="20" spans="1:5" x14ac:dyDescent="0.25">
      <c r="A20" s="2"/>
      <c r="B20" s="3"/>
      <c r="C20" s="168"/>
      <c r="D20" s="169"/>
    </row>
  </sheetData>
  <sheetProtection algorithmName="SHA-512" hashValue="d6yP1lFwBAxJgMmQQpFKIGWg6WjVtSsWs11hOvqnApfU1hKCJSmZviWcP8f41wwTBFBnooq/bNvHjIQCqIZARA==" saltValue="VvA0OgWlNv46VGZTm4tGBQ==" spinCount="100000" sheet="1" formatRows="0"/>
  <protectedRanges>
    <protectedRange sqref="A11:E11" name="Range1"/>
  </protectedRanges>
  <mergeCells count="1">
    <mergeCell ref="C4:E5"/>
  </mergeCells>
  <dataValidations count="5">
    <dataValidation operator="lessThanOrEqual" allowBlank="1" showInputMessage="1" showErrorMessage="1" error="Insurer’s comments on TME data. (255 characters or less)." prompt="Insurer’s comments on TME data. " sqref="D11" xr:uid="{55DAF8EE-72DB-4F33-8BED-763477F5E473}"/>
    <dataValidation allowBlank="1" showInputMessage="1" showErrorMessage="1" prompt="Any Medicare Managed Care Organization must submit all names for which it is “doing business as” in the state of Connecticut." sqref="E11" xr:uid="{430B7853-CF0C-4BFE-9A94-19F996ECC762}"/>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356CF8BC-D51D-4867-8F8C-1CECF61E4653}">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02FE95AE-4AB5-49B0-955F-9B147F1ACC1E}">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3CB34E00-B29E-4C6D-99E9-67A63B5D8AA5}">
      <formula1>10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98A4-285A-4DC0-88CC-FA52A44AC382}">
  <sheetPr codeName="Sheet7">
    <tabColor theme="3"/>
  </sheetPr>
  <dimension ref="A1:F20"/>
  <sheetViews>
    <sheetView zoomScaleNormal="100" workbookViewId="0"/>
  </sheetViews>
  <sheetFormatPr defaultColWidth="9.140625" defaultRowHeight="15" x14ac:dyDescent="0.25"/>
  <cols>
    <col min="1" max="5" width="20.5703125" customWidth="1"/>
  </cols>
  <sheetData>
    <row r="1" spans="1:6" x14ac:dyDescent="0.25">
      <c r="A1" s="1" t="s">
        <v>162</v>
      </c>
    </row>
    <row r="2" spans="1:6" x14ac:dyDescent="0.25">
      <c r="A2" s="1" t="s">
        <v>176</v>
      </c>
    </row>
    <row r="4" spans="1:6" ht="15" customHeight="1" x14ac:dyDescent="0.25">
      <c r="A4" t="s">
        <v>164</v>
      </c>
      <c r="C4" s="548" t="s">
        <v>177</v>
      </c>
      <c r="D4" s="549"/>
      <c r="E4" s="549"/>
    </row>
    <row r="5" spans="1:6" x14ac:dyDescent="0.25">
      <c r="C5" s="549"/>
      <c r="D5" s="549"/>
      <c r="E5" s="549"/>
    </row>
    <row r="9" spans="1:6" x14ac:dyDescent="0.25">
      <c r="A9" s="4" t="s">
        <v>166</v>
      </c>
      <c r="B9" s="4" t="s">
        <v>167</v>
      </c>
      <c r="C9" s="4" t="s">
        <v>168</v>
      </c>
      <c r="D9" s="4" t="s">
        <v>169</v>
      </c>
      <c r="E9" s="4" t="s">
        <v>170</v>
      </c>
    </row>
    <row r="10" spans="1:6" s="165" customFormat="1" ht="30" x14ac:dyDescent="0.25">
      <c r="A10" s="163" t="s">
        <v>171</v>
      </c>
      <c r="B10" s="167" t="s">
        <v>172</v>
      </c>
      <c r="C10" s="167" t="s">
        <v>173</v>
      </c>
      <c r="D10" s="167" t="s">
        <v>174</v>
      </c>
      <c r="E10" s="162" t="s">
        <v>175</v>
      </c>
    </row>
    <row r="11" spans="1:6" x14ac:dyDescent="0.25">
      <c r="A11" s="179"/>
      <c r="B11" s="180"/>
      <c r="C11" s="180"/>
      <c r="D11" s="181"/>
      <c r="E11" s="170"/>
    </row>
    <row r="12" spans="1:6" x14ac:dyDescent="0.25">
      <c r="A12" s="12"/>
      <c r="B12" s="12"/>
      <c r="C12" s="12"/>
      <c r="D12" s="12"/>
      <c r="E12" s="12"/>
      <c r="F12" s="12"/>
    </row>
    <row r="13" spans="1:6" x14ac:dyDescent="0.25">
      <c r="A13" s="12"/>
      <c r="B13" s="12"/>
      <c r="C13" s="12"/>
      <c r="D13" s="12"/>
      <c r="E13" s="12"/>
    </row>
    <row r="14" spans="1:6" x14ac:dyDescent="0.25">
      <c r="A14" s="12"/>
      <c r="B14" s="12"/>
      <c r="C14" s="12"/>
      <c r="D14" s="12"/>
      <c r="E14" s="12"/>
    </row>
    <row r="15" spans="1:6" x14ac:dyDescent="0.25">
      <c r="A15" s="12"/>
      <c r="B15" s="12"/>
      <c r="C15" s="12"/>
      <c r="D15" s="12"/>
      <c r="E15" s="12"/>
    </row>
    <row r="16" spans="1:6" x14ac:dyDescent="0.25">
      <c r="A16" s="12"/>
      <c r="B16" s="12"/>
      <c r="C16" s="12"/>
      <c r="D16" s="12"/>
      <c r="E16" s="12"/>
    </row>
    <row r="17" spans="1:5" x14ac:dyDescent="0.25">
      <c r="A17" s="12"/>
      <c r="B17" s="12"/>
      <c r="C17" s="12"/>
      <c r="D17" s="12"/>
      <c r="E17" s="12"/>
    </row>
    <row r="20" spans="1:5" x14ac:dyDescent="0.25">
      <c r="A20" s="2"/>
      <c r="B20" s="3"/>
      <c r="C20" s="168"/>
      <c r="D20" s="169"/>
    </row>
  </sheetData>
  <sheetProtection algorithmName="SHA-512" hashValue="F0bC6UZma39tNlAjL2/lBxkvudsthyXBMrrZw9h98ugSkceUjN07k0wh9tNZB0SAb1ql6so7VYVNFo3nHHYpSg==" saltValue="u9diahWlNWEMcxbFG2fa9A==" spinCount="100000" sheet="1" formatRows="0"/>
  <protectedRanges>
    <protectedRange sqref="A11:E11" name="Range1"/>
  </protectedRanges>
  <mergeCells count="1">
    <mergeCell ref="C4:E5"/>
  </mergeCells>
  <dataValidations count="5">
    <dataValidation allowBlank="1" showInputMessage="1" showErrorMessage="1" prompt="Any Medicare Managed Care Organization must submit all names for which it is “doing business as” in the state of Connecticut." sqref="E11" xr:uid="{2120DDC4-2968-4B8D-994F-1EFDB216E476}"/>
    <dataValidation operator="lessThanOrEqual" allowBlank="1" showInputMessage="1" showErrorMessage="1" error="Insurer’s comments on TME data. (255 characters or less)." prompt="Insurer’s comments on TME data. " sqref="D11" xr:uid="{CD5BEB15-9D18-471D-8904-71AE26745E13}"/>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2B910247-9B5E-424A-A9E6-DD7E0A771148}">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A7A3D968-7624-47C2-8545-91A2654B5123}">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94971056-CA44-4DD2-B4E2-7D42EB48F0AE}">
      <formula1>10</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78ED-A2ED-4C10-BE38-400F346631F5}">
  <sheetPr codeName="Sheet8">
    <tabColor theme="4"/>
  </sheetPr>
  <dimension ref="A1:AD200"/>
  <sheetViews>
    <sheetView zoomScaleNormal="100" workbookViewId="0"/>
  </sheetViews>
  <sheetFormatPr defaultColWidth="9.140625" defaultRowHeight="15" x14ac:dyDescent="0.25"/>
  <cols>
    <col min="1" max="1" width="19" customWidth="1"/>
    <col min="2" max="7" width="17.7109375" customWidth="1"/>
    <col min="8" max="8" width="19.42578125" customWidth="1"/>
    <col min="9" max="13" width="17.7109375" customWidth="1"/>
    <col min="14" max="14" width="24.42578125" customWidth="1"/>
    <col min="15" max="30" width="17.7109375" customWidth="1"/>
  </cols>
  <sheetData>
    <row r="1" spans="1:30" ht="15.75" thickBot="1" x14ac:dyDescent="0.3">
      <c r="A1" s="1" t="s">
        <v>162</v>
      </c>
    </row>
    <row r="2" spans="1:30" ht="31.5" customHeight="1" thickBot="1" x14ac:dyDescent="0.3">
      <c r="A2" s="1" t="s">
        <v>178</v>
      </c>
      <c r="G2" s="523" t="s">
        <v>80</v>
      </c>
      <c r="H2" s="524" t="s">
        <v>179</v>
      </c>
      <c r="J2" s="552" t="s">
        <v>180</v>
      </c>
      <c r="K2" s="552"/>
      <c r="M2" s="550" t="s">
        <v>181</v>
      </c>
      <c r="N2" s="550"/>
      <c r="P2" s="550" t="s">
        <v>182</v>
      </c>
      <c r="Q2" s="550"/>
    </row>
    <row r="3" spans="1:30" ht="14.45" customHeight="1" x14ac:dyDescent="0.25">
      <c r="G3" s="521">
        <v>1</v>
      </c>
      <c r="H3" s="522">
        <f>'Data Validation'!C13</f>
        <v>32</v>
      </c>
      <c r="J3" s="551" t="str">
        <f>IF(AND(A11&lt;&gt;"", 'Data Validation'!C5&gt;0),"PLEASE REVIEW - MISALIGNMENT IN MEMBER MONTHS WITH OTHER TABS FOR 2022 - CHECK DATA VALIDATION TAB.", "Good")</f>
        <v>Good</v>
      </c>
      <c r="K3" s="551"/>
      <c r="M3" s="551" t="str">
        <f>IF(AND(A11&lt;&gt;"", OR('Data Validation'!C12&gt;0,'Data Validation'!D12&gt;0,'Data Validation'!E12&gt;0,'Data Validation'!F12&gt;0,'Data Validation'!G12&gt;0,'Data Validation'!H12&gt;0)), "PLEASE REVIEW - MISALIGNMENT OF TRUNCATED OR NON-TRUNCATED SPENDING WITH AGE/SEX TAB FOR 2022. CHECK DATA VALIDATION TAB)", "Good")</f>
        <v>Good</v>
      </c>
      <c r="N3" s="551"/>
      <c r="P3" s="551" t="str">
        <f>IF(COUNTIF(AN_TME_BY[[#All],[Average Claims Truncated Per Member]], "&gt;250000")+COUNTIF(AN_TME_BY[[#All],[Total Claims Excluded (A19)/Total Non-Truncated Claims Expenses (A21)]], "&gt;10%")&gt;0, "PLEASE REVIEW - see highlighted cells in A28 or A29", "Good")</f>
        <v>Good</v>
      </c>
      <c r="Q3" s="551"/>
    </row>
    <row r="4" spans="1:30" ht="14.45" customHeight="1" x14ac:dyDescent="0.25">
      <c r="A4" t="s">
        <v>164</v>
      </c>
      <c r="C4" s="546" t="s">
        <v>165</v>
      </c>
      <c r="D4" s="547"/>
      <c r="E4" s="547"/>
      <c r="G4" s="207">
        <v>3</v>
      </c>
      <c r="H4" s="519">
        <f>'Data Validation'!E13</f>
        <v>32</v>
      </c>
      <c r="J4" s="551"/>
      <c r="K4" s="551"/>
      <c r="M4" s="551"/>
      <c r="N4" s="551"/>
      <c r="P4" s="551"/>
      <c r="Q4" s="551"/>
    </row>
    <row r="5" spans="1:30" ht="14.45" customHeight="1" x14ac:dyDescent="0.25">
      <c r="A5" s="158" t="s">
        <v>183</v>
      </c>
      <c r="C5" s="547"/>
      <c r="D5" s="547"/>
      <c r="E5" s="547"/>
      <c r="G5" s="207">
        <v>4</v>
      </c>
      <c r="H5" s="519">
        <f>'Data Validation'!F13</f>
        <v>32</v>
      </c>
      <c r="J5" s="551"/>
      <c r="K5" s="551"/>
      <c r="M5" s="551"/>
      <c r="N5" s="551"/>
      <c r="P5" s="551"/>
      <c r="Q5" s="551"/>
    </row>
    <row r="6" spans="1:30" ht="33" customHeight="1" thickBot="1" x14ac:dyDescent="0.3">
      <c r="G6" s="208">
        <v>5</v>
      </c>
      <c r="H6" s="520">
        <f>'Data Validation'!G13</f>
        <v>32</v>
      </c>
      <c r="J6" s="551"/>
      <c r="K6" s="551"/>
      <c r="M6" s="551"/>
      <c r="N6" s="551"/>
      <c r="P6" s="551"/>
      <c r="Q6" s="551"/>
    </row>
    <row r="9" spans="1:30" x14ac:dyDescent="0.25">
      <c r="D9" s="4" t="s">
        <v>184</v>
      </c>
      <c r="E9" s="4" t="s">
        <v>185</v>
      </c>
      <c r="F9" s="4" t="s">
        <v>186</v>
      </c>
      <c r="G9" s="4" t="s">
        <v>187</v>
      </c>
      <c r="H9" s="4" t="s">
        <v>188</v>
      </c>
      <c r="I9" s="4" t="s">
        <v>189</v>
      </c>
      <c r="J9" s="4" t="s">
        <v>190</v>
      </c>
      <c r="K9" s="4" t="s">
        <v>191</v>
      </c>
      <c r="L9" s="4" t="s">
        <v>192</v>
      </c>
      <c r="M9" s="4" t="s">
        <v>193</v>
      </c>
      <c r="N9" s="4" t="s">
        <v>194</v>
      </c>
      <c r="O9" s="4" t="s">
        <v>195</v>
      </c>
      <c r="P9" s="4" t="s">
        <v>196</v>
      </c>
      <c r="Q9" s="4" t="s">
        <v>197</v>
      </c>
      <c r="R9" s="4" t="s">
        <v>198</v>
      </c>
      <c r="S9" s="4" t="s">
        <v>199</v>
      </c>
      <c r="T9" s="4" t="s">
        <v>200</v>
      </c>
      <c r="U9" s="4" t="s">
        <v>201</v>
      </c>
      <c r="V9" s="4" t="s">
        <v>202</v>
      </c>
      <c r="W9" s="159" t="s">
        <v>203</v>
      </c>
      <c r="X9" s="4" t="s">
        <v>204</v>
      </c>
      <c r="Y9" s="4" t="s">
        <v>205</v>
      </c>
      <c r="Z9" s="159" t="s">
        <v>206</v>
      </c>
      <c r="AA9" s="159" t="s">
        <v>207</v>
      </c>
      <c r="AB9" s="4" t="s">
        <v>208</v>
      </c>
      <c r="AC9" s="4" t="s">
        <v>209</v>
      </c>
      <c r="AD9" s="4" t="s">
        <v>210</v>
      </c>
    </row>
    <row r="10" spans="1:30" ht="75" x14ac:dyDescent="0.25">
      <c r="A10" s="376" t="s">
        <v>211</v>
      </c>
      <c r="B10" s="377" t="s">
        <v>80</v>
      </c>
      <c r="C10" s="377" t="s">
        <v>114</v>
      </c>
      <c r="D10" s="377" t="s">
        <v>212</v>
      </c>
      <c r="E10" s="377" t="s">
        <v>124</v>
      </c>
      <c r="F10" s="377" t="s">
        <v>125</v>
      </c>
      <c r="G10" s="377" t="s">
        <v>127</v>
      </c>
      <c r="H10" s="377" t="s">
        <v>128</v>
      </c>
      <c r="I10" s="377" t="s">
        <v>129</v>
      </c>
      <c r="J10" s="377" t="s">
        <v>130</v>
      </c>
      <c r="K10" s="377" t="s">
        <v>132</v>
      </c>
      <c r="L10" s="377" t="s">
        <v>133</v>
      </c>
      <c r="M10" s="377" t="s">
        <v>134</v>
      </c>
      <c r="N10" s="377" t="s">
        <v>136</v>
      </c>
      <c r="O10" s="377" t="s">
        <v>213</v>
      </c>
      <c r="P10" s="377" t="s">
        <v>214</v>
      </c>
      <c r="Q10" s="377" t="s">
        <v>215</v>
      </c>
      <c r="R10" s="377" t="s">
        <v>137</v>
      </c>
      <c r="S10" s="377" t="s">
        <v>138</v>
      </c>
      <c r="T10" s="377" t="s">
        <v>139</v>
      </c>
      <c r="U10" s="377" t="s">
        <v>140</v>
      </c>
      <c r="V10" s="381" t="s">
        <v>216</v>
      </c>
      <c r="W10" s="381" t="s">
        <v>217</v>
      </c>
      <c r="X10" s="381" t="s">
        <v>218</v>
      </c>
      <c r="Y10" s="381" t="s">
        <v>219</v>
      </c>
      <c r="Z10" s="381" t="s">
        <v>220</v>
      </c>
      <c r="AA10" s="381" t="s">
        <v>221</v>
      </c>
      <c r="AB10" s="414" t="s">
        <v>222</v>
      </c>
      <c r="AC10" s="378" t="s">
        <v>223</v>
      </c>
      <c r="AD10" s="384" t="s">
        <v>224</v>
      </c>
    </row>
    <row r="11" spans="1:30" x14ac:dyDescent="0.25">
      <c r="A11" s="364"/>
      <c r="B11" s="365"/>
      <c r="C11" s="365"/>
      <c r="D11" s="366"/>
      <c r="E11" s="367"/>
      <c r="F11" s="367"/>
      <c r="G11" s="367"/>
      <c r="H11" s="367"/>
      <c r="I11" s="367"/>
      <c r="J11" s="367"/>
      <c r="K11" s="367"/>
      <c r="L11" s="367"/>
      <c r="M11" s="367"/>
      <c r="N11" s="367"/>
      <c r="O11" s="367"/>
      <c r="P11" s="367"/>
      <c r="Q11" s="367"/>
      <c r="R11" s="367"/>
      <c r="S11" s="367"/>
      <c r="T11" s="367"/>
      <c r="U11" s="368"/>
      <c r="V11" s="413">
        <f t="shared" ref="V11:V42" si="0">SUM(E11:G11)+SUM(I11:M11)</f>
        <v>0</v>
      </c>
      <c r="W11" s="413">
        <f>AN_TME_BY[[#This Row],[TOTAL Non-Truncated Unadjusted Claims Expenses]]-AN_TME_BY[[#This Row],[Total Claims Excluded because of Truncation]]</f>
        <v>0</v>
      </c>
      <c r="X11" s="413">
        <f t="shared" ref="X11:X42" si="1">SUM(N11:R11)</f>
        <v>0</v>
      </c>
      <c r="Y11" s="413">
        <f>AN_TME_BY[[#This Row],[TOTAL Non-Truncated Unadjusted Claims Expenses]]+AN_TME_BY[[#This Row],[TOTAL Non-Claims Expenses]]</f>
        <v>0</v>
      </c>
      <c r="Z11" s="413">
        <f>AN_TME_BY[[#This Row],[TOTAL Truncated Unadjusted Claims Expenses (A21 -A19)]]+AN_TME_BY[[#This Row],[TOTAL Non-Claims Expenses]]</f>
        <v>0</v>
      </c>
      <c r="AA11" s="415">
        <f>IFERROR(AN_TME_BY[[#This Row],[TOTAL Non-Truncated Unadjusted Expenses (A21 + A23)]]/AN_TME_BY[[#This Row],[Member Months]],0)</f>
        <v>0</v>
      </c>
      <c r="AB11" s="415">
        <f>IFERROR(AN_TME_BY[[#This Row],[TOTAL Truncated Unadjusted Expenses (A22 + A23)]]/AN_TME_BY[[#This Row],[Member Months]],0)</f>
        <v>0</v>
      </c>
      <c r="AC11" s="415">
        <f>IFERROR(AN_TME_BY[[#This Row],[Total Claims Excluded because of Truncation]]/AN_TME_BY[[#This Row],[Count of Members with Claims Truncated]], 0)</f>
        <v>0</v>
      </c>
      <c r="AD11" s="418">
        <f>IFERROR(AN_TME_BY[[#This Row],[Total Claims Excluded because of Truncation]]/AN_TME_BY[[#This Row],[TOTAL Non-Truncated Unadjusted Claims Expenses]], 0)</f>
        <v>0</v>
      </c>
    </row>
    <row r="12" spans="1:30" x14ac:dyDescent="0.25">
      <c r="A12" s="370"/>
      <c r="B12" s="371"/>
      <c r="C12" s="371"/>
      <c r="D12" s="372"/>
      <c r="E12" s="373"/>
      <c r="F12" s="373"/>
      <c r="G12" s="373"/>
      <c r="H12" s="373"/>
      <c r="I12" s="373"/>
      <c r="J12" s="373"/>
      <c r="K12" s="373"/>
      <c r="L12" s="373"/>
      <c r="M12" s="373"/>
      <c r="N12" s="373"/>
      <c r="O12" s="373"/>
      <c r="P12" s="373"/>
      <c r="Q12" s="373"/>
      <c r="R12" s="373"/>
      <c r="S12" s="373"/>
      <c r="T12" s="373"/>
      <c r="U12" s="374"/>
      <c r="V12" s="375">
        <f t="shared" si="0"/>
        <v>0</v>
      </c>
      <c r="W12" s="375">
        <f>AN_TME_BY[[#This Row],[TOTAL Non-Truncated Unadjusted Claims Expenses]]-AN_TME_BY[[#This Row],[Total Claims Excluded because of Truncation]]</f>
        <v>0</v>
      </c>
      <c r="X12" s="375">
        <f t="shared" si="1"/>
        <v>0</v>
      </c>
      <c r="Y12" s="375">
        <f>AN_TME_BY[[#This Row],[TOTAL Non-Truncated Unadjusted Claims Expenses]]+AN_TME_BY[[#This Row],[TOTAL Non-Claims Expenses]]</f>
        <v>0</v>
      </c>
      <c r="Z12" s="375">
        <f>AN_TME_BY[[#This Row],[TOTAL Truncated Unadjusted Claims Expenses (A21 -A19)]]+AN_TME_BY[[#This Row],[TOTAL Non-Claims Expenses]]</f>
        <v>0</v>
      </c>
      <c r="AA12" s="416">
        <f>IFERROR(AN_TME_BY[[#This Row],[TOTAL Non-Truncated Unadjusted Expenses (A21 + A23)]]/AN_TME_BY[[#This Row],[Member Months]],0)</f>
        <v>0</v>
      </c>
      <c r="AB12" s="416">
        <f>IFERROR(AN_TME_BY[[#This Row],[TOTAL Truncated Unadjusted Expenses (A22 + A23)]]/AN_TME_BY[[#This Row],[Member Months]],0)</f>
        <v>0</v>
      </c>
      <c r="AC12" s="416">
        <f>IFERROR(AN_TME_BY[[#This Row],[Total Claims Excluded because of Truncation]]/AN_TME_BY[[#This Row],[Count of Members with Claims Truncated]], 0)</f>
        <v>0</v>
      </c>
      <c r="AD12" s="417">
        <f>IFERROR(AN_TME_BY[[#This Row],[Total Claims Excluded because of Truncation]]/AN_TME_BY[[#This Row],[TOTAL Non-Truncated Unadjusted Claims Expenses]], 0)</f>
        <v>0</v>
      </c>
    </row>
    <row r="13" spans="1:30" x14ac:dyDescent="0.25">
      <c r="A13" s="364"/>
      <c r="B13" s="365"/>
      <c r="C13" s="365"/>
      <c r="D13" s="366"/>
      <c r="E13" s="367"/>
      <c r="F13" s="367"/>
      <c r="G13" s="367"/>
      <c r="H13" s="367"/>
      <c r="I13" s="367"/>
      <c r="J13" s="367"/>
      <c r="K13" s="367"/>
      <c r="L13" s="367"/>
      <c r="M13" s="367"/>
      <c r="N13" s="367"/>
      <c r="O13" s="367"/>
      <c r="P13" s="367"/>
      <c r="Q13" s="367"/>
      <c r="R13" s="367"/>
      <c r="S13" s="367"/>
      <c r="T13" s="367"/>
      <c r="U13" s="368"/>
      <c r="V13" s="369">
        <f t="shared" si="0"/>
        <v>0</v>
      </c>
      <c r="W13" s="413">
        <f>AN_TME_BY[[#This Row],[TOTAL Non-Truncated Unadjusted Claims Expenses]]-AN_TME_BY[[#This Row],[Total Claims Excluded because of Truncation]]</f>
        <v>0</v>
      </c>
      <c r="X13" s="369">
        <f t="shared" si="1"/>
        <v>0</v>
      </c>
      <c r="Y13" s="413">
        <f>AN_TME_BY[[#This Row],[TOTAL Non-Truncated Unadjusted Claims Expenses]]+AN_TME_BY[[#This Row],[TOTAL Non-Claims Expenses]]</f>
        <v>0</v>
      </c>
      <c r="Z13" s="413">
        <f>AN_TME_BY[[#This Row],[TOTAL Truncated Unadjusted Claims Expenses (A21 -A19)]]+AN_TME_BY[[#This Row],[TOTAL Non-Claims Expenses]]</f>
        <v>0</v>
      </c>
      <c r="AA13" s="415">
        <f>IFERROR(AN_TME_BY[[#This Row],[TOTAL Non-Truncated Unadjusted Expenses (A21 + A23)]]/AN_TME_BY[[#This Row],[Member Months]],0)</f>
        <v>0</v>
      </c>
      <c r="AB13" s="415">
        <f>IFERROR(AN_TME_BY[[#This Row],[TOTAL Truncated Unadjusted Expenses (A22 + A23)]]/AN_TME_BY[[#This Row],[Member Months]],0)</f>
        <v>0</v>
      </c>
      <c r="AC13" s="415">
        <f>IFERROR(AN_TME_BY[[#This Row],[Total Claims Excluded because of Truncation]]/AN_TME_BY[[#This Row],[Count of Members with Claims Truncated]], 0)</f>
        <v>0</v>
      </c>
      <c r="AD13" s="417">
        <f>IFERROR(AN_TME_BY[[#This Row],[Total Claims Excluded because of Truncation]]/AN_TME_BY[[#This Row],[TOTAL Non-Truncated Unadjusted Claims Expenses]], 0)</f>
        <v>0</v>
      </c>
    </row>
    <row r="14" spans="1:30" x14ac:dyDescent="0.25">
      <c r="A14" s="370"/>
      <c r="B14" s="371"/>
      <c r="C14" s="371"/>
      <c r="D14" s="372"/>
      <c r="E14" s="373"/>
      <c r="F14" s="373"/>
      <c r="G14" s="373"/>
      <c r="H14" s="373"/>
      <c r="I14" s="373"/>
      <c r="J14" s="373"/>
      <c r="K14" s="373"/>
      <c r="L14" s="373"/>
      <c r="M14" s="373"/>
      <c r="N14" s="373"/>
      <c r="O14" s="373"/>
      <c r="P14" s="373"/>
      <c r="Q14" s="373"/>
      <c r="R14" s="373"/>
      <c r="S14" s="373"/>
      <c r="T14" s="373"/>
      <c r="U14" s="374"/>
      <c r="V14" s="375">
        <f t="shared" si="0"/>
        <v>0</v>
      </c>
      <c r="W14" s="375">
        <f>AN_TME_BY[[#This Row],[TOTAL Non-Truncated Unadjusted Claims Expenses]]-AN_TME_BY[[#This Row],[Total Claims Excluded because of Truncation]]</f>
        <v>0</v>
      </c>
      <c r="X14" s="375">
        <f t="shared" si="1"/>
        <v>0</v>
      </c>
      <c r="Y14" s="375">
        <f>AN_TME_BY[[#This Row],[TOTAL Non-Truncated Unadjusted Claims Expenses]]+AN_TME_BY[[#This Row],[TOTAL Non-Claims Expenses]]</f>
        <v>0</v>
      </c>
      <c r="Z14" s="375">
        <f>AN_TME_BY[[#This Row],[TOTAL Truncated Unadjusted Claims Expenses (A21 -A19)]]+AN_TME_BY[[#This Row],[TOTAL Non-Claims Expenses]]</f>
        <v>0</v>
      </c>
      <c r="AA14" s="416">
        <f>IFERROR(AN_TME_BY[[#This Row],[TOTAL Non-Truncated Unadjusted Expenses (A21 + A23)]]/AN_TME_BY[[#This Row],[Member Months]],0)</f>
        <v>0</v>
      </c>
      <c r="AB14" s="416">
        <f>IFERROR(AN_TME_BY[[#This Row],[TOTAL Truncated Unadjusted Expenses (A22 + A23)]]/AN_TME_BY[[#This Row],[Member Months]],0)</f>
        <v>0</v>
      </c>
      <c r="AC14" s="416">
        <f>IFERROR(AN_TME_BY[[#This Row],[Total Claims Excluded because of Truncation]]/AN_TME_BY[[#This Row],[Count of Members with Claims Truncated]], 0)</f>
        <v>0</v>
      </c>
      <c r="AD14" s="417">
        <f>IFERROR(AN_TME_BY[[#This Row],[Total Claims Excluded because of Truncation]]/AN_TME_BY[[#This Row],[TOTAL Non-Truncated Unadjusted Claims Expenses]], 0)</f>
        <v>0</v>
      </c>
    </row>
    <row r="15" spans="1:30" x14ac:dyDescent="0.25">
      <c r="A15" s="364"/>
      <c r="B15" s="365"/>
      <c r="C15" s="365"/>
      <c r="D15" s="366"/>
      <c r="E15" s="367"/>
      <c r="F15" s="367"/>
      <c r="G15" s="367"/>
      <c r="H15" s="367"/>
      <c r="I15" s="367"/>
      <c r="J15" s="367"/>
      <c r="K15" s="367"/>
      <c r="L15" s="367"/>
      <c r="M15" s="367"/>
      <c r="N15" s="367"/>
      <c r="O15" s="367"/>
      <c r="P15" s="367"/>
      <c r="Q15" s="367"/>
      <c r="R15" s="367"/>
      <c r="S15" s="367"/>
      <c r="T15" s="367"/>
      <c r="U15" s="368"/>
      <c r="V15" s="369">
        <f t="shared" si="0"/>
        <v>0</v>
      </c>
      <c r="W15" s="413">
        <f>AN_TME_BY[[#This Row],[TOTAL Non-Truncated Unadjusted Claims Expenses]]-AN_TME_BY[[#This Row],[Total Claims Excluded because of Truncation]]</f>
        <v>0</v>
      </c>
      <c r="X15" s="369">
        <f t="shared" si="1"/>
        <v>0</v>
      </c>
      <c r="Y15" s="413">
        <f>AN_TME_BY[[#This Row],[TOTAL Non-Truncated Unadjusted Claims Expenses]]+AN_TME_BY[[#This Row],[TOTAL Non-Claims Expenses]]</f>
        <v>0</v>
      </c>
      <c r="Z15" s="413">
        <f>AN_TME_BY[[#This Row],[TOTAL Truncated Unadjusted Claims Expenses (A21 -A19)]]+AN_TME_BY[[#This Row],[TOTAL Non-Claims Expenses]]</f>
        <v>0</v>
      </c>
      <c r="AA15" s="415">
        <f>IFERROR(AN_TME_BY[[#This Row],[TOTAL Non-Truncated Unadjusted Expenses (A21 + A23)]]/AN_TME_BY[[#This Row],[Member Months]],0)</f>
        <v>0</v>
      </c>
      <c r="AB15" s="415">
        <f>IFERROR(AN_TME_BY[[#This Row],[TOTAL Truncated Unadjusted Expenses (A22 + A23)]]/AN_TME_BY[[#This Row],[Member Months]],0)</f>
        <v>0</v>
      </c>
      <c r="AC15" s="415">
        <f>IFERROR(AN_TME_BY[[#This Row],[Total Claims Excluded because of Truncation]]/AN_TME_BY[[#This Row],[Count of Members with Claims Truncated]], 0)</f>
        <v>0</v>
      </c>
      <c r="AD15" s="417">
        <f>IFERROR(AN_TME_BY[[#This Row],[Total Claims Excluded because of Truncation]]/AN_TME_BY[[#This Row],[TOTAL Non-Truncated Unadjusted Claims Expenses]], 0)</f>
        <v>0</v>
      </c>
    </row>
    <row r="16" spans="1:30" x14ac:dyDescent="0.25">
      <c r="A16" s="370"/>
      <c r="B16" s="371"/>
      <c r="C16" s="371"/>
      <c r="D16" s="372"/>
      <c r="E16" s="373"/>
      <c r="F16" s="373"/>
      <c r="G16" s="373"/>
      <c r="H16" s="373"/>
      <c r="I16" s="373"/>
      <c r="J16" s="373"/>
      <c r="K16" s="373"/>
      <c r="L16" s="373"/>
      <c r="M16" s="373"/>
      <c r="N16" s="373"/>
      <c r="O16" s="373"/>
      <c r="P16" s="373"/>
      <c r="Q16" s="373"/>
      <c r="R16" s="373"/>
      <c r="S16" s="373"/>
      <c r="T16" s="373"/>
      <c r="U16" s="374"/>
      <c r="V16" s="375">
        <f t="shared" si="0"/>
        <v>0</v>
      </c>
      <c r="W16" s="375">
        <f>AN_TME_BY[[#This Row],[TOTAL Non-Truncated Unadjusted Claims Expenses]]-AN_TME_BY[[#This Row],[Total Claims Excluded because of Truncation]]</f>
        <v>0</v>
      </c>
      <c r="X16" s="375">
        <f t="shared" si="1"/>
        <v>0</v>
      </c>
      <c r="Y16" s="375">
        <f>AN_TME_BY[[#This Row],[TOTAL Non-Truncated Unadjusted Claims Expenses]]+AN_TME_BY[[#This Row],[TOTAL Non-Claims Expenses]]</f>
        <v>0</v>
      </c>
      <c r="Z16" s="375">
        <f>AN_TME_BY[[#This Row],[TOTAL Truncated Unadjusted Claims Expenses (A21 -A19)]]+AN_TME_BY[[#This Row],[TOTAL Non-Claims Expenses]]</f>
        <v>0</v>
      </c>
      <c r="AA16" s="416">
        <f>IFERROR(AN_TME_BY[[#This Row],[TOTAL Non-Truncated Unadjusted Expenses (A21 + A23)]]/AN_TME_BY[[#This Row],[Member Months]],0)</f>
        <v>0</v>
      </c>
      <c r="AB16" s="416">
        <f>IFERROR(AN_TME_BY[[#This Row],[TOTAL Truncated Unadjusted Expenses (A22 + A23)]]/AN_TME_BY[[#This Row],[Member Months]],0)</f>
        <v>0</v>
      </c>
      <c r="AC16" s="416">
        <f>IFERROR(AN_TME_BY[[#This Row],[Total Claims Excluded because of Truncation]]/AN_TME_BY[[#This Row],[Count of Members with Claims Truncated]], 0)</f>
        <v>0</v>
      </c>
      <c r="AD16" s="417">
        <f>IFERROR(AN_TME_BY[[#This Row],[Total Claims Excluded because of Truncation]]/AN_TME_BY[[#This Row],[TOTAL Non-Truncated Unadjusted Claims Expenses]], 0)</f>
        <v>0</v>
      </c>
    </row>
    <row r="17" spans="1:30" x14ac:dyDescent="0.25">
      <c r="A17" s="364"/>
      <c r="B17" s="365"/>
      <c r="C17" s="365"/>
      <c r="D17" s="366"/>
      <c r="E17" s="367"/>
      <c r="F17" s="367"/>
      <c r="G17" s="367"/>
      <c r="H17" s="367"/>
      <c r="I17" s="367"/>
      <c r="J17" s="367"/>
      <c r="K17" s="367"/>
      <c r="L17" s="367"/>
      <c r="M17" s="367"/>
      <c r="N17" s="367"/>
      <c r="O17" s="367"/>
      <c r="P17" s="367"/>
      <c r="Q17" s="367"/>
      <c r="R17" s="367"/>
      <c r="S17" s="367"/>
      <c r="T17" s="367"/>
      <c r="U17" s="368"/>
      <c r="V17" s="369">
        <f t="shared" si="0"/>
        <v>0</v>
      </c>
      <c r="W17" s="413">
        <f>AN_TME_BY[[#This Row],[TOTAL Non-Truncated Unadjusted Claims Expenses]]-AN_TME_BY[[#This Row],[Total Claims Excluded because of Truncation]]</f>
        <v>0</v>
      </c>
      <c r="X17" s="369">
        <f t="shared" si="1"/>
        <v>0</v>
      </c>
      <c r="Y17" s="413">
        <f>AN_TME_BY[[#This Row],[TOTAL Non-Truncated Unadjusted Claims Expenses]]+AN_TME_BY[[#This Row],[TOTAL Non-Claims Expenses]]</f>
        <v>0</v>
      </c>
      <c r="Z17" s="413">
        <f>AN_TME_BY[[#This Row],[TOTAL Truncated Unadjusted Claims Expenses (A21 -A19)]]+AN_TME_BY[[#This Row],[TOTAL Non-Claims Expenses]]</f>
        <v>0</v>
      </c>
      <c r="AA17" s="415">
        <f>IFERROR(AN_TME_BY[[#This Row],[TOTAL Non-Truncated Unadjusted Expenses (A21 + A23)]]/AN_TME_BY[[#This Row],[Member Months]],0)</f>
        <v>0</v>
      </c>
      <c r="AB17" s="415">
        <f>IFERROR(AN_TME_BY[[#This Row],[TOTAL Truncated Unadjusted Expenses (A22 + A23)]]/AN_TME_BY[[#This Row],[Member Months]],0)</f>
        <v>0</v>
      </c>
      <c r="AC17" s="415">
        <f>IFERROR(AN_TME_BY[[#This Row],[Total Claims Excluded because of Truncation]]/AN_TME_BY[[#This Row],[Count of Members with Claims Truncated]], 0)</f>
        <v>0</v>
      </c>
      <c r="AD17" s="417">
        <f>IFERROR(AN_TME_BY[[#This Row],[Total Claims Excluded because of Truncation]]/AN_TME_BY[[#This Row],[TOTAL Non-Truncated Unadjusted Claims Expenses]], 0)</f>
        <v>0</v>
      </c>
    </row>
    <row r="18" spans="1:30" x14ac:dyDescent="0.25">
      <c r="A18" s="370"/>
      <c r="B18" s="371"/>
      <c r="C18" s="371"/>
      <c r="D18" s="372"/>
      <c r="E18" s="373"/>
      <c r="F18" s="373"/>
      <c r="G18" s="373"/>
      <c r="H18" s="373"/>
      <c r="I18" s="373"/>
      <c r="J18" s="373"/>
      <c r="K18" s="373"/>
      <c r="L18" s="373"/>
      <c r="M18" s="373"/>
      <c r="N18" s="373"/>
      <c r="O18" s="373"/>
      <c r="P18" s="373"/>
      <c r="Q18" s="373"/>
      <c r="R18" s="373"/>
      <c r="S18" s="373"/>
      <c r="T18" s="373"/>
      <c r="U18" s="374"/>
      <c r="V18" s="375">
        <f t="shared" si="0"/>
        <v>0</v>
      </c>
      <c r="W18" s="375">
        <f>AN_TME_BY[[#This Row],[TOTAL Non-Truncated Unadjusted Claims Expenses]]-AN_TME_BY[[#This Row],[Total Claims Excluded because of Truncation]]</f>
        <v>0</v>
      </c>
      <c r="X18" s="375">
        <f t="shared" si="1"/>
        <v>0</v>
      </c>
      <c r="Y18" s="375">
        <f>AN_TME_BY[[#This Row],[TOTAL Non-Truncated Unadjusted Claims Expenses]]+AN_TME_BY[[#This Row],[TOTAL Non-Claims Expenses]]</f>
        <v>0</v>
      </c>
      <c r="Z18" s="375">
        <f>AN_TME_BY[[#This Row],[TOTAL Truncated Unadjusted Claims Expenses (A21 -A19)]]+AN_TME_BY[[#This Row],[TOTAL Non-Claims Expenses]]</f>
        <v>0</v>
      </c>
      <c r="AA18" s="416">
        <f>IFERROR(AN_TME_BY[[#This Row],[TOTAL Non-Truncated Unadjusted Expenses (A21 + A23)]]/AN_TME_BY[[#This Row],[Member Months]],0)</f>
        <v>0</v>
      </c>
      <c r="AB18" s="416">
        <f>IFERROR(AN_TME_BY[[#This Row],[TOTAL Truncated Unadjusted Expenses (A22 + A23)]]/AN_TME_BY[[#This Row],[Member Months]],0)</f>
        <v>0</v>
      </c>
      <c r="AC18" s="416">
        <f>IFERROR(AN_TME_BY[[#This Row],[Total Claims Excluded because of Truncation]]/AN_TME_BY[[#This Row],[Count of Members with Claims Truncated]], 0)</f>
        <v>0</v>
      </c>
      <c r="AD18" s="417">
        <f>IFERROR(AN_TME_BY[[#This Row],[Total Claims Excluded because of Truncation]]/AN_TME_BY[[#This Row],[TOTAL Non-Truncated Unadjusted Claims Expenses]], 0)</f>
        <v>0</v>
      </c>
    </row>
    <row r="19" spans="1:30" x14ac:dyDescent="0.25">
      <c r="A19" s="364"/>
      <c r="B19" s="365"/>
      <c r="C19" s="365"/>
      <c r="D19" s="366"/>
      <c r="E19" s="367"/>
      <c r="F19" s="367"/>
      <c r="G19" s="367"/>
      <c r="H19" s="367"/>
      <c r="I19" s="367"/>
      <c r="J19" s="367"/>
      <c r="K19" s="367"/>
      <c r="L19" s="367"/>
      <c r="M19" s="367"/>
      <c r="N19" s="367"/>
      <c r="O19" s="367"/>
      <c r="P19" s="367"/>
      <c r="Q19" s="367"/>
      <c r="R19" s="367"/>
      <c r="S19" s="367"/>
      <c r="T19" s="367"/>
      <c r="U19" s="368"/>
      <c r="V19" s="369">
        <f t="shared" si="0"/>
        <v>0</v>
      </c>
      <c r="W19" s="413">
        <f>AN_TME_BY[[#This Row],[TOTAL Non-Truncated Unadjusted Claims Expenses]]-AN_TME_BY[[#This Row],[Total Claims Excluded because of Truncation]]</f>
        <v>0</v>
      </c>
      <c r="X19" s="369">
        <f t="shared" si="1"/>
        <v>0</v>
      </c>
      <c r="Y19" s="413">
        <f>AN_TME_BY[[#This Row],[TOTAL Non-Truncated Unadjusted Claims Expenses]]+AN_TME_BY[[#This Row],[TOTAL Non-Claims Expenses]]</f>
        <v>0</v>
      </c>
      <c r="Z19" s="413">
        <f>AN_TME_BY[[#This Row],[TOTAL Truncated Unadjusted Claims Expenses (A21 -A19)]]+AN_TME_BY[[#This Row],[TOTAL Non-Claims Expenses]]</f>
        <v>0</v>
      </c>
      <c r="AA19" s="415">
        <f>IFERROR(AN_TME_BY[[#This Row],[TOTAL Non-Truncated Unadjusted Expenses (A21 + A23)]]/AN_TME_BY[[#This Row],[Member Months]],0)</f>
        <v>0</v>
      </c>
      <c r="AB19" s="415">
        <f>IFERROR(AN_TME_BY[[#This Row],[TOTAL Truncated Unadjusted Expenses (A22 + A23)]]/AN_TME_BY[[#This Row],[Member Months]],0)</f>
        <v>0</v>
      </c>
      <c r="AC19" s="415">
        <f>IFERROR(AN_TME_BY[[#This Row],[Total Claims Excluded because of Truncation]]/AN_TME_BY[[#This Row],[Count of Members with Claims Truncated]], 0)</f>
        <v>0</v>
      </c>
      <c r="AD19" s="417">
        <f>IFERROR(AN_TME_BY[[#This Row],[Total Claims Excluded because of Truncation]]/AN_TME_BY[[#This Row],[TOTAL Non-Truncated Unadjusted Claims Expenses]], 0)</f>
        <v>0</v>
      </c>
    </row>
    <row r="20" spans="1:30" x14ac:dyDescent="0.25">
      <c r="A20" s="370"/>
      <c r="B20" s="371"/>
      <c r="C20" s="371"/>
      <c r="D20" s="372"/>
      <c r="E20" s="373"/>
      <c r="F20" s="373"/>
      <c r="G20" s="373"/>
      <c r="H20" s="373"/>
      <c r="I20" s="373"/>
      <c r="J20" s="373"/>
      <c r="K20" s="373"/>
      <c r="L20" s="373"/>
      <c r="M20" s="373"/>
      <c r="N20" s="373"/>
      <c r="O20" s="373"/>
      <c r="P20" s="373"/>
      <c r="Q20" s="373"/>
      <c r="R20" s="373"/>
      <c r="S20" s="373"/>
      <c r="T20" s="373"/>
      <c r="U20" s="374"/>
      <c r="V20" s="375">
        <f t="shared" si="0"/>
        <v>0</v>
      </c>
      <c r="W20" s="375">
        <f>AN_TME_BY[[#This Row],[TOTAL Non-Truncated Unadjusted Claims Expenses]]-AN_TME_BY[[#This Row],[Total Claims Excluded because of Truncation]]</f>
        <v>0</v>
      </c>
      <c r="X20" s="375">
        <f t="shared" si="1"/>
        <v>0</v>
      </c>
      <c r="Y20" s="375">
        <f>AN_TME_BY[[#This Row],[TOTAL Non-Truncated Unadjusted Claims Expenses]]+AN_TME_BY[[#This Row],[TOTAL Non-Claims Expenses]]</f>
        <v>0</v>
      </c>
      <c r="Z20" s="375">
        <f>AN_TME_BY[[#This Row],[TOTAL Truncated Unadjusted Claims Expenses (A21 -A19)]]+AN_TME_BY[[#This Row],[TOTAL Non-Claims Expenses]]</f>
        <v>0</v>
      </c>
      <c r="AA20" s="416">
        <f>IFERROR(AN_TME_BY[[#This Row],[TOTAL Non-Truncated Unadjusted Expenses (A21 + A23)]]/AN_TME_BY[[#This Row],[Member Months]],0)</f>
        <v>0</v>
      </c>
      <c r="AB20" s="416">
        <f>IFERROR(AN_TME_BY[[#This Row],[TOTAL Truncated Unadjusted Expenses (A22 + A23)]]/AN_TME_BY[[#This Row],[Member Months]],0)</f>
        <v>0</v>
      </c>
      <c r="AC20" s="416">
        <f>IFERROR(AN_TME_BY[[#This Row],[Total Claims Excluded because of Truncation]]/AN_TME_BY[[#This Row],[Count of Members with Claims Truncated]], 0)</f>
        <v>0</v>
      </c>
      <c r="AD20" s="417">
        <f>IFERROR(AN_TME_BY[[#This Row],[Total Claims Excluded because of Truncation]]/AN_TME_BY[[#This Row],[TOTAL Non-Truncated Unadjusted Claims Expenses]], 0)</f>
        <v>0</v>
      </c>
    </row>
    <row r="21" spans="1:30" x14ac:dyDescent="0.25">
      <c r="A21" s="364"/>
      <c r="B21" s="365"/>
      <c r="C21" s="365"/>
      <c r="D21" s="366"/>
      <c r="E21" s="367"/>
      <c r="F21" s="367"/>
      <c r="G21" s="367"/>
      <c r="H21" s="367"/>
      <c r="I21" s="367"/>
      <c r="J21" s="367"/>
      <c r="K21" s="367"/>
      <c r="L21" s="367"/>
      <c r="M21" s="367"/>
      <c r="N21" s="367"/>
      <c r="O21" s="367"/>
      <c r="P21" s="367"/>
      <c r="Q21" s="367"/>
      <c r="R21" s="367"/>
      <c r="S21" s="367"/>
      <c r="T21" s="367"/>
      <c r="U21" s="368"/>
      <c r="V21" s="369">
        <f t="shared" si="0"/>
        <v>0</v>
      </c>
      <c r="W21" s="413">
        <f>AN_TME_BY[[#This Row],[TOTAL Non-Truncated Unadjusted Claims Expenses]]-AN_TME_BY[[#This Row],[Total Claims Excluded because of Truncation]]</f>
        <v>0</v>
      </c>
      <c r="X21" s="369">
        <f t="shared" si="1"/>
        <v>0</v>
      </c>
      <c r="Y21" s="413">
        <f>AN_TME_BY[[#This Row],[TOTAL Non-Truncated Unadjusted Claims Expenses]]+AN_TME_BY[[#This Row],[TOTAL Non-Claims Expenses]]</f>
        <v>0</v>
      </c>
      <c r="Z21" s="413">
        <f>AN_TME_BY[[#This Row],[TOTAL Truncated Unadjusted Claims Expenses (A21 -A19)]]+AN_TME_BY[[#This Row],[TOTAL Non-Claims Expenses]]</f>
        <v>0</v>
      </c>
      <c r="AA21" s="415">
        <f>IFERROR(AN_TME_BY[[#This Row],[TOTAL Non-Truncated Unadjusted Expenses (A21 + A23)]]/AN_TME_BY[[#This Row],[Member Months]],0)</f>
        <v>0</v>
      </c>
      <c r="AB21" s="415">
        <f>IFERROR(AN_TME_BY[[#This Row],[TOTAL Truncated Unadjusted Expenses (A22 + A23)]]/AN_TME_BY[[#This Row],[Member Months]],0)</f>
        <v>0</v>
      </c>
      <c r="AC21" s="415">
        <f>IFERROR(AN_TME_BY[[#This Row],[Total Claims Excluded because of Truncation]]/AN_TME_BY[[#This Row],[Count of Members with Claims Truncated]], 0)</f>
        <v>0</v>
      </c>
      <c r="AD21" s="417">
        <f>IFERROR(AN_TME_BY[[#This Row],[Total Claims Excluded because of Truncation]]/AN_TME_BY[[#This Row],[TOTAL Non-Truncated Unadjusted Claims Expenses]], 0)</f>
        <v>0</v>
      </c>
    </row>
    <row r="22" spans="1:30" x14ac:dyDescent="0.25">
      <c r="A22" s="370"/>
      <c r="B22" s="371"/>
      <c r="C22" s="371"/>
      <c r="D22" s="372"/>
      <c r="E22" s="373"/>
      <c r="F22" s="373"/>
      <c r="G22" s="373"/>
      <c r="H22" s="373"/>
      <c r="I22" s="373"/>
      <c r="J22" s="373"/>
      <c r="K22" s="373"/>
      <c r="L22" s="373"/>
      <c r="M22" s="373"/>
      <c r="N22" s="373"/>
      <c r="O22" s="373"/>
      <c r="P22" s="373"/>
      <c r="Q22" s="373"/>
      <c r="R22" s="373"/>
      <c r="S22" s="373"/>
      <c r="T22" s="373"/>
      <c r="U22" s="374"/>
      <c r="V22" s="375">
        <f t="shared" si="0"/>
        <v>0</v>
      </c>
      <c r="W22" s="375">
        <f>AN_TME_BY[[#This Row],[TOTAL Non-Truncated Unadjusted Claims Expenses]]-AN_TME_BY[[#This Row],[Total Claims Excluded because of Truncation]]</f>
        <v>0</v>
      </c>
      <c r="X22" s="375">
        <f t="shared" si="1"/>
        <v>0</v>
      </c>
      <c r="Y22" s="375">
        <f>AN_TME_BY[[#This Row],[TOTAL Non-Truncated Unadjusted Claims Expenses]]+AN_TME_BY[[#This Row],[TOTAL Non-Claims Expenses]]</f>
        <v>0</v>
      </c>
      <c r="Z22" s="375">
        <f>AN_TME_BY[[#This Row],[TOTAL Truncated Unadjusted Claims Expenses (A21 -A19)]]+AN_TME_BY[[#This Row],[TOTAL Non-Claims Expenses]]</f>
        <v>0</v>
      </c>
      <c r="AA22" s="416">
        <f>IFERROR(AN_TME_BY[[#This Row],[TOTAL Non-Truncated Unadjusted Expenses (A21 + A23)]]/AN_TME_BY[[#This Row],[Member Months]],0)</f>
        <v>0</v>
      </c>
      <c r="AB22" s="416">
        <f>IFERROR(AN_TME_BY[[#This Row],[TOTAL Truncated Unadjusted Expenses (A22 + A23)]]/AN_TME_BY[[#This Row],[Member Months]],0)</f>
        <v>0</v>
      </c>
      <c r="AC22" s="416">
        <f>IFERROR(AN_TME_BY[[#This Row],[Total Claims Excluded because of Truncation]]/AN_TME_BY[[#This Row],[Count of Members with Claims Truncated]], 0)</f>
        <v>0</v>
      </c>
      <c r="AD22" s="417">
        <f>IFERROR(AN_TME_BY[[#This Row],[Total Claims Excluded because of Truncation]]/AN_TME_BY[[#This Row],[TOTAL Non-Truncated Unadjusted Claims Expenses]], 0)</f>
        <v>0</v>
      </c>
    </row>
    <row r="23" spans="1:30" x14ac:dyDescent="0.25">
      <c r="A23" s="364"/>
      <c r="B23" s="365"/>
      <c r="C23" s="365"/>
      <c r="D23" s="366"/>
      <c r="E23" s="367"/>
      <c r="F23" s="367"/>
      <c r="G23" s="367"/>
      <c r="H23" s="367"/>
      <c r="I23" s="367"/>
      <c r="J23" s="367"/>
      <c r="K23" s="367"/>
      <c r="L23" s="367"/>
      <c r="M23" s="367"/>
      <c r="N23" s="367"/>
      <c r="O23" s="367"/>
      <c r="P23" s="367"/>
      <c r="Q23" s="367"/>
      <c r="R23" s="367"/>
      <c r="S23" s="367"/>
      <c r="T23" s="367"/>
      <c r="U23" s="368"/>
      <c r="V23" s="369">
        <f t="shared" si="0"/>
        <v>0</v>
      </c>
      <c r="W23" s="413">
        <f>AN_TME_BY[[#This Row],[TOTAL Non-Truncated Unadjusted Claims Expenses]]-AN_TME_BY[[#This Row],[Total Claims Excluded because of Truncation]]</f>
        <v>0</v>
      </c>
      <c r="X23" s="369">
        <f t="shared" si="1"/>
        <v>0</v>
      </c>
      <c r="Y23" s="413">
        <f>AN_TME_BY[[#This Row],[TOTAL Non-Truncated Unadjusted Claims Expenses]]+AN_TME_BY[[#This Row],[TOTAL Non-Claims Expenses]]</f>
        <v>0</v>
      </c>
      <c r="Z23" s="413">
        <f>AN_TME_BY[[#This Row],[TOTAL Truncated Unadjusted Claims Expenses (A21 -A19)]]+AN_TME_BY[[#This Row],[TOTAL Non-Claims Expenses]]</f>
        <v>0</v>
      </c>
      <c r="AA23" s="415">
        <f>IFERROR(AN_TME_BY[[#This Row],[TOTAL Non-Truncated Unadjusted Expenses (A21 + A23)]]/AN_TME_BY[[#This Row],[Member Months]],0)</f>
        <v>0</v>
      </c>
      <c r="AB23" s="415">
        <f>IFERROR(AN_TME_BY[[#This Row],[TOTAL Truncated Unadjusted Expenses (A22 + A23)]]/AN_TME_BY[[#This Row],[Member Months]],0)</f>
        <v>0</v>
      </c>
      <c r="AC23" s="415">
        <f>IFERROR(AN_TME_BY[[#This Row],[Total Claims Excluded because of Truncation]]/AN_TME_BY[[#This Row],[Count of Members with Claims Truncated]], 0)</f>
        <v>0</v>
      </c>
      <c r="AD23" s="417">
        <f>IFERROR(AN_TME_BY[[#This Row],[Total Claims Excluded because of Truncation]]/AN_TME_BY[[#This Row],[TOTAL Non-Truncated Unadjusted Claims Expenses]], 0)</f>
        <v>0</v>
      </c>
    </row>
    <row r="24" spans="1:30" x14ac:dyDescent="0.25">
      <c r="A24" s="370"/>
      <c r="B24" s="371"/>
      <c r="C24" s="371"/>
      <c r="D24" s="372"/>
      <c r="E24" s="373"/>
      <c r="F24" s="373"/>
      <c r="G24" s="373"/>
      <c r="H24" s="373"/>
      <c r="I24" s="373"/>
      <c r="J24" s="373"/>
      <c r="K24" s="373"/>
      <c r="L24" s="373"/>
      <c r="M24" s="373"/>
      <c r="N24" s="373"/>
      <c r="O24" s="373"/>
      <c r="P24" s="373"/>
      <c r="Q24" s="373"/>
      <c r="R24" s="373"/>
      <c r="S24" s="373"/>
      <c r="T24" s="373"/>
      <c r="U24" s="374"/>
      <c r="V24" s="375">
        <f t="shared" si="0"/>
        <v>0</v>
      </c>
      <c r="W24" s="375">
        <f>AN_TME_BY[[#This Row],[TOTAL Non-Truncated Unadjusted Claims Expenses]]-AN_TME_BY[[#This Row],[Total Claims Excluded because of Truncation]]</f>
        <v>0</v>
      </c>
      <c r="X24" s="375">
        <f t="shared" si="1"/>
        <v>0</v>
      </c>
      <c r="Y24" s="375">
        <f>AN_TME_BY[[#This Row],[TOTAL Non-Truncated Unadjusted Claims Expenses]]+AN_TME_BY[[#This Row],[TOTAL Non-Claims Expenses]]</f>
        <v>0</v>
      </c>
      <c r="Z24" s="375">
        <f>AN_TME_BY[[#This Row],[TOTAL Truncated Unadjusted Claims Expenses (A21 -A19)]]+AN_TME_BY[[#This Row],[TOTAL Non-Claims Expenses]]</f>
        <v>0</v>
      </c>
      <c r="AA24" s="416">
        <f>IFERROR(AN_TME_BY[[#This Row],[TOTAL Non-Truncated Unadjusted Expenses (A21 + A23)]]/AN_TME_BY[[#This Row],[Member Months]],0)</f>
        <v>0</v>
      </c>
      <c r="AB24" s="416">
        <f>IFERROR(AN_TME_BY[[#This Row],[TOTAL Truncated Unadjusted Expenses (A22 + A23)]]/AN_TME_BY[[#This Row],[Member Months]],0)</f>
        <v>0</v>
      </c>
      <c r="AC24" s="416">
        <f>IFERROR(AN_TME_BY[[#This Row],[Total Claims Excluded because of Truncation]]/AN_TME_BY[[#This Row],[Count of Members with Claims Truncated]], 0)</f>
        <v>0</v>
      </c>
      <c r="AD24" s="417">
        <f>IFERROR(AN_TME_BY[[#This Row],[Total Claims Excluded because of Truncation]]/AN_TME_BY[[#This Row],[TOTAL Non-Truncated Unadjusted Claims Expenses]], 0)</f>
        <v>0</v>
      </c>
    </row>
    <row r="25" spans="1:30" x14ac:dyDescent="0.25">
      <c r="A25" s="364"/>
      <c r="B25" s="365"/>
      <c r="C25" s="365"/>
      <c r="D25" s="366"/>
      <c r="E25" s="367"/>
      <c r="F25" s="367"/>
      <c r="G25" s="367"/>
      <c r="H25" s="367"/>
      <c r="I25" s="367"/>
      <c r="J25" s="367"/>
      <c r="K25" s="367"/>
      <c r="L25" s="367"/>
      <c r="M25" s="367"/>
      <c r="N25" s="367"/>
      <c r="O25" s="367"/>
      <c r="P25" s="367"/>
      <c r="Q25" s="367"/>
      <c r="R25" s="367"/>
      <c r="S25" s="367"/>
      <c r="T25" s="367"/>
      <c r="U25" s="368"/>
      <c r="V25" s="369">
        <f t="shared" si="0"/>
        <v>0</v>
      </c>
      <c r="W25" s="413">
        <f>AN_TME_BY[[#This Row],[TOTAL Non-Truncated Unadjusted Claims Expenses]]-AN_TME_BY[[#This Row],[Total Claims Excluded because of Truncation]]</f>
        <v>0</v>
      </c>
      <c r="X25" s="369">
        <f t="shared" si="1"/>
        <v>0</v>
      </c>
      <c r="Y25" s="413">
        <f>AN_TME_BY[[#This Row],[TOTAL Non-Truncated Unadjusted Claims Expenses]]+AN_TME_BY[[#This Row],[TOTAL Non-Claims Expenses]]</f>
        <v>0</v>
      </c>
      <c r="Z25" s="413">
        <f>AN_TME_BY[[#This Row],[TOTAL Truncated Unadjusted Claims Expenses (A21 -A19)]]+AN_TME_BY[[#This Row],[TOTAL Non-Claims Expenses]]</f>
        <v>0</v>
      </c>
      <c r="AA25" s="415">
        <f>IFERROR(AN_TME_BY[[#This Row],[TOTAL Non-Truncated Unadjusted Expenses (A21 + A23)]]/AN_TME_BY[[#This Row],[Member Months]],0)</f>
        <v>0</v>
      </c>
      <c r="AB25" s="415">
        <f>IFERROR(AN_TME_BY[[#This Row],[TOTAL Truncated Unadjusted Expenses (A22 + A23)]]/AN_TME_BY[[#This Row],[Member Months]],0)</f>
        <v>0</v>
      </c>
      <c r="AC25" s="415">
        <f>IFERROR(AN_TME_BY[[#This Row],[Total Claims Excluded because of Truncation]]/AN_TME_BY[[#This Row],[Count of Members with Claims Truncated]], 0)</f>
        <v>0</v>
      </c>
      <c r="AD25" s="417">
        <f>IFERROR(AN_TME_BY[[#This Row],[Total Claims Excluded because of Truncation]]/AN_TME_BY[[#This Row],[TOTAL Non-Truncated Unadjusted Claims Expenses]], 0)</f>
        <v>0</v>
      </c>
    </row>
    <row r="26" spans="1:30" x14ac:dyDescent="0.25">
      <c r="A26" s="370"/>
      <c r="B26" s="371"/>
      <c r="C26" s="371"/>
      <c r="D26" s="372"/>
      <c r="E26" s="373"/>
      <c r="F26" s="373"/>
      <c r="G26" s="373"/>
      <c r="H26" s="373"/>
      <c r="I26" s="373"/>
      <c r="J26" s="373"/>
      <c r="K26" s="373"/>
      <c r="L26" s="373"/>
      <c r="M26" s="373"/>
      <c r="N26" s="373"/>
      <c r="O26" s="373"/>
      <c r="P26" s="373"/>
      <c r="Q26" s="373"/>
      <c r="R26" s="373"/>
      <c r="S26" s="373"/>
      <c r="T26" s="373"/>
      <c r="U26" s="374"/>
      <c r="V26" s="375">
        <f t="shared" si="0"/>
        <v>0</v>
      </c>
      <c r="W26" s="375">
        <f>AN_TME_BY[[#This Row],[TOTAL Non-Truncated Unadjusted Claims Expenses]]-AN_TME_BY[[#This Row],[Total Claims Excluded because of Truncation]]</f>
        <v>0</v>
      </c>
      <c r="X26" s="375">
        <f t="shared" si="1"/>
        <v>0</v>
      </c>
      <c r="Y26" s="375">
        <f>AN_TME_BY[[#This Row],[TOTAL Non-Truncated Unadjusted Claims Expenses]]+AN_TME_BY[[#This Row],[TOTAL Non-Claims Expenses]]</f>
        <v>0</v>
      </c>
      <c r="Z26" s="375">
        <f>AN_TME_BY[[#This Row],[TOTAL Truncated Unadjusted Claims Expenses (A21 -A19)]]+AN_TME_BY[[#This Row],[TOTAL Non-Claims Expenses]]</f>
        <v>0</v>
      </c>
      <c r="AA26" s="416">
        <f>IFERROR(AN_TME_BY[[#This Row],[TOTAL Non-Truncated Unadjusted Expenses (A21 + A23)]]/AN_TME_BY[[#This Row],[Member Months]],0)</f>
        <v>0</v>
      </c>
      <c r="AB26" s="416">
        <f>IFERROR(AN_TME_BY[[#This Row],[TOTAL Truncated Unadjusted Expenses (A22 + A23)]]/AN_TME_BY[[#This Row],[Member Months]],0)</f>
        <v>0</v>
      </c>
      <c r="AC26" s="416">
        <f>IFERROR(AN_TME_BY[[#This Row],[Total Claims Excluded because of Truncation]]/AN_TME_BY[[#This Row],[Count of Members with Claims Truncated]], 0)</f>
        <v>0</v>
      </c>
      <c r="AD26" s="417">
        <f>IFERROR(AN_TME_BY[[#This Row],[Total Claims Excluded because of Truncation]]/AN_TME_BY[[#This Row],[TOTAL Non-Truncated Unadjusted Claims Expenses]], 0)</f>
        <v>0</v>
      </c>
    </row>
    <row r="27" spans="1:30" x14ac:dyDescent="0.25">
      <c r="A27" s="364"/>
      <c r="B27" s="365"/>
      <c r="C27" s="365"/>
      <c r="D27" s="366"/>
      <c r="E27" s="367"/>
      <c r="F27" s="367"/>
      <c r="G27" s="367"/>
      <c r="H27" s="367"/>
      <c r="I27" s="367"/>
      <c r="J27" s="367"/>
      <c r="K27" s="367"/>
      <c r="L27" s="367"/>
      <c r="M27" s="367"/>
      <c r="N27" s="367"/>
      <c r="O27" s="367"/>
      <c r="P27" s="367"/>
      <c r="Q27" s="367"/>
      <c r="R27" s="367"/>
      <c r="S27" s="367"/>
      <c r="T27" s="367"/>
      <c r="U27" s="368"/>
      <c r="V27" s="369">
        <f t="shared" si="0"/>
        <v>0</v>
      </c>
      <c r="W27" s="413">
        <f>AN_TME_BY[[#This Row],[TOTAL Non-Truncated Unadjusted Claims Expenses]]-AN_TME_BY[[#This Row],[Total Claims Excluded because of Truncation]]</f>
        <v>0</v>
      </c>
      <c r="X27" s="369">
        <f t="shared" si="1"/>
        <v>0</v>
      </c>
      <c r="Y27" s="413">
        <f>AN_TME_BY[[#This Row],[TOTAL Non-Truncated Unadjusted Claims Expenses]]+AN_TME_BY[[#This Row],[TOTAL Non-Claims Expenses]]</f>
        <v>0</v>
      </c>
      <c r="Z27" s="413">
        <f>AN_TME_BY[[#This Row],[TOTAL Truncated Unadjusted Claims Expenses (A21 -A19)]]+AN_TME_BY[[#This Row],[TOTAL Non-Claims Expenses]]</f>
        <v>0</v>
      </c>
      <c r="AA27" s="415">
        <f>IFERROR(AN_TME_BY[[#This Row],[TOTAL Non-Truncated Unadjusted Expenses (A21 + A23)]]/AN_TME_BY[[#This Row],[Member Months]],0)</f>
        <v>0</v>
      </c>
      <c r="AB27" s="415">
        <f>IFERROR(AN_TME_BY[[#This Row],[TOTAL Truncated Unadjusted Expenses (A22 + A23)]]/AN_TME_BY[[#This Row],[Member Months]],0)</f>
        <v>0</v>
      </c>
      <c r="AC27" s="415">
        <f>IFERROR(AN_TME_BY[[#This Row],[Total Claims Excluded because of Truncation]]/AN_TME_BY[[#This Row],[Count of Members with Claims Truncated]], 0)</f>
        <v>0</v>
      </c>
      <c r="AD27" s="417">
        <f>IFERROR(AN_TME_BY[[#This Row],[Total Claims Excluded because of Truncation]]/AN_TME_BY[[#This Row],[TOTAL Non-Truncated Unadjusted Claims Expenses]], 0)</f>
        <v>0</v>
      </c>
    </row>
    <row r="28" spans="1:30" x14ac:dyDescent="0.25">
      <c r="A28" s="370"/>
      <c r="B28" s="371"/>
      <c r="C28" s="371"/>
      <c r="D28" s="372"/>
      <c r="E28" s="373"/>
      <c r="F28" s="373"/>
      <c r="G28" s="373"/>
      <c r="H28" s="373"/>
      <c r="I28" s="373"/>
      <c r="J28" s="373"/>
      <c r="K28" s="373"/>
      <c r="L28" s="373"/>
      <c r="M28" s="373"/>
      <c r="N28" s="373"/>
      <c r="O28" s="373"/>
      <c r="P28" s="373"/>
      <c r="Q28" s="373"/>
      <c r="R28" s="373"/>
      <c r="S28" s="373"/>
      <c r="T28" s="373"/>
      <c r="U28" s="374"/>
      <c r="V28" s="375">
        <f t="shared" si="0"/>
        <v>0</v>
      </c>
      <c r="W28" s="375">
        <f>AN_TME_BY[[#This Row],[TOTAL Non-Truncated Unadjusted Claims Expenses]]-AN_TME_BY[[#This Row],[Total Claims Excluded because of Truncation]]</f>
        <v>0</v>
      </c>
      <c r="X28" s="375">
        <f t="shared" si="1"/>
        <v>0</v>
      </c>
      <c r="Y28" s="375">
        <f>AN_TME_BY[[#This Row],[TOTAL Non-Truncated Unadjusted Claims Expenses]]+AN_TME_BY[[#This Row],[TOTAL Non-Claims Expenses]]</f>
        <v>0</v>
      </c>
      <c r="Z28" s="375">
        <f>AN_TME_BY[[#This Row],[TOTAL Truncated Unadjusted Claims Expenses (A21 -A19)]]+AN_TME_BY[[#This Row],[TOTAL Non-Claims Expenses]]</f>
        <v>0</v>
      </c>
      <c r="AA28" s="416">
        <f>IFERROR(AN_TME_BY[[#This Row],[TOTAL Non-Truncated Unadjusted Expenses (A21 + A23)]]/AN_TME_BY[[#This Row],[Member Months]],0)</f>
        <v>0</v>
      </c>
      <c r="AB28" s="416">
        <f>IFERROR(AN_TME_BY[[#This Row],[TOTAL Truncated Unadjusted Expenses (A22 + A23)]]/AN_TME_BY[[#This Row],[Member Months]],0)</f>
        <v>0</v>
      </c>
      <c r="AC28" s="416">
        <f>IFERROR(AN_TME_BY[[#This Row],[Total Claims Excluded because of Truncation]]/AN_TME_BY[[#This Row],[Count of Members with Claims Truncated]], 0)</f>
        <v>0</v>
      </c>
      <c r="AD28" s="417">
        <f>IFERROR(AN_TME_BY[[#This Row],[Total Claims Excluded because of Truncation]]/AN_TME_BY[[#This Row],[TOTAL Non-Truncated Unadjusted Claims Expenses]], 0)</f>
        <v>0</v>
      </c>
    </row>
    <row r="29" spans="1:30" x14ac:dyDescent="0.25">
      <c r="A29" s="364"/>
      <c r="B29" s="365"/>
      <c r="C29" s="365"/>
      <c r="D29" s="366"/>
      <c r="E29" s="367"/>
      <c r="F29" s="367"/>
      <c r="G29" s="367"/>
      <c r="H29" s="367"/>
      <c r="I29" s="367"/>
      <c r="J29" s="367"/>
      <c r="K29" s="367"/>
      <c r="L29" s="367"/>
      <c r="M29" s="367"/>
      <c r="N29" s="367"/>
      <c r="O29" s="367"/>
      <c r="P29" s="367"/>
      <c r="Q29" s="367"/>
      <c r="R29" s="367"/>
      <c r="S29" s="367"/>
      <c r="T29" s="367"/>
      <c r="U29" s="368"/>
      <c r="V29" s="369">
        <f t="shared" si="0"/>
        <v>0</v>
      </c>
      <c r="W29" s="413">
        <f>AN_TME_BY[[#This Row],[TOTAL Non-Truncated Unadjusted Claims Expenses]]-AN_TME_BY[[#This Row],[Total Claims Excluded because of Truncation]]</f>
        <v>0</v>
      </c>
      <c r="X29" s="369">
        <f t="shared" si="1"/>
        <v>0</v>
      </c>
      <c r="Y29" s="413">
        <f>AN_TME_BY[[#This Row],[TOTAL Non-Truncated Unadjusted Claims Expenses]]+AN_TME_BY[[#This Row],[TOTAL Non-Claims Expenses]]</f>
        <v>0</v>
      </c>
      <c r="Z29" s="413">
        <f>AN_TME_BY[[#This Row],[TOTAL Truncated Unadjusted Claims Expenses (A21 -A19)]]+AN_TME_BY[[#This Row],[TOTAL Non-Claims Expenses]]</f>
        <v>0</v>
      </c>
      <c r="AA29" s="415">
        <f>IFERROR(AN_TME_BY[[#This Row],[TOTAL Non-Truncated Unadjusted Expenses (A21 + A23)]]/AN_TME_BY[[#This Row],[Member Months]],0)</f>
        <v>0</v>
      </c>
      <c r="AB29" s="415">
        <f>IFERROR(AN_TME_BY[[#This Row],[TOTAL Truncated Unadjusted Expenses (A22 + A23)]]/AN_TME_BY[[#This Row],[Member Months]],0)</f>
        <v>0</v>
      </c>
      <c r="AC29" s="415">
        <f>IFERROR(AN_TME_BY[[#This Row],[Total Claims Excluded because of Truncation]]/AN_TME_BY[[#This Row],[Count of Members with Claims Truncated]], 0)</f>
        <v>0</v>
      </c>
      <c r="AD29" s="417">
        <f>IFERROR(AN_TME_BY[[#This Row],[Total Claims Excluded because of Truncation]]/AN_TME_BY[[#This Row],[TOTAL Non-Truncated Unadjusted Claims Expenses]], 0)</f>
        <v>0</v>
      </c>
    </row>
    <row r="30" spans="1:30" x14ac:dyDescent="0.25">
      <c r="A30" s="370"/>
      <c r="B30" s="371"/>
      <c r="C30" s="371"/>
      <c r="D30" s="372"/>
      <c r="E30" s="373"/>
      <c r="F30" s="373"/>
      <c r="G30" s="373"/>
      <c r="H30" s="373"/>
      <c r="I30" s="373"/>
      <c r="J30" s="373"/>
      <c r="K30" s="373"/>
      <c r="L30" s="373"/>
      <c r="M30" s="373"/>
      <c r="N30" s="373"/>
      <c r="O30" s="373"/>
      <c r="P30" s="373"/>
      <c r="Q30" s="373"/>
      <c r="R30" s="373"/>
      <c r="S30" s="373"/>
      <c r="T30" s="373"/>
      <c r="U30" s="374"/>
      <c r="V30" s="375">
        <f t="shared" si="0"/>
        <v>0</v>
      </c>
      <c r="W30" s="375">
        <f>AN_TME_BY[[#This Row],[TOTAL Non-Truncated Unadjusted Claims Expenses]]-AN_TME_BY[[#This Row],[Total Claims Excluded because of Truncation]]</f>
        <v>0</v>
      </c>
      <c r="X30" s="375">
        <f t="shared" si="1"/>
        <v>0</v>
      </c>
      <c r="Y30" s="375">
        <f>AN_TME_BY[[#This Row],[TOTAL Non-Truncated Unadjusted Claims Expenses]]+AN_TME_BY[[#This Row],[TOTAL Non-Claims Expenses]]</f>
        <v>0</v>
      </c>
      <c r="Z30" s="375">
        <f>AN_TME_BY[[#This Row],[TOTAL Truncated Unadjusted Claims Expenses (A21 -A19)]]+AN_TME_BY[[#This Row],[TOTAL Non-Claims Expenses]]</f>
        <v>0</v>
      </c>
      <c r="AA30" s="416">
        <f>IFERROR(AN_TME_BY[[#This Row],[TOTAL Non-Truncated Unadjusted Expenses (A21 + A23)]]/AN_TME_BY[[#This Row],[Member Months]],0)</f>
        <v>0</v>
      </c>
      <c r="AB30" s="416">
        <f>IFERROR(AN_TME_BY[[#This Row],[TOTAL Truncated Unadjusted Expenses (A22 + A23)]]/AN_TME_BY[[#This Row],[Member Months]],0)</f>
        <v>0</v>
      </c>
      <c r="AC30" s="416">
        <f>IFERROR(AN_TME_BY[[#This Row],[Total Claims Excluded because of Truncation]]/AN_TME_BY[[#This Row],[Count of Members with Claims Truncated]], 0)</f>
        <v>0</v>
      </c>
      <c r="AD30" s="417">
        <f>IFERROR(AN_TME_BY[[#This Row],[Total Claims Excluded because of Truncation]]/AN_TME_BY[[#This Row],[TOTAL Non-Truncated Unadjusted Claims Expenses]], 0)</f>
        <v>0</v>
      </c>
    </row>
    <row r="31" spans="1:30" x14ac:dyDescent="0.25">
      <c r="A31" s="364"/>
      <c r="B31" s="365"/>
      <c r="C31" s="365"/>
      <c r="D31" s="366"/>
      <c r="E31" s="367"/>
      <c r="F31" s="367"/>
      <c r="G31" s="367"/>
      <c r="H31" s="367"/>
      <c r="I31" s="367"/>
      <c r="J31" s="367"/>
      <c r="K31" s="367"/>
      <c r="L31" s="367"/>
      <c r="M31" s="367"/>
      <c r="N31" s="367"/>
      <c r="O31" s="367"/>
      <c r="P31" s="367"/>
      <c r="Q31" s="367"/>
      <c r="R31" s="367"/>
      <c r="S31" s="367"/>
      <c r="T31" s="367"/>
      <c r="U31" s="368"/>
      <c r="V31" s="369">
        <f t="shared" si="0"/>
        <v>0</v>
      </c>
      <c r="W31" s="413">
        <f>AN_TME_BY[[#This Row],[TOTAL Non-Truncated Unadjusted Claims Expenses]]-AN_TME_BY[[#This Row],[Total Claims Excluded because of Truncation]]</f>
        <v>0</v>
      </c>
      <c r="X31" s="369">
        <f t="shared" si="1"/>
        <v>0</v>
      </c>
      <c r="Y31" s="413">
        <f>AN_TME_BY[[#This Row],[TOTAL Non-Truncated Unadjusted Claims Expenses]]+AN_TME_BY[[#This Row],[TOTAL Non-Claims Expenses]]</f>
        <v>0</v>
      </c>
      <c r="Z31" s="413">
        <f>AN_TME_BY[[#This Row],[TOTAL Truncated Unadjusted Claims Expenses (A21 -A19)]]+AN_TME_BY[[#This Row],[TOTAL Non-Claims Expenses]]</f>
        <v>0</v>
      </c>
      <c r="AA31" s="415">
        <f>IFERROR(AN_TME_BY[[#This Row],[TOTAL Non-Truncated Unadjusted Expenses (A21 + A23)]]/AN_TME_BY[[#This Row],[Member Months]],0)</f>
        <v>0</v>
      </c>
      <c r="AB31" s="415">
        <f>IFERROR(AN_TME_BY[[#This Row],[TOTAL Truncated Unadjusted Expenses (A22 + A23)]]/AN_TME_BY[[#This Row],[Member Months]],0)</f>
        <v>0</v>
      </c>
      <c r="AC31" s="415">
        <f>IFERROR(AN_TME_BY[[#This Row],[Total Claims Excluded because of Truncation]]/AN_TME_BY[[#This Row],[Count of Members with Claims Truncated]], 0)</f>
        <v>0</v>
      </c>
      <c r="AD31" s="417">
        <f>IFERROR(AN_TME_BY[[#This Row],[Total Claims Excluded because of Truncation]]/AN_TME_BY[[#This Row],[TOTAL Non-Truncated Unadjusted Claims Expenses]], 0)</f>
        <v>0</v>
      </c>
    </row>
    <row r="32" spans="1:30" x14ac:dyDescent="0.25">
      <c r="A32" s="370"/>
      <c r="B32" s="371"/>
      <c r="C32" s="371"/>
      <c r="D32" s="372"/>
      <c r="E32" s="373"/>
      <c r="F32" s="373"/>
      <c r="G32" s="373"/>
      <c r="H32" s="373"/>
      <c r="I32" s="373"/>
      <c r="J32" s="373"/>
      <c r="K32" s="373"/>
      <c r="L32" s="373"/>
      <c r="M32" s="373"/>
      <c r="N32" s="373"/>
      <c r="O32" s="373"/>
      <c r="P32" s="373"/>
      <c r="Q32" s="373"/>
      <c r="R32" s="373"/>
      <c r="S32" s="373"/>
      <c r="T32" s="373"/>
      <c r="U32" s="374"/>
      <c r="V32" s="375">
        <f t="shared" si="0"/>
        <v>0</v>
      </c>
      <c r="W32" s="375">
        <f>AN_TME_BY[[#This Row],[TOTAL Non-Truncated Unadjusted Claims Expenses]]-AN_TME_BY[[#This Row],[Total Claims Excluded because of Truncation]]</f>
        <v>0</v>
      </c>
      <c r="X32" s="375">
        <f t="shared" si="1"/>
        <v>0</v>
      </c>
      <c r="Y32" s="375">
        <f>AN_TME_BY[[#This Row],[TOTAL Non-Truncated Unadjusted Claims Expenses]]+AN_TME_BY[[#This Row],[TOTAL Non-Claims Expenses]]</f>
        <v>0</v>
      </c>
      <c r="Z32" s="375">
        <f>AN_TME_BY[[#This Row],[TOTAL Truncated Unadjusted Claims Expenses (A21 -A19)]]+AN_TME_BY[[#This Row],[TOTAL Non-Claims Expenses]]</f>
        <v>0</v>
      </c>
      <c r="AA32" s="416">
        <f>IFERROR(AN_TME_BY[[#This Row],[TOTAL Non-Truncated Unadjusted Expenses (A21 + A23)]]/AN_TME_BY[[#This Row],[Member Months]],0)</f>
        <v>0</v>
      </c>
      <c r="AB32" s="416">
        <f>IFERROR(AN_TME_BY[[#This Row],[TOTAL Truncated Unadjusted Expenses (A22 + A23)]]/AN_TME_BY[[#This Row],[Member Months]],0)</f>
        <v>0</v>
      </c>
      <c r="AC32" s="416">
        <f>IFERROR(AN_TME_BY[[#This Row],[Total Claims Excluded because of Truncation]]/AN_TME_BY[[#This Row],[Count of Members with Claims Truncated]], 0)</f>
        <v>0</v>
      </c>
      <c r="AD32" s="417">
        <f>IFERROR(AN_TME_BY[[#This Row],[Total Claims Excluded because of Truncation]]/AN_TME_BY[[#This Row],[TOTAL Non-Truncated Unadjusted Claims Expenses]], 0)</f>
        <v>0</v>
      </c>
    </row>
    <row r="33" spans="1:30" x14ac:dyDescent="0.25">
      <c r="A33" s="364"/>
      <c r="B33" s="365"/>
      <c r="C33" s="365"/>
      <c r="D33" s="366"/>
      <c r="E33" s="367"/>
      <c r="F33" s="367"/>
      <c r="G33" s="367"/>
      <c r="H33" s="367"/>
      <c r="I33" s="367"/>
      <c r="J33" s="367"/>
      <c r="K33" s="367"/>
      <c r="L33" s="367"/>
      <c r="M33" s="367"/>
      <c r="N33" s="367"/>
      <c r="O33" s="367"/>
      <c r="P33" s="367"/>
      <c r="Q33" s="367"/>
      <c r="R33" s="367"/>
      <c r="S33" s="367"/>
      <c r="T33" s="367"/>
      <c r="U33" s="368"/>
      <c r="V33" s="369">
        <f t="shared" si="0"/>
        <v>0</v>
      </c>
      <c r="W33" s="413">
        <f>AN_TME_BY[[#This Row],[TOTAL Non-Truncated Unadjusted Claims Expenses]]-AN_TME_BY[[#This Row],[Total Claims Excluded because of Truncation]]</f>
        <v>0</v>
      </c>
      <c r="X33" s="369">
        <f t="shared" si="1"/>
        <v>0</v>
      </c>
      <c r="Y33" s="413">
        <f>AN_TME_BY[[#This Row],[TOTAL Non-Truncated Unadjusted Claims Expenses]]+AN_TME_BY[[#This Row],[TOTAL Non-Claims Expenses]]</f>
        <v>0</v>
      </c>
      <c r="Z33" s="413">
        <f>AN_TME_BY[[#This Row],[TOTAL Truncated Unadjusted Claims Expenses (A21 -A19)]]+AN_TME_BY[[#This Row],[TOTAL Non-Claims Expenses]]</f>
        <v>0</v>
      </c>
      <c r="AA33" s="415">
        <f>IFERROR(AN_TME_BY[[#This Row],[TOTAL Non-Truncated Unadjusted Expenses (A21 + A23)]]/AN_TME_BY[[#This Row],[Member Months]],0)</f>
        <v>0</v>
      </c>
      <c r="AB33" s="415">
        <f>IFERROR(AN_TME_BY[[#This Row],[TOTAL Truncated Unadjusted Expenses (A22 + A23)]]/AN_TME_BY[[#This Row],[Member Months]],0)</f>
        <v>0</v>
      </c>
      <c r="AC33" s="415">
        <f>IFERROR(AN_TME_BY[[#This Row],[Total Claims Excluded because of Truncation]]/AN_TME_BY[[#This Row],[Count of Members with Claims Truncated]], 0)</f>
        <v>0</v>
      </c>
      <c r="AD33" s="417">
        <f>IFERROR(AN_TME_BY[[#This Row],[Total Claims Excluded because of Truncation]]/AN_TME_BY[[#This Row],[TOTAL Non-Truncated Unadjusted Claims Expenses]], 0)</f>
        <v>0</v>
      </c>
    </row>
    <row r="34" spans="1:30" x14ac:dyDescent="0.25">
      <c r="A34" s="370"/>
      <c r="B34" s="371"/>
      <c r="C34" s="371"/>
      <c r="D34" s="372"/>
      <c r="E34" s="373"/>
      <c r="F34" s="373"/>
      <c r="G34" s="373"/>
      <c r="H34" s="373"/>
      <c r="I34" s="373"/>
      <c r="J34" s="373"/>
      <c r="K34" s="373"/>
      <c r="L34" s="373"/>
      <c r="M34" s="373"/>
      <c r="N34" s="373"/>
      <c r="O34" s="373"/>
      <c r="P34" s="373"/>
      <c r="Q34" s="373"/>
      <c r="R34" s="373"/>
      <c r="S34" s="373"/>
      <c r="T34" s="373"/>
      <c r="U34" s="374"/>
      <c r="V34" s="375">
        <f t="shared" si="0"/>
        <v>0</v>
      </c>
      <c r="W34" s="375">
        <f>AN_TME_BY[[#This Row],[TOTAL Non-Truncated Unadjusted Claims Expenses]]-AN_TME_BY[[#This Row],[Total Claims Excluded because of Truncation]]</f>
        <v>0</v>
      </c>
      <c r="X34" s="375">
        <f t="shared" si="1"/>
        <v>0</v>
      </c>
      <c r="Y34" s="375">
        <f>AN_TME_BY[[#This Row],[TOTAL Non-Truncated Unadjusted Claims Expenses]]+AN_TME_BY[[#This Row],[TOTAL Non-Claims Expenses]]</f>
        <v>0</v>
      </c>
      <c r="Z34" s="375">
        <f>AN_TME_BY[[#This Row],[TOTAL Truncated Unadjusted Claims Expenses (A21 -A19)]]+AN_TME_BY[[#This Row],[TOTAL Non-Claims Expenses]]</f>
        <v>0</v>
      </c>
      <c r="AA34" s="416">
        <f>IFERROR(AN_TME_BY[[#This Row],[TOTAL Non-Truncated Unadjusted Expenses (A21 + A23)]]/AN_TME_BY[[#This Row],[Member Months]],0)</f>
        <v>0</v>
      </c>
      <c r="AB34" s="416">
        <f>IFERROR(AN_TME_BY[[#This Row],[TOTAL Truncated Unadjusted Expenses (A22 + A23)]]/AN_TME_BY[[#This Row],[Member Months]],0)</f>
        <v>0</v>
      </c>
      <c r="AC34" s="416">
        <f>IFERROR(AN_TME_BY[[#This Row],[Total Claims Excluded because of Truncation]]/AN_TME_BY[[#This Row],[Count of Members with Claims Truncated]], 0)</f>
        <v>0</v>
      </c>
      <c r="AD34" s="417">
        <f>IFERROR(AN_TME_BY[[#This Row],[Total Claims Excluded because of Truncation]]/AN_TME_BY[[#This Row],[TOTAL Non-Truncated Unadjusted Claims Expenses]], 0)</f>
        <v>0</v>
      </c>
    </row>
    <row r="35" spans="1:30" x14ac:dyDescent="0.25">
      <c r="A35" s="364"/>
      <c r="B35" s="365"/>
      <c r="C35" s="365"/>
      <c r="D35" s="366"/>
      <c r="E35" s="367"/>
      <c r="F35" s="367"/>
      <c r="G35" s="367"/>
      <c r="H35" s="367"/>
      <c r="I35" s="367"/>
      <c r="J35" s="367"/>
      <c r="K35" s="367"/>
      <c r="L35" s="367"/>
      <c r="M35" s="367"/>
      <c r="N35" s="367"/>
      <c r="O35" s="367"/>
      <c r="P35" s="367"/>
      <c r="Q35" s="367"/>
      <c r="R35" s="367"/>
      <c r="S35" s="367"/>
      <c r="T35" s="367"/>
      <c r="U35" s="368"/>
      <c r="V35" s="369">
        <f t="shared" si="0"/>
        <v>0</v>
      </c>
      <c r="W35" s="413">
        <f>AN_TME_BY[[#This Row],[TOTAL Non-Truncated Unadjusted Claims Expenses]]-AN_TME_BY[[#This Row],[Total Claims Excluded because of Truncation]]</f>
        <v>0</v>
      </c>
      <c r="X35" s="369">
        <f t="shared" si="1"/>
        <v>0</v>
      </c>
      <c r="Y35" s="413">
        <f>AN_TME_BY[[#This Row],[TOTAL Non-Truncated Unadjusted Claims Expenses]]+AN_TME_BY[[#This Row],[TOTAL Non-Claims Expenses]]</f>
        <v>0</v>
      </c>
      <c r="Z35" s="413">
        <f>AN_TME_BY[[#This Row],[TOTAL Truncated Unadjusted Claims Expenses (A21 -A19)]]+AN_TME_BY[[#This Row],[TOTAL Non-Claims Expenses]]</f>
        <v>0</v>
      </c>
      <c r="AA35" s="415">
        <f>IFERROR(AN_TME_BY[[#This Row],[TOTAL Non-Truncated Unadjusted Expenses (A21 + A23)]]/AN_TME_BY[[#This Row],[Member Months]],0)</f>
        <v>0</v>
      </c>
      <c r="AB35" s="415">
        <f>IFERROR(AN_TME_BY[[#This Row],[TOTAL Truncated Unadjusted Expenses (A22 + A23)]]/AN_TME_BY[[#This Row],[Member Months]],0)</f>
        <v>0</v>
      </c>
      <c r="AC35" s="415">
        <f>IFERROR(AN_TME_BY[[#This Row],[Total Claims Excluded because of Truncation]]/AN_TME_BY[[#This Row],[Count of Members with Claims Truncated]], 0)</f>
        <v>0</v>
      </c>
      <c r="AD35" s="417">
        <f>IFERROR(AN_TME_BY[[#This Row],[Total Claims Excluded because of Truncation]]/AN_TME_BY[[#This Row],[TOTAL Non-Truncated Unadjusted Claims Expenses]], 0)</f>
        <v>0</v>
      </c>
    </row>
    <row r="36" spans="1:30" x14ac:dyDescent="0.25">
      <c r="A36" s="370"/>
      <c r="B36" s="371"/>
      <c r="C36" s="371"/>
      <c r="D36" s="372"/>
      <c r="E36" s="373"/>
      <c r="F36" s="373"/>
      <c r="G36" s="373"/>
      <c r="H36" s="373"/>
      <c r="I36" s="373"/>
      <c r="J36" s="373"/>
      <c r="K36" s="373"/>
      <c r="L36" s="373"/>
      <c r="M36" s="373"/>
      <c r="N36" s="373"/>
      <c r="O36" s="373"/>
      <c r="P36" s="373"/>
      <c r="Q36" s="373"/>
      <c r="R36" s="373"/>
      <c r="S36" s="373"/>
      <c r="T36" s="373"/>
      <c r="U36" s="374"/>
      <c r="V36" s="375">
        <f t="shared" si="0"/>
        <v>0</v>
      </c>
      <c r="W36" s="375">
        <f>AN_TME_BY[[#This Row],[TOTAL Non-Truncated Unadjusted Claims Expenses]]-AN_TME_BY[[#This Row],[Total Claims Excluded because of Truncation]]</f>
        <v>0</v>
      </c>
      <c r="X36" s="375">
        <f t="shared" si="1"/>
        <v>0</v>
      </c>
      <c r="Y36" s="375">
        <f>AN_TME_BY[[#This Row],[TOTAL Non-Truncated Unadjusted Claims Expenses]]+AN_TME_BY[[#This Row],[TOTAL Non-Claims Expenses]]</f>
        <v>0</v>
      </c>
      <c r="Z36" s="375">
        <f>AN_TME_BY[[#This Row],[TOTAL Truncated Unadjusted Claims Expenses (A21 -A19)]]+AN_TME_BY[[#This Row],[TOTAL Non-Claims Expenses]]</f>
        <v>0</v>
      </c>
      <c r="AA36" s="416">
        <f>IFERROR(AN_TME_BY[[#This Row],[TOTAL Non-Truncated Unadjusted Expenses (A21 + A23)]]/AN_TME_BY[[#This Row],[Member Months]],0)</f>
        <v>0</v>
      </c>
      <c r="AB36" s="416">
        <f>IFERROR(AN_TME_BY[[#This Row],[TOTAL Truncated Unadjusted Expenses (A22 + A23)]]/AN_TME_BY[[#This Row],[Member Months]],0)</f>
        <v>0</v>
      </c>
      <c r="AC36" s="416">
        <f>IFERROR(AN_TME_BY[[#This Row],[Total Claims Excluded because of Truncation]]/AN_TME_BY[[#This Row],[Count of Members with Claims Truncated]], 0)</f>
        <v>0</v>
      </c>
      <c r="AD36" s="417">
        <f>IFERROR(AN_TME_BY[[#This Row],[Total Claims Excluded because of Truncation]]/AN_TME_BY[[#This Row],[TOTAL Non-Truncated Unadjusted Claims Expenses]], 0)</f>
        <v>0</v>
      </c>
    </row>
    <row r="37" spans="1:30" x14ac:dyDescent="0.25">
      <c r="A37" s="364"/>
      <c r="B37" s="365"/>
      <c r="C37" s="365"/>
      <c r="D37" s="366"/>
      <c r="E37" s="367"/>
      <c r="F37" s="367"/>
      <c r="G37" s="367"/>
      <c r="H37" s="367"/>
      <c r="I37" s="367"/>
      <c r="J37" s="367"/>
      <c r="K37" s="367"/>
      <c r="L37" s="367"/>
      <c r="M37" s="367"/>
      <c r="N37" s="367"/>
      <c r="O37" s="367"/>
      <c r="P37" s="367"/>
      <c r="Q37" s="367"/>
      <c r="R37" s="367"/>
      <c r="S37" s="367"/>
      <c r="T37" s="367"/>
      <c r="U37" s="368"/>
      <c r="V37" s="369">
        <f t="shared" si="0"/>
        <v>0</v>
      </c>
      <c r="W37" s="413">
        <f>AN_TME_BY[[#This Row],[TOTAL Non-Truncated Unadjusted Claims Expenses]]-AN_TME_BY[[#This Row],[Total Claims Excluded because of Truncation]]</f>
        <v>0</v>
      </c>
      <c r="X37" s="369">
        <f t="shared" si="1"/>
        <v>0</v>
      </c>
      <c r="Y37" s="413">
        <f>AN_TME_BY[[#This Row],[TOTAL Non-Truncated Unadjusted Claims Expenses]]+AN_TME_BY[[#This Row],[TOTAL Non-Claims Expenses]]</f>
        <v>0</v>
      </c>
      <c r="Z37" s="413">
        <f>AN_TME_BY[[#This Row],[TOTAL Truncated Unadjusted Claims Expenses (A21 -A19)]]+AN_TME_BY[[#This Row],[TOTAL Non-Claims Expenses]]</f>
        <v>0</v>
      </c>
      <c r="AA37" s="415">
        <f>IFERROR(AN_TME_BY[[#This Row],[TOTAL Non-Truncated Unadjusted Expenses (A21 + A23)]]/AN_TME_BY[[#This Row],[Member Months]],0)</f>
        <v>0</v>
      </c>
      <c r="AB37" s="415">
        <f>IFERROR(AN_TME_BY[[#This Row],[TOTAL Truncated Unadjusted Expenses (A22 + A23)]]/AN_TME_BY[[#This Row],[Member Months]],0)</f>
        <v>0</v>
      </c>
      <c r="AC37" s="415">
        <f>IFERROR(AN_TME_BY[[#This Row],[Total Claims Excluded because of Truncation]]/AN_TME_BY[[#This Row],[Count of Members with Claims Truncated]], 0)</f>
        <v>0</v>
      </c>
      <c r="AD37" s="417">
        <f>IFERROR(AN_TME_BY[[#This Row],[Total Claims Excluded because of Truncation]]/AN_TME_BY[[#This Row],[TOTAL Non-Truncated Unadjusted Claims Expenses]], 0)</f>
        <v>0</v>
      </c>
    </row>
    <row r="38" spans="1:30" x14ac:dyDescent="0.25">
      <c r="A38" s="370"/>
      <c r="B38" s="371"/>
      <c r="C38" s="371"/>
      <c r="D38" s="372"/>
      <c r="E38" s="373"/>
      <c r="F38" s="373"/>
      <c r="G38" s="373"/>
      <c r="H38" s="373"/>
      <c r="I38" s="373"/>
      <c r="J38" s="373"/>
      <c r="K38" s="373"/>
      <c r="L38" s="373"/>
      <c r="M38" s="373"/>
      <c r="N38" s="373"/>
      <c r="O38" s="373"/>
      <c r="P38" s="373"/>
      <c r="Q38" s="373"/>
      <c r="R38" s="373"/>
      <c r="S38" s="373"/>
      <c r="T38" s="373"/>
      <c r="U38" s="374"/>
      <c r="V38" s="375">
        <f t="shared" si="0"/>
        <v>0</v>
      </c>
      <c r="W38" s="375">
        <f>AN_TME_BY[[#This Row],[TOTAL Non-Truncated Unadjusted Claims Expenses]]-AN_TME_BY[[#This Row],[Total Claims Excluded because of Truncation]]</f>
        <v>0</v>
      </c>
      <c r="X38" s="375">
        <f t="shared" si="1"/>
        <v>0</v>
      </c>
      <c r="Y38" s="375">
        <f>AN_TME_BY[[#This Row],[TOTAL Non-Truncated Unadjusted Claims Expenses]]+AN_TME_BY[[#This Row],[TOTAL Non-Claims Expenses]]</f>
        <v>0</v>
      </c>
      <c r="Z38" s="375">
        <f>AN_TME_BY[[#This Row],[TOTAL Truncated Unadjusted Claims Expenses (A21 -A19)]]+AN_TME_BY[[#This Row],[TOTAL Non-Claims Expenses]]</f>
        <v>0</v>
      </c>
      <c r="AA38" s="416">
        <f>IFERROR(AN_TME_BY[[#This Row],[TOTAL Non-Truncated Unadjusted Expenses (A21 + A23)]]/AN_TME_BY[[#This Row],[Member Months]],0)</f>
        <v>0</v>
      </c>
      <c r="AB38" s="416">
        <f>IFERROR(AN_TME_BY[[#This Row],[TOTAL Truncated Unadjusted Expenses (A22 + A23)]]/AN_TME_BY[[#This Row],[Member Months]],0)</f>
        <v>0</v>
      </c>
      <c r="AC38" s="416">
        <f>IFERROR(AN_TME_BY[[#This Row],[Total Claims Excluded because of Truncation]]/AN_TME_BY[[#This Row],[Count of Members with Claims Truncated]], 0)</f>
        <v>0</v>
      </c>
      <c r="AD38" s="417">
        <f>IFERROR(AN_TME_BY[[#This Row],[Total Claims Excluded because of Truncation]]/AN_TME_BY[[#This Row],[TOTAL Non-Truncated Unadjusted Claims Expenses]], 0)</f>
        <v>0</v>
      </c>
    </row>
    <row r="39" spans="1:30" x14ac:dyDescent="0.25">
      <c r="A39" s="364"/>
      <c r="B39" s="365"/>
      <c r="C39" s="365"/>
      <c r="D39" s="366"/>
      <c r="E39" s="367"/>
      <c r="F39" s="367"/>
      <c r="G39" s="367"/>
      <c r="H39" s="367"/>
      <c r="I39" s="367"/>
      <c r="J39" s="367"/>
      <c r="K39" s="367"/>
      <c r="L39" s="367"/>
      <c r="M39" s="367"/>
      <c r="N39" s="367"/>
      <c r="O39" s="367"/>
      <c r="P39" s="367"/>
      <c r="Q39" s="367"/>
      <c r="R39" s="367"/>
      <c r="S39" s="367"/>
      <c r="T39" s="367"/>
      <c r="U39" s="368"/>
      <c r="V39" s="369">
        <f t="shared" si="0"/>
        <v>0</v>
      </c>
      <c r="W39" s="413">
        <f>AN_TME_BY[[#This Row],[TOTAL Non-Truncated Unadjusted Claims Expenses]]-AN_TME_BY[[#This Row],[Total Claims Excluded because of Truncation]]</f>
        <v>0</v>
      </c>
      <c r="X39" s="369">
        <f t="shared" si="1"/>
        <v>0</v>
      </c>
      <c r="Y39" s="413">
        <f>AN_TME_BY[[#This Row],[TOTAL Non-Truncated Unadjusted Claims Expenses]]+AN_TME_BY[[#This Row],[TOTAL Non-Claims Expenses]]</f>
        <v>0</v>
      </c>
      <c r="Z39" s="413">
        <f>AN_TME_BY[[#This Row],[TOTAL Truncated Unadjusted Claims Expenses (A21 -A19)]]+AN_TME_BY[[#This Row],[TOTAL Non-Claims Expenses]]</f>
        <v>0</v>
      </c>
      <c r="AA39" s="415">
        <f>IFERROR(AN_TME_BY[[#This Row],[TOTAL Non-Truncated Unadjusted Expenses (A21 + A23)]]/AN_TME_BY[[#This Row],[Member Months]],0)</f>
        <v>0</v>
      </c>
      <c r="AB39" s="415">
        <f>IFERROR(AN_TME_BY[[#This Row],[TOTAL Truncated Unadjusted Expenses (A22 + A23)]]/AN_TME_BY[[#This Row],[Member Months]],0)</f>
        <v>0</v>
      </c>
      <c r="AC39" s="415">
        <f>IFERROR(AN_TME_BY[[#This Row],[Total Claims Excluded because of Truncation]]/AN_TME_BY[[#This Row],[Count of Members with Claims Truncated]], 0)</f>
        <v>0</v>
      </c>
      <c r="AD39" s="417">
        <f>IFERROR(AN_TME_BY[[#This Row],[Total Claims Excluded because of Truncation]]/AN_TME_BY[[#This Row],[TOTAL Non-Truncated Unadjusted Claims Expenses]], 0)</f>
        <v>0</v>
      </c>
    </row>
    <row r="40" spans="1:30" x14ac:dyDescent="0.25">
      <c r="A40" s="370"/>
      <c r="B40" s="371"/>
      <c r="C40" s="371"/>
      <c r="D40" s="372"/>
      <c r="E40" s="373"/>
      <c r="F40" s="373"/>
      <c r="G40" s="373"/>
      <c r="H40" s="373"/>
      <c r="I40" s="373"/>
      <c r="J40" s="373"/>
      <c r="K40" s="373"/>
      <c r="L40" s="373"/>
      <c r="M40" s="373"/>
      <c r="N40" s="373"/>
      <c r="O40" s="373"/>
      <c r="P40" s="373"/>
      <c r="Q40" s="373"/>
      <c r="R40" s="373"/>
      <c r="S40" s="373"/>
      <c r="T40" s="373"/>
      <c r="U40" s="374"/>
      <c r="V40" s="375">
        <f t="shared" si="0"/>
        <v>0</v>
      </c>
      <c r="W40" s="375">
        <f>AN_TME_BY[[#This Row],[TOTAL Non-Truncated Unadjusted Claims Expenses]]-AN_TME_BY[[#This Row],[Total Claims Excluded because of Truncation]]</f>
        <v>0</v>
      </c>
      <c r="X40" s="375">
        <f t="shared" si="1"/>
        <v>0</v>
      </c>
      <c r="Y40" s="375">
        <f>AN_TME_BY[[#This Row],[TOTAL Non-Truncated Unadjusted Claims Expenses]]+AN_TME_BY[[#This Row],[TOTAL Non-Claims Expenses]]</f>
        <v>0</v>
      </c>
      <c r="Z40" s="375">
        <f>AN_TME_BY[[#This Row],[TOTAL Truncated Unadjusted Claims Expenses (A21 -A19)]]+AN_TME_BY[[#This Row],[TOTAL Non-Claims Expenses]]</f>
        <v>0</v>
      </c>
      <c r="AA40" s="416">
        <f>IFERROR(AN_TME_BY[[#This Row],[TOTAL Non-Truncated Unadjusted Expenses (A21 + A23)]]/AN_TME_BY[[#This Row],[Member Months]],0)</f>
        <v>0</v>
      </c>
      <c r="AB40" s="416">
        <f>IFERROR(AN_TME_BY[[#This Row],[TOTAL Truncated Unadjusted Expenses (A22 + A23)]]/AN_TME_BY[[#This Row],[Member Months]],0)</f>
        <v>0</v>
      </c>
      <c r="AC40" s="416">
        <f>IFERROR(AN_TME_BY[[#This Row],[Total Claims Excluded because of Truncation]]/AN_TME_BY[[#This Row],[Count of Members with Claims Truncated]], 0)</f>
        <v>0</v>
      </c>
      <c r="AD40" s="417">
        <f>IFERROR(AN_TME_BY[[#This Row],[Total Claims Excluded because of Truncation]]/AN_TME_BY[[#This Row],[TOTAL Non-Truncated Unadjusted Claims Expenses]], 0)</f>
        <v>0</v>
      </c>
    </row>
    <row r="41" spans="1:30" x14ac:dyDescent="0.25">
      <c r="A41" s="364"/>
      <c r="B41" s="365"/>
      <c r="C41" s="365"/>
      <c r="D41" s="366"/>
      <c r="E41" s="367"/>
      <c r="F41" s="367"/>
      <c r="G41" s="367"/>
      <c r="H41" s="367"/>
      <c r="I41" s="367"/>
      <c r="J41" s="367"/>
      <c r="K41" s="367"/>
      <c r="L41" s="367"/>
      <c r="M41" s="367"/>
      <c r="N41" s="367"/>
      <c r="O41" s="367"/>
      <c r="P41" s="367"/>
      <c r="Q41" s="367"/>
      <c r="R41" s="367"/>
      <c r="S41" s="367"/>
      <c r="T41" s="367"/>
      <c r="U41" s="368"/>
      <c r="V41" s="369">
        <f t="shared" si="0"/>
        <v>0</v>
      </c>
      <c r="W41" s="413">
        <f>AN_TME_BY[[#This Row],[TOTAL Non-Truncated Unadjusted Claims Expenses]]-AN_TME_BY[[#This Row],[Total Claims Excluded because of Truncation]]</f>
        <v>0</v>
      </c>
      <c r="X41" s="369">
        <f t="shared" si="1"/>
        <v>0</v>
      </c>
      <c r="Y41" s="413">
        <f>AN_TME_BY[[#This Row],[TOTAL Non-Truncated Unadjusted Claims Expenses]]+AN_TME_BY[[#This Row],[TOTAL Non-Claims Expenses]]</f>
        <v>0</v>
      </c>
      <c r="Z41" s="413">
        <f>AN_TME_BY[[#This Row],[TOTAL Truncated Unadjusted Claims Expenses (A21 -A19)]]+AN_TME_BY[[#This Row],[TOTAL Non-Claims Expenses]]</f>
        <v>0</v>
      </c>
      <c r="AA41" s="415">
        <f>IFERROR(AN_TME_BY[[#This Row],[TOTAL Non-Truncated Unadjusted Expenses (A21 + A23)]]/AN_TME_BY[[#This Row],[Member Months]],0)</f>
        <v>0</v>
      </c>
      <c r="AB41" s="415">
        <f>IFERROR(AN_TME_BY[[#This Row],[TOTAL Truncated Unadjusted Expenses (A22 + A23)]]/AN_TME_BY[[#This Row],[Member Months]],0)</f>
        <v>0</v>
      </c>
      <c r="AC41" s="415">
        <f>IFERROR(AN_TME_BY[[#This Row],[Total Claims Excluded because of Truncation]]/AN_TME_BY[[#This Row],[Count of Members with Claims Truncated]], 0)</f>
        <v>0</v>
      </c>
      <c r="AD41" s="417">
        <f>IFERROR(AN_TME_BY[[#This Row],[Total Claims Excluded because of Truncation]]/AN_TME_BY[[#This Row],[TOTAL Non-Truncated Unadjusted Claims Expenses]], 0)</f>
        <v>0</v>
      </c>
    </row>
    <row r="42" spans="1:30" x14ac:dyDescent="0.25">
      <c r="A42" s="370"/>
      <c r="B42" s="371"/>
      <c r="C42" s="371"/>
      <c r="D42" s="372"/>
      <c r="E42" s="373"/>
      <c r="F42" s="373"/>
      <c r="G42" s="373"/>
      <c r="H42" s="373"/>
      <c r="I42" s="373"/>
      <c r="J42" s="373"/>
      <c r="K42" s="373"/>
      <c r="L42" s="373"/>
      <c r="M42" s="373"/>
      <c r="N42" s="373"/>
      <c r="O42" s="373"/>
      <c r="P42" s="373"/>
      <c r="Q42" s="373"/>
      <c r="R42" s="373"/>
      <c r="S42" s="373"/>
      <c r="T42" s="373"/>
      <c r="U42" s="374"/>
      <c r="V42" s="375">
        <f t="shared" si="0"/>
        <v>0</v>
      </c>
      <c r="W42" s="375">
        <f>AN_TME_BY[[#This Row],[TOTAL Non-Truncated Unadjusted Claims Expenses]]-AN_TME_BY[[#This Row],[Total Claims Excluded because of Truncation]]</f>
        <v>0</v>
      </c>
      <c r="X42" s="375">
        <f t="shared" si="1"/>
        <v>0</v>
      </c>
      <c r="Y42" s="375">
        <f>AN_TME_BY[[#This Row],[TOTAL Non-Truncated Unadjusted Claims Expenses]]+AN_TME_BY[[#This Row],[TOTAL Non-Claims Expenses]]</f>
        <v>0</v>
      </c>
      <c r="Z42" s="375">
        <f>AN_TME_BY[[#This Row],[TOTAL Truncated Unadjusted Claims Expenses (A21 -A19)]]+AN_TME_BY[[#This Row],[TOTAL Non-Claims Expenses]]</f>
        <v>0</v>
      </c>
      <c r="AA42" s="416">
        <f>IFERROR(AN_TME_BY[[#This Row],[TOTAL Non-Truncated Unadjusted Expenses (A21 + A23)]]/AN_TME_BY[[#This Row],[Member Months]],0)</f>
        <v>0</v>
      </c>
      <c r="AB42" s="416">
        <f>IFERROR(AN_TME_BY[[#This Row],[TOTAL Truncated Unadjusted Expenses (A22 + A23)]]/AN_TME_BY[[#This Row],[Member Months]],0)</f>
        <v>0</v>
      </c>
      <c r="AC42" s="416">
        <f>IFERROR(AN_TME_BY[[#This Row],[Total Claims Excluded because of Truncation]]/AN_TME_BY[[#This Row],[Count of Members with Claims Truncated]], 0)</f>
        <v>0</v>
      </c>
      <c r="AD42" s="417">
        <f>IFERROR(AN_TME_BY[[#This Row],[Total Claims Excluded because of Truncation]]/AN_TME_BY[[#This Row],[TOTAL Non-Truncated Unadjusted Claims Expenses]], 0)</f>
        <v>0</v>
      </c>
    </row>
    <row r="43" spans="1:30" x14ac:dyDescent="0.25">
      <c r="A43" s="364"/>
      <c r="B43" s="365"/>
      <c r="C43" s="365"/>
      <c r="D43" s="366"/>
      <c r="E43" s="367"/>
      <c r="F43" s="367"/>
      <c r="G43" s="367"/>
      <c r="H43" s="367"/>
      <c r="I43" s="367"/>
      <c r="J43" s="367"/>
      <c r="K43" s="367"/>
      <c r="L43" s="367"/>
      <c r="M43" s="367"/>
      <c r="N43" s="367"/>
      <c r="O43" s="367"/>
      <c r="P43" s="367"/>
      <c r="Q43" s="367"/>
      <c r="R43" s="367"/>
      <c r="S43" s="367"/>
      <c r="T43" s="367"/>
      <c r="U43" s="368"/>
      <c r="V43" s="369">
        <f t="shared" ref="V43:V74" si="2">SUM(E43:G43)+SUM(I43:M43)</f>
        <v>0</v>
      </c>
      <c r="W43" s="413">
        <f>AN_TME_BY[[#This Row],[TOTAL Non-Truncated Unadjusted Claims Expenses]]-AN_TME_BY[[#This Row],[Total Claims Excluded because of Truncation]]</f>
        <v>0</v>
      </c>
      <c r="X43" s="369">
        <f t="shared" ref="X43:X74" si="3">SUM(N43:R43)</f>
        <v>0</v>
      </c>
      <c r="Y43" s="413">
        <f>AN_TME_BY[[#This Row],[TOTAL Non-Truncated Unadjusted Claims Expenses]]+AN_TME_BY[[#This Row],[TOTAL Non-Claims Expenses]]</f>
        <v>0</v>
      </c>
      <c r="Z43" s="413">
        <f>AN_TME_BY[[#This Row],[TOTAL Truncated Unadjusted Claims Expenses (A21 -A19)]]+AN_TME_BY[[#This Row],[TOTAL Non-Claims Expenses]]</f>
        <v>0</v>
      </c>
      <c r="AA43" s="415">
        <f>IFERROR(AN_TME_BY[[#This Row],[TOTAL Non-Truncated Unadjusted Expenses (A21 + A23)]]/AN_TME_BY[[#This Row],[Member Months]],0)</f>
        <v>0</v>
      </c>
      <c r="AB43" s="415">
        <f>IFERROR(AN_TME_BY[[#This Row],[TOTAL Truncated Unadjusted Expenses (A22 + A23)]]/AN_TME_BY[[#This Row],[Member Months]],0)</f>
        <v>0</v>
      </c>
      <c r="AC43" s="415">
        <f>IFERROR(AN_TME_BY[[#This Row],[Total Claims Excluded because of Truncation]]/AN_TME_BY[[#This Row],[Count of Members with Claims Truncated]], 0)</f>
        <v>0</v>
      </c>
      <c r="AD43" s="417">
        <f>IFERROR(AN_TME_BY[[#This Row],[Total Claims Excluded because of Truncation]]/AN_TME_BY[[#This Row],[TOTAL Non-Truncated Unadjusted Claims Expenses]], 0)</f>
        <v>0</v>
      </c>
    </row>
    <row r="44" spans="1:30" x14ac:dyDescent="0.25">
      <c r="A44" s="370"/>
      <c r="B44" s="371"/>
      <c r="C44" s="371"/>
      <c r="D44" s="372"/>
      <c r="E44" s="373"/>
      <c r="F44" s="373"/>
      <c r="G44" s="373"/>
      <c r="H44" s="373"/>
      <c r="I44" s="373"/>
      <c r="J44" s="373"/>
      <c r="K44" s="373"/>
      <c r="L44" s="373"/>
      <c r="M44" s="373"/>
      <c r="N44" s="373"/>
      <c r="O44" s="373"/>
      <c r="P44" s="373"/>
      <c r="Q44" s="373"/>
      <c r="R44" s="373"/>
      <c r="S44" s="373"/>
      <c r="T44" s="373"/>
      <c r="U44" s="374"/>
      <c r="V44" s="375">
        <f t="shared" si="2"/>
        <v>0</v>
      </c>
      <c r="W44" s="375">
        <f>AN_TME_BY[[#This Row],[TOTAL Non-Truncated Unadjusted Claims Expenses]]-AN_TME_BY[[#This Row],[Total Claims Excluded because of Truncation]]</f>
        <v>0</v>
      </c>
      <c r="X44" s="375">
        <f t="shared" si="3"/>
        <v>0</v>
      </c>
      <c r="Y44" s="375">
        <f>AN_TME_BY[[#This Row],[TOTAL Non-Truncated Unadjusted Claims Expenses]]+AN_TME_BY[[#This Row],[TOTAL Non-Claims Expenses]]</f>
        <v>0</v>
      </c>
      <c r="Z44" s="375">
        <f>AN_TME_BY[[#This Row],[TOTAL Truncated Unadjusted Claims Expenses (A21 -A19)]]+AN_TME_BY[[#This Row],[TOTAL Non-Claims Expenses]]</f>
        <v>0</v>
      </c>
      <c r="AA44" s="416">
        <f>IFERROR(AN_TME_BY[[#This Row],[TOTAL Non-Truncated Unadjusted Expenses (A21 + A23)]]/AN_TME_BY[[#This Row],[Member Months]],0)</f>
        <v>0</v>
      </c>
      <c r="AB44" s="416">
        <f>IFERROR(AN_TME_BY[[#This Row],[TOTAL Truncated Unadjusted Expenses (A22 + A23)]]/AN_TME_BY[[#This Row],[Member Months]],0)</f>
        <v>0</v>
      </c>
      <c r="AC44" s="416">
        <f>IFERROR(AN_TME_BY[[#This Row],[Total Claims Excluded because of Truncation]]/AN_TME_BY[[#This Row],[Count of Members with Claims Truncated]], 0)</f>
        <v>0</v>
      </c>
      <c r="AD44" s="417">
        <f>IFERROR(AN_TME_BY[[#This Row],[Total Claims Excluded because of Truncation]]/AN_TME_BY[[#This Row],[TOTAL Non-Truncated Unadjusted Claims Expenses]], 0)</f>
        <v>0</v>
      </c>
    </row>
    <row r="45" spans="1:30" x14ac:dyDescent="0.25">
      <c r="A45" s="364"/>
      <c r="B45" s="365"/>
      <c r="C45" s="365"/>
      <c r="D45" s="366"/>
      <c r="E45" s="367"/>
      <c r="F45" s="367"/>
      <c r="G45" s="367"/>
      <c r="H45" s="367"/>
      <c r="I45" s="367"/>
      <c r="J45" s="367"/>
      <c r="K45" s="367"/>
      <c r="L45" s="367"/>
      <c r="M45" s="367"/>
      <c r="N45" s="367"/>
      <c r="O45" s="367"/>
      <c r="P45" s="367"/>
      <c r="Q45" s="367"/>
      <c r="R45" s="367"/>
      <c r="S45" s="367"/>
      <c r="T45" s="367"/>
      <c r="U45" s="368"/>
      <c r="V45" s="369">
        <f t="shared" si="2"/>
        <v>0</v>
      </c>
      <c r="W45" s="413">
        <f>AN_TME_BY[[#This Row],[TOTAL Non-Truncated Unadjusted Claims Expenses]]-AN_TME_BY[[#This Row],[Total Claims Excluded because of Truncation]]</f>
        <v>0</v>
      </c>
      <c r="X45" s="369">
        <f t="shared" si="3"/>
        <v>0</v>
      </c>
      <c r="Y45" s="413">
        <f>AN_TME_BY[[#This Row],[TOTAL Non-Truncated Unadjusted Claims Expenses]]+AN_TME_BY[[#This Row],[TOTAL Non-Claims Expenses]]</f>
        <v>0</v>
      </c>
      <c r="Z45" s="413">
        <f>AN_TME_BY[[#This Row],[TOTAL Truncated Unadjusted Claims Expenses (A21 -A19)]]+AN_TME_BY[[#This Row],[TOTAL Non-Claims Expenses]]</f>
        <v>0</v>
      </c>
      <c r="AA45" s="415">
        <f>IFERROR(AN_TME_BY[[#This Row],[TOTAL Non-Truncated Unadjusted Expenses (A21 + A23)]]/AN_TME_BY[[#This Row],[Member Months]],0)</f>
        <v>0</v>
      </c>
      <c r="AB45" s="415">
        <f>IFERROR(AN_TME_BY[[#This Row],[TOTAL Truncated Unadjusted Expenses (A22 + A23)]]/AN_TME_BY[[#This Row],[Member Months]],0)</f>
        <v>0</v>
      </c>
      <c r="AC45" s="415">
        <f>IFERROR(AN_TME_BY[[#This Row],[Total Claims Excluded because of Truncation]]/AN_TME_BY[[#This Row],[Count of Members with Claims Truncated]], 0)</f>
        <v>0</v>
      </c>
      <c r="AD45" s="417">
        <f>IFERROR(AN_TME_BY[[#This Row],[Total Claims Excluded because of Truncation]]/AN_TME_BY[[#This Row],[TOTAL Non-Truncated Unadjusted Claims Expenses]], 0)</f>
        <v>0</v>
      </c>
    </row>
    <row r="46" spans="1:30" x14ac:dyDescent="0.25">
      <c r="A46" s="370"/>
      <c r="B46" s="371"/>
      <c r="C46" s="371"/>
      <c r="D46" s="372"/>
      <c r="E46" s="373"/>
      <c r="F46" s="373"/>
      <c r="G46" s="373"/>
      <c r="H46" s="373"/>
      <c r="I46" s="373"/>
      <c r="J46" s="373"/>
      <c r="K46" s="373"/>
      <c r="L46" s="373"/>
      <c r="M46" s="373"/>
      <c r="N46" s="373"/>
      <c r="O46" s="373"/>
      <c r="P46" s="373"/>
      <c r="Q46" s="373"/>
      <c r="R46" s="373"/>
      <c r="S46" s="373"/>
      <c r="T46" s="373"/>
      <c r="U46" s="374"/>
      <c r="V46" s="375">
        <f t="shared" si="2"/>
        <v>0</v>
      </c>
      <c r="W46" s="375">
        <f>AN_TME_BY[[#This Row],[TOTAL Non-Truncated Unadjusted Claims Expenses]]-AN_TME_BY[[#This Row],[Total Claims Excluded because of Truncation]]</f>
        <v>0</v>
      </c>
      <c r="X46" s="375">
        <f t="shared" si="3"/>
        <v>0</v>
      </c>
      <c r="Y46" s="375">
        <f>AN_TME_BY[[#This Row],[TOTAL Non-Truncated Unadjusted Claims Expenses]]+AN_TME_BY[[#This Row],[TOTAL Non-Claims Expenses]]</f>
        <v>0</v>
      </c>
      <c r="Z46" s="375">
        <f>AN_TME_BY[[#This Row],[TOTAL Truncated Unadjusted Claims Expenses (A21 -A19)]]+AN_TME_BY[[#This Row],[TOTAL Non-Claims Expenses]]</f>
        <v>0</v>
      </c>
      <c r="AA46" s="416">
        <f>IFERROR(AN_TME_BY[[#This Row],[TOTAL Non-Truncated Unadjusted Expenses (A21 + A23)]]/AN_TME_BY[[#This Row],[Member Months]],0)</f>
        <v>0</v>
      </c>
      <c r="AB46" s="416">
        <f>IFERROR(AN_TME_BY[[#This Row],[TOTAL Truncated Unadjusted Expenses (A22 + A23)]]/AN_TME_BY[[#This Row],[Member Months]],0)</f>
        <v>0</v>
      </c>
      <c r="AC46" s="416">
        <f>IFERROR(AN_TME_BY[[#This Row],[Total Claims Excluded because of Truncation]]/AN_TME_BY[[#This Row],[Count of Members with Claims Truncated]], 0)</f>
        <v>0</v>
      </c>
      <c r="AD46" s="417">
        <f>IFERROR(AN_TME_BY[[#This Row],[Total Claims Excluded because of Truncation]]/AN_TME_BY[[#This Row],[TOTAL Non-Truncated Unadjusted Claims Expenses]], 0)</f>
        <v>0</v>
      </c>
    </row>
    <row r="47" spans="1:30" x14ac:dyDescent="0.25">
      <c r="A47" s="364"/>
      <c r="B47" s="365"/>
      <c r="C47" s="365"/>
      <c r="D47" s="366"/>
      <c r="E47" s="367"/>
      <c r="F47" s="367"/>
      <c r="G47" s="367"/>
      <c r="H47" s="367"/>
      <c r="I47" s="367"/>
      <c r="J47" s="367"/>
      <c r="K47" s="367"/>
      <c r="L47" s="367"/>
      <c r="M47" s="367"/>
      <c r="N47" s="367"/>
      <c r="O47" s="367"/>
      <c r="P47" s="367"/>
      <c r="Q47" s="367"/>
      <c r="R47" s="367"/>
      <c r="S47" s="367"/>
      <c r="T47" s="367"/>
      <c r="U47" s="368"/>
      <c r="V47" s="369">
        <f t="shared" si="2"/>
        <v>0</v>
      </c>
      <c r="W47" s="413">
        <f>AN_TME_BY[[#This Row],[TOTAL Non-Truncated Unadjusted Claims Expenses]]-AN_TME_BY[[#This Row],[Total Claims Excluded because of Truncation]]</f>
        <v>0</v>
      </c>
      <c r="X47" s="369">
        <f t="shared" si="3"/>
        <v>0</v>
      </c>
      <c r="Y47" s="413">
        <f>AN_TME_BY[[#This Row],[TOTAL Non-Truncated Unadjusted Claims Expenses]]+AN_TME_BY[[#This Row],[TOTAL Non-Claims Expenses]]</f>
        <v>0</v>
      </c>
      <c r="Z47" s="413">
        <f>AN_TME_BY[[#This Row],[TOTAL Truncated Unadjusted Claims Expenses (A21 -A19)]]+AN_TME_BY[[#This Row],[TOTAL Non-Claims Expenses]]</f>
        <v>0</v>
      </c>
      <c r="AA47" s="415">
        <f>IFERROR(AN_TME_BY[[#This Row],[TOTAL Non-Truncated Unadjusted Expenses (A21 + A23)]]/AN_TME_BY[[#This Row],[Member Months]],0)</f>
        <v>0</v>
      </c>
      <c r="AB47" s="415">
        <f>IFERROR(AN_TME_BY[[#This Row],[TOTAL Truncated Unadjusted Expenses (A22 + A23)]]/AN_TME_BY[[#This Row],[Member Months]],0)</f>
        <v>0</v>
      </c>
      <c r="AC47" s="415">
        <f>IFERROR(AN_TME_BY[[#This Row],[Total Claims Excluded because of Truncation]]/AN_TME_BY[[#This Row],[Count of Members with Claims Truncated]], 0)</f>
        <v>0</v>
      </c>
      <c r="AD47" s="417">
        <f>IFERROR(AN_TME_BY[[#This Row],[Total Claims Excluded because of Truncation]]/AN_TME_BY[[#This Row],[TOTAL Non-Truncated Unadjusted Claims Expenses]], 0)</f>
        <v>0</v>
      </c>
    </row>
    <row r="48" spans="1:30" x14ac:dyDescent="0.25">
      <c r="A48" s="370"/>
      <c r="B48" s="371"/>
      <c r="C48" s="371"/>
      <c r="D48" s="372"/>
      <c r="E48" s="373"/>
      <c r="F48" s="373"/>
      <c r="G48" s="373"/>
      <c r="H48" s="373"/>
      <c r="I48" s="373"/>
      <c r="J48" s="373"/>
      <c r="K48" s="373"/>
      <c r="L48" s="373"/>
      <c r="M48" s="373"/>
      <c r="N48" s="373"/>
      <c r="O48" s="373"/>
      <c r="P48" s="373"/>
      <c r="Q48" s="373"/>
      <c r="R48" s="373"/>
      <c r="S48" s="373"/>
      <c r="T48" s="373"/>
      <c r="U48" s="374"/>
      <c r="V48" s="375">
        <f t="shared" si="2"/>
        <v>0</v>
      </c>
      <c r="W48" s="375">
        <f>AN_TME_BY[[#This Row],[TOTAL Non-Truncated Unadjusted Claims Expenses]]-AN_TME_BY[[#This Row],[Total Claims Excluded because of Truncation]]</f>
        <v>0</v>
      </c>
      <c r="X48" s="375">
        <f t="shared" si="3"/>
        <v>0</v>
      </c>
      <c r="Y48" s="375">
        <f>AN_TME_BY[[#This Row],[TOTAL Non-Truncated Unadjusted Claims Expenses]]+AN_TME_BY[[#This Row],[TOTAL Non-Claims Expenses]]</f>
        <v>0</v>
      </c>
      <c r="Z48" s="375">
        <f>AN_TME_BY[[#This Row],[TOTAL Truncated Unadjusted Claims Expenses (A21 -A19)]]+AN_TME_BY[[#This Row],[TOTAL Non-Claims Expenses]]</f>
        <v>0</v>
      </c>
      <c r="AA48" s="416">
        <f>IFERROR(AN_TME_BY[[#This Row],[TOTAL Non-Truncated Unadjusted Expenses (A21 + A23)]]/AN_TME_BY[[#This Row],[Member Months]],0)</f>
        <v>0</v>
      </c>
      <c r="AB48" s="416">
        <f>IFERROR(AN_TME_BY[[#This Row],[TOTAL Truncated Unadjusted Expenses (A22 + A23)]]/AN_TME_BY[[#This Row],[Member Months]],0)</f>
        <v>0</v>
      </c>
      <c r="AC48" s="416">
        <f>IFERROR(AN_TME_BY[[#This Row],[Total Claims Excluded because of Truncation]]/AN_TME_BY[[#This Row],[Count of Members with Claims Truncated]], 0)</f>
        <v>0</v>
      </c>
      <c r="AD48" s="417">
        <f>IFERROR(AN_TME_BY[[#This Row],[Total Claims Excluded because of Truncation]]/AN_TME_BY[[#This Row],[TOTAL Non-Truncated Unadjusted Claims Expenses]], 0)</f>
        <v>0</v>
      </c>
    </row>
    <row r="49" spans="1:30" x14ac:dyDescent="0.25">
      <c r="A49" s="364"/>
      <c r="B49" s="365"/>
      <c r="C49" s="365"/>
      <c r="D49" s="366"/>
      <c r="E49" s="367"/>
      <c r="F49" s="367"/>
      <c r="G49" s="367"/>
      <c r="H49" s="367"/>
      <c r="I49" s="367"/>
      <c r="J49" s="367"/>
      <c r="K49" s="367"/>
      <c r="L49" s="367"/>
      <c r="M49" s="367"/>
      <c r="N49" s="367"/>
      <c r="O49" s="367"/>
      <c r="P49" s="367"/>
      <c r="Q49" s="367"/>
      <c r="R49" s="367"/>
      <c r="S49" s="367"/>
      <c r="T49" s="367"/>
      <c r="U49" s="368"/>
      <c r="V49" s="369">
        <f t="shared" si="2"/>
        <v>0</v>
      </c>
      <c r="W49" s="413">
        <f>AN_TME_BY[[#This Row],[TOTAL Non-Truncated Unadjusted Claims Expenses]]-AN_TME_BY[[#This Row],[Total Claims Excluded because of Truncation]]</f>
        <v>0</v>
      </c>
      <c r="X49" s="369">
        <f t="shared" si="3"/>
        <v>0</v>
      </c>
      <c r="Y49" s="413">
        <f>AN_TME_BY[[#This Row],[TOTAL Non-Truncated Unadjusted Claims Expenses]]+AN_TME_BY[[#This Row],[TOTAL Non-Claims Expenses]]</f>
        <v>0</v>
      </c>
      <c r="Z49" s="413">
        <f>AN_TME_BY[[#This Row],[TOTAL Truncated Unadjusted Claims Expenses (A21 -A19)]]+AN_TME_BY[[#This Row],[TOTAL Non-Claims Expenses]]</f>
        <v>0</v>
      </c>
      <c r="AA49" s="415">
        <f>IFERROR(AN_TME_BY[[#This Row],[TOTAL Non-Truncated Unadjusted Expenses (A21 + A23)]]/AN_TME_BY[[#This Row],[Member Months]],0)</f>
        <v>0</v>
      </c>
      <c r="AB49" s="415">
        <f>IFERROR(AN_TME_BY[[#This Row],[TOTAL Truncated Unadjusted Expenses (A22 + A23)]]/AN_TME_BY[[#This Row],[Member Months]],0)</f>
        <v>0</v>
      </c>
      <c r="AC49" s="415">
        <f>IFERROR(AN_TME_BY[[#This Row],[Total Claims Excluded because of Truncation]]/AN_TME_BY[[#This Row],[Count of Members with Claims Truncated]], 0)</f>
        <v>0</v>
      </c>
      <c r="AD49" s="417">
        <f>IFERROR(AN_TME_BY[[#This Row],[Total Claims Excluded because of Truncation]]/AN_TME_BY[[#This Row],[TOTAL Non-Truncated Unadjusted Claims Expenses]], 0)</f>
        <v>0</v>
      </c>
    </row>
    <row r="50" spans="1:30" x14ac:dyDescent="0.25">
      <c r="A50" s="370"/>
      <c r="B50" s="371"/>
      <c r="C50" s="371"/>
      <c r="D50" s="372"/>
      <c r="E50" s="373"/>
      <c r="F50" s="373"/>
      <c r="G50" s="373"/>
      <c r="H50" s="373"/>
      <c r="I50" s="373"/>
      <c r="J50" s="373"/>
      <c r="K50" s="373"/>
      <c r="L50" s="373"/>
      <c r="M50" s="373"/>
      <c r="N50" s="373"/>
      <c r="O50" s="373"/>
      <c r="P50" s="373"/>
      <c r="Q50" s="373"/>
      <c r="R50" s="373"/>
      <c r="S50" s="373"/>
      <c r="T50" s="373"/>
      <c r="U50" s="374"/>
      <c r="V50" s="375">
        <f t="shared" si="2"/>
        <v>0</v>
      </c>
      <c r="W50" s="375">
        <f>AN_TME_BY[[#This Row],[TOTAL Non-Truncated Unadjusted Claims Expenses]]-AN_TME_BY[[#This Row],[Total Claims Excluded because of Truncation]]</f>
        <v>0</v>
      </c>
      <c r="X50" s="375">
        <f t="shared" si="3"/>
        <v>0</v>
      </c>
      <c r="Y50" s="375">
        <f>AN_TME_BY[[#This Row],[TOTAL Non-Truncated Unadjusted Claims Expenses]]+AN_TME_BY[[#This Row],[TOTAL Non-Claims Expenses]]</f>
        <v>0</v>
      </c>
      <c r="Z50" s="375">
        <f>AN_TME_BY[[#This Row],[TOTAL Truncated Unadjusted Claims Expenses (A21 -A19)]]+AN_TME_BY[[#This Row],[TOTAL Non-Claims Expenses]]</f>
        <v>0</v>
      </c>
      <c r="AA50" s="416">
        <f>IFERROR(AN_TME_BY[[#This Row],[TOTAL Non-Truncated Unadjusted Expenses (A21 + A23)]]/AN_TME_BY[[#This Row],[Member Months]],0)</f>
        <v>0</v>
      </c>
      <c r="AB50" s="416">
        <f>IFERROR(AN_TME_BY[[#This Row],[TOTAL Truncated Unadjusted Expenses (A22 + A23)]]/AN_TME_BY[[#This Row],[Member Months]],0)</f>
        <v>0</v>
      </c>
      <c r="AC50" s="416">
        <f>IFERROR(AN_TME_BY[[#This Row],[Total Claims Excluded because of Truncation]]/AN_TME_BY[[#This Row],[Count of Members with Claims Truncated]], 0)</f>
        <v>0</v>
      </c>
      <c r="AD50" s="417">
        <f>IFERROR(AN_TME_BY[[#This Row],[Total Claims Excluded because of Truncation]]/AN_TME_BY[[#This Row],[TOTAL Non-Truncated Unadjusted Claims Expenses]], 0)</f>
        <v>0</v>
      </c>
    </row>
    <row r="51" spans="1:30" x14ac:dyDescent="0.25">
      <c r="A51" s="364"/>
      <c r="B51" s="365"/>
      <c r="C51" s="365"/>
      <c r="D51" s="366"/>
      <c r="E51" s="367"/>
      <c r="F51" s="367"/>
      <c r="G51" s="367"/>
      <c r="H51" s="367"/>
      <c r="I51" s="367"/>
      <c r="J51" s="367"/>
      <c r="K51" s="367"/>
      <c r="L51" s="367"/>
      <c r="M51" s="367"/>
      <c r="N51" s="367"/>
      <c r="O51" s="367"/>
      <c r="P51" s="367"/>
      <c r="Q51" s="367"/>
      <c r="R51" s="367"/>
      <c r="S51" s="367"/>
      <c r="T51" s="367"/>
      <c r="U51" s="368"/>
      <c r="V51" s="369">
        <f t="shared" si="2"/>
        <v>0</v>
      </c>
      <c r="W51" s="413">
        <f>AN_TME_BY[[#This Row],[TOTAL Non-Truncated Unadjusted Claims Expenses]]-AN_TME_BY[[#This Row],[Total Claims Excluded because of Truncation]]</f>
        <v>0</v>
      </c>
      <c r="X51" s="369">
        <f t="shared" si="3"/>
        <v>0</v>
      </c>
      <c r="Y51" s="413">
        <f>AN_TME_BY[[#This Row],[TOTAL Non-Truncated Unadjusted Claims Expenses]]+AN_TME_BY[[#This Row],[TOTAL Non-Claims Expenses]]</f>
        <v>0</v>
      </c>
      <c r="Z51" s="413">
        <f>AN_TME_BY[[#This Row],[TOTAL Truncated Unadjusted Claims Expenses (A21 -A19)]]+AN_TME_BY[[#This Row],[TOTAL Non-Claims Expenses]]</f>
        <v>0</v>
      </c>
      <c r="AA51" s="415">
        <f>IFERROR(AN_TME_BY[[#This Row],[TOTAL Non-Truncated Unadjusted Expenses (A21 + A23)]]/AN_TME_BY[[#This Row],[Member Months]],0)</f>
        <v>0</v>
      </c>
      <c r="AB51" s="415">
        <f>IFERROR(AN_TME_BY[[#This Row],[TOTAL Truncated Unadjusted Expenses (A22 + A23)]]/AN_TME_BY[[#This Row],[Member Months]],0)</f>
        <v>0</v>
      </c>
      <c r="AC51" s="415">
        <f>IFERROR(AN_TME_BY[[#This Row],[Total Claims Excluded because of Truncation]]/AN_TME_BY[[#This Row],[Count of Members with Claims Truncated]], 0)</f>
        <v>0</v>
      </c>
      <c r="AD51" s="417">
        <f>IFERROR(AN_TME_BY[[#This Row],[Total Claims Excluded because of Truncation]]/AN_TME_BY[[#This Row],[TOTAL Non-Truncated Unadjusted Claims Expenses]], 0)</f>
        <v>0</v>
      </c>
    </row>
    <row r="52" spans="1:30" x14ac:dyDescent="0.25">
      <c r="A52" s="370"/>
      <c r="B52" s="371"/>
      <c r="C52" s="371"/>
      <c r="D52" s="372"/>
      <c r="E52" s="373"/>
      <c r="F52" s="373"/>
      <c r="G52" s="373"/>
      <c r="H52" s="373"/>
      <c r="I52" s="373"/>
      <c r="J52" s="373"/>
      <c r="K52" s="373"/>
      <c r="L52" s="373"/>
      <c r="M52" s="373"/>
      <c r="N52" s="373"/>
      <c r="O52" s="373"/>
      <c r="P52" s="373"/>
      <c r="Q52" s="373"/>
      <c r="R52" s="373"/>
      <c r="S52" s="373"/>
      <c r="T52" s="373"/>
      <c r="U52" s="374"/>
      <c r="V52" s="375">
        <f t="shared" si="2"/>
        <v>0</v>
      </c>
      <c r="W52" s="375">
        <f>AN_TME_BY[[#This Row],[TOTAL Non-Truncated Unadjusted Claims Expenses]]-AN_TME_BY[[#This Row],[Total Claims Excluded because of Truncation]]</f>
        <v>0</v>
      </c>
      <c r="X52" s="375">
        <f t="shared" si="3"/>
        <v>0</v>
      </c>
      <c r="Y52" s="375">
        <f>AN_TME_BY[[#This Row],[TOTAL Non-Truncated Unadjusted Claims Expenses]]+AN_TME_BY[[#This Row],[TOTAL Non-Claims Expenses]]</f>
        <v>0</v>
      </c>
      <c r="Z52" s="375">
        <f>AN_TME_BY[[#This Row],[TOTAL Truncated Unadjusted Claims Expenses (A21 -A19)]]+AN_TME_BY[[#This Row],[TOTAL Non-Claims Expenses]]</f>
        <v>0</v>
      </c>
      <c r="AA52" s="416">
        <f>IFERROR(AN_TME_BY[[#This Row],[TOTAL Non-Truncated Unadjusted Expenses (A21 + A23)]]/AN_TME_BY[[#This Row],[Member Months]],0)</f>
        <v>0</v>
      </c>
      <c r="AB52" s="416">
        <f>IFERROR(AN_TME_BY[[#This Row],[TOTAL Truncated Unadjusted Expenses (A22 + A23)]]/AN_TME_BY[[#This Row],[Member Months]],0)</f>
        <v>0</v>
      </c>
      <c r="AC52" s="416">
        <f>IFERROR(AN_TME_BY[[#This Row],[Total Claims Excluded because of Truncation]]/AN_TME_BY[[#This Row],[Count of Members with Claims Truncated]], 0)</f>
        <v>0</v>
      </c>
      <c r="AD52" s="417">
        <f>IFERROR(AN_TME_BY[[#This Row],[Total Claims Excluded because of Truncation]]/AN_TME_BY[[#This Row],[TOTAL Non-Truncated Unadjusted Claims Expenses]], 0)</f>
        <v>0</v>
      </c>
    </row>
    <row r="53" spans="1:30" x14ac:dyDescent="0.25">
      <c r="A53" s="364"/>
      <c r="B53" s="365"/>
      <c r="C53" s="365"/>
      <c r="D53" s="366"/>
      <c r="E53" s="367"/>
      <c r="F53" s="367"/>
      <c r="G53" s="367"/>
      <c r="H53" s="367"/>
      <c r="I53" s="367"/>
      <c r="J53" s="367"/>
      <c r="K53" s="367"/>
      <c r="L53" s="367"/>
      <c r="M53" s="367"/>
      <c r="N53" s="367"/>
      <c r="O53" s="367"/>
      <c r="P53" s="367"/>
      <c r="Q53" s="367"/>
      <c r="R53" s="367"/>
      <c r="S53" s="367"/>
      <c r="T53" s="367"/>
      <c r="U53" s="368"/>
      <c r="V53" s="369">
        <f t="shared" si="2"/>
        <v>0</v>
      </c>
      <c r="W53" s="413">
        <f>AN_TME_BY[[#This Row],[TOTAL Non-Truncated Unadjusted Claims Expenses]]-AN_TME_BY[[#This Row],[Total Claims Excluded because of Truncation]]</f>
        <v>0</v>
      </c>
      <c r="X53" s="369">
        <f t="shared" si="3"/>
        <v>0</v>
      </c>
      <c r="Y53" s="413">
        <f>AN_TME_BY[[#This Row],[TOTAL Non-Truncated Unadjusted Claims Expenses]]+AN_TME_BY[[#This Row],[TOTAL Non-Claims Expenses]]</f>
        <v>0</v>
      </c>
      <c r="Z53" s="413">
        <f>AN_TME_BY[[#This Row],[TOTAL Truncated Unadjusted Claims Expenses (A21 -A19)]]+AN_TME_BY[[#This Row],[TOTAL Non-Claims Expenses]]</f>
        <v>0</v>
      </c>
      <c r="AA53" s="415">
        <f>IFERROR(AN_TME_BY[[#This Row],[TOTAL Non-Truncated Unadjusted Expenses (A21 + A23)]]/AN_TME_BY[[#This Row],[Member Months]],0)</f>
        <v>0</v>
      </c>
      <c r="AB53" s="415">
        <f>IFERROR(AN_TME_BY[[#This Row],[TOTAL Truncated Unadjusted Expenses (A22 + A23)]]/AN_TME_BY[[#This Row],[Member Months]],0)</f>
        <v>0</v>
      </c>
      <c r="AC53" s="415">
        <f>IFERROR(AN_TME_BY[[#This Row],[Total Claims Excluded because of Truncation]]/AN_TME_BY[[#This Row],[Count of Members with Claims Truncated]], 0)</f>
        <v>0</v>
      </c>
      <c r="AD53" s="417">
        <f>IFERROR(AN_TME_BY[[#This Row],[Total Claims Excluded because of Truncation]]/AN_TME_BY[[#This Row],[TOTAL Non-Truncated Unadjusted Claims Expenses]], 0)</f>
        <v>0</v>
      </c>
    </row>
    <row r="54" spans="1:30" x14ac:dyDescent="0.25">
      <c r="A54" s="370"/>
      <c r="B54" s="371"/>
      <c r="C54" s="371"/>
      <c r="D54" s="372"/>
      <c r="E54" s="373"/>
      <c r="F54" s="373"/>
      <c r="G54" s="373"/>
      <c r="H54" s="373"/>
      <c r="I54" s="373"/>
      <c r="J54" s="373"/>
      <c r="K54" s="373"/>
      <c r="L54" s="373"/>
      <c r="M54" s="373"/>
      <c r="N54" s="373"/>
      <c r="O54" s="373"/>
      <c r="P54" s="373"/>
      <c r="Q54" s="373"/>
      <c r="R54" s="373"/>
      <c r="S54" s="373"/>
      <c r="T54" s="373"/>
      <c r="U54" s="374"/>
      <c r="V54" s="375">
        <f t="shared" si="2"/>
        <v>0</v>
      </c>
      <c r="W54" s="375">
        <f>AN_TME_BY[[#This Row],[TOTAL Non-Truncated Unadjusted Claims Expenses]]-AN_TME_BY[[#This Row],[Total Claims Excluded because of Truncation]]</f>
        <v>0</v>
      </c>
      <c r="X54" s="375">
        <f t="shared" si="3"/>
        <v>0</v>
      </c>
      <c r="Y54" s="375">
        <f>AN_TME_BY[[#This Row],[TOTAL Non-Truncated Unadjusted Claims Expenses]]+AN_TME_BY[[#This Row],[TOTAL Non-Claims Expenses]]</f>
        <v>0</v>
      </c>
      <c r="Z54" s="375">
        <f>AN_TME_BY[[#This Row],[TOTAL Truncated Unadjusted Claims Expenses (A21 -A19)]]+AN_TME_BY[[#This Row],[TOTAL Non-Claims Expenses]]</f>
        <v>0</v>
      </c>
      <c r="AA54" s="416">
        <f>IFERROR(AN_TME_BY[[#This Row],[TOTAL Non-Truncated Unadjusted Expenses (A21 + A23)]]/AN_TME_BY[[#This Row],[Member Months]],0)</f>
        <v>0</v>
      </c>
      <c r="AB54" s="416">
        <f>IFERROR(AN_TME_BY[[#This Row],[TOTAL Truncated Unadjusted Expenses (A22 + A23)]]/AN_TME_BY[[#This Row],[Member Months]],0)</f>
        <v>0</v>
      </c>
      <c r="AC54" s="416">
        <f>IFERROR(AN_TME_BY[[#This Row],[Total Claims Excluded because of Truncation]]/AN_TME_BY[[#This Row],[Count of Members with Claims Truncated]], 0)</f>
        <v>0</v>
      </c>
      <c r="AD54" s="417">
        <f>IFERROR(AN_TME_BY[[#This Row],[Total Claims Excluded because of Truncation]]/AN_TME_BY[[#This Row],[TOTAL Non-Truncated Unadjusted Claims Expenses]], 0)</f>
        <v>0</v>
      </c>
    </row>
    <row r="55" spans="1:30" x14ac:dyDescent="0.25">
      <c r="A55" s="364"/>
      <c r="B55" s="365"/>
      <c r="C55" s="365"/>
      <c r="D55" s="366"/>
      <c r="E55" s="367"/>
      <c r="F55" s="367"/>
      <c r="G55" s="367"/>
      <c r="H55" s="367"/>
      <c r="I55" s="367"/>
      <c r="J55" s="367"/>
      <c r="K55" s="367"/>
      <c r="L55" s="367"/>
      <c r="M55" s="367"/>
      <c r="N55" s="367"/>
      <c r="O55" s="367"/>
      <c r="P55" s="367"/>
      <c r="Q55" s="367"/>
      <c r="R55" s="367"/>
      <c r="S55" s="367"/>
      <c r="T55" s="367"/>
      <c r="U55" s="368"/>
      <c r="V55" s="369">
        <f t="shared" si="2"/>
        <v>0</v>
      </c>
      <c r="W55" s="413">
        <f>AN_TME_BY[[#This Row],[TOTAL Non-Truncated Unadjusted Claims Expenses]]-AN_TME_BY[[#This Row],[Total Claims Excluded because of Truncation]]</f>
        <v>0</v>
      </c>
      <c r="X55" s="369">
        <f t="shared" si="3"/>
        <v>0</v>
      </c>
      <c r="Y55" s="413">
        <f>AN_TME_BY[[#This Row],[TOTAL Non-Truncated Unadjusted Claims Expenses]]+AN_TME_BY[[#This Row],[TOTAL Non-Claims Expenses]]</f>
        <v>0</v>
      </c>
      <c r="Z55" s="413">
        <f>AN_TME_BY[[#This Row],[TOTAL Truncated Unadjusted Claims Expenses (A21 -A19)]]+AN_TME_BY[[#This Row],[TOTAL Non-Claims Expenses]]</f>
        <v>0</v>
      </c>
      <c r="AA55" s="415">
        <f>IFERROR(AN_TME_BY[[#This Row],[TOTAL Non-Truncated Unadjusted Expenses (A21 + A23)]]/AN_TME_BY[[#This Row],[Member Months]],0)</f>
        <v>0</v>
      </c>
      <c r="AB55" s="415">
        <f>IFERROR(AN_TME_BY[[#This Row],[TOTAL Truncated Unadjusted Expenses (A22 + A23)]]/AN_TME_BY[[#This Row],[Member Months]],0)</f>
        <v>0</v>
      </c>
      <c r="AC55" s="415">
        <f>IFERROR(AN_TME_BY[[#This Row],[Total Claims Excluded because of Truncation]]/AN_TME_BY[[#This Row],[Count of Members with Claims Truncated]], 0)</f>
        <v>0</v>
      </c>
      <c r="AD55" s="417">
        <f>IFERROR(AN_TME_BY[[#This Row],[Total Claims Excluded because of Truncation]]/AN_TME_BY[[#This Row],[TOTAL Non-Truncated Unadjusted Claims Expenses]], 0)</f>
        <v>0</v>
      </c>
    </row>
    <row r="56" spans="1:30" x14ac:dyDescent="0.25">
      <c r="A56" s="370"/>
      <c r="B56" s="371"/>
      <c r="C56" s="371"/>
      <c r="D56" s="372"/>
      <c r="E56" s="373"/>
      <c r="F56" s="373"/>
      <c r="G56" s="373"/>
      <c r="H56" s="373"/>
      <c r="I56" s="373"/>
      <c r="J56" s="373"/>
      <c r="K56" s="373"/>
      <c r="L56" s="373"/>
      <c r="M56" s="373"/>
      <c r="N56" s="373"/>
      <c r="O56" s="373"/>
      <c r="P56" s="373"/>
      <c r="Q56" s="373"/>
      <c r="R56" s="373"/>
      <c r="S56" s="373"/>
      <c r="T56" s="373"/>
      <c r="U56" s="374"/>
      <c r="V56" s="375">
        <f t="shared" si="2"/>
        <v>0</v>
      </c>
      <c r="W56" s="375">
        <f>AN_TME_BY[[#This Row],[TOTAL Non-Truncated Unadjusted Claims Expenses]]-AN_TME_BY[[#This Row],[Total Claims Excluded because of Truncation]]</f>
        <v>0</v>
      </c>
      <c r="X56" s="375">
        <f t="shared" si="3"/>
        <v>0</v>
      </c>
      <c r="Y56" s="375">
        <f>AN_TME_BY[[#This Row],[TOTAL Non-Truncated Unadjusted Claims Expenses]]+AN_TME_BY[[#This Row],[TOTAL Non-Claims Expenses]]</f>
        <v>0</v>
      </c>
      <c r="Z56" s="375">
        <f>AN_TME_BY[[#This Row],[TOTAL Truncated Unadjusted Claims Expenses (A21 -A19)]]+AN_TME_BY[[#This Row],[TOTAL Non-Claims Expenses]]</f>
        <v>0</v>
      </c>
      <c r="AA56" s="416">
        <f>IFERROR(AN_TME_BY[[#This Row],[TOTAL Non-Truncated Unadjusted Expenses (A21 + A23)]]/AN_TME_BY[[#This Row],[Member Months]],0)</f>
        <v>0</v>
      </c>
      <c r="AB56" s="416">
        <f>IFERROR(AN_TME_BY[[#This Row],[TOTAL Truncated Unadjusted Expenses (A22 + A23)]]/AN_TME_BY[[#This Row],[Member Months]],0)</f>
        <v>0</v>
      </c>
      <c r="AC56" s="416">
        <f>IFERROR(AN_TME_BY[[#This Row],[Total Claims Excluded because of Truncation]]/AN_TME_BY[[#This Row],[Count of Members with Claims Truncated]], 0)</f>
        <v>0</v>
      </c>
      <c r="AD56" s="417">
        <f>IFERROR(AN_TME_BY[[#This Row],[Total Claims Excluded because of Truncation]]/AN_TME_BY[[#This Row],[TOTAL Non-Truncated Unadjusted Claims Expenses]], 0)</f>
        <v>0</v>
      </c>
    </row>
    <row r="57" spans="1:30" x14ac:dyDescent="0.25">
      <c r="A57" s="364"/>
      <c r="B57" s="365"/>
      <c r="C57" s="365"/>
      <c r="D57" s="366"/>
      <c r="E57" s="367"/>
      <c r="F57" s="367"/>
      <c r="G57" s="367"/>
      <c r="H57" s="367"/>
      <c r="I57" s="367"/>
      <c r="J57" s="367"/>
      <c r="K57" s="367"/>
      <c r="L57" s="367"/>
      <c r="M57" s="367"/>
      <c r="N57" s="367"/>
      <c r="O57" s="367"/>
      <c r="P57" s="367"/>
      <c r="Q57" s="367"/>
      <c r="R57" s="367"/>
      <c r="S57" s="367"/>
      <c r="T57" s="367"/>
      <c r="U57" s="368"/>
      <c r="V57" s="369">
        <f t="shared" si="2"/>
        <v>0</v>
      </c>
      <c r="W57" s="413">
        <f>AN_TME_BY[[#This Row],[TOTAL Non-Truncated Unadjusted Claims Expenses]]-AN_TME_BY[[#This Row],[Total Claims Excluded because of Truncation]]</f>
        <v>0</v>
      </c>
      <c r="X57" s="369">
        <f t="shared" si="3"/>
        <v>0</v>
      </c>
      <c r="Y57" s="413">
        <f>AN_TME_BY[[#This Row],[TOTAL Non-Truncated Unadjusted Claims Expenses]]+AN_TME_BY[[#This Row],[TOTAL Non-Claims Expenses]]</f>
        <v>0</v>
      </c>
      <c r="Z57" s="413">
        <f>AN_TME_BY[[#This Row],[TOTAL Truncated Unadjusted Claims Expenses (A21 -A19)]]+AN_TME_BY[[#This Row],[TOTAL Non-Claims Expenses]]</f>
        <v>0</v>
      </c>
      <c r="AA57" s="415">
        <f>IFERROR(AN_TME_BY[[#This Row],[TOTAL Non-Truncated Unadjusted Expenses (A21 + A23)]]/AN_TME_BY[[#This Row],[Member Months]],0)</f>
        <v>0</v>
      </c>
      <c r="AB57" s="415">
        <f>IFERROR(AN_TME_BY[[#This Row],[TOTAL Truncated Unadjusted Expenses (A22 + A23)]]/AN_TME_BY[[#This Row],[Member Months]],0)</f>
        <v>0</v>
      </c>
      <c r="AC57" s="415">
        <f>IFERROR(AN_TME_BY[[#This Row],[Total Claims Excluded because of Truncation]]/AN_TME_BY[[#This Row],[Count of Members with Claims Truncated]], 0)</f>
        <v>0</v>
      </c>
      <c r="AD57" s="417">
        <f>IFERROR(AN_TME_BY[[#This Row],[Total Claims Excluded because of Truncation]]/AN_TME_BY[[#This Row],[TOTAL Non-Truncated Unadjusted Claims Expenses]], 0)</f>
        <v>0</v>
      </c>
    </row>
    <row r="58" spans="1:30" x14ac:dyDescent="0.25">
      <c r="A58" s="370"/>
      <c r="B58" s="371"/>
      <c r="C58" s="371"/>
      <c r="D58" s="372"/>
      <c r="E58" s="373"/>
      <c r="F58" s="373"/>
      <c r="G58" s="373"/>
      <c r="H58" s="373"/>
      <c r="I58" s="373"/>
      <c r="J58" s="373"/>
      <c r="K58" s="373"/>
      <c r="L58" s="373"/>
      <c r="M58" s="373"/>
      <c r="N58" s="373"/>
      <c r="O58" s="373"/>
      <c r="P58" s="373"/>
      <c r="Q58" s="373"/>
      <c r="R58" s="373"/>
      <c r="S58" s="373"/>
      <c r="T58" s="373"/>
      <c r="U58" s="374"/>
      <c r="V58" s="375">
        <f t="shared" si="2"/>
        <v>0</v>
      </c>
      <c r="W58" s="375">
        <f>AN_TME_BY[[#This Row],[TOTAL Non-Truncated Unadjusted Claims Expenses]]-AN_TME_BY[[#This Row],[Total Claims Excluded because of Truncation]]</f>
        <v>0</v>
      </c>
      <c r="X58" s="375">
        <f t="shared" si="3"/>
        <v>0</v>
      </c>
      <c r="Y58" s="375">
        <f>AN_TME_BY[[#This Row],[TOTAL Non-Truncated Unadjusted Claims Expenses]]+AN_TME_BY[[#This Row],[TOTAL Non-Claims Expenses]]</f>
        <v>0</v>
      </c>
      <c r="Z58" s="375">
        <f>AN_TME_BY[[#This Row],[TOTAL Truncated Unadjusted Claims Expenses (A21 -A19)]]+AN_TME_BY[[#This Row],[TOTAL Non-Claims Expenses]]</f>
        <v>0</v>
      </c>
      <c r="AA58" s="416">
        <f>IFERROR(AN_TME_BY[[#This Row],[TOTAL Non-Truncated Unadjusted Expenses (A21 + A23)]]/AN_TME_BY[[#This Row],[Member Months]],0)</f>
        <v>0</v>
      </c>
      <c r="AB58" s="416">
        <f>IFERROR(AN_TME_BY[[#This Row],[TOTAL Truncated Unadjusted Expenses (A22 + A23)]]/AN_TME_BY[[#This Row],[Member Months]],0)</f>
        <v>0</v>
      </c>
      <c r="AC58" s="416">
        <f>IFERROR(AN_TME_BY[[#This Row],[Total Claims Excluded because of Truncation]]/AN_TME_BY[[#This Row],[Count of Members with Claims Truncated]], 0)</f>
        <v>0</v>
      </c>
      <c r="AD58" s="417">
        <f>IFERROR(AN_TME_BY[[#This Row],[Total Claims Excluded because of Truncation]]/AN_TME_BY[[#This Row],[TOTAL Non-Truncated Unadjusted Claims Expenses]], 0)</f>
        <v>0</v>
      </c>
    </row>
    <row r="59" spans="1:30" x14ac:dyDescent="0.25">
      <c r="A59" s="364"/>
      <c r="B59" s="365"/>
      <c r="C59" s="365"/>
      <c r="D59" s="366"/>
      <c r="E59" s="367"/>
      <c r="F59" s="367"/>
      <c r="G59" s="367"/>
      <c r="H59" s="367"/>
      <c r="I59" s="367"/>
      <c r="J59" s="367"/>
      <c r="K59" s="367"/>
      <c r="L59" s="367"/>
      <c r="M59" s="367"/>
      <c r="N59" s="367"/>
      <c r="O59" s="367"/>
      <c r="P59" s="367"/>
      <c r="Q59" s="367"/>
      <c r="R59" s="367"/>
      <c r="S59" s="367"/>
      <c r="T59" s="367"/>
      <c r="U59" s="368"/>
      <c r="V59" s="369">
        <f t="shared" si="2"/>
        <v>0</v>
      </c>
      <c r="W59" s="413">
        <f>AN_TME_BY[[#This Row],[TOTAL Non-Truncated Unadjusted Claims Expenses]]-AN_TME_BY[[#This Row],[Total Claims Excluded because of Truncation]]</f>
        <v>0</v>
      </c>
      <c r="X59" s="369">
        <f t="shared" si="3"/>
        <v>0</v>
      </c>
      <c r="Y59" s="413">
        <f>AN_TME_BY[[#This Row],[TOTAL Non-Truncated Unadjusted Claims Expenses]]+AN_TME_BY[[#This Row],[TOTAL Non-Claims Expenses]]</f>
        <v>0</v>
      </c>
      <c r="Z59" s="413">
        <f>AN_TME_BY[[#This Row],[TOTAL Truncated Unadjusted Claims Expenses (A21 -A19)]]+AN_TME_BY[[#This Row],[TOTAL Non-Claims Expenses]]</f>
        <v>0</v>
      </c>
      <c r="AA59" s="415">
        <f>IFERROR(AN_TME_BY[[#This Row],[TOTAL Non-Truncated Unadjusted Expenses (A21 + A23)]]/AN_TME_BY[[#This Row],[Member Months]],0)</f>
        <v>0</v>
      </c>
      <c r="AB59" s="415">
        <f>IFERROR(AN_TME_BY[[#This Row],[TOTAL Truncated Unadjusted Expenses (A22 + A23)]]/AN_TME_BY[[#This Row],[Member Months]],0)</f>
        <v>0</v>
      </c>
      <c r="AC59" s="415">
        <f>IFERROR(AN_TME_BY[[#This Row],[Total Claims Excluded because of Truncation]]/AN_TME_BY[[#This Row],[Count of Members with Claims Truncated]], 0)</f>
        <v>0</v>
      </c>
      <c r="AD59" s="417">
        <f>IFERROR(AN_TME_BY[[#This Row],[Total Claims Excluded because of Truncation]]/AN_TME_BY[[#This Row],[TOTAL Non-Truncated Unadjusted Claims Expenses]], 0)</f>
        <v>0</v>
      </c>
    </row>
    <row r="60" spans="1:30" x14ac:dyDescent="0.25">
      <c r="A60" s="370"/>
      <c r="B60" s="371"/>
      <c r="C60" s="371"/>
      <c r="D60" s="372"/>
      <c r="E60" s="373"/>
      <c r="F60" s="373"/>
      <c r="G60" s="373"/>
      <c r="H60" s="373"/>
      <c r="I60" s="373"/>
      <c r="J60" s="373"/>
      <c r="K60" s="373"/>
      <c r="L60" s="373"/>
      <c r="M60" s="373"/>
      <c r="N60" s="373"/>
      <c r="O60" s="373"/>
      <c r="P60" s="373"/>
      <c r="Q60" s="373"/>
      <c r="R60" s="373"/>
      <c r="S60" s="373"/>
      <c r="T60" s="373"/>
      <c r="U60" s="374"/>
      <c r="V60" s="375">
        <f t="shared" si="2"/>
        <v>0</v>
      </c>
      <c r="W60" s="375">
        <f>AN_TME_BY[[#This Row],[TOTAL Non-Truncated Unadjusted Claims Expenses]]-AN_TME_BY[[#This Row],[Total Claims Excluded because of Truncation]]</f>
        <v>0</v>
      </c>
      <c r="X60" s="375">
        <f t="shared" si="3"/>
        <v>0</v>
      </c>
      <c r="Y60" s="375">
        <f>AN_TME_BY[[#This Row],[TOTAL Non-Truncated Unadjusted Claims Expenses]]+AN_TME_BY[[#This Row],[TOTAL Non-Claims Expenses]]</f>
        <v>0</v>
      </c>
      <c r="Z60" s="375">
        <f>AN_TME_BY[[#This Row],[TOTAL Truncated Unadjusted Claims Expenses (A21 -A19)]]+AN_TME_BY[[#This Row],[TOTAL Non-Claims Expenses]]</f>
        <v>0</v>
      </c>
      <c r="AA60" s="416">
        <f>IFERROR(AN_TME_BY[[#This Row],[TOTAL Non-Truncated Unadjusted Expenses (A21 + A23)]]/AN_TME_BY[[#This Row],[Member Months]],0)</f>
        <v>0</v>
      </c>
      <c r="AB60" s="416">
        <f>IFERROR(AN_TME_BY[[#This Row],[TOTAL Truncated Unadjusted Expenses (A22 + A23)]]/AN_TME_BY[[#This Row],[Member Months]],0)</f>
        <v>0</v>
      </c>
      <c r="AC60" s="416">
        <f>IFERROR(AN_TME_BY[[#This Row],[Total Claims Excluded because of Truncation]]/AN_TME_BY[[#This Row],[Count of Members with Claims Truncated]], 0)</f>
        <v>0</v>
      </c>
      <c r="AD60" s="417">
        <f>IFERROR(AN_TME_BY[[#This Row],[Total Claims Excluded because of Truncation]]/AN_TME_BY[[#This Row],[TOTAL Non-Truncated Unadjusted Claims Expenses]], 0)</f>
        <v>0</v>
      </c>
    </row>
    <row r="61" spans="1:30" x14ac:dyDescent="0.25">
      <c r="A61" s="364"/>
      <c r="B61" s="365"/>
      <c r="C61" s="365"/>
      <c r="D61" s="366"/>
      <c r="E61" s="367"/>
      <c r="F61" s="367"/>
      <c r="G61" s="367"/>
      <c r="H61" s="367"/>
      <c r="I61" s="367"/>
      <c r="J61" s="367"/>
      <c r="K61" s="367"/>
      <c r="L61" s="367"/>
      <c r="M61" s="367"/>
      <c r="N61" s="367"/>
      <c r="O61" s="367"/>
      <c r="P61" s="367"/>
      <c r="Q61" s="367"/>
      <c r="R61" s="367"/>
      <c r="S61" s="367"/>
      <c r="T61" s="367"/>
      <c r="U61" s="368"/>
      <c r="V61" s="369">
        <f t="shared" si="2"/>
        <v>0</v>
      </c>
      <c r="W61" s="413">
        <f>AN_TME_BY[[#This Row],[TOTAL Non-Truncated Unadjusted Claims Expenses]]-AN_TME_BY[[#This Row],[Total Claims Excluded because of Truncation]]</f>
        <v>0</v>
      </c>
      <c r="X61" s="369">
        <f t="shared" si="3"/>
        <v>0</v>
      </c>
      <c r="Y61" s="413">
        <f>AN_TME_BY[[#This Row],[TOTAL Non-Truncated Unadjusted Claims Expenses]]+AN_TME_BY[[#This Row],[TOTAL Non-Claims Expenses]]</f>
        <v>0</v>
      </c>
      <c r="Z61" s="413">
        <f>AN_TME_BY[[#This Row],[TOTAL Truncated Unadjusted Claims Expenses (A21 -A19)]]+AN_TME_BY[[#This Row],[TOTAL Non-Claims Expenses]]</f>
        <v>0</v>
      </c>
      <c r="AA61" s="415">
        <f>IFERROR(AN_TME_BY[[#This Row],[TOTAL Non-Truncated Unadjusted Expenses (A21 + A23)]]/AN_TME_BY[[#This Row],[Member Months]],0)</f>
        <v>0</v>
      </c>
      <c r="AB61" s="415">
        <f>IFERROR(AN_TME_BY[[#This Row],[TOTAL Truncated Unadjusted Expenses (A22 + A23)]]/AN_TME_BY[[#This Row],[Member Months]],0)</f>
        <v>0</v>
      </c>
      <c r="AC61" s="415">
        <f>IFERROR(AN_TME_BY[[#This Row],[Total Claims Excluded because of Truncation]]/AN_TME_BY[[#This Row],[Count of Members with Claims Truncated]], 0)</f>
        <v>0</v>
      </c>
      <c r="AD61" s="417">
        <f>IFERROR(AN_TME_BY[[#This Row],[Total Claims Excluded because of Truncation]]/AN_TME_BY[[#This Row],[TOTAL Non-Truncated Unadjusted Claims Expenses]], 0)</f>
        <v>0</v>
      </c>
    </row>
    <row r="62" spans="1:30" x14ac:dyDescent="0.25">
      <c r="A62" s="370"/>
      <c r="B62" s="371"/>
      <c r="C62" s="371"/>
      <c r="D62" s="372"/>
      <c r="E62" s="373"/>
      <c r="F62" s="373"/>
      <c r="G62" s="373"/>
      <c r="H62" s="373"/>
      <c r="I62" s="373"/>
      <c r="J62" s="373"/>
      <c r="K62" s="373"/>
      <c r="L62" s="373"/>
      <c r="M62" s="373"/>
      <c r="N62" s="373"/>
      <c r="O62" s="373"/>
      <c r="P62" s="373"/>
      <c r="Q62" s="373"/>
      <c r="R62" s="373"/>
      <c r="S62" s="373"/>
      <c r="T62" s="373"/>
      <c r="U62" s="374"/>
      <c r="V62" s="375">
        <f t="shared" si="2"/>
        <v>0</v>
      </c>
      <c r="W62" s="375">
        <f>AN_TME_BY[[#This Row],[TOTAL Non-Truncated Unadjusted Claims Expenses]]-AN_TME_BY[[#This Row],[Total Claims Excluded because of Truncation]]</f>
        <v>0</v>
      </c>
      <c r="X62" s="375">
        <f t="shared" si="3"/>
        <v>0</v>
      </c>
      <c r="Y62" s="375">
        <f>AN_TME_BY[[#This Row],[TOTAL Non-Truncated Unadjusted Claims Expenses]]+AN_TME_BY[[#This Row],[TOTAL Non-Claims Expenses]]</f>
        <v>0</v>
      </c>
      <c r="Z62" s="375">
        <f>AN_TME_BY[[#This Row],[TOTAL Truncated Unadjusted Claims Expenses (A21 -A19)]]+AN_TME_BY[[#This Row],[TOTAL Non-Claims Expenses]]</f>
        <v>0</v>
      </c>
      <c r="AA62" s="416">
        <f>IFERROR(AN_TME_BY[[#This Row],[TOTAL Non-Truncated Unadjusted Expenses (A21 + A23)]]/AN_TME_BY[[#This Row],[Member Months]],0)</f>
        <v>0</v>
      </c>
      <c r="AB62" s="416">
        <f>IFERROR(AN_TME_BY[[#This Row],[TOTAL Truncated Unadjusted Expenses (A22 + A23)]]/AN_TME_BY[[#This Row],[Member Months]],0)</f>
        <v>0</v>
      </c>
      <c r="AC62" s="416">
        <f>IFERROR(AN_TME_BY[[#This Row],[Total Claims Excluded because of Truncation]]/AN_TME_BY[[#This Row],[Count of Members with Claims Truncated]], 0)</f>
        <v>0</v>
      </c>
      <c r="AD62" s="417">
        <f>IFERROR(AN_TME_BY[[#This Row],[Total Claims Excluded because of Truncation]]/AN_TME_BY[[#This Row],[TOTAL Non-Truncated Unadjusted Claims Expenses]], 0)</f>
        <v>0</v>
      </c>
    </row>
    <row r="63" spans="1:30" x14ac:dyDescent="0.25">
      <c r="A63" s="364"/>
      <c r="B63" s="365"/>
      <c r="C63" s="365"/>
      <c r="D63" s="366"/>
      <c r="E63" s="367"/>
      <c r="F63" s="367"/>
      <c r="G63" s="367"/>
      <c r="H63" s="367"/>
      <c r="I63" s="367"/>
      <c r="J63" s="367"/>
      <c r="K63" s="367"/>
      <c r="L63" s="367"/>
      <c r="M63" s="367"/>
      <c r="N63" s="367"/>
      <c r="O63" s="367"/>
      <c r="P63" s="367"/>
      <c r="Q63" s="367"/>
      <c r="R63" s="367"/>
      <c r="S63" s="367"/>
      <c r="T63" s="367"/>
      <c r="U63" s="368"/>
      <c r="V63" s="369">
        <f t="shared" si="2"/>
        <v>0</v>
      </c>
      <c r="W63" s="413">
        <f>AN_TME_BY[[#This Row],[TOTAL Non-Truncated Unadjusted Claims Expenses]]-AN_TME_BY[[#This Row],[Total Claims Excluded because of Truncation]]</f>
        <v>0</v>
      </c>
      <c r="X63" s="369">
        <f t="shared" si="3"/>
        <v>0</v>
      </c>
      <c r="Y63" s="413">
        <f>AN_TME_BY[[#This Row],[TOTAL Non-Truncated Unadjusted Claims Expenses]]+AN_TME_BY[[#This Row],[TOTAL Non-Claims Expenses]]</f>
        <v>0</v>
      </c>
      <c r="Z63" s="413">
        <f>AN_TME_BY[[#This Row],[TOTAL Truncated Unadjusted Claims Expenses (A21 -A19)]]+AN_TME_BY[[#This Row],[TOTAL Non-Claims Expenses]]</f>
        <v>0</v>
      </c>
      <c r="AA63" s="415">
        <f>IFERROR(AN_TME_BY[[#This Row],[TOTAL Non-Truncated Unadjusted Expenses (A21 + A23)]]/AN_TME_BY[[#This Row],[Member Months]],0)</f>
        <v>0</v>
      </c>
      <c r="AB63" s="415">
        <f>IFERROR(AN_TME_BY[[#This Row],[TOTAL Truncated Unadjusted Expenses (A22 + A23)]]/AN_TME_BY[[#This Row],[Member Months]],0)</f>
        <v>0</v>
      </c>
      <c r="AC63" s="415">
        <f>IFERROR(AN_TME_BY[[#This Row],[Total Claims Excluded because of Truncation]]/AN_TME_BY[[#This Row],[Count of Members with Claims Truncated]], 0)</f>
        <v>0</v>
      </c>
      <c r="AD63" s="417">
        <f>IFERROR(AN_TME_BY[[#This Row],[Total Claims Excluded because of Truncation]]/AN_TME_BY[[#This Row],[TOTAL Non-Truncated Unadjusted Claims Expenses]], 0)</f>
        <v>0</v>
      </c>
    </row>
    <row r="64" spans="1:30" x14ac:dyDescent="0.25">
      <c r="A64" s="370"/>
      <c r="B64" s="371"/>
      <c r="C64" s="371"/>
      <c r="D64" s="372"/>
      <c r="E64" s="373"/>
      <c r="F64" s="373"/>
      <c r="G64" s="373"/>
      <c r="H64" s="373"/>
      <c r="I64" s="373"/>
      <c r="J64" s="373"/>
      <c r="K64" s="373"/>
      <c r="L64" s="373"/>
      <c r="M64" s="373"/>
      <c r="N64" s="373"/>
      <c r="O64" s="373"/>
      <c r="P64" s="373"/>
      <c r="Q64" s="373"/>
      <c r="R64" s="373"/>
      <c r="S64" s="373"/>
      <c r="T64" s="373"/>
      <c r="U64" s="374"/>
      <c r="V64" s="375">
        <f t="shared" si="2"/>
        <v>0</v>
      </c>
      <c r="W64" s="375">
        <f>AN_TME_BY[[#This Row],[TOTAL Non-Truncated Unadjusted Claims Expenses]]-AN_TME_BY[[#This Row],[Total Claims Excluded because of Truncation]]</f>
        <v>0</v>
      </c>
      <c r="X64" s="375">
        <f t="shared" si="3"/>
        <v>0</v>
      </c>
      <c r="Y64" s="375">
        <f>AN_TME_BY[[#This Row],[TOTAL Non-Truncated Unadjusted Claims Expenses]]+AN_TME_BY[[#This Row],[TOTAL Non-Claims Expenses]]</f>
        <v>0</v>
      </c>
      <c r="Z64" s="375">
        <f>AN_TME_BY[[#This Row],[TOTAL Truncated Unadjusted Claims Expenses (A21 -A19)]]+AN_TME_BY[[#This Row],[TOTAL Non-Claims Expenses]]</f>
        <v>0</v>
      </c>
      <c r="AA64" s="416">
        <f>IFERROR(AN_TME_BY[[#This Row],[TOTAL Non-Truncated Unadjusted Expenses (A21 + A23)]]/AN_TME_BY[[#This Row],[Member Months]],0)</f>
        <v>0</v>
      </c>
      <c r="AB64" s="416">
        <f>IFERROR(AN_TME_BY[[#This Row],[TOTAL Truncated Unadjusted Expenses (A22 + A23)]]/AN_TME_BY[[#This Row],[Member Months]],0)</f>
        <v>0</v>
      </c>
      <c r="AC64" s="416">
        <f>IFERROR(AN_TME_BY[[#This Row],[Total Claims Excluded because of Truncation]]/AN_TME_BY[[#This Row],[Count of Members with Claims Truncated]], 0)</f>
        <v>0</v>
      </c>
      <c r="AD64" s="417">
        <f>IFERROR(AN_TME_BY[[#This Row],[Total Claims Excluded because of Truncation]]/AN_TME_BY[[#This Row],[TOTAL Non-Truncated Unadjusted Claims Expenses]], 0)</f>
        <v>0</v>
      </c>
    </row>
    <row r="65" spans="1:30" x14ac:dyDescent="0.25">
      <c r="A65" s="364"/>
      <c r="B65" s="365"/>
      <c r="C65" s="365"/>
      <c r="D65" s="366"/>
      <c r="E65" s="367"/>
      <c r="F65" s="367"/>
      <c r="G65" s="367"/>
      <c r="H65" s="367"/>
      <c r="I65" s="367"/>
      <c r="J65" s="367"/>
      <c r="K65" s="367"/>
      <c r="L65" s="367"/>
      <c r="M65" s="367"/>
      <c r="N65" s="367"/>
      <c r="O65" s="367"/>
      <c r="P65" s="367"/>
      <c r="Q65" s="367"/>
      <c r="R65" s="367"/>
      <c r="S65" s="367"/>
      <c r="T65" s="367"/>
      <c r="U65" s="368"/>
      <c r="V65" s="369">
        <f t="shared" si="2"/>
        <v>0</v>
      </c>
      <c r="W65" s="413">
        <f>AN_TME_BY[[#This Row],[TOTAL Non-Truncated Unadjusted Claims Expenses]]-AN_TME_BY[[#This Row],[Total Claims Excluded because of Truncation]]</f>
        <v>0</v>
      </c>
      <c r="X65" s="369">
        <f t="shared" si="3"/>
        <v>0</v>
      </c>
      <c r="Y65" s="413">
        <f>AN_TME_BY[[#This Row],[TOTAL Non-Truncated Unadjusted Claims Expenses]]+AN_TME_BY[[#This Row],[TOTAL Non-Claims Expenses]]</f>
        <v>0</v>
      </c>
      <c r="Z65" s="413">
        <f>AN_TME_BY[[#This Row],[TOTAL Truncated Unadjusted Claims Expenses (A21 -A19)]]+AN_TME_BY[[#This Row],[TOTAL Non-Claims Expenses]]</f>
        <v>0</v>
      </c>
      <c r="AA65" s="415">
        <f>IFERROR(AN_TME_BY[[#This Row],[TOTAL Non-Truncated Unadjusted Expenses (A21 + A23)]]/AN_TME_BY[[#This Row],[Member Months]],0)</f>
        <v>0</v>
      </c>
      <c r="AB65" s="415">
        <f>IFERROR(AN_TME_BY[[#This Row],[TOTAL Truncated Unadjusted Expenses (A22 + A23)]]/AN_TME_BY[[#This Row],[Member Months]],0)</f>
        <v>0</v>
      </c>
      <c r="AC65" s="415">
        <f>IFERROR(AN_TME_BY[[#This Row],[Total Claims Excluded because of Truncation]]/AN_TME_BY[[#This Row],[Count of Members with Claims Truncated]], 0)</f>
        <v>0</v>
      </c>
      <c r="AD65" s="417">
        <f>IFERROR(AN_TME_BY[[#This Row],[Total Claims Excluded because of Truncation]]/AN_TME_BY[[#This Row],[TOTAL Non-Truncated Unadjusted Claims Expenses]], 0)</f>
        <v>0</v>
      </c>
    </row>
    <row r="66" spans="1:30" x14ac:dyDescent="0.25">
      <c r="A66" s="370"/>
      <c r="B66" s="371"/>
      <c r="C66" s="371"/>
      <c r="D66" s="372"/>
      <c r="E66" s="373"/>
      <c r="F66" s="373"/>
      <c r="G66" s="373"/>
      <c r="H66" s="373"/>
      <c r="I66" s="373"/>
      <c r="J66" s="373"/>
      <c r="K66" s="373"/>
      <c r="L66" s="373"/>
      <c r="M66" s="373"/>
      <c r="N66" s="373"/>
      <c r="O66" s="373"/>
      <c r="P66" s="373"/>
      <c r="Q66" s="373"/>
      <c r="R66" s="373"/>
      <c r="S66" s="373"/>
      <c r="T66" s="373"/>
      <c r="U66" s="374"/>
      <c r="V66" s="375">
        <f t="shared" si="2"/>
        <v>0</v>
      </c>
      <c r="W66" s="375">
        <f>AN_TME_BY[[#This Row],[TOTAL Non-Truncated Unadjusted Claims Expenses]]-AN_TME_BY[[#This Row],[Total Claims Excluded because of Truncation]]</f>
        <v>0</v>
      </c>
      <c r="X66" s="375">
        <f t="shared" si="3"/>
        <v>0</v>
      </c>
      <c r="Y66" s="375">
        <f>AN_TME_BY[[#This Row],[TOTAL Non-Truncated Unadjusted Claims Expenses]]+AN_TME_BY[[#This Row],[TOTAL Non-Claims Expenses]]</f>
        <v>0</v>
      </c>
      <c r="Z66" s="375">
        <f>AN_TME_BY[[#This Row],[TOTAL Truncated Unadjusted Claims Expenses (A21 -A19)]]+AN_TME_BY[[#This Row],[TOTAL Non-Claims Expenses]]</f>
        <v>0</v>
      </c>
      <c r="AA66" s="416">
        <f>IFERROR(AN_TME_BY[[#This Row],[TOTAL Non-Truncated Unadjusted Expenses (A21 + A23)]]/AN_TME_BY[[#This Row],[Member Months]],0)</f>
        <v>0</v>
      </c>
      <c r="AB66" s="416">
        <f>IFERROR(AN_TME_BY[[#This Row],[TOTAL Truncated Unadjusted Expenses (A22 + A23)]]/AN_TME_BY[[#This Row],[Member Months]],0)</f>
        <v>0</v>
      </c>
      <c r="AC66" s="416">
        <f>IFERROR(AN_TME_BY[[#This Row],[Total Claims Excluded because of Truncation]]/AN_TME_BY[[#This Row],[Count of Members with Claims Truncated]], 0)</f>
        <v>0</v>
      </c>
      <c r="AD66" s="417">
        <f>IFERROR(AN_TME_BY[[#This Row],[Total Claims Excluded because of Truncation]]/AN_TME_BY[[#This Row],[TOTAL Non-Truncated Unadjusted Claims Expenses]], 0)</f>
        <v>0</v>
      </c>
    </row>
    <row r="67" spans="1:30" x14ac:dyDescent="0.25">
      <c r="A67" s="364"/>
      <c r="B67" s="365"/>
      <c r="C67" s="365"/>
      <c r="D67" s="366"/>
      <c r="E67" s="367"/>
      <c r="F67" s="367"/>
      <c r="G67" s="367"/>
      <c r="H67" s="367"/>
      <c r="I67" s="367"/>
      <c r="J67" s="367"/>
      <c r="K67" s="367"/>
      <c r="L67" s="367"/>
      <c r="M67" s="367"/>
      <c r="N67" s="367"/>
      <c r="O67" s="367"/>
      <c r="P67" s="367"/>
      <c r="Q67" s="367"/>
      <c r="R67" s="367"/>
      <c r="S67" s="367"/>
      <c r="T67" s="367"/>
      <c r="U67" s="368"/>
      <c r="V67" s="369">
        <f t="shared" si="2"/>
        <v>0</v>
      </c>
      <c r="W67" s="413">
        <f>AN_TME_BY[[#This Row],[TOTAL Non-Truncated Unadjusted Claims Expenses]]-AN_TME_BY[[#This Row],[Total Claims Excluded because of Truncation]]</f>
        <v>0</v>
      </c>
      <c r="X67" s="369">
        <f t="shared" si="3"/>
        <v>0</v>
      </c>
      <c r="Y67" s="413">
        <f>AN_TME_BY[[#This Row],[TOTAL Non-Truncated Unadjusted Claims Expenses]]+AN_TME_BY[[#This Row],[TOTAL Non-Claims Expenses]]</f>
        <v>0</v>
      </c>
      <c r="Z67" s="413">
        <f>AN_TME_BY[[#This Row],[TOTAL Truncated Unadjusted Claims Expenses (A21 -A19)]]+AN_TME_BY[[#This Row],[TOTAL Non-Claims Expenses]]</f>
        <v>0</v>
      </c>
      <c r="AA67" s="415">
        <f>IFERROR(AN_TME_BY[[#This Row],[TOTAL Non-Truncated Unadjusted Expenses (A21 + A23)]]/AN_TME_BY[[#This Row],[Member Months]],0)</f>
        <v>0</v>
      </c>
      <c r="AB67" s="415">
        <f>IFERROR(AN_TME_BY[[#This Row],[TOTAL Truncated Unadjusted Expenses (A22 + A23)]]/AN_TME_BY[[#This Row],[Member Months]],0)</f>
        <v>0</v>
      </c>
      <c r="AC67" s="415">
        <f>IFERROR(AN_TME_BY[[#This Row],[Total Claims Excluded because of Truncation]]/AN_TME_BY[[#This Row],[Count of Members with Claims Truncated]], 0)</f>
        <v>0</v>
      </c>
      <c r="AD67" s="417">
        <f>IFERROR(AN_TME_BY[[#This Row],[Total Claims Excluded because of Truncation]]/AN_TME_BY[[#This Row],[TOTAL Non-Truncated Unadjusted Claims Expenses]], 0)</f>
        <v>0</v>
      </c>
    </row>
    <row r="68" spans="1:30" x14ac:dyDescent="0.25">
      <c r="A68" s="370"/>
      <c r="B68" s="371"/>
      <c r="C68" s="371"/>
      <c r="D68" s="372"/>
      <c r="E68" s="373"/>
      <c r="F68" s="373"/>
      <c r="G68" s="373"/>
      <c r="H68" s="373"/>
      <c r="I68" s="373"/>
      <c r="J68" s="373"/>
      <c r="K68" s="373"/>
      <c r="L68" s="373"/>
      <c r="M68" s="373"/>
      <c r="N68" s="373"/>
      <c r="O68" s="373"/>
      <c r="P68" s="373"/>
      <c r="Q68" s="373"/>
      <c r="R68" s="373"/>
      <c r="S68" s="373"/>
      <c r="T68" s="373"/>
      <c r="U68" s="374"/>
      <c r="V68" s="375">
        <f t="shared" si="2"/>
        <v>0</v>
      </c>
      <c r="W68" s="375">
        <f>AN_TME_BY[[#This Row],[TOTAL Non-Truncated Unadjusted Claims Expenses]]-AN_TME_BY[[#This Row],[Total Claims Excluded because of Truncation]]</f>
        <v>0</v>
      </c>
      <c r="X68" s="375">
        <f t="shared" si="3"/>
        <v>0</v>
      </c>
      <c r="Y68" s="375">
        <f>AN_TME_BY[[#This Row],[TOTAL Non-Truncated Unadjusted Claims Expenses]]+AN_TME_BY[[#This Row],[TOTAL Non-Claims Expenses]]</f>
        <v>0</v>
      </c>
      <c r="Z68" s="375">
        <f>AN_TME_BY[[#This Row],[TOTAL Truncated Unadjusted Claims Expenses (A21 -A19)]]+AN_TME_BY[[#This Row],[TOTAL Non-Claims Expenses]]</f>
        <v>0</v>
      </c>
      <c r="AA68" s="416">
        <f>IFERROR(AN_TME_BY[[#This Row],[TOTAL Non-Truncated Unadjusted Expenses (A21 + A23)]]/AN_TME_BY[[#This Row],[Member Months]],0)</f>
        <v>0</v>
      </c>
      <c r="AB68" s="416">
        <f>IFERROR(AN_TME_BY[[#This Row],[TOTAL Truncated Unadjusted Expenses (A22 + A23)]]/AN_TME_BY[[#This Row],[Member Months]],0)</f>
        <v>0</v>
      </c>
      <c r="AC68" s="416">
        <f>IFERROR(AN_TME_BY[[#This Row],[Total Claims Excluded because of Truncation]]/AN_TME_BY[[#This Row],[Count of Members with Claims Truncated]], 0)</f>
        <v>0</v>
      </c>
      <c r="AD68" s="417">
        <f>IFERROR(AN_TME_BY[[#This Row],[Total Claims Excluded because of Truncation]]/AN_TME_BY[[#This Row],[TOTAL Non-Truncated Unadjusted Claims Expenses]], 0)</f>
        <v>0</v>
      </c>
    </row>
    <row r="69" spans="1:30" x14ac:dyDescent="0.25">
      <c r="A69" s="364"/>
      <c r="B69" s="365"/>
      <c r="C69" s="365"/>
      <c r="D69" s="366"/>
      <c r="E69" s="367"/>
      <c r="F69" s="367"/>
      <c r="G69" s="367"/>
      <c r="H69" s="367"/>
      <c r="I69" s="367"/>
      <c r="J69" s="367"/>
      <c r="K69" s="367"/>
      <c r="L69" s="367"/>
      <c r="M69" s="367"/>
      <c r="N69" s="367"/>
      <c r="O69" s="367"/>
      <c r="P69" s="367"/>
      <c r="Q69" s="367"/>
      <c r="R69" s="367"/>
      <c r="S69" s="367"/>
      <c r="T69" s="367"/>
      <c r="U69" s="368"/>
      <c r="V69" s="369">
        <f t="shared" si="2"/>
        <v>0</v>
      </c>
      <c r="W69" s="413">
        <f>AN_TME_BY[[#This Row],[TOTAL Non-Truncated Unadjusted Claims Expenses]]-AN_TME_BY[[#This Row],[Total Claims Excluded because of Truncation]]</f>
        <v>0</v>
      </c>
      <c r="X69" s="369">
        <f t="shared" si="3"/>
        <v>0</v>
      </c>
      <c r="Y69" s="413">
        <f>AN_TME_BY[[#This Row],[TOTAL Non-Truncated Unadjusted Claims Expenses]]+AN_TME_BY[[#This Row],[TOTAL Non-Claims Expenses]]</f>
        <v>0</v>
      </c>
      <c r="Z69" s="413">
        <f>AN_TME_BY[[#This Row],[TOTAL Truncated Unadjusted Claims Expenses (A21 -A19)]]+AN_TME_BY[[#This Row],[TOTAL Non-Claims Expenses]]</f>
        <v>0</v>
      </c>
      <c r="AA69" s="415">
        <f>IFERROR(AN_TME_BY[[#This Row],[TOTAL Non-Truncated Unadjusted Expenses (A21 + A23)]]/AN_TME_BY[[#This Row],[Member Months]],0)</f>
        <v>0</v>
      </c>
      <c r="AB69" s="415">
        <f>IFERROR(AN_TME_BY[[#This Row],[TOTAL Truncated Unadjusted Expenses (A22 + A23)]]/AN_TME_BY[[#This Row],[Member Months]],0)</f>
        <v>0</v>
      </c>
      <c r="AC69" s="415">
        <f>IFERROR(AN_TME_BY[[#This Row],[Total Claims Excluded because of Truncation]]/AN_TME_BY[[#This Row],[Count of Members with Claims Truncated]], 0)</f>
        <v>0</v>
      </c>
      <c r="AD69" s="417">
        <f>IFERROR(AN_TME_BY[[#This Row],[Total Claims Excluded because of Truncation]]/AN_TME_BY[[#This Row],[TOTAL Non-Truncated Unadjusted Claims Expenses]], 0)</f>
        <v>0</v>
      </c>
    </row>
    <row r="70" spans="1:30" x14ac:dyDescent="0.25">
      <c r="A70" s="370"/>
      <c r="B70" s="371"/>
      <c r="C70" s="371"/>
      <c r="D70" s="372"/>
      <c r="E70" s="373"/>
      <c r="F70" s="373"/>
      <c r="G70" s="373"/>
      <c r="H70" s="373"/>
      <c r="I70" s="373"/>
      <c r="J70" s="373"/>
      <c r="K70" s="373"/>
      <c r="L70" s="373"/>
      <c r="M70" s="373"/>
      <c r="N70" s="373"/>
      <c r="O70" s="373"/>
      <c r="P70" s="373"/>
      <c r="Q70" s="373"/>
      <c r="R70" s="373"/>
      <c r="S70" s="373"/>
      <c r="T70" s="373"/>
      <c r="U70" s="374"/>
      <c r="V70" s="375">
        <f t="shared" si="2"/>
        <v>0</v>
      </c>
      <c r="W70" s="375">
        <f>AN_TME_BY[[#This Row],[TOTAL Non-Truncated Unadjusted Claims Expenses]]-AN_TME_BY[[#This Row],[Total Claims Excluded because of Truncation]]</f>
        <v>0</v>
      </c>
      <c r="X70" s="375">
        <f t="shared" si="3"/>
        <v>0</v>
      </c>
      <c r="Y70" s="375">
        <f>AN_TME_BY[[#This Row],[TOTAL Non-Truncated Unadjusted Claims Expenses]]+AN_TME_BY[[#This Row],[TOTAL Non-Claims Expenses]]</f>
        <v>0</v>
      </c>
      <c r="Z70" s="375">
        <f>AN_TME_BY[[#This Row],[TOTAL Truncated Unadjusted Claims Expenses (A21 -A19)]]+AN_TME_BY[[#This Row],[TOTAL Non-Claims Expenses]]</f>
        <v>0</v>
      </c>
      <c r="AA70" s="416">
        <f>IFERROR(AN_TME_BY[[#This Row],[TOTAL Non-Truncated Unadjusted Expenses (A21 + A23)]]/AN_TME_BY[[#This Row],[Member Months]],0)</f>
        <v>0</v>
      </c>
      <c r="AB70" s="416">
        <f>IFERROR(AN_TME_BY[[#This Row],[TOTAL Truncated Unadjusted Expenses (A22 + A23)]]/AN_TME_BY[[#This Row],[Member Months]],0)</f>
        <v>0</v>
      </c>
      <c r="AC70" s="416">
        <f>IFERROR(AN_TME_BY[[#This Row],[Total Claims Excluded because of Truncation]]/AN_TME_BY[[#This Row],[Count of Members with Claims Truncated]], 0)</f>
        <v>0</v>
      </c>
      <c r="AD70" s="417">
        <f>IFERROR(AN_TME_BY[[#This Row],[Total Claims Excluded because of Truncation]]/AN_TME_BY[[#This Row],[TOTAL Non-Truncated Unadjusted Claims Expenses]], 0)</f>
        <v>0</v>
      </c>
    </row>
    <row r="71" spans="1:30" x14ac:dyDescent="0.25">
      <c r="A71" s="364"/>
      <c r="B71" s="365"/>
      <c r="C71" s="365"/>
      <c r="D71" s="366"/>
      <c r="E71" s="367"/>
      <c r="F71" s="367"/>
      <c r="G71" s="367"/>
      <c r="H71" s="367"/>
      <c r="I71" s="367"/>
      <c r="J71" s="367"/>
      <c r="K71" s="367"/>
      <c r="L71" s="367"/>
      <c r="M71" s="367"/>
      <c r="N71" s="367"/>
      <c r="O71" s="367"/>
      <c r="P71" s="367"/>
      <c r="Q71" s="367"/>
      <c r="R71" s="367"/>
      <c r="S71" s="367"/>
      <c r="T71" s="367"/>
      <c r="U71" s="368"/>
      <c r="V71" s="369">
        <f t="shared" si="2"/>
        <v>0</v>
      </c>
      <c r="W71" s="413">
        <f>AN_TME_BY[[#This Row],[TOTAL Non-Truncated Unadjusted Claims Expenses]]-AN_TME_BY[[#This Row],[Total Claims Excluded because of Truncation]]</f>
        <v>0</v>
      </c>
      <c r="X71" s="369">
        <f t="shared" si="3"/>
        <v>0</v>
      </c>
      <c r="Y71" s="413">
        <f>AN_TME_BY[[#This Row],[TOTAL Non-Truncated Unadjusted Claims Expenses]]+AN_TME_BY[[#This Row],[TOTAL Non-Claims Expenses]]</f>
        <v>0</v>
      </c>
      <c r="Z71" s="413">
        <f>AN_TME_BY[[#This Row],[TOTAL Truncated Unadjusted Claims Expenses (A21 -A19)]]+AN_TME_BY[[#This Row],[TOTAL Non-Claims Expenses]]</f>
        <v>0</v>
      </c>
      <c r="AA71" s="415">
        <f>IFERROR(AN_TME_BY[[#This Row],[TOTAL Non-Truncated Unadjusted Expenses (A21 + A23)]]/AN_TME_BY[[#This Row],[Member Months]],0)</f>
        <v>0</v>
      </c>
      <c r="AB71" s="415">
        <f>IFERROR(AN_TME_BY[[#This Row],[TOTAL Truncated Unadjusted Expenses (A22 + A23)]]/AN_TME_BY[[#This Row],[Member Months]],0)</f>
        <v>0</v>
      </c>
      <c r="AC71" s="415">
        <f>IFERROR(AN_TME_BY[[#This Row],[Total Claims Excluded because of Truncation]]/AN_TME_BY[[#This Row],[Count of Members with Claims Truncated]], 0)</f>
        <v>0</v>
      </c>
      <c r="AD71" s="417">
        <f>IFERROR(AN_TME_BY[[#This Row],[Total Claims Excluded because of Truncation]]/AN_TME_BY[[#This Row],[TOTAL Non-Truncated Unadjusted Claims Expenses]], 0)</f>
        <v>0</v>
      </c>
    </row>
    <row r="72" spans="1:30" x14ac:dyDescent="0.25">
      <c r="A72" s="370"/>
      <c r="B72" s="371"/>
      <c r="C72" s="371"/>
      <c r="D72" s="372"/>
      <c r="E72" s="373"/>
      <c r="F72" s="373"/>
      <c r="G72" s="373"/>
      <c r="H72" s="373"/>
      <c r="I72" s="373"/>
      <c r="J72" s="373"/>
      <c r="K72" s="373"/>
      <c r="L72" s="373"/>
      <c r="M72" s="373"/>
      <c r="N72" s="373"/>
      <c r="O72" s="373"/>
      <c r="P72" s="373"/>
      <c r="Q72" s="373"/>
      <c r="R72" s="373"/>
      <c r="S72" s="373"/>
      <c r="T72" s="373"/>
      <c r="U72" s="374"/>
      <c r="V72" s="375">
        <f t="shared" si="2"/>
        <v>0</v>
      </c>
      <c r="W72" s="375">
        <f>AN_TME_BY[[#This Row],[TOTAL Non-Truncated Unadjusted Claims Expenses]]-AN_TME_BY[[#This Row],[Total Claims Excluded because of Truncation]]</f>
        <v>0</v>
      </c>
      <c r="X72" s="375">
        <f t="shared" si="3"/>
        <v>0</v>
      </c>
      <c r="Y72" s="375">
        <f>AN_TME_BY[[#This Row],[TOTAL Non-Truncated Unadjusted Claims Expenses]]+AN_TME_BY[[#This Row],[TOTAL Non-Claims Expenses]]</f>
        <v>0</v>
      </c>
      <c r="Z72" s="375">
        <f>AN_TME_BY[[#This Row],[TOTAL Truncated Unadjusted Claims Expenses (A21 -A19)]]+AN_TME_BY[[#This Row],[TOTAL Non-Claims Expenses]]</f>
        <v>0</v>
      </c>
      <c r="AA72" s="416">
        <f>IFERROR(AN_TME_BY[[#This Row],[TOTAL Non-Truncated Unadjusted Expenses (A21 + A23)]]/AN_TME_BY[[#This Row],[Member Months]],0)</f>
        <v>0</v>
      </c>
      <c r="AB72" s="416">
        <f>IFERROR(AN_TME_BY[[#This Row],[TOTAL Truncated Unadjusted Expenses (A22 + A23)]]/AN_TME_BY[[#This Row],[Member Months]],0)</f>
        <v>0</v>
      </c>
      <c r="AC72" s="416">
        <f>IFERROR(AN_TME_BY[[#This Row],[Total Claims Excluded because of Truncation]]/AN_TME_BY[[#This Row],[Count of Members with Claims Truncated]], 0)</f>
        <v>0</v>
      </c>
      <c r="AD72" s="417">
        <f>IFERROR(AN_TME_BY[[#This Row],[Total Claims Excluded because of Truncation]]/AN_TME_BY[[#This Row],[TOTAL Non-Truncated Unadjusted Claims Expenses]], 0)</f>
        <v>0</v>
      </c>
    </row>
    <row r="73" spans="1:30" x14ac:dyDescent="0.25">
      <c r="A73" s="364"/>
      <c r="B73" s="365"/>
      <c r="C73" s="365"/>
      <c r="D73" s="366"/>
      <c r="E73" s="367"/>
      <c r="F73" s="367"/>
      <c r="G73" s="367"/>
      <c r="H73" s="367"/>
      <c r="I73" s="367"/>
      <c r="J73" s="367"/>
      <c r="K73" s="367"/>
      <c r="L73" s="367"/>
      <c r="M73" s="367"/>
      <c r="N73" s="367"/>
      <c r="O73" s="367"/>
      <c r="P73" s="367"/>
      <c r="Q73" s="367"/>
      <c r="R73" s="367"/>
      <c r="S73" s="367"/>
      <c r="T73" s="367"/>
      <c r="U73" s="368"/>
      <c r="V73" s="369">
        <f t="shared" si="2"/>
        <v>0</v>
      </c>
      <c r="W73" s="413">
        <f>AN_TME_BY[[#This Row],[TOTAL Non-Truncated Unadjusted Claims Expenses]]-AN_TME_BY[[#This Row],[Total Claims Excluded because of Truncation]]</f>
        <v>0</v>
      </c>
      <c r="X73" s="369">
        <f t="shared" si="3"/>
        <v>0</v>
      </c>
      <c r="Y73" s="413">
        <f>AN_TME_BY[[#This Row],[TOTAL Non-Truncated Unadjusted Claims Expenses]]+AN_TME_BY[[#This Row],[TOTAL Non-Claims Expenses]]</f>
        <v>0</v>
      </c>
      <c r="Z73" s="413">
        <f>AN_TME_BY[[#This Row],[TOTAL Truncated Unadjusted Claims Expenses (A21 -A19)]]+AN_TME_BY[[#This Row],[TOTAL Non-Claims Expenses]]</f>
        <v>0</v>
      </c>
      <c r="AA73" s="415">
        <f>IFERROR(AN_TME_BY[[#This Row],[TOTAL Non-Truncated Unadjusted Expenses (A21 + A23)]]/AN_TME_BY[[#This Row],[Member Months]],0)</f>
        <v>0</v>
      </c>
      <c r="AB73" s="415">
        <f>IFERROR(AN_TME_BY[[#This Row],[TOTAL Truncated Unadjusted Expenses (A22 + A23)]]/AN_TME_BY[[#This Row],[Member Months]],0)</f>
        <v>0</v>
      </c>
      <c r="AC73" s="415">
        <f>IFERROR(AN_TME_BY[[#This Row],[Total Claims Excluded because of Truncation]]/AN_TME_BY[[#This Row],[Count of Members with Claims Truncated]], 0)</f>
        <v>0</v>
      </c>
      <c r="AD73" s="417">
        <f>IFERROR(AN_TME_BY[[#This Row],[Total Claims Excluded because of Truncation]]/AN_TME_BY[[#This Row],[TOTAL Non-Truncated Unadjusted Claims Expenses]], 0)</f>
        <v>0</v>
      </c>
    </row>
    <row r="74" spans="1:30" x14ac:dyDescent="0.25">
      <c r="A74" s="370"/>
      <c r="B74" s="371"/>
      <c r="C74" s="371"/>
      <c r="D74" s="372"/>
      <c r="E74" s="373"/>
      <c r="F74" s="373"/>
      <c r="G74" s="373"/>
      <c r="H74" s="373"/>
      <c r="I74" s="373"/>
      <c r="J74" s="373"/>
      <c r="K74" s="373"/>
      <c r="L74" s="373"/>
      <c r="M74" s="373"/>
      <c r="N74" s="373"/>
      <c r="O74" s="373"/>
      <c r="P74" s="373"/>
      <c r="Q74" s="373"/>
      <c r="R74" s="373"/>
      <c r="S74" s="373"/>
      <c r="T74" s="373"/>
      <c r="U74" s="374"/>
      <c r="V74" s="375">
        <f t="shared" si="2"/>
        <v>0</v>
      </c>
      <c r="W74" s="375">
        <f>AN_TME_BY[[#This Row],[TOTAL Non-Truncated Unadjusted Claims Expenses]]-AN_TME_BY[[#This Row],[Total Claims Excluded because of Truncation]]</f>
        <v>0</v>
      </c>
      <c r="X74" s="375">
        <f t="shared" si="3"/>
        <v>0</v>
      </c>
      <c r="Y74" s="375">
        <f>AN_TME_BY[[#This Row],[TOTAL Non-Truncated Unadjusted Claims Expenses]]+AN_TME_BY[[#This Row],[TOTAL Non-Claims Expenses]]</f>
        <v>0</v>
      </c>
      <c r="Z74" s="375">
        <f>AN_TME_BY[[#This Row],[TOTAL Truncated Unadjusted Claims Expenses (A21 -A19)]]+AN_TME_BY[[#This Row],[TOTAL Non-Claims Expenses]]</f>
        <v>0</v>
      </c>
      <c r="AA74" s="416">
        <f>IFERROR(AN_TME_BY[[#This Row],[TOTAL Non-Truncated Unadjusted Expenses (A21 + A23)]]/AN_TME_BY[[#This Row],[Member Months]],0)</f>
        <v>0</v>
      </c>
      <c r="AB74" s="416">
        <f>IFERROR(AN_TME_BY[[#This Row],[TOTAL Truncated Unadjusted Expenses (A22 + A23)]]/AN_TME_BY[[#This Row],[Member Months]],0)</f>
        <v>0</v>
      </c>
      <c r="AC74" s="416">
        <f>IFERROR(AN_TME_BY[[#This Row],[Total Claims Excluded because of Truncation]]/AN_TME_BY[[#This Row],[Count of Members with Claims Truncated]], 0)</f>
        <v>0</v>
      </c>
      <c r="AD74" s="417">
        <f>IFERROR(AN_TME_BY[[#This Row],[Total Claims Excluded because of Truncation]]/AN_TME_BY[[#This Row],[TOTAL Non-Truncated Unadjusted Claims Expenses]], 0)</f>
        <v>0</v>
      </c>
    </row>
    <row r="75" spans="1:30" x14ac:dyDescent="0.25">
      <c r="A75" s="364"/>
      <c r="B75" s="365"/>
      <c r="C75" s="365"/>
      <c r="D75" s="366"/>
      <c r="E75" s="367"/>
      <c r="F75" s="367"/>
      <c r="G75" s="367"/>
      <c r="H75" s="367"/>
      <c r="I75" s="367"/>
      <c r="J75" s="367"/>
      <c r="K75" s="367"/>
      <c r="L75" s="367"/>
      <c r="M75" s="367"/>
      <c r="N75" s="367"/>
      <c r="O75" s="367"/>
      <c r="P75" s="367"/>
      <c r="Q75" s="367"/>
      <c r="R75" s="367"/>
      <c r="S75" s="367"/>
      <c r="T75" s="367"/>
      <c r="U75" s="368"/>
      <c r="V75" s="369">
        <f t="shared" ref="V75:V106" si="4">SUM(E75:G75)+SUM(I75:M75)</f>
        <v>0</v>
      </c>
      <c r="W75" s="413">
        <f>AN_TME_BY[[#This Row],[TOTAL Non-Truncated Unadjusted Claims Expenses]]-AN_TME_BY[[#This Row],[Total Claims Excluded because of Truncation]]</f>
        <v>0</v>
      </c>
      <c r="X75" s="369">
        <f t="shared" ref="X75:X106" si="5">SUM(N75:R75)</f>
        <v>0</v>
      </c>
      <c r="Y75" s="413">
        <f>AN_TME_BY[[#This Row],[TOTAL Non-Truncated Unadjusted Claims Expenses]]+AN_TME_BY[[#This Row],[TOTAL Non-Claims Expenses]]</f>
        <v>0</v>
      </c>
      <c r="Z75" s="413">
        <f>AN_TME_BY[[#This Row],[TOTAL Truncated Unadjusted Claims Expenses (A21 -A19)]]+AN_TME_BY[[#This Row],[TOTAL Non-Claims Expenses]]</f>
        <v>0</v>
      </c>
      <c r="AA75" s="415">
        <f>IFERROR(AN_TME_BY[[#This Row],[TOTAL Non-Truncated Unadjusted Expenses (A21 + A23)]]/AN_TME_BY[[#This Row],[Member Months]],0)</f>
        <v>0</v>
      </c>
      <c r="AB75" s="415">
        <f>IFERROR(AN_TME_BY[[#This Row],[TOTAL Truncated Unadjusted Expenses (A22 + A23)]]/AN_TME_BY[[#This Row],[Member Months]],0)</f>
        <v>0</v>
      </c>
      <c r="AC75" s="415">
        <f>IFERROR(AN_TME_BY[[#This Row],[Total Claims Excluded because of Truncation]]/AN_TME_BY[[#This Row],[Count of Members with Claims Truncated]], 0)</f>
        <v>0</v>
      </c>
      <c r="AD75" s="417">
        <f>IFERROR(AN_TME_BY[[#This Row],[Total Claims Excluded because of Truncation]]/AN_TME_BY[[#This Row],[TOTAL Non-Truncated Unadjusted Claims Expenses]], 0)</f>
        <v>0</v>
      </c>
    </row>
    <row r="76" spans="1:30" x14ac:dyDescent="0.25">
      <c r="A76" s="370"/>
      <c r="B76" s="371"/>
      <c r="C76" s="371"/>
      <c r="D76" s="372"/>
      <c r="E76" s="373"/>
      <c r="F76" s="373"/>
      <c r="G76" s="373"/>
      <c r="H76" s="373"/>
      <c r="I76" s="373"/>
      <c r="J76" s="373"/>
      <c r="K76" s="373"/>
      <c r="L76" s="373"/>
      <c r="M76" s="373"/>
      <c r="N76" s="373"/>
      <c r="O76" s="373"/>
      <c r="P76" s="373"/>
      <c r="Q76" s="373"/>
      <c r="R76" s="373"/>
      <c r="S76" s="373"/>
      <c r="T76" s="373"/>
      <c r="U76" s="374"/>
      <c r="V76" s="375">
        <f t="shared" si="4"/>
        <v>0</v>
      </c>
      <c r="W76" s="375">
        <f>AN_TME_BY[[#This Row],[TOTAL Non-Truncated Unadjusted Claims Expenses]]-AN_TME_BY[[#This Row],[Total Claims Excluded because of Truncation]]</f>
        <v>0</v>
      </c>
      <c r="X76" s="375">
        <f t="shared" si="5"/>
        <v>0</v>
      </c>
      <c r="Y76" s="375">
        <f>AN_TME_BY[[#This Row],[TOTAL Non-Truncated Unadjusted Claims Expenses]]+AN_TME_BY[[#This Row],[TOTAL Non-Claims Expenses]]</f>
        <v>0</v>
      </c>
      <c r="Z76" s="375">
        <f>AN_TME_BY[[#This Row],[TOTAL Truncated Unadjusted Claims Expenses (A21 -A19)]]+AN_TME_BY[[#This Row],[TOTAL Non-Claims Expenses]]</f>
        <v>0</v>
      </c>
      <c r="AA76" s="416">
        <f>IFERROR(AN_TME_BY[[#This Row],[TOTAL Non-Truncated Unadjusted Expenses (A21 + A23)]]/AN_TME_BY[[#This Row],[Member Months]],0)</f>
        <v>0</v>
      </c>
      <c r="AB76" s="416">
        <f>IFERROR(AN_TME_BY[[#This Row],[TOTAL Truncated Unadjusted Expenses (A22 + A23)]]/AN_TME_BY[[#This Row],[Member Months]],0)</f>
        <v>0</v>
      </c>
      <c r="AC76" s="416">
        <f>IFERROR(AN_TME_BY[[#This Row],[Total Claims Excluded because of Truncation]]/AN_TME_BY[[#This Row],[Count of Members with Claims Truncated]], 0)</f>
        <v>0</v>
      </c>
      <c r="AD76" s="417">
        <f>IFERROR(AN_TME_BY[[#This Row],[Total Claims Excluded because of Truncation]]/AN_TME_BY[[#This Row],[TOTAL Non-Truncated Unadjusted Claims Expenses]], 0)</f>
        <v>0</v>
      </c>
    </row>
    <row r="77" spans="1:30" x14ac:dyDescent="0.25">
      <c r="A77" s="364"/>
      <c r="B77" s="365"/>
      <c r="C77" s="365"/>
      <c r="D77" s="366"/>
      <c r="E77" s="367"/>
      <c r="F77" s="367"/>
      <c r="G77" s="367"/>
      <c r="H77" s="367"/>
      <c r="I77" s="367"/>
      <c r="J77" s="367"/>
      <c r="K77" s="367"/>
      <c r="L77" s="367"/>
      <c r="M77" s="367"/>
      <c r="N77" s="367"/>
      <c r="O77" s="367"/>
      <c r="P77" s="367"/>
      <c r="Q77" s="367"/>
      <c r="R77" s="367"/>
      <c r="S77" s="367"/>
      <c r="T77" s="367"/>
      <c r="U77" s="368"/>
      <c r="V77" s="369">
        <f t="shared" si="4"/>
        <v>0</v>
      </c>
      <c r="W77" s="413">
        <f>AN_TME_BY[[#This Row],[TOTAL Non-Truncated Unadjusted Claims Expenses]]-AN_TME_BY[[#This Row],[Total Claims Excluded because of Truncation]]</f>
        <v>0</v>
      </c>
      <c r="X77" s="369">
        <f t="shared" si="5"/>
        <v>0</v>
      </c>
      <c r="Y77" s="413">
        <f>AN_TME_BY[[#This Row],[TOTAL Non-Truncated Unadjusted Claims Expenses]]+AN_TME_BY[[#This Row],[TOTAL Non-Claims Expenses]]</f>
        <v>0</v>
      </c>
      <c r="Z77" s="413">
        <f>AN_TME_BY[[#This Row],[TOTAL Truncated Unadjusted Claims Expenses (A21 -A19)]]+AN_TME_BY[[#This Row],[TOTAL Non-Claims Expenses]]</f>
        <v>0</v>
      </c>
      <c r="AA77" s="415">
        <f>IFERROR(AN_TME_BY[[#This Row],[TOTAL Non-Truncated Unadjusted Expenses (A21 + A23)]]/AN_TME_BY[[#This Row],[Member Months]],0)</f>
        <v>0</v>
      </c>
      <c r="AB77" s="415">
        <f>IFERROR(AN_TME_BY[[#This Row],[TOTAL Truncated Unadjusted Expenses (A22 + A23)]]/AN_TME_BY[[#This Row],[Member Months]],0)</f>
        <v>0</v>
      </c>
      <c r="AC77" s="415">
        <f>IFERROR(AN_TME_BY[[#This Row],[Total Claims Excluded because of Truncation]]/AN_TME_BY[[#This Row],[Count of Members with Claims Truncated]], 0)</f>
        <v>0</v>
      </c>
      <c r="AD77" s="417">
        <f>IFERROR(AN_TME_BY[[#This Row],[Total Claims Excluded because of Truncation]]/AN_TME_BY[[#This Row],[TOTAL Non-Truncated Unadjusted Claims Expenses]], 0)</f>
        <v>0</v>
      </c>
    </row>
    <row r="78" spans="1:30" x14ac:dyDescent="0.25">
      <c r="A78" s="370"/>
      <c r="B78" s="371"/>
      <c r="C78" s="371"/>
      <c r="D78" s="372"/>
      <c r="E78" s="373"/>
      <c r="F78" s="373"/>
      <c r="G78" s="373"/>
      <c r="H78" s="373"/>
      <c r="I78" s="373"/>
      <c r="J78" s="373"/>
      <c r="K78" s="373"/>
      <c r="L78" s="373"/>
      <c r="M78" s="373"/>
      <c r="N78" s="373"/>
      <c r="O78" s="373"/>
      <c r="P78" s="373"/>
      <c r="Q78" s="373"/>
      <c r="R78" s="373"/>
      <c r="S78" s="373"/>
      <c r="T78" s="373"/>
      <c r="U78" s="374"/>
      <c r="V78" s="375">
        <f t="shared" si="4"/>
        <v>0</v>
      </c>
      <c r="W78" s="375">
        <f>AN_TME_BY[[#This Row],[TOTAL Non-Truncated Unadjusted Claims Expenses]]-AN_TME_BY[[#This Row],[Total Claims Excluded because of Truncation]]</f>
        <v>0</v>
      </c>
      <c r="X78" s="375">
        <f t="shared" si="5"/>
        <v>0</v>
      </c>
      <c r="Y78" s="375">
        <f>AN_TME_BY[[#This Row],[TOTAL Non-Truncated Unadjusted Claims Expenses]]+AN_TME_BY[[#This Row],[TOTAL Non-Claims Expenses]]</f>
        <v>0</v>
      </c>
      <c r="Z78" s="375">
        <f>AN_TME_BY[[#This Row],[TOTAL Truncated Unadjusted Claims Expenses (A21 -A19)]]+AN_TME_BY[[#This Row],[TOTAL Non-Claims Expenses]]</f>
        <v>0</v>
      </c>
      <c r="AA78" s="416">
        <f>IFERROR(AN_TME_BY[[#This Row],[TOTAL Non-Truncated Unadjusted Expenses (A21 + A23)]]/AN_TME_BY[[#This Row],[Member Months]],0)</f>
        <v>0</v>
      </c>
      <c r="AB78" s="416">
        <f>IFERROR(AN_TME_BY[[#This Row],[TOTAL Truncated Unadjusted Expenses (A22 + A23)]]/AN_TME_BY[[#This Row],[Member Months]],0)</f>
        <v>0</v>
      </c>
      <c r="AC78" s="416">
        <f>IFERROR(AN_TME_BY[[#This Row],[Total Claims Excluded because of Truncation]]/AN_TME_BY[[#This Row],[Count of Members with Claims Truncated]], 0)</f>
        <v>0</v>
      </c>
      <c r="AD78" s="417">
        <f>IFERROR(AN_TME_BY[[#This Row],[Total Claims Excluded because of Truncation]]/AN_TME_BY[[#This Row],[TOTAL Non-Truncated Unadjusted Claims Expenses]], 0)</f>
        <v>0</v>
      </c>
    </row>
    <row r="79" spans="1:30" x14ac:dyDescent="0.25">
      <c r="A79" s="364"/>
      <c r="B79" s="365"/>
      <c r="C79" s="365"/>
      <c r="D79" s="366"/>
      <c r="E79" s="367"/>
      <c r="F79" s="367"/>
      <c r="G79" s="367"/>
      <c r="H79" s="367"/>
      <c r="I79" s="367"/>
      <c r="J79" s="367"/>
      <c r="K79" s="367"/>
      <c r="L79" s="367"/>
      <c r="M79" s="367"/>
      <c r="N79" s="367"/>
      <c r="O79" s="367"/>
      <c r="P79" s="367"/>
      <c r="Q79" s="367"/>
      <c r="R79" s="367"/>
      <c r="S79" s="367"/>
      <c r="T79" s="367"/>
      <c r="U79" s="368"/>
      <c r="V79" s="369">
        <f t="shared" si="4"/>
        <v>0</v>
      </c>
      <c r="W79" s="413">
        <f>AN_TME_BY[[#This Row],[TOTAL Non-Truncated Unadjusted Claims Expenses]]-AN_TME_BY[[#This Row],[Total Claims Excluded because of Truncation]]</f>
        <v>0</v>
      </c>
      <c r="X79" s="369">
        <f t="shared" si="5"/>
        <v>0</v>
      </c>
      <c r="Y79" s="413">
        <f>AN_TME_BY[[#This Row],[TOTAL Non-Truncated Unadjusted Claims Expenses]]+AN_TME_BY[[#This Row],[TOTAL Non-Claims Expenses]]</f>
        <v>0</v>
      </c>
      <c r="Z79" s="413">
        <f>AN_TME_BY[[#This Row],[TOTAL Truncated Unadjusted Claims Expenses (A21 -A19)]]+AN_TME_BY[[#This Row],[TOTAL Non-Claims Expenses]]</f>
        <v>0</v>
      </c>
      <c r="AA79" s="415">
        <f>IFERROR(AN_TME_BY[[#This Row],[TOTAL Non-Truncated Unadjusted Expenses (A21 + A23)]]/AN_TME_BY[[#This Row],[Member Months]],0)</f>
        <v>0</v>
      </c>
      <c r="AB79" s="415">
        <f>IFERROR(AN_TME_BY[[#This Row],[TOTAL Truncated Unadjusted Expenses (A22 + A23)]]/AN_TME_BY[[#This Row],[Member Months]],0)</f>
        <v>0</v>
      </c>
      <c r="AC79" s="415">
        <f>IFERROR(AN_TME_BY[[#This Row],[Total Claims Excluded because of Truncation]]/AN_TME_BY[[#This Row],[Count of Members with Claims Truncated]], 0)</f>
        <v>0</v>
      </c>
      <c r="AD79" s="417">
        <f>IFERROR(AN_TME_BY[[#This Row],[Total Claims Excluded because of Truncation]]/AN_TME_BY[[#This Row],[TOTAL Non-Truncated Unadjusted Claims Expenses]], 0)</f>
        <v>0</v>
      </c>
    </row>
    <row r="80" spans="1:30" x14ac:dyDescent="0.25">
      <c r="A80" s="370"/>
      <c r="B80" s="371"/>
      <c r="C80" s="371"/>
      <c r="D80" s="372"/>
      <c r="E80" s="373"/>
      <c r="F80" s="373"/>
      <c r="G80" s="373"/>
      <c r="H80" s="373"/>
      <c r="I80" s="373"/>
      <c r="J80" s="373"/>
      <c r="K80" s="373"/>
      <c r="L80" s="373"/>
      <c r="M80" s="373"/>
      <c r="N80" s="373"/>
      <c r="O80" s="373"/>
      <c r="P80" s="373"/>
      <c r="Q80" s="373"/>
      <c r="R80" s="373"/>
      <c r="S80" s="373"/>
      <c r="T80" s="373"/>
      <c r="U80" s="374"/>
      <c r="V80" s="375">
        <f t="shared" si="4"/>
        <v>0</v>
      </c>
      <c r="W80" s="375">
        <f>AN_TME_BY[[#This Row],[TOTAL Non-Truncated Unadjusted Claims Expenses]]-AN_TME_BY[[#This Row],[Total Claims Excluded because of Truncation]]</f>
        <v>0</v>
      </c>
      <c r="X80" s="375">
        <f t="shared" si="5"/>
        <v>0</v>
      </c>
      <c r="Y80" s="375">
        <f>AN_TME_BY[[#This Row],[TOTAL Non-Truncated Unadjusted Claims Expenses]]+AN_TME_BY[[#This Row],[TOTAL Non-Claims Expenses]]</f>
        <v>0</v>
      </c>
      <c r="Z80" s="375">
        <f>AN_TME_BY[[#This Row],[TOTAL Truncated Unadjusted Claims Expenses (A21 -A19)]]+AN_TME_BY[[#This Row],[TOTAL Non-Claims Expenses]]</f>
        <v>0</v>
      </c>
      <c r="AA80" s="416">
        <f>IFERROR(AN_TME_BY[[#This Row],[TOTAL Non-Truncated Unadjusted Expenses (A21 + A23)]]/AN_TME_BY[[#This Row],[Member Months]],0)</f>
        <v>0</v>
      </c>
      <c r="AB80" s="416">
        <f>IFERROR(AN_TME_BY[[#This Row],[TOTAL Truncated Unadjusted Expenses (A22 + A23)]]/AN_TME_BY[[#This Row],[Member Months]],0)</f>
        <v>0</v>
      </c>
      <c r="AC80" s="416">
        <f>IFERROR(AN_TME_BY[[#This Row],[Total Claims Excluded because of Truncation]]/AN_TME_BY[[#This Row],[Count of Members with Claims Truncated]], 0)</f>
        <v>0</v>
      </c>
      <c r="AD80" s="417">
        <f>IFERROR(AN_TME_BY[[#This Row],[Total Claims Excluded because of Truncation]]/AN_TME_BY[[#This Row],[TOTAL Non-Truncated Unadjusted Claims Expenses]], 0)</f>
        <v>0</v>
      </c>
    </row>
    <row r="81" spans="1:30" x14ac:dyDescent="0.25">
      <c r="A81" s="364"/>
      <c r="B81" s="365"/>
      <c r="C81" s="365"/>
      <c r="D81" s="366"/>
      <c r="E81" s="367"/>
      <c r="F81" s="367"/>
      <c r="G81" s="367"/>
      <c r="H81" s="367"/>
      <c r="I81" s="367"/>
      <c r="J81" s="367"/>
      <c r="K81" s="367"/>
      <c r="L81" s="367"/>
      <c r="M81" s="367"/>
      <c r="N81" s="367"/>
      <c r="O81" s="367"/>
      <c r="P81" s="367"/>
      <c r="Q81" s="367"/>
      <c r="R81" s="367"/>
      <c r="S81" s="367"/>
      <c r="T81" s="367"/>
      <c r="U81" s="368"/>
      <c r="V81" s="369">
        <f t="shared" si="4"/>
        <v>0</v>
      </c>
      <c r="W81" s="413">
        <f>AN_TME_BY[[#This Row],[TOTAL Non-Truncated Unadjusted Claims Expenses]]-AN_TME_BY[[#This Row],[Total Claims Excluded because of Truncation]]</f>
        <v>0</v>
      </c>
      <c r="X81" s="369">
        <f t="shared" si="5"/>
        <v>0</v>
      </c>
      <c r="Y81" s="413">
        <f>AN_TME_BY[[#This Row],[TOTAL Non-Truncated Unadjusted Claims Expenses]]+AN_TME_BY[[#This Row],[TOTAL Non-Claims Expenses]]</f>
        <v>0</v>
      </c>
      <c r="Z81" s="413">
        <f>AN_TME_BY[[#This Row],[TOTAL Truncated Unadjusted Claims Expenses (A21 -A19)]]+AN_TME_BY[[#This Row],[TOTAL Non-Claims Expenses]]</f>
        <v>0</v>
      </c>
      <c r="AA81" s="415">
        <f>IFERROR(AN_TME_BY[[#This Row],[TOTAL Non-Truncated Unadjusted Expenses (A21 + A23)]]/AN_TME_BY[[#This Row],[Member Months]],0)</f>
        <v>0</v>
      </c>
      <c r="AB81" s="415">
        <f>IFERROR(AN_TME_BY[[#This Row],[TOTAL Truncated Unadjusted Expenses (A22 + A23)]]/AN_TME_BY[[#This Row],[Member Months]],0)</f>
        <v>0</v>
      </c>
      <c r="AC81" s="415">
        <f>IFERROR(AN_TME_BY[[#This Row],[Total Claims Excluded because of Truncation]]/AN_TME_BY[[#This Row],[Count of Members with Claims Truncated]], 0)</f>
        <v>0</v>
      </c>
      <c r="AD81" s="417">
        <f>IFERROR(AN_TME_BY[[#This Row],[Total Claims Excluded because of Truncation]]/AN_TME_BY[[#This Row],[TOTAL Non-Truncated Unadjusted Claims Expenses]], 0)</f>
        <v>0</v>
      </c>
    </row>
    <row r="82" spans="1:30" x14ac:dyDescent="0.25">
      <c r="A82" s="370"/>
      <c r="B82" s="371"/>
      <c r="C82" s="371"/>
      <c r="D82" s="372"/>
      <c r="E82" s="373"/>
      <c r="F82" s="373"/>
      <c r="G82" s="373"/>
      <c r="H82" s="373"/>
      <c r="I82" s="373"/>
      <c r="J82" s="373"/>
      <c r="K82" s="373"/>
      <c r="L82" s="373"/>
      <c r="M82" s="373"/>
      <c r="N82" s="373"/>
      <c r="O82" s="373"/>
      <c r="P82" s="373"/>
      <c r="Q82" s="373"/>
      <c r="R82" s="373"/>
      <c r="S82" s="373"/>
      <c r="T82" s="373"/>
      <c r="U82" s="374"/>
      <c r="V82" s="375">
        <f t="shared" si="4"/>
        <v>0</v>
      </c>
      <c r="W82" s="375">
        <f>AN_TME_BY[[#This Row],[TOTAL Non-Truncated Unadjusted Claims Expenses]]-AN_TME_BY[[#This Row],[Total Claims Excluded because of Truncation]]</f>
        <v>0</v>
      </c>
      <c r="X82" s="375">
        <f t="shared" si="5"/>
        <v>0</v>
      </c>
      <c r="Y82" s="375">
        <f>AN_TME_BY[[#This Row],[TOTAL Non-Truncated Unadjusted Claims Expenses]]+AN_TME_BY[[#This Row],[TOTAL Non-Claims Expenses]]</f>
        <v>0</v>
      </c>
      <c r="Z82" s="375">
        <f>AN_TME_BY[[#This Row],[TOTAL Truncated Unadjusted Claims Expenses (A21 -A19)]]+AN_TME_BY[[#This Row],[TOTAL Non-Claims Expenses]]</f>
        <v>0</v>
      </c>
      <c r="AA82" s="416">
        <f>IFERROR(AN_TME_BY[[#This Row],[TOTAL Non-Truncated Unadjusted Expenses (A21 + A23)]]/AN_TME_BY[[#This Row],[Member Months]],0)</f>
        <v>0</v>
      </c>
      <c r="AB82" s="416">
        <f>IFERROR(AN_TME_BY[[#This Row],[TOTAL Truncated Unadjusted Expenses (A22 + A23)]]/AN_TME_BY[[#This Row],[Member Months]],0)</f>
        <v>0</v>
      </c>
      <c r="AC82" s="416">
        <f>IFERROR(AN_TME_BY[[#This Row],[Total Claims Excluded because of Truncation]]/AN_TME_BY[[#This Row],[Count of Members with Claims Truncated]], 0)</f>
        <v>0</v>
      </c>
      <c r="AD82" s="417">
        <f>IFERROR(AN_TME_BY[[#This Row],[Total Claims Excluded because of Truncation]]/AN_TME_BY[[#This Row],[TOTAL Non-Truncated Unadjusted Claims Expenses]], 0)</f>
        <v>0</v>
      </c>
    </row>
    <row r="83" spans="1:30" x14ac:dyDescent="0.25">
      <c r="A83" s="364"/>
      <c r="B83" s="365"/>
      <c r="C83" s="365"/>
      <c r="D83" s="366"/>
      <c r="E83" s="367"/>
      <c r="F83" s="367"/>
      <c r="G83" s="367"/>
      <c r="H83" s="367"/>
      <c r="I83" s="367"/>
      <c r="J83" s="367"/>
      <c r="K83" s="367"/>
      <c r="L83" s="367"/>
      <c r="M83" s="367"/>
      <c r="N83" s="367"/>
      <c r="O83" s="367"/>
      <c r="P83" s="367"/>
      <c r="Q83" s="367"/>
      <c r="R83" s="367"/>
      <c r="S83" s="367"/>
      <c r="T83" s="367"/>
      <c r="U83" s="368"/>
      <c r="V83" s="369">
        <f t="shared" si="4"/>
        <v>0</v>
      </c>
      <c r="W83" s="413">
        <f>AN_TME_BY[[#This Row],[TOTAL Non-Truncated Unadjusted Claims Expenses]]-AN_TME_BY[[#This Row],[Total Claims Excluded because of Truncation]]</f>
        <v>0</v>
      </c>
      <c r="X83" s="369">
        <f t="shared" si="5"/>
        <v>0</v>
      </c>
      <c r="Y83" s="413">
        <f>AN_TME_BY[[#This Row],[TOTAL Non-Truncated Unadjusted Claims Expenses]]+AN_TME_BY[[#This Row],[TOTAL Non-Claims Expenses]]</f>
        <v>0</v>
      </c>
      <c r="Z83" s="413">
        <f>AN_TME_BY[[#This Row],[TOTAL Truncated Unadjusted Claims Expenses (A21 -A19)]]+AN_TME_BY[[#This Row],[TOTAL Non-Claims Expenses]]</f>
        <v>0</v>
      </c>
      <c r="AA83" s="415">
        <f>IFERROR(AN_TME_BY[[#This Row],[TOTAL Non-Truncated Unadjusted Expenses (A21 + A23)]]/AN_TME_BY[[#This Row],[Member Months]],0)</f>
        <v>0</v>
      </c>
      <c r="AB83" s="415">
        <f>IFERROR(AN_TME_BY[[#This Row],[TOTAL Truncated Unadjusted Expenses (A22 + A23)]]/AN_TME_BY[[#This Row],[Member Months]],0)</f>
        <v>0</v>
      </c>
      <c r="AC83" s="415">
        <f>IFERROR(AN_TME_BY[[#This Row],[Total Claims Excluded because of Truncation]]/AN_TME_BY[[#This Row],[Count of Members with Claims Truncated]], 0)</f>
        <v>0</v>
      </c>
      <c r="AD83" s="417">
        <f>IFERROR(AN_TME_BY[[#This Row],[Total Claims Excluded because of Truncation]]/AN_TME_BY[[#This Row],[TOTAL Non-Truncated Unadjusted Claims Expenses]], 0)</f>
        <v>0</v>
      </c>
    </row>
    <row r="84" spans="1:30" x14ac:dyDescent="0.25">
      <c r="A84" s="370"/>
      <c r="B84" s="371"/>
      <c r="C84" s="371"/>
      <c r="D84" s="372"/>
      <c r="E84" s="373"/>
      <c r="F84" s="373"/>
      <c r="G84" s="373"/>
      <c r="H84" s="373"/>
      <c r="I84" s="373"/>
      <c r="J84" s="373"/>
      <c r="K84" s="373"/>
      <c r="L84" s="373"/>
      <c r="M84" s="373"/>
      <c r="N84" s="373"/>
      <c r="O84" s="373"/>
      <c r="P84" s="373"/>
      <c r="Q84" s="373"/>
      <c r="R84" s="373"/>
      <c r="S84" s="373"/>
      <c r="T84" s="373"/>
      <c r="U84" s="374"/>
      <c r="V84" s="375">
        <f t="shared" si="4"/>
        <v>0</v>
      </c>
      <c r="W84" s="375">
        <f>AN_TME_BY[[#This Row],[TOTAL Non-Truncated Unadjusted Claims Expenses]]-AN_TME_BY[[#This Row],[Total Claims Excluded because of Truncation]]</f>
        <v>0</v>
      </c>
      <c r="X84" s="375">
        <f t="shared" si="5"/>
        <v>0</v>
      </c>
      <c r="Y84" s="375">
        <f>AN_TME_BY[[#This Row],[TOTAL Non-Truncated Unadjusted Claims Expenses]]+AN_TME_BY[[#This Row],[TOTAL Non-Claims Expenses]]</f>
        <v>0</v>
      </c>
      <c r="Z84" s="375">
        <f>AN_TME_BY[[#This Row],[TOTAL Truncated Unadjusted Claims Expenses (A21 -A19)]]+AN_TME_BY[[#This Row],[TOTAL Non-Claims Expenses]]</f>
        <v>0</v>
      </c>
      <c r="AA84" s="416">
        <f>IFERROR(AN_TME_BY[[#This Row],[TOTAL Non-Truncated Unadjusted Expenses (A21 + A23)]]/AN_TME_BY[[#This Row],[Member Months]],0)</f>
        <v>0</v>
      </c>
      <c r="AB84" s="416">
        <f>IFERROR(AN_TME_BY[[#This Row],[TOTAL Truncated Unadjusted Expenses (A22 + A23)]]/AN_TME_BY[[#This Row],[Member Months]],0)</f>
        <v>0</v>
      </c>
      <c r="AC84" s="416">
        <f>IFERROR(AN_TME_BY[[#This Row],[Total Claims Excluded because of Truncation]]/AN_TME_BY[[#This Row],[Count of Members with Claims Truncated]], 0)</f>
        <v>0</v>
      </c>
      <c r="AD84" s="417">
        <f>IFERROR(AN_TME_BY[[#This Row],[Total Claims Excluded because of Truncation]]/AN_TME_BY[[#This Row],[TOTAL Non-Truncated Unadjusted Claims Expenses]], 0)</f>
        <v>0</v>
      </c>
    </row>
    <row r="85" spans="1:30" x14ac:dyDescent="0.25">
      <c r="A85" s="364"/>
      <c r="B85" s="365"/>
      <c r="C85" s="365"/>
      <c r="D85" s="366"/>
      <c r="E85" s="367"/>
      <c r="F85" s="367"/>
      <c r="G85" s="367"/>
      <c r="H85" s="367"/>
      <c r="I85" s="367"/>
      <c r="J85" s="367"/>
      <c r="K85" s="367"/>
      <c r="L85" s="367"/>
      <c r="M85" s="367"/>
      <c r="N85" s="367"/>
      <c r="O85" s="367"/>
      <c r="P85" s="367"/>
      <c r="Q85" s="367"/>
      <c r="R85" s="367"/>
      <c r="S85" s="367"/>
      <c r="T85" s="367"/>
      <c r="U85" s="368"/>
      <c r="V85" s="369">
        <f t="shared" si="4"/>
        <v>0</v>
      </c>
      <c r="W85" s="413">
        <f>AN_TME_BY[[#This Row],[TOTAL Non-Truncated Unadjusted Claims Expenses]]-AN_TME_BY[[#This Row],[Total Claims Excluded because of Truncation]]</f>
        <v>0</v>
      </c>
      <c r="X85" s="369">
        <f t="shared" si="5"/>
        <v>0</v>
      </c>
      <c r="Y85" s="413">
        <f>AN_TME_BY[[#This Row],[TOTAL Non-Truncated Unadjusted Claims Expenses]]+AN_TME_BY[[#This Row],[TOTAL Non-Claims Expenses]]</f>
        <v>0</v>
      </c>
      <c r="Z85" s="413">
        <f>AN_TME_BY[[#This Row],[TOTAL Truncated Unadjusted Claims Expenses (A21 -A19)]]+AN_TME_BY[[#This Row],[TOTAL Non-Claims Expenses]]</f>
        <v>0</v>
      </c>
      <c r="AA85" s="415">
        <f>IFERROR(AN_TME_BY[[#This Row],[TOTAL Non-Truncated Unadjusted Expenses (A21 + A23)]]/AN_TME_BY[[#This Row],[Member Months]],0)</f>
        <v>0</v>
      </c>
      <c r="AB85" s="415">
        <f>IFERROR(AN_TME_BY[[#This Row],[TOTAL Truncated Unadjusted Expenses (A22 + A23)]]/AN_TME_BY[[#This Row],[Member Months]],0)</f>
        <v>0</v>
      </c>
      <c r="AC85" s="415">
        <f>IFERROR(AN_TME_BY[[#This Row],[Total Claims Excluded because of Truncation]]/AN_TME_BY[[#This Row],[Count of Members with Claims Truncated]], 0)</f>
        <v>0</v>
      </c>
      <c r="AD85" s="417">
        <f>IFERROR(AN_TME_BY[[#This Row],[Total Claims Excluded because of Truncation]]/AN_TME_BY[[#This Row],[TOTAL Non-Truncated Unadjusted Claims Expenses]], 0)</f>
        <v>0</v>
      </c>
    </row>
    <row r="86" spans="1:30" x14ac:dyDescent="0.25">
      <c r="A86" s="370"/>
      <c r="B86" s="371"/>
      <c r="C86" s="371"/>
      <c r="D86" s="372"/>
      <c r="E86" s="373"/>
      <c r="F86" s="373"/>
      <c r="G86" s="373"/>
      <c r="H86" s="373"/>
      <c r="I86" s="373"/>
      <c r="J86" s="373"/>
      <c r="K86" s="373"/>
      <c r="L86" s="373"/>
      <c r="M86" s="373"/>
      <c r="N86" s="373"/>
      <c r="O86" s="373"/>
      <c r="P86" s="373"/>
      <c r="Q86" s="373"/>
      <c r="R86" s="373"/>
      <c r="S86" s="373"/>
      <c r="T86" s="373"/>
      <c r="U86" s="374"/>
      <c r="V86" s="375">
        <f t="shared" si="4"/>
        <v>0</v>
      </c>
      <c r="W86" s="375">
        <f>AN_TME_BY[[#This Row],[TOTAL Non-Truncated Unadjusted Claims Expenses]]-AN_TME_BY[[#This Row],[Total Claims Excluded because of Truncation]]</f>
        <v>0</v>
      </c>
      <c r="X86" s="375">
        <f t="shared" si="5"/>
        <v>0</v>
      </c>
      <c r="Y86" s="375">
        <f>AN_TME_BY[[#This Row],[TOTAL Non-Truncated Unadjusted Claims Expenses]]+AN_TME_BY[[#This Row],[TOTAL Non-Claims Expenses]]</f>
        <v>0</v>
      </c>
      <c r="Z86" s="375">
        <f>AN_TME_BY[[#This Row],[TOTAL Truncated Unadjusted Claims Expenses (A21 -A19)]]+AN_TME_BY[[#This Row],[TOTAL Non-Claims Expenses]]</f>
        <v>0</v>
      </c>
      <c r="AA86" s="416">
        <f>IFERROR(AN_TME_BY[[#This Row],[TOTAL Non-Truncated Unadjusted Expenses (A21 + A23)]]/AN_TME_BY[[#This Row],[Member Months]],0)</f>
        <v>0</v>
      </c>
      <c r="AB86" s="416">
        <f>IFERROR(AN_TME_BY[[#This Row],[TOTAL Truncated Unadjusted Expenses (A22 + A23)]]/AN_TME_BY[[#This Row],[Member Months]],0)</f>
        <v>0</v>
      </c>
      <c r="AC86" s="416">
        <f>IFERROR(AN_TME_BY[[#This Row],[Total Claims Excluded because of Truncation]]/AN_TME_BY[[#This Row],[Count of Members with Claims Truncated]], 0)</f>
        <v>0</v>
      </c>
      <c r="AD86" s="417">
        <f>IFERROR(AN_TME_BY[[#This Row],[Total Claims Excluded because of Truncation]]/AN_TME_BY[[#This Row],[TOTAL Non-Truncated Unadjusted Claims Expenses]], 0)</f>
        <v>0</v>
      </c>
    </row>
    <row r="87" spans="1:30" x14ac:dyDescent="0.25">
      <c r="A87" s="364"/>
      <c r="B87" s="365"/>
      <c r="C87" s="365"/>
      <c r="D87" s="366"/>
      <c r="E87" s="367"/>
      <c r="F87" s="367"/>
      <c r="G87" s="367"/>
      <c r="H87" s="367"/>
      <c r="I87" s="367"/>
      <c r="J87" s="367"/>
      <c r="K87" s="367"/>
      <c r="L87" s="367"/>
      <c r="M87" s="367"/>
      <c r="N87" s="367"/>
      <c r="O87" s="367"/>
      <c r="P87" s="367"/>
      <c r="Q87" s="367"/>
      <c r="R87" s="367"/>
      <c r="S87" s="367"/>
      <c r="T87" s="367"/>
      <c r="U87" s="368"/>
      <c r="V87" s="369">
        <f t="shared" si="4"/>
        <v>0</v>
      </c>
      <c r="W87" s="413">
        <f>AN_TME_BY[[#This Row],[TOTAL Non-Truncated Unadjusted Claims Expenses]]-AN_TME_BY[[#This Row],[Total Claims Excluded because of Truncation]]</f>
        <v>0</v>
      </c>
      <c r="X87" s="369">
        <f t="shared" si="5"/>
        <v>0</v>
      </c>
      <c r="Y87" s="413">
        <f>AN_TME_BY[[#This Row],[TOTAL Non-Truncated Unadjusted Claims Expenses]]+AN_TME_BY[[#This Row],[TOTAL Non-Claims Expenses]]</f>
        <v>0</v>
      </c>
      <c r="Z87" s="413">
        <f>AN_TME_BY[[#This Row],[TOTAL Truncated Unadjusted Claims Expenses (A21 -A19)]]+AN_TME_BY[[#This Row],[TOTAL Non-Claims Expenses]]</f>
        <v>0</v>
      </c>
      <c r="AA87" s="415">
        <f>IFERROR(AN_TME_BY[[#This Row],[TOTAL Non-Truncated Unadjusted Expenses (A21 + A23)]]/AN_TME_BY[[#This Row],[Member Months]],0)</f>
        <v>0</v>
      </c>
      <c r="AB87" s="415">
        <f>IFERROR(AN_TME_BY[[#This Row],[TOTAL Truncated Unadjusted Expenses (A22 + A23)]]/AN_TME_BY[[#This Row],[Member Months]],0)</f>
        <v>0</v>
      </c>
      <c r="AC87" s="415">
        <f>IFERROR(AN_TME_BY[[#This Row],[Total Claims Excluded because of Truncation]]/AN_TME_BY[[#This Row],[Count of Members with Claims Truncated]], 0)</f>
        <v>0</v>
      </c>
      <c r="AD87" s="417">
        <f>IFERROR(AN_TME_BY[[#This Row],[Total Claims Excluded because of Truncation]]/AN_TME_BY[[#This Row],[TOTAL Non-Truncated Unadjusted Claims Expenses]], 0)</f>
        <v>0</v>
      </c>
    </row>
    <row r="88" spans="1:30" x14ac:dyDescent="0.25">
      <c r="A88" s="370"/>
      <c r="B88" s="371"/>
      <c r="C88" s="371"/>
      <c r="D88" s="372"/>
      <c r="E88" s="373"/>
      <c r="F88" s="373"/>
      <c r="G88" s="373"/>
      <c r="H88" s="373"/>
      <c r="I88" s="373"/>
      <c r="J88" s="373"/>
      <c r="K88" s="373"/>
      <c r="L88" s="373"/>
      <c r="M88" s="373"/>
      <c r="N88" s="373"/>
      <c r="O88" s="373"/>
      <c r="P88" s="373"/>
      <c r="Q88" s="373"/>
      <c r="R88" s="373"/>
      <c r="S88" s="373"/>
      <c r="T88" s="373"/>
      <c r="U88" s="374"/>
      <c r="V88" s="375">
        <f t="shared" si="4"/>
        <v>0</v>
      </c>
      <c r="W88" s="375">
        <f>AN_TME_BY[[#This Row],[TOTAL Non-Truncated Unadjusted Claims Expenses]]-AN_TME_BY[[#This Row],[Total Claims Excluded because of Truncation]]</f>
        <v>0</v>
      </c>
      <c r="X88" s="375">
        <f t="shared" si="5"/>
        <v>0</v>
      </c>
      <c r="Y88" s="375">
        <f>AN_TME_BY[[#This Row],[TOTAL Non-Truncated Unadjusted Claims Expenses]]+AN_TME_BY[[#This Row],[TOTAL Non-Claims Expenses]]</f>
        <v>0</v>
      </c>
      <c r="Z88" s="375">
        <f>AN_TME_BY[[#This Row],[TOTAL Truncated Unadjusted Claims Expenses (A21 -A19)]]+AN_TME_BY[[#This Row],[TOTAL Non-Claims Expenses]]</f>
        <v>0</v>
      </c>
      <c r="AA88" s="416">
        <f>IFERROR(AN_TME_BY[[#This Row],[TOTAL Non-Truncated Unadjusted Expenses (A21 + A23)]]/AN_TME_BY[[#This Row],[Member Months]],0)</f>
        <v>0</v>
      </c>
      <c r="AB88" s="416">
        <f>IFERROR(AN_TME_BY[[#This Row],[TOTAL Truncated Unadjusted Expenses (A22 + A23)]]/AN_TME_BY[[#This Row],[Member Months]],0)</f>
        <v>0</v>
      </c>
      <c r="AC88" s="416">
        <f>IFERROR(AN_TME_BY[[#This Row],[Total Claims Excluded because of Truncation]]/AN_TME_BY[[#This Row],[Count of Members with Claims Truncated]], 0)</f>
        <v>0</v>
      </c>
      <c r="AD88" s="417">
        <f>IFERROR(AN_TME_BY[[#This Row],[Total Claims Excluded because of Truncation]]/AN_TME_BY[[#This Row],[TOTAL Non-Truncated Unadjusted Claims Expenses]], 0)</f>
        <v>0</v>
      </c>
    </row>
    <row r="89" spans="1:30" x14ac:dyDescent="0.25">
      <c r="A89" s="364"/>
      <c r="B89" s="365"/>
      <c r="C89" s="365"/>
      <c r="D89" s="366"/>
      <c r="E89" s="367"/>
      <c r="F89" s="367"/>
      <c r="G89" s="367"/>
      <c r="H89" s="367"/>
      <c r="I89" s="367"/>
      <c r="J89" s="367"/>
      <c r="K89" s="367"/>
      <c r="L89" s="367"/>
      <c r="M89" s="367"/>
      <c r="N89" s="367"/>
      <c r="O89" s="367"/>
      <c r="P89" s="367"/>
      <c r="Q89" s="367"/>
      <c r="R89" s="367"/>
      <c r="S89" s="367"/>
      <c r="T89" s="367"/>
      <c r="U89" s="368"/>
      <c r="V89" s="369">
        <f t="shared" si="4"/>
        <v>0</v>
      </c>
      <c r="W89" s="413">
        <f>AN_TME_BY[[#This Row],[TOTAL Non-Truncated Unadjusted Claims Expenses]]-AN_TME_BY[[#This Row],[Total Claims Excluded because of Truncation]]</f>
        <v>0</v>
      </c>
      <c r="X89" s="369">
        <f t="shared" si="5"/>
        <v>0</v>
      </c>
      <c r="Y89" s="413">
        <f>AN_TME_BY[[#This Row],[TOTAL Non-Truncated Unadjusted Claims Expenses]]+AN_TME_BY[[#This Row],[TOTAL Non-Claims Expenses]]</f>
        <v>0</v>
      </c>
      <c r="Z89" s="413">
        <f>AN_TME_BY[[#This Row],[TOTAL Truncated Unadjusted Claims Expenses (A21 -A19)]]+AN_TME_BY[[#This Row],[TOTAL Non-Claims Expenses]]</f>
        <v>0</v>
      </c>
      <c r="AA89" s="415">
        <f>IFERROR(AN_TME_BY[[#This Row],[TOTAL Non-Truncated Unadjusted Expenses (A21 + A23)]]/AN_TME_BY[[#This Row],[Member Months]],0)</f>
        <v>0</v>
      </c>
      <c r="AB89" s="415">
        <f>IFERROR(AN_TME_BY[[#This Row],[TOTAL Truncated Unadjusted Expenses (A22 + A23)]]/AN_TME_BY[[#This Row],[Member Months]],0)</f>
        <v>0</v>
      </c>
      <c r="AC89" s="415">
        <f>IFERROR(AN_TME_BY[[#This Row],[Total Claims Excluded because of Truncation]]/AN_TME_BY[[#This Row],[Count of Members with Claims Truncated]], 0)</f>
        <v>0</v>
      </c>
      <c r="AD89" s="417">
        <f>IFERROR(AN_TME_BY[[#This Row],[Total Claims Excluded because of Truncation]]/AN_TME_BY[[#This Row],[TOTAL Non-Truncated Unadjusted Claims Expenses]], 0)</f>
        <v>0</v>
      </c>
    </row>
    <row r="90" spans="1:30" x14ac:dyDescent="0.25">
      <c r="A90" s="370"/>
      <c r="B90" s="371"/>
      <c r="C90" s="371"/>
      <c r="D90" s="372"/>
      <c r="E90" s="373"/>
      <c r="F90" s="373"/>
      <c r="G90" s="373"/>
      <c r="H90" s="373"/>
      <c r="I90" s="373"/>
      <c r="J90" s="373"/>
      <c r="K90" s="373"/>
      <c r="L90" s="373"/>
      <c r="M90" s="373"/>
      <c r="N90" s="373"/>
      <c r="O90" s="373"/>
      <c r="P90" s="373"/>
      <c r="Q90" s="373"/>
      <c r="R90" s="373"/>
      <c r="S90" s="373"/>
      <c r="T90" s="373"/>
      <c r="U90" s="374"/>
      <c r="V90" s="375">
        <f t="shared" si="4"/>
        <v>0</v>
      </c>
      <c r="W90" s="375">
        <f>AN_TME_BY[[#This Row],[TOTAL Non-Truncated Unadjusted Claims Expenses]]-AN_TME_BY[[#This Row],[Total Claims Excluded because of Truncation]]</f>
        <v>0</v>
      </c>
      <c r="X90" s="375">
        <f t="shared" si="5"/>
        <v>0</v>
      </c>
      <c r="Y90" s="375">
        <f>AN_TME_BY[[#This Row],[TOTAL Non-Truncated Unadjusted Claims Expenses]]+AN_TME_BY[[#This Row],[TOTAL Non-Claims Expenses]]</f>
        <v>0</v>
      </c>
      <c r="Z90" s="375">
        <f>AN_TME_BY[[#This Row],[TOTAL Truncated Unadjusted Claims Expenses (A21 -A19)]]+AN_TME_BY[[#This Row],[TOTAL Non-Claims Expenses]]</f>
        <v>0</v>
      </c>
      <c r="AA90" s="416">
        <f>IFERROR(AN_TME_BY[[#This Row],[TOTAL Non-Truncated Unadjusted Expenses (A21 + A23)]]/AN_TME_BY[[#This Row],[Member Months]],0)</f>
        <v>0</v>
      </c>
      <c r="AB90" s="416">
        <f>IFERROR(AN_TME_BY[[#This Row],[TOTAL Truncated Unadjusted Expenses (A22 + A23)]]/AN_TME_BY[[#This Row],[Member Months]],0)</f>
        <v>0</v>
      </c>
      <c r="AC90" s="416">
        <f>IFERROR(AN_TME_BY[[#This Row],[Total Claims Excluded because of Truncation]]/AN_TME_BY[[#This Row],[Count of Members with Claims Truncated]], 0)</f>
        <v>0</v>
      </c>
      <c r="AD90" s="417">
        <f>IFERROR(AN_TME_BY[[#This Row],[Total Claims Excluded because of Truncation]]/AN_TME_BY[[#This Row],[TOTAL Non-Truncated Unadjusted Claims Expenses]], 0)</f>
        <v>0</v>
      </c>
    </row>
    <row r="91" spans="1:30" x14ac:dyDescent="0.25">
      <c r="A91" s="364"/>
      <c r="B91" s="365"/>
      <c r="C91" s="365"/>
      <c r="D91" s="366"/>
      <c r="E91" s="367"/>
      <c r="F91" s="367"/>
      <c r="G91" s="367"/>
      <c r="H91" s="367"/>
      <c r="I91" s="367"/>
      <c r="J91" s="367"/>
      <c r="K91" s="367"/>
      <c r="L91" s="367"/>
      <c r="M91" s="367"/>
      <c r="N91" s="367"/>
      <c r="O91" s="367"/>
      <c r="P91" s="367"/>
      <c r="Q91" s="367"/>
      <c r="R91" s="367"/>
      <c r="S91" s="367"/>
      <c r="T91" s="367"/>
      <c r="U91" s="368"/>
      <c r="V91" s="369">
        <f t="shared" si="4"/>
        <v>0</v>
      </c>
      <c r="W91" s="413">
        <f>AN_TME_BY[[#This Row],[TOTAL Non-Truncated Unadjusted Claims Expenses]]-AN_TME_BY[[#This Row],[Total Claims Excluded because of Truncation]]</f>
        <v>0</v>
      </c>
      <c r="X91" s="369">
        <f t="shared" si="5"/>
        <v>0</v>
      </c>
      <c r="Y91" s="413">
        <f>AN_TME_BY[[#This Row],[TOTAL Non-Truncated Unadjusted Claims Expenses]]+AN_TME_BY[[#This Row],[TOTAL Non-Claims Expenses]]</f>
        <v>0</v>
      </c>
      <c r="Z91" s="413">
        <f>AN_TME_BY[[#This Row],[TOTAL Truncated Unadjusted Claims Expenses (A21 -A19)]]+AN_TME_BY[[#This Row],[TOTAL Non-Claims Expenses]]</f>
        <v>0</v>
      </c>
      <c r="AA91" s="415">
        <f>IFERROR(AN_TME_BY[[#This Row],[TOTAL Non-Truncated Unadjusted Expenses (A21 + A23)]]/AN_TME_BY[[#This Row],[Member Months]],0)</f>
        <v>0</v>
      </c>
      <c r="AB91" s="415">
        <f>IFERROR(AN_TME_BY[[#This Row],[TOTAL Truncated Unadjusted Expenses (A22 + A23)]]/AN_TME_BY[[#This Row],[Member Months]],0)</f>
        <v>0</v>
      </c>
      <c r="AC91" s="415">
        <f>IFERROR(AN_TME_BY[[#This Row],[Total Claims Excluded because of Truncation]]/AN_TME_BY[[#This Row],[Count of Members with Claims Truncated]], 0)</f>
        <v>0</v>
      </c>
      <c r="AD91" s="417">
        <f>IFERROR(AN_TME_BY[[#This Row],[Total Claims Excluded because of Truncation]]/AN_TME_BY[[#This Row],[TOTAL Non-Truncated Unadjusted Claims Expenses]], 0)</f>
        <v>0</v>
      </c>
    </row>
    <row r="92" spans="1:30" x14ac:dyDescent="0.25">
      <c r="A92" s="370"/>
      <c r="B92" s="371"/>
      <c r="C92" s="371"/>
      <c r="D92" s="372"/>
      <c r="E92" s="373"/>
      <c r="F92" s="373"/>
      <c r="G92" s="373"/>
      <c r="H92" s="373"/>
      <c r="I92" s="373"/>
      <c r="J92" s="373"/>
      <c r="K92" s="373"/>
      <c r="L92" s="373"/>
      <c r="M92" s="373"/>
      <c r="N92" s="373"/>
      <c r="O92" s="373"/>
      <c r="P92" s="373"/>
      <c r="Q92" s="373"/>
      <c r="R92" s="373"/>
      <c r="S92" s="373"/>
      <c r="T92" s="373"/>
      <c r="U92" s="374"/>
      <c r="V92" s="375">
        <f t="shared" si="4"/>
        <v>0</v>
      </c>
      <c r="W92" s="375">
        <f>AN_TME_BY[[#This Row],[TOTAL Non-Truncated Unadjusted Claims Expenses]]-AN_TME_BY[[#This Row],[Total Claims Excluded because of Truncation]]</f>
        <v>0</v>
      </c>
      <c r="X92" s="375">
        <f t="shared" si="5"/>
        <v>0</v>
      </c>
      <c r="Y92" s="375">
        <f>AN_TME_BY[[#This Row],[TOTAL Non-Truncated Unadjusted Claims Expenses]]+AN_TME_BY[[#This Row],[TOTAL Non-Claims Expenses]]</f>
        <v>0</v>
      </c>
      <c r="Z92" s="375">
        <f>AN_TME_BY[[#This Row],[TOTAL Truncated Unadjusted Claims Expenses (A21 -A19)]]+AN_TME_BY[[#This Row],[TOTAL Non-Claims Expenses]]</f>
        <v>0</v>
      </c>
      <c r="AA92" s="416">
        <f>IFERROR(AN_TME_BY[[#This Row],[TOTAL Non-Truncated Unadjusted Expenses (A21 + A23)]]/AN_TME_BY[[#This Row],[Member Months]],0)</f>
        <v>0</v>
      </c>
      <c r="AB92" s="416">
        <f>IFERROR(AN_TME_BY[[#This Row],[TOTAL Truncated Unadjusted Expenses (A22 + A23)]]/AN_TME_BY[[#This Row],[Member Months]],0)</f>
        <v>0</v>
      </c>
      <c r="AC92" s="416">
        <f>IFERROR(AN_TME_BY[[#This Row],[Total Claims Excluded because of Truncation]]/AN_TME_BY[[#This Row],[Count of Members with Claims Truncated]], 0)</f>
        <v>0</v>
      </c>
      <c r="AD92" s="417">
        <f>IFERROR(AN_TME_BY[[#This Row],[Total Claims Excluded because of Truncation]]/AN_TME_BY[[#This Row],[TOTAL Non-Truncated Unadjusted Claims Expenses]], 0)</f>
        <v>0</v>
      </c>
    </row>
    <row r="93" spans="1:30" x14ac:dyDescent="0.25">
      <c r="A93" s="364"/>
      <c r="B93" s="365"/>
      <c r="C93" s="365"/>
      <c r="D93" s="366"/>
      <c r="E93" s="367"/>
      <c r="F93" s="367"/>
      <c r="G93" s="367"/>
      <c r="H93" s="367"/>
      <c r="I93" s="367"/>
      <c r="J93" s="367"/>
      <c r="K93" s="367"/>
      <c r="L93" s="367"/>
      <c r="M93" s="367"/>
      <c r="N93" s="367"/>
      <c r="O93" s="367"/>
      <c r="P93" s="367"/>
      <c r="Q93" s="367"/>
      <c r="R93" s="367"/>
      <c r="S93" s="367"/>
      <c r="T93" s="367"/>
      <c r="U93" s="368"/>
      <c r="V93" s="369">
        <f t="shared" si="4"/>
        <v>0</v>
      </c>
      <c r="W93" s="413">
        <f>AN_TME_BY[[#This Row],[TOTAL Non-Truncated Unadjusted Claims Expenses]]-AN_TME_BY[[#This Row],[Total Claims Excluded because of Truncation]]</f>
        <v>0</v>
      </c>
      <c r="X93" s="369">
        <f t="shared" si="5"/>
        <v>0</v>
      </c>
      <c r="Y93" s="413">
        <f>AN_TME_BY[[#This Row],[TOTAL Non-Truncated Unadjusted Claims Expenses]]+AN_TME_BY[[#This Row],[TOTAL Non-Claims Expenses]]</f>
        <v>0</v>
      </c>
      <c r="Z93" s="413">
        <f>AN_TME_BY[[#This Row],[TOTAL Truncated Unadjusted Claims Expenses (A21 -A19)]]+AN_TME_BY[[#This Row],[TOTAL Non-Claims Expenses]]</f>
        <v>0</v>
      </c>
      <c r="AA93" s="415">
        <f>IFERROR(AN_TME_BY[[#This Row],[TOTAL Non-Truncated Unadjusted Expenses (A21 + A23)]]/AN_TME_BY[[#This Row],[Member Months]],0)</f>
        <v>0</v>
      </c>
      <c r="AB93" s="415">
        <f>IFERROR(AN_TME_BY[[#This Row],[TOTAL Truncated Unadjusted Expenses (A22 + A23)]]/AN_TME_BY[[#This Row],[Member Months]],0)</f>
        <v>0</v>
      </c>
      <c r="AC93" s="415">
        <f>IFERROR(AN_TME_BY[[#This Row],[Total Claims Excluded because of Truncation]]/AN_TME_BY[[#This Row],[Count of Members with Claims Truncated]], 0)</f>
        <v>0</v>
      </c>
      <c r="AD93" s="417">
        <f>IFERROR(AN_TME_BY[[#This Row],[Total Claims Excluded because of Truncation]]/AN_TME_BY[[#This Row],[TOTAL Non-Truncated Unadjusted Claims Expenses]], 0)</f>
        <v>0</v>
      </c>
    </row>
    <row r="94" spans="1:30" x14ac:dyDescent="0.25">
      <c r="A94" s="370"/>
      <c r="B94" s="371"/>
      <c r="C94" s="371"/>
      <c r="D94" s="372"/>
      <c r="E94" s="373"/>
      <c r="F94" s="373"/>
      <c r="G94" s="373"/>
      <c r="H94" s="373"/>
      <c r="I94" s="373"/>
      <c r="J94" s="373"/>
      <c r="K94" s="373"/>
      <c r="L94" s="373"/>
      <c r="M94" s="373"/>
      <c r="N94" s="373"/>
      <c r="O94" s="373"/>
      <c r="P94" s="373"/>
      <c r="Q94" s="373"/>
      <c r="R94" s="373"/>
      <c r="S94" s="373"/>
      <c r="T94" s="373"/>
      <c r="U94" s="374"/>
      <c r="V94" s="375">
        <f t="shared" si="4"/>
        <v>0</v>
      </c>
      <c r="W94" s="375">
        <f>AN_TME_BY[[#This Row],[TOTAL Non-Truncated Unadjusted Claims Expenses]]-AN_TME_BY[[#This Row],[Total Claims Excluded because of Truncation]]</f>
        <v>0</v>
      </c>
      <c r="X94" s="375">
        <f t="shared" si="5"/>
        <v>0</v>
      </c>
      <c r="Y94" s="375">
        <f>AN_TME_BY[[#This Row],[TOTAL Non-Truncated Unadjusted Claims Expenses]]+AN_TME_BY[[#This Row],[TOTAL Non-Claims Expenses]]</f>
        <v>0</v>
      </c>
      <c r="Z94" s="375">
        <f>AN_TME_BY[[#This Row],[TOTAL Truncated Unadjusted Claims Expenses (A21 -A19)]]+AN_TME_BY[[#This Row],[TOTAL Non-Claims Expenses]]</f>
        <v>0</v>
      </c>
      <c r="AA94" s="416">
        <f>IFERROR(AN_TME_BY[[#This Row],[TOTAL Non-Truncated Unadjusted Expenses (A21 + A23)]]/AN_TME_BY[[#This Row],[Member Months]],0)</f>
        <v>0</v>
      </c>
      <c r="AB94" s="416">
        <f>IFERROR(AN_TME_BY[[#This Row],[TOTAL Truncated Unadjusted Expenses (A22 + A23)]]/AN_TME_BY[[#This Row],[Member Months]],0)</f>
        <v>0</v>
      </c>
      <c r="AC94" s="416">
        <f>IFERROR(AN_TME_BY[[#This Row],[Total Claims Excluded because of Truncation]]/AN_TME_BY[[#This Row],[Count of Members with Claims Truncated]], 0)</f>
        <v>0</v>
      </c>
      <c r="AD94" s="417">
        <f>IFERROR(AN_TME_BY[[#This Row],[Total Claims Excluded because of Truncation]]/AN_TME_BY[[#This Row],[TOTAL Non-Truncated Unadjusted Claims Expenses]], 0)</f>
        <v>0</v>
      </c>
    </row>
    <row r="95" spans="1:30" x14ac:dyDescent="0.25">
      <c r="A95" s="364"/>
      <c r="B95" s="365"/>
      <c r="C95" s="365"/>
      <c r="D95" s="366"/>
      <c r="E95" s="367"/>
      <c r="F95" s="367"/>
      <c r="G95" s="367"/>
      <c r="H95" s="367"/>
      <c r="I95" s="367"/>
      <c r="J95" s="367"/>
      <c r="K95" s="367"/>
      <c r="L95" s="367"/>
      <c r="M95" s="367"/>
      <c r="N95" s="367"/>
      <c r="O95" s="367"/>
      <c r="P95" s="367"/>
      <c r="Q95" s="367"/>
      <c r="R95" s="367"/>
      <c r="S95" s="367"/>
      <c r="T95" s="367"/>
      <c r="U95" s="368"/>
      <c r="V95" s="369">
        <f t="shared" si="4"/>
        <v>0</v>
      </c>
      <c r="W95" s="413">
        <f>AN_TME_BY[[#This Row],[TOTAL Non-Truncated Unadjusted Claims Expenses]]-AN_TME_BY[[#This Row],[Total Claims Excluded because of Truncation]]</f>
        <v>0</v>
      </c>
      <c r="X95" s="369">
        <f t="shared" si="5"/>
        <v>0</v>
      </c>
      <c r="Y95" s="413">
        <f>AN_TME_BY[[#This Row],[TOTAL Non-Truncated Unadjusted Claims Expenses]]+AN_TME_BY[[#This Row],[TOTAL Non-Claims Expenses]]</f>
        <v>0</v>
      </c>
      <c r="Z95" s="413">
        <f>AN_TME_BY[[#This Row],[TOTAL Truncated Unadjusted Claims Expenses (A21 -A19)]]+AN_TME_BY[[#This Row],[TOTAL Non-Claims Expenses]]</f>
        <v>0</v>
      </c>
      <c r="AA95" s="415">
        <f>IFERROR(AN_TME_BY[[#This Row],[TOTAL Non-Truncated Unadjusted Expenses (A21 + A23)]]/AN_TME_BY[[#This Row],[Member Months]],0)</f>
        <v>0</v>
      </c>
      <c r="AB95" s="415">
        <f>IFERROR(AN_TME_BY[[#This Row],[TOTAL Truncated Unadjusted Expenses (A22 + A23)]]/AN_TME_BY[[#This Row],[Member Months]],0)</f>
        <v>0</v>
      </c>
      <c r="AC95" s="415">
        <f>IFERROR(AN_TME_BY[[#This Row],[Total Claims Excluded because of Truncation]]/AN_TME_BY[[#This Row],[Count of Members with Claims Truncated]], 0)</f>
        <v>0</v>
      </c>
      <c r="AD95" s="417">
        <f>IFERROR(AN_TME_BY[[#This Row],[Total Claims Excluded because of Truncation]]/AN_TME_BY[[#This Row],[TOTAL Non-Truncated Unadjusted Claims Expenses]], 0)</f>
        <v>0</v>
      </c>
    </row>
    <row r="96" spans="1:30" x14ac:dyDescent="0.25">
      <c r="A96" s="370"/>
      <c r="B96" s="371"/>
      <c r="C96" s="371"/>
      <c r="D96" s="372"/>
      <c r="E96" s="373"/>
      <c r="F96" s="373"/>
      <c r="G96" s="373"/>
      <c r="H96" s="373"/>
      <c r="I96" s="373"/>
      <c r="J96" s="373"/>
      <c r="K96" s="373"/>
      <c r="L96" s="373"/>
      <c r="M96" s="373"/>
      <c r="N96" s="373"/>
      <c r="O96" s="373"/>
      <c r="P96" s="373"/>
      <c r="Q96" s="373"/>
      <c r="R96" s="373"/>
      <c r="S96" s="373"/>
      <c r="T96" s="373"/>
      <c r="U96" s="374"/>
      <c r="V96" s="375">
        <f t="shared" si="4"/>
        <v>0</v>
      </c>
      <c r="W96" s="375">
        <f>AN_TME_BY[[#This Row],[TOTAL Non-Truncated Unadjusted Claims Expenses]]-AN_TME_BY[[#This Row],[Total Claims Excluded because of Truncation]]</f>
        <v>0</v>
      </c>
      <c r="X96" s="375">
        <f t="shared" si="5"/>
        <v>0</v>
      </c>
      <c r="Y96" s="375">
        <f>AN_TME_BY[[#This Row],[TOTAL Non-Truncated Unadjusted Claims Expenses]]+AN_TME_BY[[#This Row],[TOTAL Non-Claims Expenses]]</f>
        <v>0</v>
      </c>
      <c r="Z96" s="375">
        <f>AN_TME_BY[[#This Row],[TOTAL Truncated Unadjusted Claims Expenses (A21 -A19)]]+AN_TME_BY[[#This Row],[TOTAL Non-Claims Expenses]]</f>
        <v>0</v>
      </c>
      <c r="AA96" s="416">
        <f>IFERROR(AN_TME_BY[[#This Row],[TOTAL Non-Truncated Unadjusted Expenses (A21 + A23)]]/AN_TME_BY[[#This Row],[Member Months]],0)</f>
        <v>0</v>
      </c>
      <c r="AB96" s="416">
        <f>IFERROR(AN_TME_BY[[#This Row],[TOTAL Truncated Unadjusted Expenses (A22 + A23)]]/AN_TME_BY[[#This Row],[Member Months]],0)</f>
        <v>0</v>
      </c>
      <c r="AC96" s="416">
        <f>IFERROR(AN_TME_BY[[#This Row],[Total Claims Excluded because of Truncation]]/AN_TME_BY[[#This Row],[Count of Members with Claims Truncated]], 0)</f>
        <v>0</v>
      </c>
      <c r="AD96" s="417">
        <f>IFERROR(AN_TME_BY[[#This Row],[Total Claims Excluded because of Truncation]]/AN_TME_BY[[#This Row],[TOTAL Non-Truncated Unadjusted Claims Expenses]], 0)</f>
        <v>0</v>
      </c>
    </row>
    <row r="97" spans="1:30" x14ac:dyDescent="0.25">
      <c r="A97" s="364"/>
      <c r="B97" s="365"/>
      <c r="C97" s="365"/>
      <c r="D97" s="366"/>
      <c r="E97" s="367"/>
      <c r="F97" s="367"/>
      <c r="G97" s="367"/>
      <c r="H97" s="367"/>
      <c r="I97" s="367"/>
      <c r="J97" s="367"/>
      <c r="K97" s="367"/>
      <c r="L97" s="367"/>
      <c r="M97" s="367"/>
      <c r="N97" s="367"/>
      <c r="O97" s="367"/>
      <c r="P97" s="367"/>
      <c r="Q97" s="367"/>
      <c r="R97" s="367"/>
      <c r="S97" s="367"/>
      <c r="T97" s="367"/>
      <c r="U97" s="368"/>
      <c r="V97" s="369">
        <f t="shared" si="4"/>
        <v>0</v>
      </c>
      <c r="W97" s="413">
        <f>AN_TME_BY[[#This Row],[TOTAL Non-Truncated Unadjusted Claims Expenses]]-AN_TME_BY[[#This Row],[Total Claims Excluded because of Truncation]]</f>
        <v>0</v>
      </c>
      <c r="X97" s="369">
        <f t="shared" si="5"/>
        <v>0</v>
      </c>
      <c r="Y97" s="413">
        <f>AN_TME_BY[[#This Row],[TOTAL Non-Truncated Unadjusted Claims Expenses]]+AN_TME_BY[[#This Row],[TOTAL Non-Claims Expenses]]</f>
        <v>0</v>
      </c>
      <c r="Z97" s="413">
        <f>AN_TME_BY[[#This Row],[TOTAL Truncated Unadjusted Claims Expenses (A21 -A19)]]+AN_TME_BY[[#This Row],[TOTAL Non-Claims Expenses]]</f>
        <v>0</v>
      </c>
      <c r="AA97" s="415">
        <f>IFERROR(AN_TME_BY[[#This Row],[TOTAL Non-Truncated Unadjusted Expenses (A21 + A23)]]/AN_TME_BY[[#This Row],[Member Months]],0)</f>
        <v>0</v>
      </c>
      <c r="AB97" s="415">
        <f>IFERROR(AN_TME_BY[[#This Row],[TOTAL Truncated Unadjusted Expenses (A22 + A23)]]/AN_TME_BY[[#This Row],[Member Months]],0)</f>
        <v>0</v>
      </c>
      <c r="AC97" s="415">
        <f>IFERROR(AN_TME_BY[[#This Row],[Total Claims Excluded because of Truncation]]/AN_TME_BY[[#This Row],[Count of Members with Claims Truncated]], 0)</f>
        <v>0</v>
      </c>
      <c r="AD97" s="417">
        <f>IFERROR(AN_TME_BY[[#This Row],[Total Claims Excluded because of Truncation]]/AN_TME_BY[[#This Row],[TOTAL Non-Truncated Unadjusted Claims Expenses]], 0)</f>
        <v>0</v>
      </c>
    </row>
    <row r="98" spans="1:30" x14ac:dyDescent="0.25">
      <c r="A98" s="370"/>
      <c r="B98" s="371"/>
      <c r="C98" s="371"/>
      <c r="D98" s="372"/>
      <c r="E98" s="373"/>
      <c r="F98" s="373"/>
      <c r="G98" s="373"/>
      <c r="H98" s="373"/>
      <c r="I98" s="373"/>
      <c r="J98" s="373"/>
      <c r="K98" s="373"/>
      <c r="L98" s="373"/>
      <c r="M98" s="373"/>
      <c r="N98" s="373"/>
      <c r="O98" s="373"/>
      <c r="P98" s="373"/>
      <c r="Q98" s="373"/>
      <c r="R98" s="373"/>
      <c r="S98" s="373"/>
      <c r="T98" s="373"/>
      <c r="U98" s="374"/>
      <c r="V98" s="375">
        <f t="shared" si="4"/>
        <v>0</v>
      </c>
      <c r="W98" s="375">
        <f>AN_TME_BY[[#This Row],[TOTAL Non-Truncated Unadjusted Claims Expenses]]-AN_TME_BY[[#This Row],[Total Claims Excluded because of Truncation]]</f>
        <v>0</v>
      </c>
      <c r="X98" s="375">
        <f t="shared" si="5"/>
        <v>0</v>
      </c>
      <c r="Y98" s="375">
        <f>AN_TME_BY[[#This Row],[TOTAL Non-Truncated Unadjusted Claims Expenses]]+AN_TME_BY[[#This Row],[TOTAL Non-Claims Expenses]]</f>
        <v>0</v>
      </c>
      <c r="Z98" s="375">
        <f>AN_TME_BY[[#This Row],[TOTAL Truncated Unadjusted Claims Expenses (A21 -A19)]]+AN_TME_BY[[#This Row],[TOTAL Non-Claims Expenses]]</f>
        <v>0</v>
      </c>
      <c r="AA98" s="416">
        <f>IFERROR(AN_TME_BY[[#This Row],[TOTAL Non-Truncated Unadjusted Expenses (A21 + A23)]]/AN_TME_BY[[#This Row],[Member Months]],0)</f>
        <v>0</v>
      </c>
      <c r="AB98" s="416">
        <f>IFERROR(AN_TME_BY[[#This Row],[TOTAL Truncated Unadjusted Expenses (A22 + A23)]]/AN_TME_BY[[#This Row],[Member Months]],0)</f>
        <v>0</v>
      </c>
      <c r="AC98" s="416">
        <f>IFERROR(AN_TME_BY[[#This Row],[Total Claims Excluded because of Truncation]]/AN_TME_BY[[#This Row],[Count of Members with Claims Truncated]], 0)</f>
        <v>0</v>
      </c>
      <c r="AD98" s="417">
        <f>IFERROR(AN_TME_BY[[#This Row],[Total Claims Excluded because of Truncation]]/AN_TME_BY[[#This Row],[TOTAL Non-Truncated Unadjusted Claims Expenses]], 0)</f>
        <v>0</v>
      </c>
    </row>
    <row r="99" spans="1:30" x14ac:dyDescent="0.25">
      <c r="A99" s="364"/>
      <c r="B99" s="365"/>
      <c r="C99" s="365"/>
      <c r="D99" s="366"/>
      <c r="E99" s="367"/>
      <c r="F99" s="367"/>
      <c r="G99" s="367"/>
      <c r="H99" s="367"/>
      <c r="I99" s="367"/>
      <c r="J99" s="367"/>
      <c r="K99" s="367"/>
      <c r="L99" s="367"/>
      <c r="M99" s="367"/>
      <c r="N99" s="367"/>
      <c r="O99" s="367"/>
      <c r="P99" s="367"/>
      <c r="Q99" s="367"/>
      <c r="R99" s="367"/>
      <c r="S99" s="367"/>
      <c r="T99" s="367"/>
      <c r="U99" s="368"/>
      <c r="V99" s="369">
        <f t="shared" si="4"/>
        <v>0</v>
      </c>
      <c r="W99" s="413">
        <f>AN_TME_BY[[#This Row],[TOTAL Non-Truncated Unadjusted Claims Expenses]]-AN_TME_BY[[#This Row],[Total Claims Excluded because of Truncation]]</f>
        <v>0</v>
      </c>
      <c r="X99" s="369">
        <f t="shared" si="5"/>
        <v>0</v>
      </c>
      <c r="Y99" s="413">
        <f>AN_TME_BY[[#This Row],[TOTAL Non-Truncated Unadjusted Claims Expenses]]+AN_TME_BY[[#This Row],[TOTAL Non-Claims Expenses]]</f>
        <v>0</v>
      </c>
      <c r="Z99" s="413">
        <f>AN_TME_BY[[#This Row],[TOTAL Truncated Unadjusted Claims Expenses (A21 -A19)]]+AN_TME_BY[[#This Row],[TOTAL Non-Claims Expenses]]</f>
        <v>0</v>
      </c>
      <c r="AA99" s="415">
        <f>IFERROR(AN_TME_BY[[#This Row],[TOTAL Non-Truncated Unadjusted Expenses (A21 + A23)]]/AN_TME_BY[[#This Row],[Member Months]],0)</f>
        <v>0</v>
      </c>
      <c r="AB99" s="415">
        <f>IFERROR(AN_TME_BY[[#This Row],[TOTAL Truncated Unadjusted Expenses (A22 + A23)]]/AN_TME_BY[[#This Row],[Member Months]],0)</f>
        <v>0</v>
      </c>
      <c r="AC99" s="415">
        <f>IFERROR(AN_TME_BY[[#This Row],[Total Claims Excluded because of Truncation]]/AN_TME_BY[[#This Row],[Count of Members with Claims Truncated]], 0)</f>
        <v>0</v>
      </c>
      <c r="AD99" s="417">
        <f>IFERROR(AN_TME_BY[[#This Row],[Total Claims Excluded because of Truncation]]/AN_TME_BY[[#This Row],[TOTAL Non-Truncated Unadjusted Claims Expenses]], 0)</f>
        <v>0</v>
      </c>
    </row>
    <row r="100" spans="1:30" x14ac:dyDescent="0.25">
      <c r="A100" s="370"/>
      <c r="B100" s="371"/>
      <c r="C100" s="371"/>
      <c r="D100" s="372"/>
      <c r="E100" s="373"/>
      <c r="F100" s="373"/>
      <c r="G100" s="373"/>
      <c r="H100" s="373"/>
      <c r="I100" s="373"/>
      <c r="J100" s="373"/>
      <c r="K100" s="373"/>
      <c r="L100" s="373"/>
      <c r="M100" s="373"/>
      <c r="N100" s="373"/>
      <c r="O100" s="373"/>
      <c r="P100" s="373"/>
      <c r="Q100" s="373"/>
      <c r="R100" s="373"/>
      <c r="S100" s="373"/>
      <c r="T100" s="373"/>
      <c r="U100" s="374"/>
      <c r="V100" s="375">
        <f t="shared" si="4"/>
        <v>0</v>
      </c>
      <c r="W100" s="375">
        <f>AN_TME_BY[[#This Row],[TOTAL Non-Truncated Unadjusted Claims Expenses]]-AN_TME_BY[[#This Row],[Total Claims Excluded because of Truncation]]</f>
        <v>0</v>
      </c>
      <c r="X100" s="375">
        <f t="shared" si="5"/>
        <v>0</v>
      </c>
      <c r="Y100" s="375">
        <f>AN_TME_BY[[#This Row],[TOTAL Non-Truncated Unadjusted Claims Expenses]]+AN_TME_BY[[#This Row],[TOTAL Non-Claims Expenses]]</f>
        <v>0</v>
      </c>
      <c r="Z100" s="375">
        <f>AN_TME_BY[[#This Row],[TOTAL Truncated Unadjusted Claims Expenses (A21 -A19)]]+AN_TME_BY[[#This Row],[TOTAL Non-Claims Expenses]]</f>
        <v>0</v>
      </c>
      <c r="AA100" s="416">
        <f>IFERROR(AN_TME_BY[[#This Row],[TOTAL Non-Truncated Unadjusted Expenses (A21 + A23)]]/AN_TME_BY[[#This Row],[Member Months]],0)</f>
        <v>0</v>
      </c>
      <c r="AB100" s="416">
        <f>IFERROR(AN_TME_BY[[#This Row],[TOTAL Truncated Unadjusted Expenses (A22 + A23)]]/AN_TME_BY[[#This Row],[Member Months]],0)</f>
        <v>0</v>
      </c>
      <c r="AC100" s="416">
        <f>IFERROR(AN_TME_BY[[#This Row],[Total Claims Excluded because of Truncation]]/AN_TME_BY[[#This Row],[Count of Members with Claims Truncated]], 0)</f>
        <v>0</v>
      </c>
      <c r="AD100" s="417">
        <f>IFERROR(AN_TME_BY[[#This Row],[Total Claims Excluded because of Truncation]]/AN_TME_BY[[#This Row],[TOTAL Non-Truncated Unadjusted Claims Expenses]], 0)</f>
        <v>0</v>
      </c>
    </row>
    <row r="101" spans="1:30" x14ac:dyDescent="0.25">
      <c r="A101" s="364"/>
      <c r="B101" s="365"/>
      <c r="C101" s="365"/>
      <c r="D101" s="366"/>
      <c r="E101" s="367"/>
      <c r="F101" s="367"/>
      <c r="G101" s="367"/>
      <c r="H101" s="367"/>
      <c r="I101" s="367"/>
      <c r="J101" s="367"/>
      <c r="K101" s="367"/>
      <c r="L101" s="367"/>
      <c r="M101" s="367"/>
      <c r="N101" s="367"/>
      <c r="O101" s="367"/>
      <c r="P101" s="367"/>
      <c r="Q101" s="367"/>
      <c r="R101" s="367"/>
      <c r="S101" s="367"/>
      <c r="T101" s="367"/>
      <c r="U101" s="368"/>
      <c r="V101" s="369">
        <f t="shared" si="4"/>
        <v>0</v>
      </c>
      <c r="W101" s="413">
        <f>AN_TME_BY[[#This Row],[TOTAL Non-Truncated Unadjusted Claims Expenses]]-AN_TME_BY[[#This Row],[Total Claims Excluded because of Truncation]]</f>
        <v>0</v>
      </c>
      <c r="X101" s="369">
        <f t="shared" si="5"/>
        <v>0</v>
      </c>
      <c r="Y101" s="413">
        <f>AN_TME_BY[[#This Row],[TOTAL Non-Truncated Unadjusted Claims Expenses]]+AN_TME_BY[[#This Row],[TOTAL Non-Claims Expenses]]</f>
        <v>0</v>
      </c>
      <c r="Z101" s="413">
        <f>AN_TME_BY[[#This Row],[TOTAL Truncated Unadjusted Claims Expenses (A21 -A19)]]+AN_TME_BY[[#This Row],[TOTAL Non-Claims Expenses]]</f>
        <v>0</v>
      </c>
      <c r="AA101" s="415">
        <f>IFERROR(AN_TME_BY[[#This Row],[TOTAL Non-Truncated Unadjusted Expenses (A21 + A23)]]/AN_TME_BY[[#This Row],[Member Months]],0)</f>
        <v>0</v>
      </c>
      <c r="AB101" s="415">
        <f>IFERROR(AN_TME_BY[[#This Row],[TOTAL Truncated Unadjusted Expenses (A22 + A23)]]/AN_TME_BY[[#This Row],[Member Months]],0)</f>
        <v>0</v>
      </c>
      <c r="AC101" s="415">
        <f>IFERROR(AN_TME_BY[[#This Row],[Total Claims Excluded because of Truncation]]/AN_TME_BY[[#This Row],[Count of Members with Claims Truncated]], 0)</f>
        <v>0</v>
      </c>
      <c r="AD101" s="417">
        <f>IFERROR(AN_TME_BY[[#This Row],[Total Claims Excluded because of Truncation]]/AN_TME_BY[[#This Row],[TOTAL Non-Truncated Unadjusted Claims Expenses]], 0)</f>
        <v>0</v>
      </c>
    </row>
    <row r="102" spans="1:30" x14ac:dyDescent="0.25">
      <c r="A102" s="370"/>
      <c r="B102" s="371"/>
      <c r="C102" s="371"/>
      <c r="D102" s="372"/>
      <c r="E102" s="373"/>
      <c r="F102" s="373"/>
      <c r="G102" s="373"/>
      <c r="H102" s="373"/>
      <c r="I102" s="373"/>
      <c r="J102" s="373"/>
      <c r="K102" s="373"/>
      <c r="L102" s="373"/>
      <c r="M102" s="373"/>
      <c r="N102" s="373"/>
      <c r="O102" s="373"/>
      <c r="P102" s="373"/>
      <c r="Q102" s="373"/>
      <c r="R102" s="373"/>
      <c r="S102" s="373"/>
      <c r="T102" s="373"/>
      <c r="U102" s="374"/>
      <c r="V102" s="375">
        <f t="shared" si="4"/>
        <v>0</v>
      </c>
      <c r="W102" s="375">
        <f>AN_TME_BY[[#This Row],[TOTAL Non-Truncated Unadjusted Claims Expenses]]-AN_TME_BY[[#This Row],[Total Claims Excluded because of Truncation]]</f>
        <v>0</v>
      </c>
      <c r="X102" s="375">
        <f t="shared" si="5"/>
        <v>0</v>
      </c>
      <c r="Y102" s="375">
        <f>AN_TME_BY[[#This Row],[TOTAL Non-Truncated Unadjusted Claims Expenses]]+AN_TME_BY[[#This Row],[TOTAL Non-Claims Expenses]]</f>
        <v>0</v>
      </c>
      <c r="Z102" s="375">
        <f>AN_TME_BY[[#This Row],[TOTAL Truncated Unadjusted Claims Expenses (A21 -A19)]]+AN_TME_BY[[#This Row],[TOTAL Non-Claims Expenses]]</f>
        <v>0</v>
      </c>
      <c r="AA102" s="416">
        <f>IFERROR(AN_TME_BY[[#This Row],[TOTAL Non-Truncated Unadjusted Expenses (A21 + A23)]]/AN_TME_BY[[#This Row],[Member Months]],0)</f>
        <v>0</v>
      </c>
      <c r="AB102" s="416">
        <f>IFERROR(AN_TME_BY[[#This Row],[TOTAL Truncated Unadjusted Expenses (A22 + A23)]]/AN_TME_BY[[#This Row],[Member Months]],0)</f>
        <v>0</v>
      </c>
      <c r="AC102" s="416">
        <f>IFERROR(AN_TME_BY[[#This Row],[Total Claims Excluded because of Truncation]]/AN_TME_BY[[#This Row],[Count of Members with Claims Truncated]], 0)</f>
        <v>0</v>
      </c>
      <c r="AD102" s="417">
        <f>IFERROR(AN_TME_BY[[#This Row],[Total Claims Excluded because of Truncation]]/AN_TME_BY[[#This Row],[TOTAL Non-Truncated Unadjusted Claims Expenses]], 0)</f>
        <v>0</v>
      </c>
    </row>
    <row r="103" spans="1:30" x14ac:dyDescent="0.25">
      <c r="A103" s="364"/>
      <c r="B103" s="365"/>
      <c r="C103" s="365"/>
      <c r="D103" s="366"/>
      <c r="E103" s="367"/>
      <c r="F103" s="367"/>
      <c r="G103" s="367"/>
      <c r="H103" s="367"/>
      <c r="I103" s="367"/>
      <c r="J103" s="367"/>
      <c r="K103" s="367"/>
      <c r="L103" s="367"/>
      <c r="M103" s="367"/>
      <c r="N103" s="367"/>
      <c r="O103" s="367"/>
      <c r="P103" s="367"/>
      <c r="Q103" s="367"/>
      <c r="R103" s="367"/>
      <c r="S103" s="367"/>
      <c r="T103" s="367"/>
      <c r="U103" s="368"/>
      <c r="V103" s="369">
        <f t="shared" si="4"/>
        <v>0</v>
      </c>
      <c r="W103" s="413">
        <f>AN_TME_BY[[#This Row],[TOTAL Non-Truncated Unadjusted Claims Expenses]]-AN_TME_BY[[#This Row],[Total Claims Excluded because of Truncation]]</f>
        <v>0</v>
      </c>
      <c r="X103" s="369">
        <f t="shared" si="5"/>
        <v>0</v>
      </c>
      <c r="Y103" s="413">
        <f>AN_TME_BY[[#This Row],[TOTAL Non-Truncated Unadjusted Claims Expenses]]+AN_TME_BY[[#This Row],[TOTAL Non-Claims Expenses]]</f>
        <v>0</v>
      </c>
      <c r="Z103" s="413">
        <f>AN_TME_BY[[#This Row],[TOTAL Truncated Unadjusted Claims Expenses (A21 -A19)]]+AN_TME_BY[[#This Row],[TOTAL Non-Claims Expenses]]</f>
        <v>0</v>
      </c>
      <c r="AA103" s="415">
        <f>IFERROR(AN_TME_BY[[#This Row],[TOTAL Non-Truncated Unadjusted Expenses (A21 + A23)]]/AN_TME_BY[[#This Row],[Member Months]],0)</f>
        <v>0</v>
      </c>
      <c r="AB103" s="415">
        <f>IFERROR(AN_TME_BY[[#This Row],[TOTAL Truncated Unadjusted Expenses (A22 + A23)]]/AN_TME_BY[[#This Row],[Member Months]],0)</f>
        <v>0</v>
      </c>
      <c r="AC103" s="415">
        <f>IFERROR(AN_TME_BY[[#This Row],[Total Claims Excluded because of Truncation]]/AN_TME_BY[[#This Row],[Count of Members with Claims Truncated]], 0)</f>
        <v>0</v>
      </c>
      <c r="AD103" s="417">
        <f>IFERROR(AN_TME_BY[[#This Row],[Total Claims Excluded because of Truncation]]/AN_TME_BY[[#This Row],[TOTAL Non-Truncated Unadjusted Claims Expenses]], 0)</f>
        <v>0</v>
      </c>
    </row>
    <row r="104" spans="1:30" x14ac:dyDescent="0.25">
      <c r="A104" s="370"/>
      <c r="B104" s="371"/>
      <c r="C104" s="371"/>
      <c r="D104" s="372"/>
      <c r="E104" s="373"/>
      <c r="F104" s="373"/>
      <c r="G104" s="373"/>
      <c r="H104" s="373"/>
      <c r="I104" s="373"/>
      <c r="J104" s="373"/>
      <c r="K104" s="373"/>
      <c r="L104" s="373"/>
      <c r="M104" s="373"/>
      <c r="N104" s="373"/>
      <c r="O104" s="373"/>
      <c r="P104" s="373"/>
      <c r="Q104" s="373"/>
      <c r="R104" s="373"/>
      <c r="S104" s="373"/>
      <c r="T104" s="373"/>
      <c r="U104" s="374"/>
      <c r="V104" s="375">
        <f t="shared" si="4"/>
        <v>0</v>
      </c>
      <c r="W104" s="375">
        <f>AN_TME_BY[[#This Row],[TOTAL Non-Truncated Unadjusted Claims Expenses]]-AN_TME_BY[[#This Row],[Total Claims Excluded because of Truncation]]</f>
        <v>0</v>
      </c>
      <c r="X104" s="375">
        <f t="shared" si="5"/>
        <v>0</v>
      </c>
      <c r="Y104" s="375">
        <f>AN_TME_BY[[#This Row],[TOTAL Non-Truncated Unadjusted Claims Expenses]]+AN_TME_BY[[#This Row],[TOTAL Non-Claims Expenses]]</f>
        <v>0</v>
      </c>
      <c r="Z104" s="375">
        <f>AN_TME_BY[[#This Row],[TOTAL Truncated Unadjusted Claims Expenses (A21 -A19)]]+AN_TME_BY[[#This Row],[TOTAL Non-Claims Expenses]]</f>
        <v>0</v>
      </c>
      <c r="AA104" s="416">
        <f>IFERROR(AN_TME_BY[[#This Row],[TOTAL Non-Truncated Unadjusted Expenses (A21 + A23)]]/AN_TME_BY[[#This Row],[Member Months]],0)</f>
        <v>0</v>
      </c>
      <c r="AB104" s="416">
        <f>IFERROR(AN_TME_BY[[#This Row],[TOTAL Truncated Unadjusted Expenses (A22 + A23)]]/AN_TME_BY[[#This Row],[Member Months]],0)</f>
        <v>0</v>
      </c>
      <c r="AC104" s="416">
        <f>IFERROR(AN_TME_BY[[#This Row],[Total Claims Excluded because of Truncation]]/AN_TME_BY[[#This Row],[Count of Members with Claims Truncated]], 0)</f>
        <v>0</v>
      </c>
      <c r="AD104" s="417">
        <f>IFERROR(AN_TME_BY[[#This Row],[Total Claims Excluded because of Truncation]]/AN_TME_BY[[#This Row],[TOTAL Non-Truncated Unadjusted Claims Expenses]], 0)</f>
        <v>0</v>
      </c>
    </row>
    <row r="105" spans="1:30" x14ac:dyDescent="0.25">
      <c r="A105" s="364"/>
      <c r="B105" s="365"/>
      <c r="C105" s="365"/>
      <c r="D105" s="366"/>
      <c r="E105" s="367"/>
      <c r="F105" s="367"/>
      <c r="G105" s="367"/>
      <c r="H105" s="367"/>
      <c r="I105" s="367"/>
      <c r="J105" s="367"/>
      <c r="K105" s="367"/>
      <c r="L105" s="367"/>
      <c r="M105" s="367"/>
      <c r="N105" s="367"/>
      <c r="O105" s="367"/>
      <c r="P105" s="367"/>
      <c r="Q105" s="367"/>
      <c r="R105" s="367"/>
      <c r="S105" s="367"/>
      <c r="T105" s="367"/>
      <c r="U105" s="368"/>
      <c r="V105" s="369">
        <f t="shared" si="4"/>
        <v>0</v>
      </c>
      <c r="W105" s="413">
        <f>AN_TME_BY[[#This Row],[TOTAL Non-Truncated Unadjusted Claims Expenses]]-AN_TME_BY[[#This Row],[Total Claims Excluded because of Truncation]]</f>
        <v>0</v>
      </c>
      <c r="X105" s="369">
        <f t="shared" si="5"/>
        <v>0</v>
      </c>
      <c r="Y105" s="413">
        <f>AN_TME_BY[[#This Row],[TOTAL Non-Truncated Unadjusted Claims Expenses]]+AN_TME_BY[[#This Row],[TOTAL Non-Claims Expenses]]</f>
        <v>0</v>
      </c>
      <c r="Z105" s="413">
        <f>AN_TME_BY[[#This Row],[TOTAL Truncated Unadjusted Claims Expenses (A21 -A19)]]+AN_TME_BY[[#This Row],[TOTAL Non-Claims Expenses]]</f>
        <v>0</v>
      </c>
      <c r="AA105" s="415">
        <f>IFERROR(AN_TME_BY[[#This Row],[TOTAL Non-Truncated Unadjusted Expenses (A21 + A23)]]/AN_TME_BY[[#This Row],[Member Months]],0)</f>
        <v>0</v>
      </c>
      <c r="AB105" s="415">
        <f>IFERROR(AN_TME_BY[[#This Row],[TOTAL Truncated Unadjusted Expenses (A22 + A23)]]/AN_TME_BY[[#This Row],[Member Months]],0)</f>
        <v>0</v>
      </c>
      <c r="AC105" s="415">
        <f>IFERROR(AN_TME_BY[[#This Row],[Total Claims Excluded because of Truncation]]/AN_TME_BY[[#This Row],[Count of Members with Claims Truncated]], 0)</f>
        <v>0</v>
      </c>
      <c r="AD105" s="417">
        <f>IFERROR(AN_TME_BY[[#This Row],[Total Claims Excluded because of Truncation]]/AN_TME_BY[[#This Row],[TOTAL Non-Truncated Unadjusted Claims Expenses]], 0)</f>
        <v>0</v>
      </c>
    </row>
    <row r="106" spans="1:30" x14ac:dyDescent="0.25">
      <c r="A106" s="370"/>
      <c r="B106" s="371"/>
      <c r="C106" s="371"/>
      <c r="D106" s="372"/>
      <c r="E106" s="373"/>
      <c r="F106" s="373"/>
      <c r="G106" s="373"/>
      <c r="H106" s="373"/>
      <c r="I106" s="373"/>
      <c r="J106" s="373"/>
      <c r="K106" s="373"/>
      <c r="L106" s="373"/>
      <c r="M106" s="373"/>
      <c r="N106" s="373"/>
      <c r="O106" s="373"/>
      <c r="P106" s="373"/>
      <c r="Q106" s="373"/>
      <c r="R106" s="373"/>
      <c r="S106" s="373"/>
      <c r="T106" s="373"/>
      <c r="U106" s="374"/>
      <c r="V106" s="375">
        <f t="shared" si="4"/>
        <v>0</v>
      </c>
      <c r="W106" s="375">
        <f>AN_TME_BY[[#This Row],[TOTAL Non-Truncated Unadjusted Claims Expenses]]-AN_TME_BY[[#This Row],[Total Claims Excluded because of Truncation]]</f>
        <v>0</v>
      </c>
      <c r="X106" s="375">
        <f t="shared" si="5"/>
        <v>0</v>
      </c>
      <c r="Y106" s="375">
        <f>AN_TME_BY[[#This Row],[TOTAL Non-Truncated Unadjusted Claims Expenses]]+AN_TME_BY[[#This Row],[TOTAL Non-Claims Expenses]]</f>
        <v>0</v>
      </c>
      <c r="Z106" s="375">
        <f>AN_TME_BY[[#This Row],[TOTAL Truncated Unadjusted Claims Expenses (A21 -A19)]]+AN_TME_BY[[#This Row],[TOTAL Non-Claims Expenses]]</f>
        <v>0</v>
      </c>
      <c r="AA106" s="416">
        <f>IFERROR(AN_TME_BY[[#This Row],[TOTAL Non-Truncated Unadjusted Expenses (A21 + A23)]]/AN_TME_BY[[#This Row],[Member Months]],0)</f>
        <v>0</v>
      </c>
      <c r="AB106" s="416">
        <f>IFERROR(AN_TME_BY[[#This Row],[TOTAL Truncated Unadjusted Expenses (A22 + A23)]]/AN_TME_BY[[#This Row],[Member Months]],0)</f>
        <v>0</v>
      </c>
      <c r="AC106" s="416">
        <f>IFERROR(AN_TME_BY[[#This Row],[Total Claims Excluded because of Truncation]]/AN_TME_BY[[#This Row],[Count of Members with Claims Truncated]], 0)</f>
        <v>0</v>
      </c>
      <c r="AD106" s="417">
        <f>IFERROR(AN_TME_BY[[#This Row],[Total Claims Excluded because of Truncation]]/AN_TME_BY[[#This Row],[TOTAL Non-Truncated Unadjusted Claims Expenses]], 0)</f>
        <v>0</v>
      </c>
    </row>
    <row r="107" spans="1:30" x14ac:dyDescent="0.25">
      <c r="A107" s="364"/>
      <c r="B107" s="365"/>
      <c r="C107" s="365"/>
      <c r="D107" s="366"/>
      <c r="E107" s="367"/>
      <c r="F107" s="367"/>
      <c r="G107" s="367"/>
      <c r="H107" s="367"/>
      <c r="I107" s="367"/>
      <c r="J107" s="367"/>
      <c r="K107" s="367"/>
      <c r="L107" s="367"/>
      <c r="M107" s="367"/>
      <c r="N107" s="367"/>
      <c r="O107" s="367"/>
      <c r="P107" s="367"/>
      <c r="Q107" s="367"/>
      <c r="R107" s="367"/>
      <c r="S107" s="367"/>
      <c r="T107" s="367"/>
      <c r="U107" s="368"/>
      <c r="V107" s="369">
        <f t="shared" ref="V107:V138" si="6">SUM(E107:G107)+SUM(I107:M107)</f>
        <v>0</v>
      </c>
      <c r="W107" s="413">
        <f>AN_TME_BY[[#This Row],[TOTAL Non-Truncated Unadjusted Claims Expenses]]-AN_TME_BY[[#This Row],[Total Claims Excluded because of Truncation]]</f>
        <v>0</v>
      </c>
      <c r="X107" s="369">
        <f t="shared" ref="X107:X138" si="7">SUM(N107:R107)</f>
        <v>0</v>
      </c>
      <c r="Y107" s="413">
        <f>AN_TME_BY[[#This Row],[TOTAL Non-Truncated Unadjusted Claims Expenses]]+AN_TME_BY[[#This Row],[TOTAL Non-Claims Expenses]]</f>
        <v>0</v>
      </c>
      <c r="Z107" s="413">
        <f>AN_TME_BY[[#This Row],[TOTAL Truncated Unadjusted Claims Expenses (A21 -A19)]]+AN_TME_BY[[#This Row],[TOTAL Non-Claims Expenses]]</f>
        <v>0</v>
      </c>
      <c r="AA107" s="415">
        <f>IFERROR(AN_TME_BY[[#This Row],[TOTAL Non-Truncated Unadjusted Expenses (A21 + A23)]]/AN_TME_BY[[#This Row],[Member Months]],0)</f>
        <v>0</v>
      </c>
      <c r="AB107" s="415">
        <f>IFERROR(AN_TME_BY[[#This Row],[TOTAL Truncated Unadjusted Expenses (A22 + A23)]]/AN_TME_BY[[#This Row],[Member Months]],0)</f>
        <v>0</v>
      </c>
      <c r="AC107" s="415">
        <f>IFERROR(AN_TME_BY[[#This Row],[Total Claims Excluded because of Truncation]]/AN_TME_BY[[#This Row],[Count of Members with Claims Truncated]], 0)</f>
        <v>0</v>
      </c>
      <c r="AD107" s="417">
        <f>IFERROR(AN_TME_BY[[#This Row],[Total Claims Excluded because of Truncation]]/AN_TME_BY[[#This Row],[TOTAL Non-Truncated Unadjusted Claims Expenses]], 0)</f>
        <v>0</v>
      </c>
    </row>
    <row r="108" spans="1:30" x14ac:dyDescent="0.25">
      <c r="A108" s="370"/>
      <c r="B108" s="371"/>
      <c r="C108" s="371"/>
      <c r="D108" s="372"/>
      <c r="E108" s="373"/>
      <c r="F108" s="373"/>
      <c r="G108" s="373"/>
      <c r="H108" s="373"/>
      <c r="I108" s="373"/>
      <c r="J108" s="373"/>
      <c r="K108" s="373"/>
      <c r="L108" s="373"/>
      <c r="M108" s="373"/>
      <c r="N108" s="373"/>
      <c r="O108" s="373"/>
      <c r="P108" s="373"/>
      <c r="Q108" s="373"/>
      <c r="R108" s="373"/>
      <c r="S108" s="373"/>
      <c r="T108" s="373"/>
      <c r="U108" s="374"/>
      <c r="V108" s="375">
        <f t="shared" si="6"/>
        <v>0</v>
      </c>
      <c r="W108" s="375">
        <f>AN_TME_BY[[#This Row],[TOTAL Non-Truncated Unadjusted Claims Expenses]]-AN_TME_BY[[#This Row],[Total Claims Excluded because of Truncation]]</f>
        <v>0</v>
      </c>
      <c r="X108" s="375">
        <f t="shared" si="7"/>
        <v>0</v>
      </c>
      <c r="Y108" s="375">
        <f>AN_TME_BY[[#This Row],[TOTAL Non-Truncated Unadjusted Claims Expenses]]+AN_TME_BY[[#This Row],[TOTAL Non-Claims Expenses]]</f>
        <v>0</v>
      </c>
      <c r="Z108" s="375">
        <f>AN_TME_BY[[#This Row],[TOTAL Truncated Unadjusted Claims Expenses (A21 -A19)]]+AN_TME_BY[[#This Row],[TOTAL Non-Claims Expenses]]</f>
        <v>0</v>
      </c>
      <c r="AA108" s="416">
        <f>IFERROR(AN_TME_BY[[#This Row],[TOTAL Non-Truncated Unadjusted Expenses (A21 + A23)]]/AN_TME_BY[[#This Row],[Member Months]],0)</f>
        <v>0</v>
      </c>
      <c r="AB108" s="416">
        <f>IFERROR(AN_TME_BY[[#This Row],[TOTAL Truncated Unadjusted Expenses (A22 + A23)]]/AN_TME_BY[[#This Row],[Member Months]],0)</f>
        <v>0</v>
      </c>
      <c r="AC108" s="416">
        <f>IFERROR(AN_TME_BY[[#This Row],[Total Claims Excluded because of Truncation]]/AN_TME_BY[[#This Row],[Count of Members with Claims Truncated]], 0)</f>
        <v>0</v>
      </c>
      <c r="AD108" s="417">
        <f>IFERROR(AN_TME_BY[[#This Row],[Total Claims Excluded because of Truncation]]/AN_TME_BY[[#This Row],[TOTAL Non-Truncated Unadjusted Claims Expenses]], 0)</f>
        <v>0</v>
      </c>
    </row>
    <row r="109" spans="1:30" x14ac:dyDescent="0.25">
      <c r="A109" s="364"/>
      <c r="B109" s="365"/>
      <c r="C109" s="365"/>
      <c r="D109" s="366"/>
      <c r="E109" s="367"/>
      <c r="F109" s="367"/>
      <c r="G109" s="367"/>
      <c r="H109" s="367"/>
      <c r="I109" s="367"/>
      <c r="J109" s="367"/>
      <c r="K109" s="367"/>
      <c r="L109" s="367"/>
      <c r="M109" s="367"/>
      <c r="N109" s="367"/>
      <c r="O109" s="367"/>
      <c r="P109" s="367"/>
      <c r="Q109" s="367"/>
      <c r="R109" s="367"/>
      <c r="S109" s="367"/>
      <c r="T109" s="367"/>
      <c r="U109" s="368"/>
      <c r="V109" s="369">
        <f t="shared" si="6"/>
        <v>0</v>
      </c>
      <c r="W109" s="413">
        <f>AN_TME_BY[[#This Row],[TOTAL Non-Truncated Unadjusted Claims Expenses]]-AN_TME_BY[[#This Row],[Total Claims Excluded because of Truncation]]</f>
        <v>0</v>
      </c>
      <c r="X109" s="369">
        <f t="shared" si="7"/>
        <v>0</v>
      </c>
      <c r="Y109" s="413">
        <f>AN_TME_BY[[#This Row],[TOTAL Non-Truncated Unadjusted Claims Expenses]]+AN_TME_BY[[#This Row],[TOTAL Non-Claims Expenses]]</f>
        <v>0</v>
      </c>
      <c r="Z109" s="413">
        <f>AN_TME_BY[[#This Row],[TOTAL Truncated Unadjusted Claims Expenses (A21 -A19)]]+AN_TME_BY[[#This Row],[TOTAL Non-Claims Expenses]]</f>
        <v>0</v>
      </c>
      <c r="AA109" s="415">
        <f>IFERROR(AN_TME_BY[[#This Row],[TOTAL Non-Truncated Unadjusted Expenses (A21 + A23)]]/AN_TME_BY[[#This Row],[Member Months]],0)</f>
        <v>0</v>
      </c>
      <c r="AB109" s="415">
        <f>IFERROR(AN_TME_BY[[#This Row],[TOTAL Truncated Unadjusted Expenses (A22 + A23)]]/AN_TME_BY[[#This Row],[Member Months]],0)</f>
        <v>0</v>
      </c>
      <c r="AC109" s="415">
        <f>IFERROR(AN_TME_BY[[#This Row],[Total Claims Excluded because of Truncation]]/AN_TME_BY[[#This Row],[Count of Members with Claims Truncated]], 0)</f>
        <v>0</v>
      </c>
      <c r="AD109" s="417">
        <f>IFERROR(AN_TME_BY[[#This Row],[Total Claims Excluded because of Truncation]]/AN_TME_BY[[#This Row],[TOTAL Non-Truncated Unadjusted Claims Expenses]], 0)</f>
        <v>0</v>
      </c>
    </row>
    <row r="110" spans="1:30" x14ac:dyDescent="0.25">
      <c r="A110" s="370"/>
      <c r="B110" s="371"/>
      <c r="C110" s="371"/>
      <c r="D110" s="372"/>
      <c r="E110" s="373"/>
      <c r="F110" s="373"/>
      <c r="G110" s="373"/>
      <c r="H110" s="373"/>
      <c r="I110" s="373"/>
      <c r="J110" s="373"/>
      <c r="K110" s="373"/>
      <c r="L110" s="373"/>
      <c r="M110" s="373"/>
      <c r="N110" s="373"/>
      <c r="O110" s="373"/>
      <c r="P110" s="373"/>
      <c r="Q110" s="373"/>
      <c r="R110" s="373"/>
      <c r="S110" s="373"/>
      <c r="T110" s="373"/>
      <c r="U110" s="374"/>
      <c r="V110" s="375">
        <f t="shared" si="6"/>
        <v>0</v>
      </c>
      <c r="W110" s="375">
        <f>AN_TME_BY[[#This Row],[TOTAL Non-Truncated Unadjusted Claims Expenses]]-AN_TME_BY[[#This Row],[Total Claims Excluded because of Truncation]]</f>
        <v>0</v>
      </c>
      <c r="X110" s="375">
        <f t="shared" si="7"/>
        <v>0</v>
      </c>
      <c r="Y110" s="375">
        <f>AN_TME_BY[[#This Row],[TOTAL Non-Truncated Unadjusted Claims Expenses]]+AN_TME_BY[[#This Row],[TOTAL Non-Claims Expenses]]</f>
        <v>0</v>
      </c>
      <c r="Z110" s="375">
        <f>AN_TME_BY[[#This Row],[TOTAL Truncated Unadjusted Claims Expenses (A21 -A19)]]+AN_TME_BY[[#This Row],[TOTAL Non-Claims Expenses]]</f>
        <v>0</v>
      </c>
      <c r="AA110" s="416">
        <f>IFERROR(AN_TME_BY[[#This Row],[TOTAL Non-Truncated Unadjusted Expenses (A21 + A23)]]/AN_TME_BY[[#This Row],[Member Months]],0)</f>
        <v>0</v>
      </c>
      <c r="AB110" s="416">
        <f>IFERROR(AN_TME_BY[[#This Row],[TOTAL Truncated Unadjusted Expenses (A22 + A23)]]/AN_TME_BY[[#This Row],[Member Months]],0)</f>
        <v>0</v>
      </c>
      <c r="AC110" s="416">
        <f>IFERROR(AN_TME_BY[[#This Row],[Total Claims Excluded because of Truncation]]/AN_TME_BY[[#This Row],[Count of Members with Claims Truncated]], 0)</f>
        <v>0</v>
      </c>
      <c r="AD110" s="417">
        <f>IFERROR(AN_TME_BY[[#This Row],[Total Claims Excluded because of Truncation]]/AN_TME_BY[[#This Row],[TOTAL Non-Truncated Unadjusted Claims Expenses]], 0)</f>
        <v>0</v>
      </c>
    </row>
    <row r="111" spans="1:30" x14ac:dyDescent="0.25">
      <c r="A111" s="364"/>
      <c r="B111" s="365"/>
      <c r="C111" s="365"/>
      <c r="D111" s="366"/>
      <c r="E111" s="367"/>
      <c r="F111" s="367"/>
      <c r="G111" s="367"/>
      <c r="H111" s="367"/>
      <c r="I111" s="367"/>
      <c r="J111" s="367"/>
      <c r="K111" s="367"/>
      <c r="L111" s="367"/>
      <c r="M111" s="367"/>
      <c r="N111" s="367"/>
      <c r="O111" s="367"/>
      <c r="P111" s="367"/>
      <c r="Q111" s="367"/>
      <c r="R111" s="367"/>
      <c r="S111" s="367"/>
      <c r="T111" s="367"/>
      <c r="U111" s="368"/>
      <c r="V111" s="369">
        <f t="shared" si="6"/>
        <v>0</v>
      </c>
      <c r="W111" s="413">
        <f>AN_TME_BY[[#This Row],[TOTAL Non-Truncated Unadjusted Claims Expenses]]-AN_TME_BY[[#This Row],[Total Claims Excluded because of Truncation]]</f>
        <v>0</v>
      </c>
      <c r="X111" s="369">
        <f t="shared" si="7"/>
        <v>0</v>
      </c>
      <c r="Y111" s="413">
        <f>AN_TME_BY[[#This Row],[TOTAL Non-Truncated Unadjusted Claims Expenses]]+AN_TME_BY[[#This Row],[TOTAL Non-Claims Expenses]]</f>
        <v>0</v>
      </c>
      <c r="Z111" s="413">
        <f>AN_TME_BY[[#This Row],[TOTAL Truncated Unadjusted Claims Expenses (A21 -A19)]]+AN_TME_BY[[#This Row],[TOTAL Non-Claims Expenses]]</f>
        <v>0</v>
      </c>
      <c r="AA111" s="415">
        <f>IFERROR(AN_TME_BY[[#This Row],[TOTAL Non-Truncated Unadjusted Expenses (A21 + A23)]]/AN_TME_BY[[#This Row],[Member Months]],0)</f>
        <v>0</v>
      </c>
      <c r="AB111" s="415">
        <f>IFERROR(AN_TME_BY[[#This Row],[TOTAL Truncated Unadjusted Expenses (A22 + A23)]]/AN_TME_BY[[#This Row],[Member Months]],0)</f>
        <v>0</v>
      </c>
      <c r="AC111" s="415">
        <f>IFERROR(AN_TME_BY[[#This Row],[Total Claims Excluded because of Truncation]]/AN_TME_BY[[#This Row],[Count of Members with Claims Truncated]], 0)</f>
        <v>0</v>
      </c>
      <c r="AD111" s="417">
        <f>IFERROR(AN_TME_BY[[#This Row],[Total Claims Excluded because of Truncation]]/AN_TME_BY[[#This Row],[TOTAL Non-Truncated Unadjusted Claims Expenses]], 0)</f>
        <v>0</v>
      </c>
    </row>
    <row r="112" spans="1:30" x14ac:dyDescent="0.25">
      <c r="A112" s="370"/>
      <c r="B112" s="371"/>
      <c r="C112" s="371"/>
      <c r="D112" s="372"/>
      <c r="E112" s="373"/>
      <c r="F112" s="373"/>
      <c r="G112" s="373"/>
      <c r="H112" s="373"/>
      <c r="I112" s="373"/>
      <c r="J112" s="373"/>
      <c r="K112" s="373"/>
      <c r="L112" s="373"/>
      <c r="M112" s="373"/>
      <c r="N112" s="373"/>
      <c r="O112" s="373"/>
      <c r="P112" s="373"/>
      <c r="Q112" s="373"/>
      <c r="R112" s="373"/>
      <c r="S112" s="373"/>
      <c r="T112" s="373"/>
      <c r="U112" s="374"/>
      <c r="V112" s="375">
        <f t="shared" si="6"/>
        <v>0</v>
      </c>
      <c r="W112" s="375">
        <f>AN_TME_BY[[#This Row],[TOTAL Non-Truncated Unadjusted Claims Expenses]]-AN_TME_BY[[#This Row],[Total Claims Excluded because of Truncation]]</f>
        <v>0</v>
      </c>
      <c r="X112" s="375">
        <f t="shared" si="7"/>
        <v>0</v>
      </c>
      <c r="Y112" s="375">
        <f>AN_TME_BY[[#This Row],[TOTAL Non-Truncated Unadjusted Claims Expenses]]+AN_TME_BY[[#This Row],[TOTAL Non-Claims Expenses]]</f>
        <v>0</v>
      </c>
      <c r="Z112" s="375">
        <f>AN_TME_BY[[#This Row],[TOTAL Truncated Unadjusted Claims Expenses (A21 -A19)]]+AN_TME_BY[[#This Row],[TOTAL Non-Claims Expenses]]</f>
        <v>0</v>
      </c>
      <c r="AA112" s="416">
        <f>IFERROR(AN_TME_BY[[#This Row],[TOTAL Non-Truncated Unadjusted Expenses (A21 + A23)]]/AN_TME_BY[[#This Row],[Member Months]],0)</f>
        <v>0</v>
      </c>
      <c r="AB112" s="416">
        <f>IFERROR(AN_TME_BY[[#This Row],[TOTAL Truncated Unadjusted Expenses (A22 + A23)]]/AN_TME_BY[[#This Row],[Member Months]],0)</f>
        <v>0</v>
      </c>
      <c r="AC112" s="416">
        <f>IFERROR(AN_TME_BY[[#This Row],[Total Claims Excluded because of Truncation]]/AN_TME_BY[[#This Row],[Count of Members with Claims Truncated]], 0)</f>
        <v>0</v>
      </c>
      <c r="AD112" s="417">
        <f>IFERROR(AN_TME_BY[[#This Row],[Total Claims Excluded because of Truncation]]/AN_TME_BY[[#This Row],[TOTAL Non-Truncated Unadjusted Claims Expenses]], 0)</f>
        <v>0</v>
      </c>
    </row>
    <row r="113" spans="1:30" x14ac:dyDescent="0.25">
      <c r="A113" s="364"/>
      <c r="B113" s="365"/>
      <c r="C113" s="365"/>
      <c r="D113" s="366"/>
      <c r="E113" s="367"/>
      <c r="F113" s="367"/>
      <c r="G113" s="367"/>
      <c r="H113" s="367"/>
      <c r="I113" s="367"/>
      <c r="J113" s="367"/>
      <c r="K113" s="367"/>
      <c r="L113" s="367"/>
      <c r="M113" s="367"/>
      <c r="N113" s="367"/>
      <c r="O113" s="367"/>
      <c r="P113" s="367"/>
      <c r="Q113" s="367"/>
      <c r="R113" s="367"/>
      <c r="S113" s="367"/>
      <c r="T113" s="367"/>
      <c r="U113" s="368"/>
      <c r="V113" s="369">
        <f t="shared" si="6"/>
        <v>0</v>
      </c>
      <c r="W113" s="413">
        <f>AN_TME_BY[[#This Row],[TOTAL Non-Truncated Unadjusted Claims Expenses]]-AN_TME_BY[[#This Row],[Total Claims Excluded because of Truncation]]</f>
        <v>0</v>
      </c>
      <c r="X113" s="369">
        <f t="shared" si="7"/>
        <v>0</v>
      </c>
      <c r="Y113" s="413">
        <f>AN_TME_BY[[#This Row],[TOTAL Non-Truncated Unadjusted Claims Expenses]]+AN_TME_BY[[#This Row],[TOTAL Non-Claims Expenses]]</f>
        <v>0</v>
      </c>
      <c r="Z113" s="413">
        <f>AN_TME_BY[[#This Row],[TOTAL Truncated Unadjusted Claims Expenses (A21 -A19)]]+AN_TME_BY[[#This Row],[TOTAL Non-Claims Expenses]]</f>
        <v>0</v>
      </c>
      <c r="AA113" s="415">
        <f>IFERROR(AN_TME_BY[[#This Row],[TOTAL Non-Truncated Unadjusted Expenses (A21 + A23)]]/AN_TME_BY[[#This Row],[Member Months]],0)</f>
        <v>0</v>
      </c>
      <c r="AB113" s="415">
        <f>IFERROR(AN_TME_BY[[#This Row],[TOTAL Truncated Unadjusted Expenses (A22 + A23)]]/AN_TME_BY[[#This Row],[Member Months]],0)</f>
        <v>0</v>
      </c>
      <c r="AC113" s="415">
        <f>IFERROR(AN_TME_BY[[#This Row],[Total Claims Excluded because of Truncation]]/AN_TME_BY[[#This Row],[Count of Members with Claims Truncated]], 0)</f>
        <v>0</v>
      </c>
      <c r="AD113" s="417">
        <f>IFERROR(AN_TME_BY[[#This Row],[Total Claims Excluded because of Truncation]]/AN_TME_BY[[#This Row],[TOTAL Non-Truncated Unadjusted Claims Expenses]], 0)</f>
        <v>0</v>
      </c>
    </row>
    <row r="114" spans="1:30" x14ac:dyDescent="0.25">
      <c r="A114" s="370"/>
      <c r="B114" s="371"/>
      <c r="C114" s="371"/>
      <c r="D114" s="372"/>
      <c r="E114" s="373"/>
      <c r="F114" s="373"/>
      <c r="G114" s="373"/>
      <c r="H114" s="373"/>
      <c r="I114" s="373"/>
      <c r="J114" s="373"/>
      <c r="K114" s="373"/>
      <c r="L114" s="373"/>
      <c r="M114" s="373"/>
      <c r="N114" s="373"/>
      <c r="O114" s="373"/>
      <c r="P114" s="373"/>
      <c r="Q114" s="373"/>
      <c r="R114" s="373"/>
      <c r="S114" s="373"/>
      <c r="T114" s="373"/>
      <c r="U114" s="374"/>
      <c r="V114" s="375">
        <f t="shared" si="6"/>
        <v>0</v>
      </c>
      <c r="W114" s="375">
        <f>AN_TME_BY[[#This Row],[TOTAL Non-Truncated Unadjusted Claims Expenses]]-AN_TME_BY[[#This Row],[Total Claims Excluded because of Truncation]]</f>
        <v>0</v>
      </c>
      <c r="X114" s="375">
        <f t="shared" si="7"/>
        <v>0</v>
      </c>
      <c r="Y114" s="375">
        <f>AN_TME_BY[[#This Row],[TOTAL Non-Truncated Unadjusted Claims Expenses]]+AN_TME_BY[[#This Row],[TOTAL Non-Claims Expenses]]</f>
        <v>0</v>
      </c>
      <c r="Z114" s="375">
        <f>AN_TME_BY[[#This Row],[TOTAL Truncated Unadjusted Claims Expenses (A21 -A19)]]+AN_TME_BY[[#This Row],[TOTAL Non-Claims Expenses]]</f>
        <v>0</v>
      </c>
      <c r="AA114" s="416">
        <f>IFERROR(AN_TME_BY[[#This Row],[TOTAL Non-Truncated Unadjusted Expenses (A21 + A23)]]/AN_TME_BY[[#This Row],[Member Months]],0)</f>
        <v>0</v>
      </c>
      <c r="AB114" s="416">
        <f>IFERROR(AN_TME_BY[[#This Row],[TOTAL Truncated Unadjusted Expenses (A22 + A23)]]/AN_TME_BY[[#This Row],[Member Months]],0)</f>
        <v>0</v>
      </c>
      <c r="AC114" s="416">
        <f>IFERROR(AN_TME_BY[[#This Row],[Total Claims Excluded because of Truncation]]/AN_TME_BY[[#This Row],[Count of Members with Claims Truncated]], 0)</f>
        <v>0</v>
      </c>
      <c r="AD114" s="417">
        <f>IFERROR(AN_TME_BY[[#This Row],[Total Claims Excluded because of Truncation]]/AN_TME_BY[[#This Row],[TOTAL Non-Truncated Unadjusted Claims Expenses]], 0)</f>
        <v>0</v>
      </c>
    </row>
    <row r="115" spans="1:30" x14ac:dyDescent="0.25">
      <c r="A115" s="364"/>
      <c r="B115" s="365"/>
      <c r="C115" s="365"/>
      <c r="D115" s="366"/>
      <c r="E115" s="367"/>
      <c r="F115" s="367"/>
      <c r="G115" s="367"/>
      <c r="H115" s="367"/>
      <c r="I115" s="367"/>
      <c r="J115" s="367"/>
      <c r="K115" s="367"/>
      <c r="L115" s="367"/>
      <c r="M115" s="367"/>
      <c r="N115" s="367"/>
      <c r="O115" s="367"/>
      <c r="P115" s="367"/>
      <c r="Q115" s="367"/>
      <c r="R115" s="367"/>
      <c r="S115" s="367"/>
      <c r="T115" s="367"/>
      <c r="U115" s="368"/>
      <c r="V115" s="369">
        <f t="shared" si="6"/>
        <v>0</v>
      </c>
      <c r="W115" s="413">
        <f>AN_TME_BY[[#This Row],[TOTAL Non-Truncated Unadjusted Claims Expenses]]-AN_TME_BY[[#This Row],[Total Claims Excluded because of Truncation]]</f>
        <v>0</v>
      </c>
      <c r="X115" s="369">
        <f t="shared" si="7"/>
        <v>0</v>
      </c>
      <c r="Y115" s="413">
        <f>AN_TME_BY[[#This Row],[TOTAL Non-Truncated Unadjusted Claims Expenses]]+AN_TME_BY[[#This Row],[TOTAL Non-Claims Expenses]]</f>
        <v>0</v>
      </c>
      <c r="Z115" s="413">
        <f>AN_TME_BY[[#This Row],[TOTAL Truncated Unadjusted Claims Expenses (A21 -A19)]]+AN_TME_BY[[#This Row],[TOTAL Non-Claims Expenses]]</f>
        <v>0</v>
      </c>
      <c r="AA115" s="415">
        <f>IFERROR(AN_TME_BY[[#This Row],[TOTAL Non-Truncated Unadjusted Expenses (A21 + A23)]]/AN_TME_BY[[#This Row],[Member Months]],0)</f>
        <v>0</v>
      </c>
      <c r="AB115" s="415">
        <f>IFERROR(AN_TME_BY[[#This Row],[TOTAL Truncated Unadjusted Expenses (A22 + A23)]]/AN_TME_BY[[#This Row],[Member Months]],0)</f>
        <v>0</v>
      </c>
      <c r="AC115" s="415">
        <f>IFERROR(AN_TME_BY[[#This Row],[Total Claims Excluded because of Truncation]]/AN_TME_BY[[#This Row],[Count of Members with Claims Truncated]], 0)</f>
        <v>0</v>
      </c>
      <c r="AD115" s="417">
        <f>IFERROR(AN_TME_BY[[#This Row],[Total Claims Excluded because of Truncation]]/AN_TME_BY[[#This Row],[TOTAL Non-Truncated Unadjusted Claims Expenses]], 0)</f>
        <v>0</v>
      </c>
    </row>
    <row r="116" spans="1:30" x14ac:dyDescent="0.25">
      <c r="A116" s="370"/>
      <c r="B116" s="371"/>
      <c r="C116" s="371"/>
      <c r="D116" s="372"/>
      <c r="E116" s="373"/>
      <c r="F116" s="373"/>
      <c r="G116" s="373"/>
      <c r="H116" s="373"/>
      <c r="I116" s="373"/>
      <c r="J116" s="373"/>
      <c r="K116" s="373"/>
      <c r="L116" s="373"/>
      <c r="M116" s="373"/>
      <c r="N116" s="373"/>
      <c r="O116" s="373"/>
      <c r="P116" s="373"/>
      <c r="Q116" s="373"/>
      <c r="R116" s="373"/>
      <c r="S116" s="373"/>
      <c r="T116" s="373"/>
      <c r="U116" s="374"/>
      <c r="V116" s="375">
        <f t="shared" si="6"/>
        <v>0</v>
      </c>
      <c r="W116" s="375">
        <f>AN_TME_BY[[#This Row],[TOTAL Non-Truncated Unadjusted Claims Expenses]]-AN_TME_BY[[#This Row],[Total Claims Excluded because of Truncation]]</f>
        <v>0</v>
      </c>
      <c r="X116" s="375">
        <f t="shared" si="7"/>
        <v>0</v>
      </c>
      <c r="Y116" s="375">
        <f>AN_TME_BY[[#This Row],[TOTAL Non-Truncated Unadjusted Claims Expenses]]+AN_TME_BY[[#This Row],[TOTAL Non-Claims Expenses]]</f>
        <v>0</v>
      </c>
      <c r="Z116" s="375">
        <f>AN_TME_BY[[#This Row],[TOTAL Truncated Unadjusted Claims Expenses (A21 -A19)]]+AN_TME_BY[[#This Row],[TOTAL Non-Claims Expenses]]</f>
        <v>0</v>
      </c>
      <c r="AA116" s="416">
        <f>IFERROR(AN_TME_BY[[#This Row],[TOTAL Non-Truncated Unadjusted Expenses (A21 + A23)]]/AN_TME_BY[[#This Row],[Member Months]],0)</f>
        <v>0</v>
      </c>
      <c r="AB116" s="416">
        <f>IFERROR(AN_TME_BY[[#This Row],[TOTAL Truncated Unadjusted Expenses (A22 + A23)]]/AN_TME_BY[[#This Row],[Member Months]],0)</f>
        <v>0</v>
      </c>
      <c r="AC116" s="416">
        <f>IFERROR(AN_TME_BY[[#This Row],[Total Claims Excluded because of Truncation]]/AN_TME_BY[[#This Row],[Count of Members with Claims Truncated]], 0)</f>
        <v>0</v>
      </c>
      <c r="AD116" s="417">
        <f>IFERROR(AN_TME_BY[[#This Row],[Total Claims Excluded because of Truncation]]/AN_TME_BY[[#This Row],[TOTAL Non-Truncated Unadjusted Claims Expenses]], 0)</f>
        <v>0</v>
      </c>
    </row>
    <row r="117" spans="1:30" x14ac:dyDescent="0.25">
      <c r="A117" s="364"/>
      <c r="B117" s="365"/>
      <c r="C117" s="365"/>
      <c r="D117" s="366"/>
      <c r="E117" s="367"/>
      <c r="F117" s="367"/>
      <c r="G117" s="367"/>
      <c r="H117" s="367"/>
      <c r="I117" s="367"/>
      <c r="J117" s="367"/>
      <c r="K117" s="367"/>
      <c r="L117" s="367"/>
      <c r="M117" s="367"/>
      <c r="N117" s="367"/>
      <c r="O117" s="367"/>
      <c r="P117" s="367"/>
      <c r="Q117" s="367"/>
      <c r="R117" s="367"/>
      <c r="S117" s="367"/>
      <c r="T117" s="367"/>
      <c r="U117" s="368"/>
      <c r="V117" s="369">
        <f t="shared" si="6"/>
        <v>0</v>
      </c>
      <c r="W117" s="413">
        <f>AN_TME_BY[[#This Row],[TOTAL Non-Truncated Unadjusted Claims Expenses]]-AN_TME_BY[[#This Row],[Total Claims Excluded because of Truncation]]</f>
        <v>0</v>
      </c>
      <c r="X117" s="369">
        <f t="shared" si="7"/>
        <v>0</v>
      </c>
      <c r="Y117" s="413">
        <f>AN_TME_BY[[#This Row],[TOTAL Non-Truncated Unadjusted Claims Expenses]]+AN_TME_BY[[#This Row],[TOTAL Non-Claims Expenses]]</f>
        <v>0</v>
      </c>
      <c r="Z117" s="413">
        <f>AN_TME_BY[[#This Row],[TOTAL Truncated Unadjusted Claims Expenses (A21 -A19)]]+AN_TME_BY[[#This Row],[TOTAL Non-Claims Expenses]]</f>
        <v>0</v>
      </c>
      <c r="AA117" s="415">
        <f>IFERROR(AN_TME_BY[[#This Row],[TOTAL Non-Truncated Unadjusted Expenses (A21 + A23)]]/AN_TME_BY[[#This Row],[Member Months]],0)</f>
        <v>0</v>
      </c>
      <c r="AB117" s="415">
        <f>IFERROR(AN_TME_BY[[#This Row],[TOTAL Truncated Unadjusted Expenses (A22 + A23)]]/AN_TME_BY[[#This Row],[Member Months]],0)</f>
        <v>0</v>
      </c>
      <c r="AC117" s="415">
        <f>IFERROR(AN_TME_BY[[#This Row],[Total Claims Excluded because of Truncation]]/AN_TME_BY[[#This Row],[Count of Members with Claims Truncated]], 0)</f>
        <v>0</v>
      </c>
      <c r="AD117" s="417">
        <f>IFERROR(AN_TME_BY[[#This Row],[Total Claims Excluded because of Truncation]]/AN_TME_BY[[#This Row],[TOTAL Non-Truncated Unadjusted Claims Expenses]], 0)</f>
        <v>0</v>
      </c>
    </row>
    <row r="118" spans="1:30" x14ac:dyDescent="0.25">
      <c r="A118" s="370"/>
      <c r="B118" s="371"/>
      <c r="C118" s="371"/>
      <c r="D118" s="372"/>
      <c r="E118" s="373"/>
      <c r="F118" s="373"/>
      <c r="G118" s="373"/>
      <c r="H118" s="373"/>
      <c r="I118" s="373"/>
      <c r="J118" s="373"/>
      <c r="K118" s="373"/>
      <c r="L118" s="373"/>
      <c r="M118" s="373"/>
      <c r="N118" s="373"/>
      <c r="O118" s="373"/>
      <c r="P118" s="373"/>
      <c r="Q118" s="373"/>
      <c r="R118" s="373"/>
      <c r="S118" s="373"/>
      <c r="T118" s="373"/>
      <c r="U118" s="374"/>
      <c r="V118" s="375">
        <f t="shared" si="6"/>
        <v>0</v>
      </c>
      <c r="W118" s="375">
        <f>AN_TME_BY[[#This Row],[TOTAL Non-Truncated Unadjusted Claims Expenses]]-AN_TME_BY[[#This Row],[Total Claims Excluded because of Truncation]]</f>
        <v>0</v>
      </c>
      <c r="X118" s="375">
        <f t="shared" si="7"/>
        <v>0</v>
      </c>
      <c r="Y118" s="375">
        <f>AN_TME_BY[[#This Row],[TOTAL Non-Truncated Unadjusted Claims Expenses]]+AN_TME_BY[[#This Row],[TOTAL Non-Claims Expenses]]</f>
        <v>0</v>
      </c>
      <c r="Z118" s="375">
        <f>AN_TME_BY[[#This Row],[TOTAL Truncated Unadjusted Claims Expenses (A21 -A19)]]+AN_TME_BY[[#This Row],[TOTAL Non-Claims Expenses]]</f>
        <v>0</v>
      </c>
      <c r="AA118" s="416">
        <f>IFERROR(AN_TME_BY[[#This Row],[TOTAL Non-Truncated Unadjusted Expenses (A21 + A23)]]/AN_TME_BY[[#This Row],[Member Months]],0)</f>
        <v>0</v>
      </c>
      <c r="AB118" s="416">
        <f>IFERROR(AN_TME_BY[[#This Row],[TOTAL Truncated Unadjusted Expenses (A22 + A23)]]/AN_TME_BY[[#This Row],[Member Months]],0)</f>
        <v>0</v>
      </c>
      <c r="AC118" s="416">
        <f>IFERROR(AN_TME_BY[[#This Row],[Total Claims Excluded because of Truncation]]/AN_TME_BY[[#This Row],[Count of Members with Claims Truncated]], 0)</f>
        <v>0</v>
      </c>
      <c r="AD118" s="417">
        <f>IFERROR(AN_TME_BY[[#This Row],[Total Claims Excluded because of Truncation]]/AN_TME_BY[[#This Row],[TOTAL Non-Truncated Unadjusted Claims Expenses]], 0)</f>
        <v>0</v>
      </c>
    </row>
    <row r="119" spans="1:30" x14ac:dyDescent="0.25">
      <c r="A119" s="364"/>
      <c r="B119" s="365"/>
      <c r="C119" s="365"/>
      <c r="D119" s="366"/>
      <c r="E119" s="367"/>
      <c r="F119" s="367"/>
      <c r="G119" s="367"/>
      <c r="H119" s="367"/>
      <c r="I119" s="367"/>
      <c r="J119" s="367"/>
      <c r="K119" s="367"/>
      <c r="L119" s="367"/>
      <c r="M119" s="367"/>
      <c r="N119" s="367"/>
      <c r="O119" s="367"/>
      <c r="P119" s="367"/>
      <c r="Q119" s="367"/>
      <c r="R119" s="367"/>
      <c r="S119" s="367"/>
      <c r="T119" s="367"/>
      <c r="U119" s="368"/>
      <c r="V119" s="369">
        <f t="shared" si="6"/>
        <v>0</v>
      </c>
      <c r="W119" s="413">
        <f>AN_TME_BY[[#This Row],[TOTAL Non-Truncated Unadjusted Claims Expenses]]-AN_TME_BY[[#This Row],[Total Claims Excluded because of Truncation]]</f>
        <v>0</v>
      </c>
      <c r="X119" s="369">
        <f t="shared" si="7"/>
        <v>0</v>
      </c>
      <c r="Y119" s="413">
        <f>AN_TME_BY[[#This Row],[TOTAL Non-Truncated Unadjusted Claims Expenses]]+AN_TME_BY[[#This Row],[TOTAL Non-Claims Expenses]]</f>
        <v>0</v>
      </c>
      <c r="Z119" s="413">
        <f>AN_TME_BY[[#This Row],[TOTAL Truncated Unadjusted Claims Expenses (A21 -A19)]]+AN_TME_BY[[#This Row],[TOTAL Non-Claims Expenses]]</f>
        <v>0</v>
      </c>
      <c r="AA119" s="415">
        <f>IFERROR(AN_TME_BY[[#This Row],[TOTAL Non-Truncated Unadjusted Expenses (A21 + A23)]]/AN_TME_BY[[#This Row],[Member Months]],0)</f>
        <v>0</v>
      </c>
      <c r="AB119" s="415">
        <f>IFERROR(AN_TME_BY[[#This Row],[TOTAL Truncated Unadjusted Expenses (A22 + A23)]]/AN_TME_BY[[#This Row],[Member Months]],0)</f>
        <v>0</v>
      </c>
      <c r="AC119" s="415">
        <f>IFERROR(AN_TME_BY[[#This Row],[Total Claims Excluded because of Truncation]]/AN_TME_BY[[#This Row],[Count of Members with Claims Truncated]], 0)</f>
        <v>0</v>
      </c>
      <c r="AD119" s="417">
        <f>IFERROR(AN_TME_BY[[#This Row],[Total Claims Excluded because of Truncation]]/AN_TME_BY[[#This Row],[TOTAL Non-Truncated Unadjusted Claims Expenses]], 0)</f>
        <v>0</v>
      </c>
    </row>
    <row r="120" spans="1:30" x14ac:dyDescent="0.25">
      <c r="A120" s="370"/>
      <c r="B120" s="371"/>
      <c r="C120" s="371"/>
      <c r="D120" s="372"/>
      <c r="E120" s="373"/>
      <c r="F120" s="373"/>
      <c r="G120" s="373"/>
      <c r="H120" s="373"/>
      <c r="I120" s="373"/>
      <c r="J120" s="373"/>
      <c r="K120" s="373"/>
      <c r="L120" s="373"/>
      <c r="M120" s="373"/>
      <c r="N120" s="373"/>
      <c r="O120" s="373"/>
      <c r="P120" s="373"/>
      <c r="Q120" s="373"/>
      <c r="R120" s="373"/>
      <c r="S120" s="373"/>
      <c r="T120" s="373"/>
      <c r="U120" s="374"/>
      <c r="V120" s="375">
        <f t="shared" si="6"/>
        <v>0</v>
      </c>
      <c r="W120" s="375">
        <f>AN_TME_BY[[#This Row],[TOTAL Non-Truncated Unadjusted Claims Expenses]]-AN_TME_BY[[#This Row],[Total Claims Excluded because of Truncation]]</f>
        <v>0</v>
      </c>
      <c r="X120" s="375">
        <f t="shared" si="7"/>
        <v>0</v>
      </c>
      <c r="Y120" s="375">
        <f>AN_TME_BY[[#This Row],[TOTAL Non-Truncated Unadjusted Claims Expenses]]+AN_TME_BY[[#This Row],[TOTAL Non-Claims Expenses]]</f>
        <v>0</v>
      </c>
      <c r="Z120" s="375">
        <f>AN_TME_BY[[#This Row],[TOTAL Truncated Unadjusted Claims Expenses (A21 -A19)]]+AN_TME_BY[[#This Row],[TOTAL Non-Claims Expenses]]</f>
        <v>0</v>
      </c>
      <c r="AA120" s="416">
        <f>IFERROR(AN_TME_BY[[#This Row],[TOTAL Non-Truncated Unadjusted Expenses (A21 + A23)]]/AN_TME_BY[[#This Row],[Member Months]],0)</f>
        <v>0</v>
      </c>
      <c r="AB120" s="416">
        <f>IFERROR(AN_TME_BY[[#This Row],[TOTAL Truncated Unadjusted Expenses (A22 + A23)]]/AN_TME_BY[[#This Row],[Member Months]],0)</f>
        <v>0</v>
      </c>
      <c r="AC120" s="416">
        <f>IFERROR(AN_TME_BY[[#This Row],[Total Claims Excluded because of Truncation]]/AN_TME_BY[[#This Row],[Count of Members with Claims Truncated]], 0)</f>
        <v>0</v>
      </c>
      <c r="AD120" s="417">
        <f>IFERROR(AN_TME_BY[[#This Row],[Total Claims Excluded because of Truncation]]/AN_TME_BY[[#This Row],[TOTAL Non-Truncated Unadjusted Claims Expenses]], 0)</f>
        <v>0</v>
      </c>
    </row>
    <row r="121" spans="1:30" x14ac:dyDescent="0.25">
      <c r="A121" s="364"/>
      <c r="B121" s="365"/>
      <c r="C121" s="365"/>
      <c r="D121" s="366"/>
      <c r="E121" s="367"/>
      <c r="F121" s="367"/>
      <c r="G121" s="367"/>
      <c r="H121" s="367"/>
      <c r="I121" s="367"/>
      <c r="J121" s="367"/>
      <c r="K121" s="367"/>
      <c r="L121" s="367"/>
      <c r="M121" s="367"/>
      <c r="N121" s="367"/>
      <c r="O121" s="367"/>
      <c r="P121" s="367"/>
      <c r="Q121" s="367"/>
      <c r="R121" s="367"/>
      <c r="S121" s="367"/>
      <c r="T121" s="367"/>
      <c r="U121" s="368"/>
      <c r="V121" s="369">
        <f t="shared" si="6"/>
        <v>0</v>
      </c>
      <c r="W121" s="413">
        <f>AN_TME_BY[[#This Row],[TOTAL Non-Truncated Unadjusted Claims Expenses]]-AN_TME_BY[[#This Row],[Total Claims Excluded because of Truncation]]</f>
        <v>0</v>
      </c>
      <c r="X121" s="369">
        <f t="shared" si="7"/>
        <v>0</v>
      </c>
      <c r="Y121" s="413">
        <f>AN_TME_BY[[#This Row],[TOTAL Non-Truncated Unadjusted Claims Expenses]]+AN_TME_BY[[#This Row],[TOTAL Non-Claims Expenses]]</f>
        <v>0</v>
      </c>
      <c r="Z121" s="413">
        <f>AN_TME_BY[[#This Row],[TOTAL Truncated Unadjusted Claims Expenses (A21 -A19)]]+AN_TME_BY[[#This Row],[TOTAL Non-Claims Expenses]]</f>
        <v>0</v>
      </c>
      <c r="AA121" s="415">
        <f>IFERROR(AN_TME_BY[[#This Row],[TOTAL Non-Truncated Unadjusted Expenses (A21 + A23)]]/AN_TME_BY[[#This Row],[Member Months]],0)</f>
        <v>0</v>
      </c>
      <c r="AB121" s="415">
        <f>IFERROR(AN_TME_BY[[#This Row],[TOTAL Truncated Unadjusted Expenses (A22 + A23)]]/AN_TME_BY[[#This Row],[Member Months]],0)</f>
        <v>0</v>
      </c>
      <c r="AC121" s="415">
        <f>IFERROR(AN_TME_BY[[#This Row],[Total Claims Excluded because of Truncation]]/AN_TME_BY[[#This Row],[Count of Members with Claims Truncated]], 0)</f>
        <v>0</v>
      </c>
      <c r="AD121" s="417">
        <f>IFERROR(AN_TME_BY[[#This Row],[Total Claims Excluded because of Truncation]]/AN_TME_BY[[#This Row],[TOTAL Non-Truncated Unadjusted Claims Expenses]], 0)</f>
        <v>0</v>
      </c>
    </row>
    <row r="122" spans="1:30" x14ac:dyDescent="0.25">
      <c r="A122" s="370"/>
      <c r="B122" s="371"/>
      <c r="C122" s="371"/>
      <c r="D122" s="372"/>
      <c r="E122" s="373"/>
      <c r="F122" s="373"/>
      <c r="G122" s="373"/>
      <c r="H122" s="373"/>
      <c r="I122" s="373"/>
      <c r="J122" s="373"/>
      <c r="K122" s="373"/>
      <c r="L122" s="373"/>
      <c r="M122" s="373"/>
      <c r="N122" s="373"/>
      <c r="O122" s="373"/>
      <c r="P122" s="373"/>
      <c r="Q122" s="373"/>
      <c r="R122" s="373"/>
      <c r="S122" s="373"/>
      <c r="T122" s="373"/>
      <c r="U122" s="374"/>
      <c r="V122" s="375">
        <f t="shared" si="6"/>
        <v>0</v>
      </c>
      <c r="W122" s="375">
        <f>AN_TME_BY[[#This Row],[TOTAL Non-Truncated Unadjusted Claims Expenses]]-AN_TME_BY[[#This Row],[Total Claims Excluded because of Truncation]]</f>
        <v>0</v>
      </c>
      <c r="X122" s="375">
        <f t="shared" si="7"/>
        <v>0</v>
      </c>
      <c r="Y122" s="375">
        <f>AN_TME_BY[[#This Row],[TOTAL Non-Truncated Unadjusted Claims Expenses]]+AN_TME_BY[[#This Row],[TOTAL Non-Claims Expenses]]</f>
        <v>0</v>
      </c>
      <c r="Z122" s="375">
        <f>AN_TME_BY[[#This Row],[TOTAL Truncated Unadjusted Claims Expenses (A21 -A19)]]+AN_TME_BY[[#This Row],[TOTAL Non-Claims Expenses]]</f>
        <v>0</v>
      </c>
      <c r="AA122" s="416">
        <f>IFERROR(AN_TME_BY[[#This Row],[TOTAL Non-Truncated Unadjusted Expenses (A21 + A23)]]/AN_TME_BY[[#This Row],[Member Months]],0)</f>
        <v>0</v>
      </c>
      <c r="AB122" s="416">
        <f>IFERROR(AN_TME_BY[[#This Row],[TOTAL Truncated Unadjusted Expenses (A22 + A23)]]/AN_TME_BY[[#This Row],[Member Months]],0)</f>
        <v>0</v>
      </c>
      <c r="AC122" s="416">
        <f>IFERROR(AN_TME_BY[[#This Row],[Total Claims Excluded because of Truncation]]/AN_TME_BY[[#This Row],[Count of Members with Claims Truncated]], 0)</f>
        <v>0</v>
      </c>
      <c r="AD122" s="417">
        <f>IFERROR(AN_TME_BY[[#This Row],[Total Claims Excluded because of Truncation]]/AN_TME_BY[[#This Row],[TOTAL Non-Truncated Unadjusted Claims Expenses]], 0)</f>
        <v>0</v>
      </c>
    </row>
    <row r="123" spans="1:30" x14ac:dyDescent="0.25">
      <c r="A123" s="364"/>
      <c r="B123" s="365"/>
      <c r="C123" s="365"/>
      <c r="D123" s="366"/>
      <c r="E123" s="367"/>
      <c r="F123" s="367"/>
      <c r="G123" s="367"/>
      <c r="H123" s="367"/>
      <c r="I123" s="367"/>
      <c r="J123" s="367"/>
      <c r="K123" s="367"/>
      <c r="L123" s="367"/>
      <c r="M123" s="367"/>
      <c r="N123" s="367"/>
      <c r="O123" s="367"/>
      <c r="P123" s="367"/>
      <c r="Q123" s="367"/>
      <c r="R123" s="367"/>
      <c r="S123" s="367"/>
      <c r="T123" s="367"/>
      <c r="U123" s="368"/>
      <c r="V123" s="369">
        <f t="shared" si="6"/>
        <v>0</v>
      </c>
      <c r="W123" s="413">
        <f>AN_TME_BY[[#This Row],[TOTAL Non-Truncated Unadjusted Claims Expenses]]-AN_TME_BY[[#This Row],[Total Claims Excluded because of Truncation]]</f>
        <v>0</v>
      </c>
      <c r="X123" s="369">
        <f t="shared" si="7"/>
        <v>0</v>
      </c>
      <c r="Y123" s="413">
        <f>AN_TME_BY[[#This Row],[TOTAL Non-Truncated Unadjusted Claims Expenses]]+AN_TME_BY[[#This Row],[TOTAL Non-Claims Expenses]]</f>
        <v>0</v>
      </c>
      <c r="Z123" s="413">
        <f>AN_TME_BY[[#This Row],[TOTAL Truncated Unadjusted Claims Expenses (A21 -A19)]]+AN_TME_BY[[#This Row],[TOTAL Non-Claims Expenses]]</f>
        <v>0</v>
      </c>
      <c r="AA123" s="415">
        <f>IFERROR(AN_TME_BY[[#This Row],[TOTAL Non-Truncated Unadjusted Expenses (A21 + A23)]]/AN_TME_BY[[#This Row],[Member Months]],0)</f>
        <v>0</v>
      </c>
      <c r="AB123" s="415">
        <f>IFERROR(AN_TME_BY[[#This Row],[TOTAL Truncated Unadjusted Expenses (A22 + A23)]]/AN_TME_BY[[#This Row],[Member Months]],0)</f>
        <v>0</v>
      </c>
      <c r="AC123" s="415">
        <f>IFERROR(AN_TME_BY[[#This Row],[Total Claims Excluded because of Truncation]]/AN_TME_BY[[#This Row],[Count of Members with Claims Truncated]], 0)</f>
        <v>0</v>
      </c>
      <c r="AD123" s="417">
        <f>IFERROR(AN_TME_BY[[#This Row],[Total Claims Excluded because of Truncation]]/AN_TME_BY[[#This Row],[TOTAL Non-Truncated Unadjusted Claims Expenses]], 0)</f>
        <v>0</v>
      </c>
    </row>
    <row r="124" spans="1:30" x14ac:dyDescent="0.25">
      <c r="A124" s="370"/>
      <c r="B124" s="371"/>
      <c r="C124" s="371"/>
      <c r="D124" s="372"/>
      <c r="E124" s="373"/>
      <c r="F124" s="373"/>
      <c r="G124" s="373"/>
      <c r="H124" s="373"/>
      <c r="I124" s="373"/>
      <c r="J124" s="373"/>
      <c r="K124" s="373"/>
      <c r="L124" s="373"/>
      <c r="M124" s="373"/>
      <c r="N124" s="373"/>
      <c r="O124" s="373"/>
      <c r="P124" s="373"/>
      <c r="Q124" s="373"/>
      <c r="R124" s="373"/>
      <c r="S124" s="373"/>
      <c r="T124" s="373"/>
      <c r="U124" s="374"/>
      <c r="V124" s="375">
        <f t="shared" si="6"/>
        <v>0</v>
      </c>
      <c r="W124" s="375">
        <f>AN_TME_BY[[#This Row],[TOTAL Non-Truncated Unadjusted Claims Expenses]]-AN_TME_BY[[#This Row],[Total Claims Excluded because of Truncation]]</f>
        <v>0</v>
      </c>
      <c r="X124" s="375">
        <f t="shared" si="7"/>
        <v>0</v>
      </c>
      <c r="Y124" s="375">
        <f>AN_TME_BY[[#This Row],[TOTAL Non-Truncated Unadjusted Claims Expenses]]+AN_TME_BY[[#This Row],[TOTAL Non-Claims Expenses]]</f>
        <v>0</v>
      </c>
      <c r="Z124" s="375">
        <f>AN_TME_BY[[#This Row],[TOTAL Truncated Unadjusted Claims Expenses (A21 -A19)]]+AN_TME_BY[[#This Row],[TOTAL Non-Claims Expenses]]</f>
        <v>0</v>
      </c>
      <c r="AA124" s="416">
        <f>IFERROR(AN_TME_BY[[#This Row],[TOTAL Non-Truncated Unadjusted Expenses (A21 + A23)]]/AN_TME_BY[[#This Row],[Member Months]],0)</f>
        <v>0</v>
      </c>
      <c r="AB124" s="416">
        <f>IFERROR(AN_TME_BY[[#This Row],[TOTAL Truncated Unadjusted Expenses (A22 + A23)]]/AN_TME_BY[[#This Row],[Member Months]],0)</f>
        <v>0</v>
      </c>
      <c r="AC124" s="416">
        <f>IFERROR(AN_TME_BY[[#This Row],[Total Claims Excluded because of Truncation]]/AN_TME_BY[[#This Row],[Count of Members with Claims Truncated]], 0)</f>
        <v>0</v>
      </c>
      <c r="AD124" s="417">
        <f>IFERROR(AN_TME_BY[[#This Row],[Total Claims Excluded because of Truncation]]/AN_TME_BY[[#This Row],[TOTAL Non-Truncated Unadjusted Claims Expenses]], 0)</f>
        <v>0</v>
      </c>
    </row>
    <row r="125" spans="1:30" x14ac:dyDescent="0.25">
      <c r="A125" s="364"/>
      <c r="B125" s="365"/>
      <c r="C125" s="365"/>
      <c r="D125" s="366"/>
      <c r="E125" s="367"/>
      <c r="F125" s="367"/>
      <c r="G125" s="367"/>
      <c r="H125" s="367"/>
      <c r="I125" s="367"/>
      <c r="J125" s="367"/>
      <c r="K125" s="367"/>
      <c r="L125" s="367"/>
      <c r="M125" s="367"/>
      <c r="N125" s="367"/>
      <c r="O125" s="367"/>
      <c r="P125" s="367"/>
      <c r="Q125" s="367"/>
      <c r="R125" s="367"/>
      <c r="S125" s="367"/>
      <c r="T125" s="367"/>
      <c r="U125" s="368"/>
      <c r="V125" s="369">
        <f t="shared" si="6"/>
        <v>0</v>
      </c>
      <c r="W125" s="413">
        <f>AN_TME_BY[[#This Row],[TOTAL Non-Truncated Unadjusted Claims Expenses]]-AN_TME_BY[[#This Row],[Total Claims Excluded because of Truncation]]</f>
        <v>0</v>
      </c>
      <c r="X125" s="369">
        <f t="shared" si="7"/>
        <v>0</v>
      </c>
      <c r="Y125" s="413">
        <f>AN_TME_BY[[#This Row],[TOTAL Non-Truncated Unadjusted Claims Expenses]]+AN_TME_BY[[#This Row],[TOTAL Non-Claims Expenses]]</f>
        <v>0</v>
      </c>
      <c r="Z125" s="413">
        <f>AN_TME_BY[[#This Row],[TOTAL Truncated Unadjusted Claims Expenses (A21 -A19)]]+AN_TME_BY[[#This Row],[TOTAL Non-Claims Expenses]]</f>
        <v>0</v>
      </c>
      <c r="AA125" s="415">
        <f>IFERROR(AN_TME_BY[[#This Row],[TOTAL Non-Truncated Unadjusted Expenses (A21 + A23)]]/AN_TME_BY[[#This Row],[Member Months]],0)</f>
        <v>0</v>
      </c>
      <c r="AB125" s="415">
        <f>IFERROR(AN_TME_BY[[#This Row],[TOTAL Truncated Unadjusted Expenses (A22 + A23)]]/AN_TME_BY[[#This Row],[Member Months]],0)</f>
        <v>0</v>
      </c>
      <c r="AC125" s="415">
        <f>IFERROR(AN_TME_BY[[#This Row],[Total Claims Excluded because of Truncation]]/AN_TME_BY[[#This Row],[Count of Members with Claims Truncated]], 0)</f>
        <v>0</v>
      </c>
      <c r="AD125" s="417">
        <f>IFERROR(AN_TME_BY[[#This Row],[Total Claims Excluded because of Truncation]]/AN_TME_BY[[#This Row],[TOTAL Non-Truncated Unadjusted Claims Expenses]], 0)</f>
        <v>0</v>
      </c>
    </row>
    <row r="126" spans="1:30" x14ac:dyDescent="0.25">
      <c r="A126" s="370"/>
      <c r="B126" s="371"/>
      <c r="C126" s="371"/>
      <c r="D126" s="372"/>
      <c r="E126" s="373"/>
      <c r="F126" s="373"/>
      <c r="G126" s="373"/>
      <c r="H126" s="373"/>
      <c r="I126" s="373"/>
      <c r="J126" s="373"/>
      <c r="K126" s="373"/>
      <c r="L126" s="373"/>
      <c r="M126" s="373"/>
      <c r="N126" s="373"/>
      <c r="O126" s="373"/>
      <c r="P126" s="373"/>
      <c r="Q126" s="373"/>
      <c r="R126" s="373"/>
      <c r="S126" s="373"/>
      <c r="T126" s="373"/>
      <c r="U126" s="374"/>
      <c r="V126" s="375">
        <f t="shared" si="6"/>
        <v>0</v>
      </c>
      <c r="W126" s="375">
        <f>AN_TME_BY[[#This Row],[TOTAL Non-Truncated Unadjusted Claims Expenses]]-AN_TME_BY[[#This Row],[Total Claims Excluded because of Truncation]]</f>
        <v>0</v>
      </c>
      <c r="X126" s="375">
        <f t="shared" si="7"/>
        <v>0</v>
      </c>
      <c r="Y126" s="375">
        <f>AN_TME_BY[[#This Row],[TOTAL Non-Truncated Unadjusted Claims Expenses]]+AN_TME_BY[[#This Row],[TOTAL Non-Claims Expenses]]</f>
        <v>0</v>
      </c>
      <c r="Z126" s="375">
        <f>AN_TME_BY[[#This Row],[TOTAL Truncated Unadjusted Claims Expenses (A21 -A19)]]+AN_TME_BY[[#This Row],[TOTAL Non-Claims Expenses]]</f>
        <v>0</v>
      </c>
      <c r="AA126" s="416">
        <f>IFERROR(AN_TME_BY[[#This Row],[TOTAL Non-Truncated Unadjusted Expenses (A21 + A23)]]/AN_TME_BY[[#This Row],[Member Months]],0)</f>
        <v>0</v>
      </c>
      <c r="AB126" s="416">
        <f>IFERROR(AN_TME_BY[[#This Row],[TOTAL Truncated Unadjusted Expenses (A22 + A23)]]/AN_TME_BY[[#This Row],[Member Months]],0)</f>
        <v>0</v>
      </c>
      <c r="AC126" s="416">
        <f>IFERROR(AN_TME_BY[[#This Row],[Total Claims Excluded because of Truncation]]/AN_TME_BY[[#This Row],[Count of Members with Claims Truncated]], 0)</f>
        <v>0</v>
      </c>
      <c r="AD126" s="417">
        <f>IFERROR(AN_TME_BY[[#This Row],[Total Claims Excluded because of Truncation]]/AN_TME_BY[[#This Row],[TOTAL Non-Truncated Unadjusted Claims Expenses]], 0)</f>
        <v>0</v>
      </c>
    </row>
    <row r="127" spans="1:30" x14ac:dyDescent="0.25">
      <c r="A127" s="364"/>
      <c r="B127" s="365"/>
      <c r="C127" s="365"/>
      <c r="D127" s="366"/>
      <c r="E127" s="367"/>
      <c r="F127" s="367"/>
      <c r="G127" s="367"/>
      <c r="H127" s="367"/>
      <c r="I127" s="367"/>
      <c r="J127" s="367"/>
      <c r="K127" s="367"/>
      <c r="L127" s="367"/>
      <c r="M127" s="367"/>
      <c r="N127" s="367"/>
      <c r="O127" s="367"/>
      <c r="P127" s="367"/>
      <c r="Q127" s="367"/>
      <c r="R127" s="367"/>
      <c r="S127" s="367"/>
      <c r="T127" s="367"/>
      <c r="U127" s="368"/>
      <c r="V127" s="369">
        <f t="shared" si="6"/>
        <v>0</v>
      </c>
      <c r="W127" s="413">
        <f>AN_TME_BY[[#This Row],[TOTAL Non-Truncated Unadjusted Claims Expenses]]-AN_TME_BY[[#This Row],[Total Claims Excluded because of Truncation]]</f>
        <v>0</v>
      </c>
      <c r="X127" s="369">
        <f t="shared" si="7"/>
        <v>0</v>
      </c>
      <c r="Y127" s="413">
        <f>AN_TME_BY[[#This Row],[TOTAL Non-Truncated Unadjusted Claims Expenses]]+AN_TME_BY[[#This Row],[TOTAL Non-Claims Expenses]]</f>
        <v>0</v>
      </c>
      <c r="Z127" s="413">
        <f>AN_TME_BY[[#This Row],[TOTAL Truncated Unadjusted Claims Expenses (A21 -A19)]]+AN_TME_BY[[#This Row],[TOTAL Non-Claims Expenses]]</f>
        <v>0</v>
      </c>
      <c r="AA127" s="415">
        <f>IFERROR(AN_TME_BY[[#This Row],[TOTAL Non-Truncated Unadjusted Expenses (A21 + A23)]]/AN_TME_BY[[#This Row],[Member Months]],0)</f>
        <v>0</v>
      </c>
      <c r="AB127" s="415">
        <f>IFERROR(AN_TME_BY[[#This Row],[TOTAL Truncated Unadjusted Expenses (A22 + A23)]]/AN_TME_BY[[#This Row],[Member Months]],0)</f>
        <v>0</v>
      </c>
      <c r="AC127" s="415">
        <f>IFERROR(AN_TME_BY[[#This Row],[Total Claims Excluded because of Truncation]]/AN_TME_BY[[#This Row],[Count of Members with Claims Truncated]], 0)</f>
        <v>0</v>
      </c>
      <c r="AD127" s="417">
        <f>IFERROR(AN_TME_BY[[#This Row],[Total Claims Excluded because of Truncation]]/AN_TME_BY[[#This Row],[TOTAL Non-Truncated Unadjusted Claims Expenses]], 0)</f>
        <v>0</v>
      </c>
    </row>
    <row r="128" spans="1:30" x14ac:dyDescent="0.25">
      <c r="A128" s="370"/>
      <c r="B128" s="371"/>
      <c r="C128" s="371"/>
      <c r="D128" s="372"/>
      <c r="E128" s="373"/>
      <c r="F128" s="373"/>
      <c r="G128" s="373"/>
      <c r="H128" s="373"/>
      <c r="I128" s="373"/>
      <c r="J128" s="373"/>
      <c r="K128" s="373"/>
      <c r="L128" s="373"/>
      <c r="M128" s="373"/>
      <c r="N128" s="373"/>
      <c r="O128" s="373"/>
      <c r="P128" s="373"/>
      <c r="Q128" s="373"/>
      <c r="R128" s="373"/>
      <c r="S128" s="373"/>
      <c r="T128" s="373"/>
      <c r="U128" s="374"/>
      <c r="V128" s="375">
        <f t="shared" si="6"/>
        <v>0</v>
      </c>
      <c r="W128" s="375">
        <f>AN_TME_BY[[#This Row],[TOTAL Non-Truncated Unadjusted Claims Expenses]]-AN_TME_BY[[#This Row],[Total Claims Excluded because of Truncation]]</f>
        <v>0</v>
      </c>
      <c r="X128" s="375">
        <f t="shared" si="7"/>
        <v>0</v>
      </c>
      <c r="Y128" s="375">
        <f>AN_TME_BY[[#This Row],[TOTAL Non-Truncated Unadjusted Claims Expenses]]+AN_TME_BY[[#This Row],[TOTAL Non-Claims Expenses]]</f>
        <v>0</v>
      </c>
      <c r="Z128" s="375">
        <f>AN_TME_BY[[#This Row],[TOTAL Truncated Unadjusted Claims Expenses (A21 -A19)]]+AN_TME_BY[[#This Row],[TOTAL Non-Claims Expenses]]</f>
        <v>0</v>
      </c>
      <c r="AA128" s="416">
        <f>IFERROR(AN_TME_BY[[#This Row],[TOTAL Non-Truncated Unadjusted Expenses (A21 + A23)]]/AN_TME_BY[[#This Row],[Member Months]],0)</f>
        <v>0</v>
      </c>
      <c r="AB128" s="416">
        <f>IFERROR(AN_TME_BY[[#This Row],[TOTAL Truncated Unadjusted Expenses (A22 + A23)]]/AN_TME_BY[[#This Row],[Member Months]],0)</f>
        <v>0</v>
      </c>
      <c r="AC128" s="416">
        <f>IFERROR(AN_TME_BY[[#This Row],[Total Claims Excluded because of Truncation]]/AN_TME_BY[[#This Row],[Count of Members with Claims Truncated]], 0)</f>
        <v>0</v>
      </c>
      <c r="AD128" s="417">
        <f>IFERROR(AN_TME_BY[[#This Row],[Total Claims Excluded because of Truncation]]/AN_TME_BY[[#This Row],[TOTAL Non-Truncated Unadjusted Claims Expenses]], 0)</f>
        <v>0</v>
      </c>
    </row>
    <row r="129" spans="1:30" x14ac:dyDescent="0.25">
      <c r="A129" s="364"/>
      <c r="B129" s="365"/>
      <c r="C129" s="365"/>
      <c r="D129" s="366"/>
      <c r="E129" s="367"/>
      <c r="F129" s="367"/>
      <c r="G129" s="367"/>
      <c r="H129" s="367"/>
      <c r="I129" s="367"/>
      <c r="J129" s="367"/>
      <c r="K129" s="367"/>
      <c r="L129" s="367"/>
      <c r="M129" s="367"/>
      <c r="N129" s="367"/>
      <c r="O129" s="367"/>
      <c r="P129" s="367"/>
      <c r="Q129" s="367"/>
      <c r="R129" s="367"/>
      <c r="S129" s="367"/>
      <c r="T129" s="367"/>
      <c r="U129" s="368"/>
      <c r="V129" s="369">
        <f t="shared" si="6"/>
        <v>0</v>
      </c>
      <c r="W129" s="413">
        <f>AN_TME_BY[[#This Row],[TOTAL Non-Truncated Unadjusted Claims Expenses]]-AN_TME_BY[[#This Row],[Total Claims Excluded because of Truncation]]</f>
        <v>0</v>
      </c>
      <c r="X129" s="369">
        <f t="shared" si="7"/>
        <v>0</v>
      </c>
      <c r="Y129" s="413">
        <f>AN_TME_BY[[#This Row],[TOTAL Non-Truncated Unadjusted Claims Expenses]]+AN_TME_BY[[#This Row],[TOTAL Non-Claims Expenses]]</f>
        <v>0</v>
      </c>
      <c r="Z129" s="413">
        <f>AN_TME_BY[[#This Row],[TOTAL Truncated Unadjusted Claims Expenses (A21 -A19)]]+AN_TME_BY[[#This Row],[TOTAL Non-Claims Expenses]]</f>
        <v>0</v>
      </c>
      <c r="AA129" s="415">
        <f>IFERROR(AN_TME_BY[[#This Row],[TOTAL Non-Truncated Unadjusted Expenses (A21 + A23)]]/AN_TME_BY[[#This Row],[Member Months]],0)</f>
        <v>0</v>
      </c>
      <c r="AB129" s="415">
        <f>IFERROR(AN_TME_BY[[#This Row],[TOTAL Truncated Unadjusted Expenses (A22 + A23)]]/AN_TME_BY[[#This Row],[Member Months]],0)</f>
        <v>0</v>
      </c>
      <c r="AC129" s="415">
        <f>IFERROR(AN_TME_BY[[#This Row],[Total Claims Excluded because of Truncation]]/AN_TME_BY[[#This Row],[Count of Members with Claims Truncated]], 0)</f>
        <v>0</v>
      </c>
      <c r="AD129" s="417">
        <f>IFERROR(AN_TME_BY[[#This Row],[Total Claims Excluded because of Truncation]]/AN_TME_BY[[#This Row],[TOTAL Non-Truncated Unadjusted Claims Expenses]], 0)</f>
        <v>0</v>
      </c>
    </row>
    <row r="130" spans="1:30" x14ac:dyDescent="0.25">
      <c r="A130" s="370"/>
      <c r="B130" s="371"/>
      <c r="C130" s="371"/>
      <c r="D130" s="372"/>
      <c r="E130" s="373"/>
      <c r="F130" s="373"/>
      <c r="G130" s="373"/>
      <c r="H130" s="373"/>
      <c r="I130" s="373"/>
      <c r="J130" s="373"/>
      <c r="K130" s="373"/>
      <c r="L130" s="373"/>
      <c r="M130" s="373"/>
      <c r="N130" s="373"/>
      <c r="O130" s="373"/>
      <c r="P130" s="373"/>
      <c r="Q130" s="373"/>
      <c r="R130" s="373"/>
      <c r="S130" s="373"/>
      <c r="T130" s="373"/>
      <c r="U130" s="374"/>
      <c r="V130" s="375">
        <f t="shared" si="6"/>
        <v>0</v>
      </c>
      <c r="W130" s="375">
        <f>AN_TME_BY[[#This Row],[TOTAL Non-Truncated Unadjusted Claims Expenses]]-AN_TME_BY[[#This Row],[Total Claims Excluded because of Truncation]]</f>
        <v>0</v>
      </c>
      <c r="X130" s="375">
        <f t="shared" si="7"/>
        <v>0</v>
      </c>
      <c r="Y130" s="375">
        <f>AN_TME_BY[[#This Row],[TOTAL Non-Truncated Unadjusted Claims Expenses]]+AN_TME_BY[[#This Row],[TOTAL Non-Claims Expenses]]</f>
        <v>0</v>
      </c>
      <c r="Z130" s="375">
        <f>AN_TME_BY[[#This Row],[TOTAL Truncated Unadjusted Claims Expenses (A21 -A19)]]+AN_TME_BY[[#This Row],[TOTAL Non-Claims Expenses]]</f>
        <v>0</v>
      </c>
      <c r="AA130" s="416">
        <f>IFERROR(AN_TME_BY[[#This Row],[TOTAL Non-Truncated Unadjusted Expenses (A21 + A23)]]/AN_TME_BY[[#This Row],[Member Months]],0)</f>
        <v>0</v>
      </c>
      <c r="AB130" s="416">
        <f>IFERROR(AN_TME_BY[[#This Row],[TOTAL Truncated Unadjusted Expenses (A22 + A23)]]/AN_TME_BY[[#This Row],[Member Months]],0)</f>
        <v>0</v>
      </c>
      <c r="AC130" s="416">
        <f>IFERROR(AN_TME_BY[[#This Row],[Total Claims Excluded because of Truncation]]/AN_TME_BY[[#This Row],[Count of Members with Claims Truncated]], 0)</f>
        <v>0</v>
      </c>
      <c r="AD130" s="417">
        <f>IFERROR(AN_TME_BY[[#This Row],[Total Claims Excluded because of Truncation]]/AN_TME_BY[[#This Row],[TOTAL Non-Truncated Unadjusted Claims Expenses]], 0)</f>
        <v>0</v>
      </c>
    </row>
    <row r="131" spans="1:30" x14ac:dyDescent="0.25">
      <c r="A131" s="364"/>
      <c r="B131" s="365"/>
      <c r="C131" s="365"/>
      <c r="D131" s="366"/>
      <c r="E131" s="367"/>
      <c r="F131" s="367"/>
      <c r="G131" s="367"/>
      <c r="H131" s="367"/>
      <c r="I131" s="367"/>
      <c r="J131" s="367"/>
      <c r="K131" s="367"/>
      <c r="L131" s="367"/>
      <c r="M131" s="367"/>
      <c r="N131" s="367"/>
      <c r="O131" s="367"/>
      <c r="P131" s="367"/>
      <c r="Q131" s="367"/>
      <c r="R131" s="367"/>
      <c r="S131" s="367"/>
      <c r="T131" s="367"/>
      <c r="U131" s="368"/>
      <c r="V131" s="369">
        <f t="shared" si="6"/>
        <v>0</v>
      </c>
      <c r="W131" s="413">
        <f>AN_TME_BY[[#This Row],[TOTAL Non-Truncated Unadjusted Claims Expenses]]-AN_TME_BY[[#This Row],[Total Claims Excluded because of Truncation]]</f>
        <v>0</v>
      </c>
      <c r="X131" s="369">
        <f t="shared" si="7"/>
        <v>0</v>
      </c>
      <c r="Y131" s="413">
        <f>AN_TME_BY[[#This Row],[TOTAL Non-Truncated Unadjusted Claims Expenses]]+AN_TME_BY[[#This Row],[TOTAL Non-Claims Expenses]]</f>
        <v>0</v>
      </c>
      <c r="Z131" s="413">
        <f>AN_TME_BY[[#This Row],[TOTAL Truncated Unadjusted Claims Expenses (A21 -A19)]]+AN_TME_BY[[#This Row],[TOTAL Non-Claims Expenses]]</f>
        <v>0</v>
      </c>
      <c r="AA131" s="415">
        <f>IFERROR(AN_TME_BY[[#This Row],[TOTAL Non-Truncated Unadjusted Expenses (A21 + A23)]]/AN_TME_BY[[#This Row],[Member Months]],0)</f>
        <v>0</v>
      </c>
      <c r="AB131" s="415">
        <f>IFERROR(AN_TME_BY[[#This Row],[TOTAL Truncated Unadjusted Expenses (A22 + A23)]]/AN_TME_BY[[#This Row],[Member Months]],0)</f>
        <v>0</v>
      </c>
      <c r="AC131" s="415">
        <f>IFERROR(AN_TME_BY[[#This Row],[Total Claims Excluded because of Truncation]]/AN_TME_BY[[#This Row],[Count of Members with Claims Truncated]], 0)</f>
        <v>0</v>
      </c>
      <c r="AD131" s="417">
        <f>IFERROR(AN_TME_BY[[#This Row],[Total Claims Excluded because of Truncation]]/AN_TME_BY[[#This Row],[TOTAL Non-Truncated Unadjusted Claims Expenses]], 0)</f>
        <v>0</v>
      </c>
    </row>
    <row r="132" spans="1:30" x14ac:dyDescent="0.25">
      <c r="A132" s="370"/>
      <c r="B132" s="371"/>
      <c r="C132" s="371"/>
      <c r="D132" s="372"/>
      <c r="E132" s="373"/>
      <c r="F132" s="373"/>
      <c r="G132" s="373"/>
      <c r="H132" s="373"/>
      <c r="I132" s="373"/>
      <c r="J132" s="373"/>
      <c r="K132" s="373"/>
      <c r="L132" s="373"/>
      <c r="M132" s="373"/>
      <c r="N132" s="373"/>
      <c r="O132" s="373"/>
      <c r="P132" s="373"/>
      <c r="Q132" s="373"/>
      <c r="R132" s="373"/>
      <c r="S132" s="373"/>
      <c r="T132" s="373"/>
      <c r="U132" s="374"/>
      <c r="V132" s="375">
        <f t="shared" si="6"/>
        <v>0</v>
      </c>
      <c r="W132" s="375">
        <f>AN_TME_BY[[#This Row],[TOTAL Non-Truncated Unadjusted Claims Expenses]]-AN_TME_BY[[#This Row],[Total Claims Excluded because of Truncation]]</f>
        <v>0</v>
      </c>
      <c r="X132" s="375">
        <f t="shared" si="7"/>
        <v>0</v>
      </c>
      <c r="Y132" s="375">
        <f>AN_TME_BY[[#This Row],[TOTAL Non-Truncated Unadjusted Claims Expenses]]+AN_TME_BY[[#This Row],[TOTAL Non-Claims Expenses]]</f>
        <v>0</v>
      </c>
      <c r="Z132" s="375">
        <f>AN_TME_BY[[#This Row],[TOTAL Truncated Unadjusted Claims Expenses (A21 -A19)]]+AN_TME_BY[[#This Row],[TOTAL Non-Claims Expenses]]</f>
        <v>0</v>
      </c>
      <c r="AA132" s="416">
        <f>IFERROR(AN_TME_BY[[#This Row],[TOTAL Non-Truncated Unadjusted Expenses (A21 + A23)]]/AN_TME_BY[[#This Row],[Member Months]],0)</f>
        <v>0</v>
      </c>
      <c r="AB132" s="416">
        <f>IFERROR(AN_TME_BY[[#This Row],[TOTAL Truncated Unadjusted Expenses (A22 + A23)]]/AN_TME_BY[[#This Row],[Member Months]],0)</f>
        <v>0</v>
      </c>
      <c r="AC132" s="416">
        <f>IFERROR(AN_TME_BY[[#This Row],[Total Claims Excluded because of Truncation]]/AN_TME_BY[[#This Row],[Count of Members with Claims Truncated]], 0)</f>
        <v>0</v>
      </c>
      <c r="AD132" s="417">
        <f>IFERROR(AN_TME_BY[[#This Row],[Total Claims Excluded because of Truncation]]/AN_TME_BY[[#This Row],[TOTAL Non-Truncated Unadjusted Claims Expenses]], 0)</f>
        <v>0</v>
      </c>
    </row>
    <row r="133" spans="1:30" x14ac:dyDescent="0.25">
      <c r="A133" s="364"/>
      <c r="B133" s="365"/>
      <c r="C133" s="365"/>
      <c r="D133" s="366"/>
      <c r="E133" s="367"/>
      <c r="F133" s="367"/>
      <c r="G133" s="367"/>
      <c r="H133" s="367"/>
      <c r="I133" s="367"/>
      <c r="J133" s="367"/>
      <c r="K133" s="367"/>
      <c r="L133" s="367"/>
      <c r="M133" s="367"/>
      <c r="N133" s="367"/>
      <c r="O133" s="367"/>
      <c r="P133" s="367"/>
      <c r="Q133" s="367"/>
      <c r="R133" s="367"/>
      <c r="S133" s="367"/>
      <c r="T133" s="367"/>
      <c r="U133" s="368"/>
      <c r="V133" s="369">
        <f t="shared" si="6"/>
        <v>0</v>
      </c>
      <c r="W133" s="413">
        <f>AN_TME_BY[[#This Row],[TOTAL Non-Truncated Unadjusted Claims Expenses]]-AN_TME_BY[[#This Row],[Total Claims Excluded because of Truncation]]</f>
        <v>0</v>
      </c>
      <c r="X133" s="369">
        <f t="shared" si="7"/>
        <v>0</v>
      </c>
      <c r="Y133" s="413">
        <f>AN_TME_BY[[#This Row],[TOTAL Non-Truncated Unadjusted Claims Expenses]]+AN_TME_BY[[#This Row],[TOTAL Non-Claims Expenses]]</f>
        <v>0</v>
      </c>
      <c r="Z133" s="413">
        <f>AN_TME_BY[[#This Row],[TOTAL Truncated Unadjusted Claims Expenses (A21 -A19)]]+AN_TME_BY[[#This Row],[TOTAL Non-Claims Expenses]]</f>
        <v>0</v>
      </c>
      <c r="AA133" s="415">
        <f>IFERROR(AN_TME_BY[[#This Row],[TOTAL Non-Truncated Unadjusted Expenses (A21 + A23)]]/AN_TME_BY[[#This Row],[Member Months]],0)</f>
        <v>0</v>
      </c>
      <c r="AB133" s="415">
        <f>IFERROR(AN_TME_BY[[#This Row],[TOTAL Truncated Unadjusted Expenses (A22 + A23)]]/AN_TME_BY[[#This Row],[Member Months]],0)</f>
        <v>0</v>
      </c>
      <c r="AC133" s="415">
        <f>IFERROR(AN_TME_BY[[#This Row],[Total Claims Excluded because of Truncation]]/AN_TME_BY[[#This Row],[Count of Members with Claims Truncated]], 0)</f>
        <v>0</v>
      </c>
      <c r="AD133" s="417">
        <f>IFERROR(AN_TME_BY[[#This Row],[Total Claims Excluded because of Truncation]]/AN_TME_BY[[#This Row],[TOTAL Non-Truncated Unadjusted Claims Expenses]], 0)</f>
        <v>0</v>
      </c>
    </row>
    <row r="134" spans="1:30" x14ac:dyDescent="0.25">
      <c r="A134" s="370"/>
      <c r="B134" s="371"/>
      <c r="C134" s="371"/>
      <c r="D134" s="372"/>
      <c r="E134" s="373"/>
      <c r="F134" s="373"/>
      <c r="G134" s="373"/>
      <c r="H134" s="373"/>
      <c r="I134" s="373"/>
      <c r="J134" s="373"/>
      <c r="K134" s="373"/>
      <c r="L134" s="373"/>
      <c r="M134" s="373"/>
      <c r="N134" s="373"/>
      <c r="O134" s="373"/>
      <c r="P134" s="373"/>
      <c r="Q134" s="373"/>
      <c r="R134" s="373"/>
      <c r="S134" s="373"/>
      <c r="T134" s="373"/>
      <c r="U134" s="374"/>
      <c r="V134" s="375">
        <f t="shared" si="6"/>
        <v>0</v>
      </c>
      <c r="W134" s="375">
        <f>AN_TME_BY[[#This Row],[TOTAL Non-Truncated Unadjusted Claims Expenses]]-AN_TME_BY[[#This Row],[Total Claims Excluded because of Truncation]]</f>
        <v>0</v>
      </c>
      <c r="X134" s="375">
        <f t="shared" si="7"/>
        <v>0</v>
      </c>
      <c r="Y134" s="375">
        <f>AN_TME_BY[[#This Row],[TOTAL Non-Truncated Unadjusted Claims Expenses]]+AN_TME_BY[[#This Row],[TOTAL Non-Claims Expenses]]</f>
        <v>0</v>
      </c>
      <c r="Z134" s="375">
        <f>AN_TME_BY[[#This Row],[TOTAL Truncated Unadjusted Claims Expenses (A21 -A19)]]+AN_TME_BY[[#This Row],[TOTAL Non-Claims Expenses]]</f>
        <v>0</v>
      </c>
      <c r="AA134" s="416">
        <f>IFERROR(AN_TME_BY[[#This Row],[TOTAL Non-Truncated Unadjusted Expenses (A21 + A23)]]/AN_TME_BY[[#This Row],[Member Months]],0)</f>
        <v>0</v>
      </c>
      <c r="AB134" s="416">
        <f>IFERROR(AN_TME_BY[[#This Row],[TOTAL Truncated Unadjusted Expenses (A22 + A23)]]/AN_TME_BY[[#This Row],[Member Months]],0)</f>
        <v>0</v>
      </c>
      <c r="AC134" s="416">
        <f>IFERROR(AN_TME_BY[[#This Row],[Total Claims Excluded because of Truncation]]/AN_TME_BY[[#This Row],[Count of Members with Claims Truncated]], 0)</f>
        <v>0</v>
      </c>
      <c r="AD134" s="417">
        <f>IFERROR(AN_TME_BY[[#This Row],[Total Claims Excluded because of Truncation]]/AN_TME_BY[[#This Row],[TOTAL Non-Truncated Unadjusted Claims Expenses]], 0)</f>
        <v>0</v>
      </c>
    </row>
    <row r="135" spans="1:30" x14ac:dyDescent="0.25">
      <c r="A135" s="364"/>
      <c r="B135" s="365"/>
      <c r="C135" s="365"/>
      <c r="D135" s="366"/>
      <c r="E135" s="367"/>
      <c r="F135" s="367"/>
      <c r="G135" s="367"/>
      <c r="H135" s="367"/>
      <c r="I135" s="367"/>
      <c r="J135" s="367"/>
      <c r="K135" s="367"/>
      <c r="L135" s="367"/>
      <c r="M135" s="367"/>
      <c r="N135" s="367"/>
      <c r="O135" s="367"/>
      <c r="P135" s="367"/>
      <c r="Q135" s="367"/>
      <c r="R135" s="367"/>
      <c r="S135" s="367"/>
      <c r="T135" s="367"/>
      <c r="U135" s="368"/>
      <c r="V135" s="369">
        <f t="shared" si="6"/>
        <v>0</v>
      </c>
      <c r="W135" s="413">
        <f>AN_TME_BY[[#This Row],[TOTAL Non-Truncated Unadjusted Claims Expenses]]-AN_TME_BY[[#This Row],[Total Claims Excluded because of Truncation]]</f>
        <v>0</v>
      </c>
      <c r="X135" s="369">
        <f t="shared" si="7"/>
        <v>0</v>
      </c>
      <c r="Y135" s="413">
        <f>AN_TME_BY[[#This Row],[TOTAL Non-Truncated Unadjusted Claims Expenses]]+AN_TME_BY[[#This Row],[TOTAL Non-Claims Expenses]]</f>
        <v>0</v>
      </c>
      <c r="Z135" s="413">
        <f>AN_TME_BY[[#This Row],[TOTAL Truncated Unadjusted Claims Expenses (A21 -A19)]]+AN_TME_BY[[#This Row],[TOTAL Non-Claims Expenses]]</f>
        <v>0</v>
      </c>
      <c r="AA135" s="415">
        <f>IFERROR(AN_TME_BY[[#This Row],[TOTAL Non-Truncated Unadjusted Expenses (A21 + A23)]]/AN_TME_BY[[#This Row],[Member Months]],0)</f>
        <v>0</v>
      </c>
      <c r="AB135" s="415">
        <f>IFERROR(AN_TME_BY[[#This Row],[TOTAL Truncated Unadjusted Expenses (A22 + A23)]]/AN_TME_BY[[#This Row],[Member Months]],0)</f>
        <v>0</v>
      </c>
      <c r="AC135" s="415">
        <f>IFERROR(AN_TME_BY[[#This Row],[Total Claims Excluded because of Truncation]]/AN_TME_BY[[#This Row],[Count of Members with Claims Truncated]], 0)</f>
        <v>0</v>
      </c>
      <c r="AD135" s="417">
        <f>IFERROR(AN_TME_BY[[#This Row],[Total Claims Excluded because of Truncation]]/AN_TME_BY[[#This Row],[TOTAL Non-Truncated Unadjusted Claims Expenses]], 0)</f>
        <v>0</v>
      </c>
    </row>
    <row r="136" spans="1:30" x14ac:dyDescent="0.25">
      <c r="A136" s="370"/>
      <c r="B136" s="371"/>
      <c r="C136" s="371"/>
      <c r="D136" s="372"/>
      <c r="E136" s="373"/>
      <c r="F136" s="373"/>
      <c r="G136" s="373"/>
      <c r="H136" s="373"/>
      <c r="I136" s="373"/>
      <c r="J136" s="373"/>
      <c r="K136" s="373"/>
      <c r="L136" s="373"/>
      <c r="M136" s="373"/>
      <c r="N136" s="373"/>
      <c r="O136" s="373"/>
      <c r="P136" s="373"/>
      <c r="Q136" s="373"/>
      <c r="R136" s="373"/>
      <c r="S136" s="373"/>
      <c r="T136" s="373"/>
      <c r="U136" s="374"/>
      <c r="V136" s="375">
        <f t="shared" si="6"/>
        <v>0</v>
      </c>
      <c r="W136" s="375">
        <f>AN_TME_BY[[#This Row],[TOTAL Non-Truncated Unadjusted Claims Expenses]]-AN_TME_BY[[#This Row],[Total Claims Excluded because of Truncation]]</f>
        <v>0</v>
      </c>
      <c r="X136" s="375">
        <f t="shared" si="7"/>
        <v>0</v>
      </c>
      <c r="Y136" s="375">
        <f>AN_TME_BY[[#This Row],[TOTAL Non-Truncated Unadjusted Claims Expenses]]+AN_TME_BY[[#This Row],[TOTAL Non-Claims Expenses]]</f>
        <v>0</v>
      </c>
      <c r="Z136" s="375">
        <f>AN_TME_BY[[#This Row],[TOTAL Truncated Unadjusted Claims Expenses (A21 -A19)]]+AN_TME_BY[[#This Row],[TOTAL Non-Claims Expenses]]</f>
        <v>0</v>
      </c>
      <c r="AA136" s="416">
        <f>IFERROR(AN_TME_BY[[#This Row],[TOTAL Non-Truncated Unadjusted Expenses (A21 + A23)]]/AN_TME_BY[[#This Row],[Member Months]],0)</f>
        <v>0</v>
      </c>
      <c r="AB136" s="416">
        <f>IFERROR(AN_TME_BY[[#This Row],[TOTAL Truncated Unadjusted Expenses (A22 + A23)]]/AN_TME_BY[[#This Row],[Member Months]],0)</f>
        <v>0</v>
      </c>
      <c r="AC136" s="416">
        <f>IFERROR(AN_TME_BY[[#This Row],[Total Claims Excluded because of Truncation]]/AN_TME_BY[[#This Row],[Count of Members with Claims Truncated]], 0)</f>
        <v>0</v>
      </c>
      <c r="AD136" s="417">
        <f>IFERROR(AN_TME_BY[[#This Row],[Total Claims Excluded because of Truncation]]/AN_TME_BY[[#This Row],[TOTAL Non-Truncated Unadjusted Claims Expenses]], 0)</f>
        <v>0</v>
      </c>
    </row>
    <row r="137" spans="1:30" x14ac:dyDescent="0.25">
      <c r="A137" s="364"/>
      <c r="B137" s="365"/>
      <c r="C137" s="365"/>
      <c r="D137" s="366"/>
      <c r="E137" s="367"/>
      <c r="F137" s="367"/>
      <c r="G137" s="367"/>
      <c r="H137" s="367"/>
      <c r="I137" s="367"/>
      <c r="J137" s="367"/>
      <c r="K137" s="367"/>
      <c r="L137" s="367"/>
      <c r="M137" s="367"/>
      <c r="N137" s="367"/>
      <c r="O137" s="367"/>
      <c r="P137" s="367"/>
      <c r="Q137" s="367"/>
      <c r="R137" s="367"/>
      <c r="S137" s="367"/>
      <c r="T137" s="367"/>
      <c r="U137" s="368"/>
      <c r="V137" s="369">
        <f t="shared" si="6"/>
        <v>0</v>
      </c>
      <c r="W137" s="413">
        <f>AN_TME_BY[[#This Row],[TOTAL Non-Truncated Unadjusted Claims Expenses]]-AN_TME_BY[[#This Row],[Total Claims Excluded because of Truncation]]</f>
        <v>0</v>
      </c>
      <c r="X137" s="369">
        <f t="shared" si="7"/>
        <v>0</v>
      </c>
      <c r="Y137" s="413">
        <f>AN_TME_BY[[#This Row],[TOTAL Non-Truncated Unadjusted Claims Expenses]]+AN_TME_BY[[#This Row],[TOTAL Non-Claims Expenses]]</f>
        <v>0</v>
      </c>
      <c r="Z137" s="413">
        <f>AN_TME_BY[[#This Row],[TOTAL Truncated Unadjusted Claims Expenses (A21 -A19)]]+AN_TME_BY[[#This Row],[TOTAL Non-Claims Expenses]]</f>
        <v>0</v>
      </c>
      <c r="AA137" s="415">
        <f>IFERROR(AN_TME_BY[[#This Row],[TOTAL Non-Truncated Unadjusted Expenses (A21 + A23)]]/AN_TME_BY[[#This Row],[Member Months]],0)</f>
        <v>0</v>
      </c>
      <c r="AB137" s="415">
        <f>IFERROR(AN_TME_BY[[#This Row],[TOTAL Truncated Unadjusted Expenses (A22 + A23)]]/AN_TME_BY[[#This Row],[Member Months]],0)</f>
        <v>0</v>
      </c>
      <c r="AC137" s="415">
        <f>IFERROR(AN_TME_BY[[#This Row],[Total Claims Excluded because of Truncation]]/AN_TME_BY[[#This Row],[Count of Members with Claims Truncated]], 0)</f>
        <v>0</v>
      </c>
      <c r="AD137" s="417">
        <f>IFERROR(AN_TME_BY[[#This Row],[Total Claims Excluded because of Truncation]]/AN_TME_BY[[#This Row],[TOTAL Non-Truncated Unadjusted Claims Expenses]], 0)</f>
        <v>0</v>
      </c>
    </row>
    <row r="138" spans="1:30" x14ac:dyDescent="0.25">
      <c r="A138" s="370"/>
      <c r="B138" s="371"/>
      <c r="C138" s="371"/>
      <c r="D138" s="372"/>
      <c r="E138" s="373"/>
      <c r="F138" s="373"/>
      <c r="G138" s="373"/>
      <c r="H138" s="373"/>
      <c r="I138" s="373"/>
      <c r="J138" s="373"/>
      <c r="K138" s="373"/>
      <c r="L138" s="373"/>
      <c r="M138" s="373"/>
      <c r="N138" s="373"/>
      <c r="O138" s="373"/>
      <c r="P138" s="373"/>
      <c r="Q138" s="373"/>
      <c r="R138" s="373"/>
      <c r="S138" s="373"/>
      <c r="T138" s="373"/>
      <c r="U138" s="374"/>
      <c r="V138" s="375">
        <f t="shared" si="6"/>
        <v>0</v>
      </c>
      <c r="W138" s="375">
        <f>AN_TME_BY[[#This Row],[TOTAL Non-Truncated Unadjusted Claims Expenses]]-AN_TME_BY[[#This Row],[Total Claims Excluded because of Truncation]]</f>
        <v>0</v>
      </c>
      <c r="X138" s="375">
        <f t="shared" si="7"/>
        <v>0</v>
      </c>
      <c r="Y138" s="375">
        <f>AN_TME_BY[[#This Row],[TOTAL Non-Truncated Unadjusted Claims Expenses]]+AN_TME_BY[[#This Row],[TOTAL Non-Claims Expenses]]</f>
        <v>0</v>
      </c>
      <c r="Z138" s="375">
        <f>AN_TME_BY[[#This Row],[TOTAL Truncated Unadjusted Claims Expenses (A21 -A19)]]+AN_TME_BY[[#This Row],[TOTAL Non-Claims Expenses]]</f>
        <v>0</v>
      </c>
      <c r="AA138" s="416">
        <f>IFERROR(AN_TME_BY[[#This Row],[TOTAL Non-Truncated Unadjusted Expenses (A21 + A23)]]/AN_TME_BY[[#This Row],[Member Months]],0)</f>
        <v>0</v>
      </c>
      <c r="AB138" s="416">
        <f>IFERROR(AN_TME_BY[[#This Row],[TOTAL Truncated Unadjusted Expenses (A22 + A23)]]/AN_TME_BY[[#This Row],[Member Months]],0)</f>
        <v>0</v>
      </c>
      <c r="AC138" s="416">
        <f>IFERROR(AN_TME_BY[[#This Row],[Total Claims Excluded because of Truncation]]/AN_TME_BY[[#This Row],[Count of Members with Claims Truncated]], 0)</f>
        <v>0</v>
      </c>
      <c r="AD138" s="417">
        <f>IFERROR(AN_TME_BY[[#This Row],[Total Claims Excluded because of Truncation]]/AN_TME_BY[[#This Row],[TOTAL Non-Truncated Unadjusted Claims Expenses]], 0)</f>
        <v>0</v>
      </c>
    </row>
    <row r="139" spans="1:30" x14ac:dyDescent="0.25">
      <c r="A139" s="364"/>
      <c r="B139" s="365"/>
      <c r="C139" s="365"/>
      <c r="D139" s="366"/>
      <c r="E139" s="367"/>
      <c r="F139" s="367"/>
      <c r="G139" s="367"/>
      <c r="H139" s="367"/>
      <c r="I139" s="367"/>
      <c r="J139" s="367"/>
      <c r="K139" s="367"/>
      <c r="L139" s="367"/>
      <c r="M139" s="367"/>
      <c r="N139" s="367"/>
      <c r="O139" s="367"/>
      <c r="P139" s="367"/>
      <c r="Q139" s="367"/>
      <c r="R139" s="367"/>
      <c r="S139" s="367"/>
      <c r="T139" s="367"/>
      <c r="U139" s="368"/>
      <c r="V139" s="369">
        <f t="shared" ref="V139:V170" si="8">SUM(E139:G139)+SUM(I139:M139)</f>
        <v>0</v>
      </c>
      <c r="W139" s="413">
        <f>AN_TME_BY[[#This Row],[TOTAL Non-Truncated Unadjusted Claims Expenses]]-AN_TME_BY[[#This Row],[Total Claims Excluded because of Truncation]]</f>
        <v>0</v>
      </c>
      <c r="X139" s="369">
        <f t="shared" ref="X139:X170" si="9">SUM(N139:R139)</f>
        <v>0</v>
      </c>
      <c r="Y139" s="413">
        <f>AN_TME_BY[[#This Row],[TOTAL Non-Truncated Unadjusted Claims Expenses]]+AN_TME_BY[[#This Row],[TOTAL Non-Claims Expenses]]</f>
        <v>0</v>
      </c>
      <c r="Z139" s="413">
        <f>AN_TME_BY[[#This Row],[TOTAL Truncated Unadjusted Claims Expenses (A21 -A19)]]+AN_TME_BY[[#This Row],[TOTAL Non-Claims Expenses]]</f>
        <v>0</v>
      </c>
      <c r="AA139" s="415">
        <f>IFERROR(AN_TME_BY[[#This Row],[TOTAL Non-Truncated Unadjusted Expenses (A21 + A23)]]/AN_TME_BY[[#This Row],[Member Months]],0)</f>
        <v>0</v>
      </c>
      <c r="AB139" s="415">
        <f>IFERROR(AN_TME_BY[[#This Row],[TOTAL Truncated Unadjusted Expenses (A22 + A23)]]/AN_TME_BY[[#This Row],[Member Months]],0)</f>
        <v>0</v>
      </c>
      <c r="AC139" s="415">
        <f>IFERROR(AN_TME_BY[[#This Row],[Total Claims Excluded because of Truncation]]/AN_TME_BY[[#This Row],[Count of Members with Claims Truncated]], 0)</f>
        <v>0</v>
      </c>
      <c r="AD139" s="417">
        <f>IFERROR(AN_TME_BY[[#This Row],[Total Claims Excluded because of Truncation]]/AN_TME_BY[[#This Row],[TOTAL Non-Truncated Unadjusted Claims Expenses]], 0)</f>
        <v>0</v>
      </c>
    </row>
    <row r="140" spans="1:30" x14ac:dyDescent="0.25">
      <c r="A140" s="370"/>
      <c r="B140" s="371"/>
      <c r="C140" s="371"/>
      <c r="D140" s="372"/>
      <c r="E140" s="373"/>
      <c r="F140" s="373"/>
      <c r="G140" s="373"/>
      <c r="H140" s="373"/>
      <c r="I140" s="373"/>
      <c r="J140" s="373"/>
      <c r="K140" s="373"/>
      <c r="L140" s="373"/>
      <c r="M140" s="373"/>
      <c r="N140" s="373"/>
      <c r="O140" s="373"/>
      <c r="P140" s="373"/>
      <c r="Q140" s="373"/>
      <c r="R140" s="373"/>
      <c r="S140" s="373"/>
      <c r="T140" s="373"/>
      <c r="U140" s="374"/>
      <c r="V140" s="375">
        <f t="shared" si="8"/>
        <v>0</v>
      </c>
      <c r="W140" s="375">
        <f>AN_TME_BY[[#This Row],[TOTAL Non-Truncated Unadjusted Claims Expenses]]-AN_TME_BY[[#This Row],[Total Claims Excluded because of Truncation]]</f>
        <v>0</v>
      </c>
      <c r="X140" s="375">
        <f t="shared" si="9"/>
        <v>0</v>
      </c>
      <c r="Y140" s="375">
        <f>AN_TME_BY[[#This Row],[TOTAL Non-Truncated Unadjusted Claims Expenses]]+AN_TME_BY[[#This Row],[TOTAL Non-Claims Expenses]]</f>
        <v>0</v>
      </c>
      <c r="Z140" s="375">
        <f>AN_TME_BY[[#This Row],[TOTAL Truncated Unadjusted Claims Expenses (A21 -A19)]]+AN_TME_BY[[#This Row],[TOTAL Non-Claims Expenses]]</f>
        <v>0</v>
      </c>
      <c r="AA140" s="416">
        <f>IFERROR(AN_TME_BY[[#This Row],[TOTAL Non-Truncated Unadjusted Expenses (A21 + A23)]]/AN_TME_BY[[#This Row],[Member Months]],0)</f>
        <v>0</v>
      </c>
      <c r="AB140" s="416">
        <f>IFERROR(AN_TME_BY[[#This Row],[TOTAL Truncated Unadjusted Expenses (A22 + A23)]]/AN_TME_BY[[#This Row],[Member Months]],0)</f>
        <v>0</v>
      </c>
      <c r="AC140" s="416">
        <f>IFERROR(AN_TME_BY[[#This Row],[Total Claims Excluded because of Truncation]]/AN_TME_BY[[#This Row],[Count of Members with Claims Truncated]], 0)</f>
        <v>0</v>
      </c>
      <c r="AD140" s="417">
        <f>IFERROR(AN_TME_BY[[#This Row],[Total Claims Excluded because of Truncation]]/AN_TME_BY[[#This Row],[TOTAL Non-Truncated Unadjusted Claims Expenses]], 0)</f>
        <v>0</v>
      </c>
    </row>
    <row r="141" spans="1:30" x14ac:dyDescent="0.25">
      <c r="A141" s="364"/>
      <c r="B141" s="365"/>
      <c r="C141" s="365"/>
      <c r="D141" s="366"/>
      <c r="E141" s="367"/>
      <c r="F141" s="367"/>
      <c r="G141" s="367"/>
      <c r="H141" s="367"/>
      <c r="I141" s="367"/>
      <c r="J141" s="367"/>
      <c r="K141" s="367"/>
      <c r="L141" s="367"/>
      <c r="M141" s="367"/>
      <c r="N141" s="367"/>
      <c r="O141" s="367"/>
      <c r="P141" s="367"/>
      <c r="Q141" s="367"/>
      <c r="R141" s="367"/>
      <c r="S141" s="367"/>
      <c r="T141" s="367"/>
      <c r="U141" s="368"/>
      <c r="V141" s="369">
        <f t="shared" si="8"/>
        <v>0</v>
      </c>
      <c r="W141" s="413">
        <f>AN_TME_BY[[#This Row],[TOTAL Non-Truncated Unadjusted Claims Expenses]]-AN_TME_BY[[#This Row],[Total Claims Excluded because of Truncation]]</f>
        <v>0</v>
      </c>
      <c r="X141" s="369">
        <f t="shared" si="9"/>
        <v>0</v>
      </c>
      <c r="Y141" s="413">
        <f>AN_TME_BY[[#This Row],[TOTAL Non-Truncated Unadjusted Claims Expenses]]+AN_TME_BY[[#This Row],[TOTAL Non-Claims Expenses]]</f>
        <v>0</v>
      </c>
      <c r="Z141" s="413">
        <f>AN_TME_BY[[#This Row],[TOTAL Truncated Unadjusted Claims Expenses (A21 -A19)]]+AN_TME_BY[[#This Row],[TOTAL Non-Claims Expenses]]</f>
        <v>0</v>
      </c>
      <c r="AA141" s="415">
        <f>IFERROR(AN_TME_BY[[#This Row],[TOTAL Non-Truncated Unadjusted Expenses (A21 + A23)]]/AN_TME_BY[[#This Row],[Member Months]],0)</f>
        <v>0</v>
      </c>
      <c r="AB141" s="415">
        <f>IFERROR(AN_TME_BY[[#This Row],[TOTAL Truncated Unadjusted Expenses (A22 + A23)]]/AN_TME_BY[[#This Row],[Member Months]],0)</f>
        <v>0</v>
      </c>
      <c r="AC141" s="415">
        <f>IFERROR(AN_TME_BY[[#This Row],[Total Claims Excluded because of Truncation]]/AN_TME_BY[[#This Row],[Count of Members with Claims Truncated]], 0)</f>
        <v>0</v>
      </c>
      <c r="AD141" s="417">
        <f>IFERROR(AN_TME_BY[[#This Row],[Total Claims Excluded because of Truncation]]/AN_TME_BY[[#This Row],[TOTAL Non-Truncated Unadjusted Claims Expenses]], 0)</f>
        <v>0</v>
      </c>
    </row>
    <row r="142" spans="1:30" x14ac:dyDescent="0.25">
      <c r="A142" s="370"/>
      <c r="B142" s="371"/>
      <c r="C142" s="371"/>
      <c r="D142" s="372"/>
      <c r="E142" s="373"/>
      <c r="F142" s="373"/>
      <c r="G142" s="373"/>
      <c r="H142" s="373"/>
      <c r="I142" s="373"/>
      <c r="J142" s="373"/>
      <c r="K142" s="373"/>
      <c r="L142" s="373"/>
      <c r="M142" s="373"/>
      <c r="N142" s="373"/>
      <c r="O142" s="373"/>
      <c r="P142" s="373"/>
      <c r="Q142" s="373"/>
      <c r="R142" s="373"/>
      <c r="S142" s="373"/>
      <c r="T142" s="373"/>
      <c r="U142" s="374"/>
      <c r="V142" s="375">
        <f t="shared" si="8"/>
        <v>0</v>
      </c>
      <c r="W142" s="375">
        <f>AN_TME_BY[[#This Row],[TOTAL Non-Truncated Unadjusted Claims Expenses]]-AN_TME_BY[[#This Row],[Total Claims Excluded because of Truncation]]</f>
        <v>0</v>
      </c>
      <c r="X142" s="375">
        <f t="shared" si="9"/>
        <v>0</v>
      </c>
      <c r="Y142" s="375">
        <f>AN_TME_BY[[#This Row],[TOTAL Non-Truncated Unadjusted Claims Expenses]]+AN_TME_BY[[#This Row],[TOTAL Non-Claims Expenses]]</f>
        <v>0</v>
      </c>
      <c r="Z142" s="375">
        <f>AN_TME_BY[[#This Row],[TOTAL Truncated Unadjusted Claims Expenses (A21 -A19)]]+AN_TME_BY[[#This Row],[TOTAL Non-Claims Expenses]]</f>
        <v>0</v>
      </c>
      <c r="AA142" s="416">
        <f>IFERROR(AN_TME_BY[[#This Row],[TOTAL Non-Truncated Unadjusted Expenses (A21 + A23)]]/AN_TME_BY[[#This Row],[Member Months]],0)</f>
        <v>0</v>
      </c>
      <c r="AB142" s="416">
        <f>IFERROR(AN_TME_BY[[#This Row],[TOTAL Truncated Unadjusted Expenses (A22 + A23)]]/AN_TME_BY[[#This Row],[Member Months]],0)</f>
        <v>0</v>
      </c>
      <c r="AC142" s="416">
        <f>IFERROR(AN_TME_BY[[#This Row],[Total Claims Excluded because of Truncation]]/AN_TME_BY[[#This Row],[Count of Members with Claims Truncated]], 0)</f>
        <v>0</v>
      </c>
      <c r="AD142" s="417">
        <f>IFERROR(AN_TME_BY[[#This Row],[Total Claims Excluded because of Truncation]]/AN_TME_BY[[#This Row],[TOTAL Non-Truncated Unadjusted Claims Expenses]], 0)</f>
        <v>0</v>
      </c>
    </row>
    <row r="143" spans="1:30" x14ac:dyDescent="0.25">
      <c r="A143" s="364"/>
      <c r="B143" s="365"/>
      <c r="C143" s="365"/>
      <c r="D143" s="366"/>
      <c r="E143" s="367"/>
      <c r="F143" s="367"/>
      <c r="G143" s="367"/>
      <c r="H143" s="367"/>
      <c r="I143" s="367"/>
      <c r="J143" s="367"/>
      <c r="K143" s="367"/>
      <c r="L143" s="367"/>
      <c r="M143" s="367"/>
      <c r="N143" s="367"/>
      <c r="O143" s="367"/>
      <c r="P143" s="367"/>
      <c r="Q143" s="367"/>
      <c r="R143" s="367"/>
      <c r="S143" s="367"/>
      <c r="T143" s="367"/>
      <c r="U143" s="368"/>
      <c r="V143" s="369">
        <f t="shared" si="8"/>
        <v>0</v>
      </c>
      <c r="W143" s="413">
        <f>AN_TME_BY[[#This Row],[TOTAL Non-Truncated Unadjusted Claims Expenses]]-AN_TME_BY[[#This Row],[Total Claims Excluded because of Truncation]]</f>
        <v>0</v>
      </c>
      <c r="X143" s="369">
        <f t="shared" si="9"/>
        <v>0</v>
      </c>
      <c r="Y143" s="413">
        <f>AN_TME_BY[[#This Row],[TOTAL Non-Truncated Unadjusted Claims Expenses]]+AN_TME_BY[[#This Row],[TOTAL Non-Claims Expenses]]</f>
        <v>0</v>
      </c>
      <c r="Z143" s="413">
        <f>AN_TME_BY[[#This Row],[TOTAL Truncated Unadjusted Claims Expenses (A21 -A19)]]+AN_TME_BY[[#This Row],[TOTAL Non-Claims Expenses]]</f>
        <v>0</v>
      </c>
      <c r="AA143" s="415">
        <f>IFERROR(AN_TME_BY[[#This Row],[TOTAL Non-Truncated Unadjusted Expenses (A21 + A23)]]/AN_TME_BY[[#This Row],[Member Months]],0)</f>
        <v>0</v>
      </c>
      <c r="AB143" s="415">
        <f>IFERROR(AN_TME_BY[[#This Row],[TOTAL Truncated Unadjusted Expenses (A22 + A23)]]/AN_TME_BY[[#This Row],[Member Months]],0)</f>
        <v>0</v>
      </c>
      <c r="AC143" s="415">
        <f>IFERROR(AN_TME_BY[[#This Row],[Total Claims Excluded because of Truncation]]/AN_TME_BY[[#This Row],[Count of Members with Claims Truncated]], 0)</f>
        <v>0</v>
      </c>
      <c r="AD143" s="417">
        <f>IFERROR(AN_TME_BY[[#This Row],[Total Claims Excluded because of Truncation]]/AN_TME_BY[[#This Row],[TOTAL Non-Truncated Unadjusted Claims Expenses]], 0)</f>
        <v>0</v>
      </c>
    </row>
    <row r="144" spans="1:30" x14ac:dyDescent="0.25">
      <c r="A144" s="370"/>
      <c r="B144" s="371"/>
      <c r="C144" s="371"/>
      <c r="D144" s="372"/>
      <c r="E144" s="373"/>
      <c r="F144" s="373"/>
      <c r="G144" s="373"/>
      <c r="H144" s="373"/>
      <c r="I144" s="373"/>
      <c r="J144" s="373"/>
      <c r="K144" s="373"/>
      <c r="L144" s="373"/>
      <c r="M144" s="373"/>
      <c r="N144" s="373"/>
      <c r="O144" s="373"/>
      <c r="P144" s="373"/>
      <c r="Q144" s="373"/>
      <c r="R144" s="373"/>
      <c r="S144" s="373"/>
      <c r="T144" s="373"/>
      <c r="U144" s="374"/>
      <c r="V144" s="375">
        <f t="shared" si="8"/>
        <v>0</v>
      </c>
      <c r="W144" s="375">
        <f>AN_TME_BY[[#This Row],[TOTAL Non-Truncated Unadjusted Claims Expenses]]-AN_TME_BY[[#This Row],[Total Claims Excluded because of Truncation]]</f>
        <v>0</v>
      </c>
      <c r="X144" s="375">
        <f t="shared" si="9"/>
        <v>0</v>
      </c>
      <c r="Y144" s="375">
        <f>AN_TME_BY[[#This Row],[TOTAL Non-Truncated Unadjusted Claims Expenses]]+AN_TME_BY[[#This Row],[TOTAL Non-Claims Expenses]]</f>
        <v>0</v>
      </c>
      <c r="Z144" s="375">
        <f>AN_TME_BY[[#This Row],[TOTAL Truncated Unadjusted Claims Expenses (A21 -A19)]]+AN_TME_BY[[#This Row],[TOTAL Non-Claims Expenses]]</f>
        <v>0</v>
      </c>
      <c r="AA144" s="416">
        <f>IFERROR(AN_TME_BY[[#This Row],[TOTAL Non-Truncated Unadjusted Expenses (A21 + A23)]]/AN_TME_BY[[#This Row],[Member Months]],0)</f>
        <v>0</v>
      </c>
      <c r="AB144" s="416">
        <f>IFERROR(AN_TME_BY[[#This Row],[TOTAL Truncated Unadjusted Expenses (A22 + A23)]]/AN_TME_BY[[#This Row],[Member Months]],0)</f>
        <v>0</v>
      </c>
      <c r="AC144" s="416">
        <f>IFERROR(AN_TME_BY[[#This Row],[Total Claims Excluded because of Truncation]]/AN_TME_BY[[#This Row],[Count of Members with Claims Truncated]], 0)</f>
        <v>0</v>
      </c>
      <c r="AD144" s="417">
        <f>IFERROR(AN_TME_BY[[#This Row],[Total Claims Excluded because of Truncation]]/AN_TME_BY[[#This Row],[TOTAL Non-Truncated Unadjusted Claims Expenses]], 0)</f>
        <v>0</v>
      </c>
    </row>
    <row r="145" spans="1:30" x14ac:dyDescent="0.25">
      <c r="A145" s="364"/>
      <c r="B145" s="365"/>
      <c r="C145" s="365"/>
      <c r="D145" s="366"/>
      <c r="E145" s="367"/>
      <c r="F145" s="367"/>
      <c r="G145" s="367"/>
      <c r="H145" s="367"/>
      <c r="I145" s="367"/>
      <c r="J145" s="367"/>
      <c r="K145" s="367"/>
      <c r="L145" s="367"/>
      <c r="M145" s="367"/>
      <c r="N145" s="367"/>
      <c r="O145" s="367"/>
      <c r="P145" s="367"/>
      <c r="Q145" s="367"/>
      <c r="R145" s="367"/>
      <c r="S145" s="367"/>
      <c r="T145" s="367"/>
      <c r="U145" s="368"/>
      <c r="V145" s="369">
        <f t="shared" si="8"/>
        <v>0</v>
      </c>
      <c r="W145" s="413">
        <f>AN_TME_BY[[#This Row],[TOTAL Non-Truncated Unadjusted Claims Expenses]]-AN_TME_BY[[#This Row],[Total Claims Excluded because of Truncation]]</f>
        <v>0</v>
      </c>
      <c r="X145" s="369">
        <f t="shared" si="9"/>
        <v>0</v>
      </c>
      <c r="Y145" s="413">
        <f>AN_TME_BY[[#This Row],[TOTAL Non-Truncated Unadjusted Claims Expenses]]+AN_TME_BY[[#This Row],[TOTAL Non-Claims Expenses]]</f>
        <v>0</v>
      </c>
      <c r="Z145" s="413">
        <f>AN_TME_BY[[#This Row],[TOTAL Truncated Unadjusted Claims Expenses (A21 -A19)]]+AN_TME_BY[[#This Row],[TOTAL Non-Claims Expenses]]</f>
        <v>0</v>
      </c>
      <c r="AA145" s="415">
        <f>IFERROR(AN_TME_BY[[#This Row],[TOTAL Non-Truncated Unadjusted Expenses (A21 + A23)]]/AN_TME_BY[[#This Row],[Member Months]],0)</f>
        <v>0</v>
      </c>
      <c r="AB145" s="415">
        <f>IFERROR(AN_TME_BY[[#This Row],[TOTAL Truncated Unadjusted Expenses (A22 + A23)]]/AN_TME_BY[[#This Row],[Member Months]],0)</f>
        <v>0</v>
      </c>
      <c r="AC145" s="415">
        <f>IFERROR(AN_TME_BY[[#This Row],[Total Claims Excluded because of Truncation]]/AN_TME_BY[[#This Row],[Count of Members with Claims Truncated]], 0)</f>
        <v>0</v>
      </c>
      <c r="AD145" s="417">
        <f>IFERROR(AN_TME_BY[[#This Row],[Total Claims Excluded because of Truncation]]/AN_TME_BY[[#This Row],[TOTAL Non-Truncated Unadjusted Claims Expenses]], 0)</f>
        <v>0</v>
      </c>
    </row>
    <row r="146" spans="1:30" x14ac:dyDescent="0.25">
      <c r="A146" s="370"/>
      <c r="B146" s="371"/>
      <c r="C146" s="371"/>
      <c r="D146" s="372"/>
      <c r="E146" s="373"/>
      <c r="F146" s="373"/>
      <c r="G146" s="373"/>
      <c r="H146" s="373"/>
      <c r="I146" s="373"/>
      <c r="J146" s="373"/>
      <c r="K146" s="373"/>
      <c r="L146" s="373"/>
      <c r="M146" s="373"/>
      <c r="N146" s="373"/>
      <c r="O146" s="373"/>
      <c r="P146" s="373"/>
      <c r="Q146" s="373"/>
      <c r="R146" s="373"/>
      <c r="S146" s="373"/>
      <c r="T146" s="373"/>
      <c r="U146" s="374"/>
      <c r="V146" s="375">
        <f t="shared" si="8"/>
        <v>0</v>
      </c>
      <c r="W146" s="375">
        <f>AN_TME_BY[[#This Row],[TOTAL Non-Truncated Unadjusted Claims Expenses]]-AN_TME_BY[[#This Row],[Total Claims Excluded because of Truncation]]</f>
        <v>0</v>
      </c>
      <c r="X146" s="375">
        <f t="shared" si="9"/>
        <v>0</v>
      </c>
      <c r="Y146" s="375">
        <f>AN_TME_BY[[#This Row],[TOTAL Non-Truncated Unadjusted Claims Expenses]]+AN_TME_BY[[#This Row],[TOTAL Non-Claims Expenses]]</f>
        <v>0</v>
      </c>
      <c r="Z146" s="375">
        <f>AN_TME_BY[[#This Row],[TOTAL Truncated Unadjusted Claims Expenses (A21 -A19)]]+AN_TME_BY[[#This Row],[TOTAL Non-Claims Expenses]]</f>
        <v>0</v>
      </c>
      <c r="AA146" s="416">
        <f>IFERROR(AN_TME_BY[[#This Row],[TOTAL Non-Truncated Unadjusted Expenses (A21 + A23)]]/AN_TME_BY[[#This Row],[Member Months]],0)</f>
        <v>0</v>
      </c>
      <c r="AB146" s="416">
        <f>IFERROR(AN_TME_BY[[#This Row],[TOTAL Truncated Unadjusted Expenses (A22 + A23)]]/AN_TME_BY[[#This Row],[Member Months]],0)</f>
        <v>0</v>
      </c>
      <c r="AC146" s="416">
        <f>IFERROR(AN_TME_BY[[#This Row],[Total Claims Excluded because of Truncation]]/AN_TME_BY[[#This Row],[Count of Members with Claims Truncated]], 0)</f>
        <v>0</v>
      </c>
      <c r="AD146" s="417">
        <f>IFERROR(AN_TME_BY[[#This Row],[Total Claims Excluded because of Truncation]]/AN_TME_BY[[#This Row],[TOTAL Non-Truncated Unadjusted Claims Expenses]], 0)</f>
        <v>0</v>
      </c>
    </row>
    <row r="147" spans="1:30" x14ac:dyDescent="0.25">
      <c r="A147" s="364"/>
      <c r="B147" s="365"/>
      <c r="C147" s="365"/>
      <c r="D147" s="366"/>
      <c r="E147" s="367"/>
      <c r="F147" s="367"/>
      <c r="G147" s="367"/>
      <c r="H147" s="367"/>
      <c r="I147" s="367"/>
      <c r="J147" s="367"/>
      <c r="K147" s="367"/>
      <c r="L147" s="367"/>
      <c r="M147" s="367"/>
      <c r="N147" s="367"/>
      <c r="O147" s="367"/>
      <c r="P147" s="367"/>
      <c r="Q147" s="367"/>
      <c r="R147" s="367"/>
      <c r="S147" s="367"/>
      <c r="T147" s="367"/>
      <c r="U147" s="368"/>
      <c r="V147" s="369">
        <f t="shared" si="8"/>
        <v>0</v>
      </c>
      <c r="W147" s="413">
        <f>AN_TME_BY[[#This Row],[TOTAL Non-Truncated Unadjusted Claims Expenses]]-AN_TME_BY[[#This Row],[Total Claims Excluded because of Truncation]]</f>
        <v>0</v>
      </c>
      <c r="X147" s="369">
        <f t="shared" si="9"/>
        <v>0</v>
      </c>
      <c r="Y147" s="413">
        <f>AN_TME_BY[[#This Row],[TOTAL Non-Truncated Unadjusted Claims Expenses]]+AN_TME_BY[[#This Row],[TOTAL Non-Claims Expenses]]</f>
        <v>0</v>
      </c>
      <c r="Z147" s="413">
        <f>AN_TME_BY[[#This Row],[TOTAL Truncated Unadjusted Claims Expenses (A21 -A19)]]+AN_TME_BY[[#This Row],[TOTAL Non-Claims Expenses]]</f>
        <v>0</v>
      </c>
      <c r="AA147" s="415">
        <f>IFERROR(AN_TME_BY[[#This Row],[TOTAL Non-Truncated Unadjusted Expenses (A21 + A23)]]/AN_TME_BY[[#This Row],[Member Months]],0)</f>
        <v>0</v>
      </c>
      <c r="AB147" s="415">
        <f>IFERROR(AN_TME_BY[[#This Row],[TOTAL Truncated Unadjusted Expenses (A22 + A23)]]/AN_TME_BY[[#This Row],[Member Months]],0)</f>
        <v>0</v>
      </c>
      <c r="AC147" s="415">
        <f>IFERROR(AN_TME_BY[[#This Row],[Total Claims Excluded because of Truncation]]/AN_TME_BY[[#This Row],[Count of Members with Claims Truncated]], 0)</f>
        <v>0</v>
      </c>
      <c r="AD147" s="417">
        <f>IFERROR(AN_TME_BY[[#This Row],[Total Claims Excluded because of Truncation]]/AN_TME_BY[[#This Row],[TOTAL Non-Truncated Unadjusted Claims Expenses]], 0)</f>
        <v>0</v>
      </c>
    </row>
    <row r="148" spans="1:30" x14ac:dyDescent="0.25">
      <c r="A148" s="370"/>
      <c r="B148" s="371"/>
      <c r="C148" s="371"/>
      <c r="D148" s="372"/>
      <c r="E148" s="373"/>
      <c r="F148" s="373"/>
      <c r="G148" s="373"/>
      <c r="H148" s="373"/>
      <c r="I148" s="373"/>
      <c r="J148" s="373"/>
      <c r="K148" s="373"/>
      <c r="L148" s="373"/>
      <c r="M148" s="373"/>
      <c r="N148" s="373"/>
      <c r="O148" s="373"/>
      <c r="P148" s="373"/>
      <c r="Q148" s="373"/>
      <c r="R148" s="373"/>
      <c r="S148" s="373"/>
      <c r="T148" s="373"/>
      <c r="U148" s="374"/>
      <c r="V148" s="375">
        <f t="shared" si="8"/>
        <v>0</v>
      </c>
      <c r="W148" s="375">
        <f>AN_TME_BY[[#This Row],[TOTAL Non-Truncated Unadjusted Claims Expenses]]-AN_TME_BY[[#This Row],[Total Claims Excluded because of Truncation]]</f>
        <v>0</v>
      </c>
      <c r="X148" s="375">
        <f t="shared" si="9"/>
        <v>0</v>
      </c>
      <c r="Y148" s="375">
        <f>AN_TME_BY[[#This Row],[TOTAL Non-Truncated Unadjusted Claims Expenses]]+AN_TME_BY[[#This Row],[TOTAL Non-Claims Expenses]]</f>
        <v>0</v>
      </c>
      <c r="Z148" s="375">
        <f>AN_TME_BY[[#This Row],[TOTAL Truncated Unadjusted Claims Expenses (A21 -A19)]]+AN_TME_BY[[#This Row],[TOTAL Non-Claims Expenses]]</f>
        <v>0</v>
      </c>
      <c r="AA148" s="416">
        <f>IFERROR(AN_TME_BY[[#This Row],[TOTAL Non-Truncated Unadjusted Expenses (A21 + A23)]]/AN_TME_BY[[#This Row],[Member Months]],0)</f>
        <v>0</v>
      </c>
      <c r="AB148" s="416">
        <f>IFERROR(AN_TME_BY[[#This Row],[TOTAL Truncated Unadjusted Expenses (A22 + A23)]]/AN_TME_BY[[#This Row],[Member Months]],0)</f>
        <v>0</v>
      </c>
      <c r="AC148" s="416">
        <f>IFERROR(AN_TME_BY[[#This Row],[Total Claims Excluded because of Truncation]]/AN_TME_BY[[#This Row],[Count of Members with Claims Truncated]], 0)</f>
        <v>0</v>
      </c>
      <c r="AD148" s="417">
        <f>IFERROR(AN_TME_BY[[#This Row],[Total Claims Excluded because of Truncation]]/AN_TME_BY[[#This Row],[TOTAL Non-Truncated Unadjusted Claims Expenses]], 0)</f>
        <v>0</v>
      </c>
    </row>
    <row r="149" spans="1:30" x14ac:dyDescent="0.25">
      <c r="A149" s="364"/>
      <c r="B149" s="365"/>
      <c r="C149" s="365"/>
      <c r="D149" s="366"/>
      <c r="E149" s="367"/>
      <c r="F149" s="367"/>
      <c r="G149" s="367"/>
      <c r="H149" s="367"/>
      <c r="I149" s="367"/>
      <c r="J149" s="367"/>
      <c r="K149" s="367"/>
      <c r="L149" s="367"/>
      <c r="M149" s="367"/>
      <c r="N149" s="367"/>
      <c r="O149" s="367"/>
      <c r="P149" s="367"/>
      <c r="Q149" s="367"/>
      <c r="R149" s="367"/>
      <c r="S149" s="367"/>
      <c r="T149" s="367"/>
      <c r="U149" s="368"/>
      <c r="V149" s="369">
        <f t="shared" si="8"/>
        <v>0</v>
      </c>
      <c r="W149" s="413">
        <f>AN_TME_BY[[#This Row],[TOTAL Non-Truncated Unadjusted Claims Expenses]]-AN_TME_BY[[#This Row],[Total Claims Excluded because of Truncation]]</f>
        <v>0</v>
      </c>
      <c r="X149" s="369">
        <f t="shared" si="9"/>
        <v>0</v>
      </c>
      <c r="Y149" s="413">
        <f>AN_TME_BY[[#This Row],[TOTAL Non-Truncated Unadjusted Claims Expenses]]+AN_TME_BY[[#This Row],[TOTAL Non-Claims Expenses]]</f>
        <v>0</v>
      </c>
      <c r="Z149" s="413">
        <f>AN_TME_BY[[#This Row],[TOTAL Truncated Unadjusted Claims Expenses (A21 -A19)]]+AN_TME_BY[[#This Row],[TOTAL Non-Claims Expenses]]</f>
        <v>0</v>
      </c>
      <c r="AA149" s="415">
        <f>IFERROR(AN_TME_BY[[#This Row],[TOTAL Non-Truncated Unadjusted Expenses (A21 + A23)]]/AN_TME_BY[[#This Row],[Member Months]],0)</f>
        <v>0</v>
      </c>
      <c r="AB149" s="415">
        <f>IFERROR(AN_TME_BY[[#This Row],[TOTAL Truncated Unadjusted Expenses (A22 + A23)]]/AN_TME_BY[[#This Row],[Member Months]],0)</f>
        <v>0</v>
      </c>
      <c r="AC149" s="415">
        <f>IFERROR(AN_TME_BY[[#This Row],[Total Claims Excluded because of Truncation]]/AN_TME_BY[[#This Row],[Count of Members with Claims Truncated]], 0)</f>
        <v>0</v>
      </c>
      <c r="AD149" s="417">
        <f>IFERROR(AN_TME_BY[[#This Row],[Total Claims Excluded because of Truncation]]/AN_TME_BY[[#This Row],[TOTAL Non-Truncated Unadjusted Claims Expenses]], 0)</f>
        <v>0</v>
      </c>
    </row>
    <row r="150" spans="1:30" x14ac:dyDescent="0.25">
      <c r="A150" s="370"/>
      <c r="B150" s="371"/>
      <c r="C150" s="371"/>
      <c r="D150" s="372"/>
      <c r="E150" s="373"/>
      <c r="F150" s="373"/>
      <c r="G150" s="373"/>
      <c r="H150" s="373"/>
      <c r="I150" s="373"/>
      <c r="J150" s="373"/>
      <c r="K150" s="373"/>
      <c r="L150" s="373"/>
      <c r="M150" s="373"/>
      <c r="N150" s="373"/>
      <c r="O150" s="373"/>
      <c r="P150" s="373"/>
      <c r="Q150" s="373"/>
      <c r="R150" s="373"/>
      <c r="S150" s="373"/>
      <c r="T150" s="373"/>
      <c r="U150" s="374"/>
      <c r="V150" s="375">
        <f t="shared" si="8"/>
        <v>0</v>
      </c>
      <c r="W150" s="375">
        <f>AN_TME_BY[[#This Row],[TOTAL Non-Truncated Unadjusted Claims Expenses]]-AN_TME_BY[[#This Row],[Total Claims Excluded because of Truncation]]</f>
        <v>0</v>
      </c>
      <c r="X150" s="375">
        <f t="shared" si="9"/>
        <v>0</v>
      </c>
      <c r="Y150" s="375">
        <f>AN_TME_BY[[#This Row],[TOTAL Non-Truncated Unadjusted Claims Expenses]]+AN_TME_BY[[#This Row],[TOTAL Non-Claims Expenses]]</f>
        <v>0</v>
      </c>
      <c r="Z150" s="375">
        <f>AN_TME_BY[[#This Row],[TOTAL Truncated Unadjusted Claims Expenses (A21 -A19)]]+AN_TME_BY[[#This Row],[TOTAL Non-Claims Expenses]]</f>
        <v>0</v>
      </c>
      <c r="AA150" s="416">
        <f>IFERROR(AN_TME_BY[[#This Row],[TOTAL Non-Truncated Unadjusted Expenses (A21 + A23)]]/AN_TME_BY[[#This Row],[Member Months]],0)</f>
        <v>0</v>
      </c>
      <c r="AB150" s="416">
        <f>IFERROR(AN_TME_BY[[#This Row],[TOTAL Truncated Unadjusted Expenses (A22 + A23)]]/AN_TME_BY[[#This Row],[Member Months]],0)</f>
        <v>0</v>
      </c>
      <c r="AC150" s="416">
        <f>IFERROR(AN_TME_BY[[#This Row],[Total Claims Excluded because of Truncation]]/AN_TME_BY[[#This Row],[Count of Members with Claims Truncated]], 0)</f>
        <v>0</v>
      </c>
      <c r="AD150" s="417">
        <f>IFERROR(AN_TME_BY[[#This Row],[Total Claims Excluded because of Truncation]]/AN_TME_BY[[#This Row],[TOTAL Non-Truncated Unadjusted Claims Expenses]], 0)</f>
        <v>0</v>
      </c>
    </row>
    <row r="151" spans="1:30" x14ac:dyDescent="0.25">
      <c r="A151" s="364"/>
      <c r="B151" s="365"/>
      <c r="C151" s="365"/>
      <c r="D151" s="366"/>
      <c r="E151" s="367"/>
      <c r="F151" s="367"/>
      <c r="G151" s="367"/>
      <c r="H151" s="367"/>
      <c r="I151" s="367"/>
      <c r="J151" s="367"/>
      <c r="K151" s="367"/>
      <c r="L151" s="367"/>
      <c r="M151" s="367"/>
      <c r="N151" s="367"/>
      <c r="O151" s="367"/>
      <c r="P151" s="367"/>
      <c r="Q151" s="367"/>
      <c r="R151" s="367"/>
      <c r="S151" s="367"/>
      <c r="T151" s="367"/>
      <c r="U151" s="368"/>
      <c r="V151" s="369">
        <f t="shared" si="8"/>
        <v>0</v>
      </c>
      <c r="W151" s="413">
        <f>AN_TME_BY[[#This Row],[TOTAL Non-Truncated Unadjusted Claims Expenses]]-AN_TME_BY[[#This Row],[Total Claims Excluded because of Truncation]]</f>
        <v>0</v>
      </c>
      <c r="X151" s="369">
        <f t="shared" si="9"/>
        <v>0</v>
      </c>
      <c r="Y151" s="413">
        <f>AN_TME_BY[[#This Row],[TOTAL Non-Truncated Unadjusted Claims Expenses]]+AN_TME_BY[[#This Row],[TOTAL Non-Claims Expenses]]</f>
        <v>0</v>
      </c>
      <c r="Z151" s="413">
        <f>AN_TME_BY[[#This Row],[TOTAL Truncated Unadjusted Claims Expenses (A21 -A19)]]+AN_TME_BY[[#This Row],[TOTAL Non-Claims Expenses]]</f>
        <v>0</v>
      </c>
      <c r="AA151" s="415">
        <f>IFERROR(AN_TME_BY[[#This Row],[TOTAL Non-Truncated Unadjusted Expenses (A21 + A23)]]/AN_TME_BY[[#This Row],[Member Months]],0)</f>
        <v>0</v>
      </c>
      <c r="AB151" s="415">
        <f>IFERROR(AN_TME_BY[[#This Row],[TOTAL Truncated Unadjusted Expenses (A22 + A23)]]/AN_TME_BY[[#This Row],[Member Months]],0)</f>
        <v>0</v>
      </c>
      <c r="AC151" s="415">
        <f>IFERROR(AN_TME_BY[[#This Row],[Total Claims Excluded because of Truncation]]/AN_TME_BY[[#This Row],[Count of Members with Claims Truncated]], 0)</f>
        <v>0</v>
      </c>
      <c r="AD151" s="417">
        <f>IFERROR(AN_TME_BY[[#This Row],[Total Claims Excluded because of Truncation]]/AN_TME_BY[[#This Row],[TOTAL Non-Truncated Unadjusted Claims Expenses]], 0)</f>
        <v>0</v>
      </c>
    </row>
    <row r="152" spans="1:30" x14ac:dyDescent="0.25">
      <c r="A152" s="370"/>
      <c r="B152" s="371"/>
      <c r="C152" s="371"/>
      <c r="D152" s="372"/>
      <c r="E152" s="373"/>
      <c r="F152" s="373"/>
      <c r="G152" s="373"/>
      <c r="H152" s="373"/>
      <c r="I152" s="373"/>
      <c r="J152" s="373"/>
      <c r="K152" s="373"/>
      <c r="L152" s="373"/>
      <c r="M152" s="373"/>
      <c r="N152" s="373"/>
      <c r="O152" s="373"/>
      <c r="P152" s="373"/>
      <c r="Q152" s="373"/>
      <c r="R152" s="373"/>
      <c r="S152" s="373"/>
      <c r="T152" s="373"/>
      <c r="U152" s="374"/>
      <c r="V152" s="375">
        <f t="shared" si="8"/>
        <v>0</v>
      </c>
      <c r="W152" s="375">
        <f>AN_TME_BY[[#This Row],[TOTAL Non-Truncated Unadjusted Claims Expenses]]-AN_TME_BY[[#This Row],[Total Claims Excluded because of Truncation]]</f>
        <v>0</v>
      </c>
      <c r="X152" s="375">
        <f t="shared" si="9"/>
        <v>0</v>
      </c>
      <c r="Y152" s="375">
        <f>AN_TME_BY[[#This Row],[TOTAL Non-Truncated Unadjusted Claims Expenses]]+AN_TME_BY[[#This Row],[TOTAL Non-Claims Expenses]]</f>
        <v>0</v>
      </c>
      <c r="Z152" s="375">
        <f>AN_TME_BY[[#This Row],[TOTAL Truncated Unadjusted Claims Expenses (A21 -A19)]]+AN_TME_BY[[#This Row],[TOTAL Non-Claims Expenses]]</f>
        <v>0</v>
      </c>
      <c r="AA152" s="416">
        <f>IFERROR(AN_TME_BY[[#This Row],[TOTAL Non-Truncated Unadjusted Expenses (A21 + A23)]]/AN_TME_BY[[#This Row],[Member Months]],0)</f>
        <v>0</v>
      </c>
      <c r="AB152" s="416">
        <f>IFERROR(AN_TME_BY[[#This Row],[TOTAL Truncated Unadjusted Expenses (A22 + A23)]]/AN_TME_BY[[#This Row],[Member Months]],0)</f>
        <v>0</v>
      </c>
      <c r="AC152" s="416">
        <f>IFERROR(AN_TME_BY[[#This Row],[Total Claims Excluded because of Truncation]]/AN_TME_BY[[#This Row],[Count of Members with Claims Truncated]], 0)</f>
        <v>0</v>
      </c>
      <c r="AD152" s="417">
        <f>IFERROR(AN_TME_BY[[#This Row],[Total Claims Excluded because of Truncation]]/AN_TME_BY[[#This Row],[TOTAL Non-Truncated Unadjusted Claims Expenses]], 0)</f>
        <v>0</v>
      </c>
    </row>
    <row r="153" spans="1:30" x14ac:dyDescent="0.25">
      <c r="A153" s="364"/>
      <c r="B153" s="365"/>
      <c r="C153" s="365"/>
      <c r="D153" s="366"/>
      <c r="E153" s="367"/>
      <c r="F153" s="367"/>
      <c r="G153" s="367"/>
      <c r="H153" s="367"/>
      <c r="I153" s="367"/>
      <c r="J153" s="367"/>
      <c r="K153" s="367"/>
      <c r="L153" s="367"/>
      <c r="M153" s="367"/>
      <c r="N153" s="367"/>
      <c r="O153" s="367"/>
      <c r="P153" s="367"/>
      <c r="Q153" s="367"/>
      <c r="R153" s="367"/>
      <c r="S153" s="367"/>
      <c r="T153" s="367"/>
      <c r="U153" s="368"/>
      <c r="V153" s="369">
        <f t="shared" si="8"/>
        <v>0</v>
      </c>
      <c r="W153" s="413">
        <f>AN_TME_BY[[#This Row],[TOTAL Non-Truncated Unadjusted Claims Expenses]]-AN_TME_BY[[#This Row],[Total Claims Excluded because of Truncation]]</f>
        <v>0</v>
      </c>
      <c r="X153" s="369">
        <f t="shared" si="9"/>
        <v>0</v>
      </c>
      <c r="Y153" s="413">
        <f>AN_TME_BY[[#This Row],[TOTAL Non-Truncated Unadjusted Claims Expenses]]+AN_TME_BY[[#This Row],[TOTAL Non-Claims Expenses]]</f>
        <v>0</v>
      </c>
      <c r="Z153" s="413">
        <f>AN_TME_BY[[#This Row],[TOTAL Truncated Unadjusted Claims Expenses (A21 -A19)]]+AN_TME_BY[[#This Row],[TOTAL Non-Claims Expenses]]</f>
        <v>0</v>
      </c>
      <c r="AA153" s="415">
        <f>IFERROR(AN_TME_BY[[#This Row],[TOTAL Non-Truncated Unadjusted Expenses (A21 + A23)]]/AN_TME_BY[[#This Row],[Member Months]],0)</f>
        <v>0</v>
      </c>
      <c r="AB153" s="415">
        <f>IFERROR(AN_TME_BY[[#This Row],[TOTAL Truncated Unadjusted Expenses (A22 + A23)]]/AN_TME_BY[[#This Row],[Member Months]],0)</f>
        <v>0</v>
      </c>
      <c r="AC153" s="415">
        <f>IFERROR(AN_TME_BY[[#This Row],[Total Claims Excluded because of Truncation]]/AN_TME_BY[[#This Row],[Count of Members with Claims Truncated]], 0)</f>
        <v>0</v>
      </c>
      <c r="AD153" s="417">
        <f>IFERROR(AN_TME_BY[[#This Row],[Total Claims Excluded because of Truncation]]/AN_TME_BY[[#This Row],[TOTAL Non-Truncated Unadjusted Claims Expenses]], 0)</f>
        <v>0</v>
      </c>
    </row>
    <row r="154" spans="1:30" x14ac:dyDescent="0.25">
      <c r="A154" s="370"/>
      <c r="B154" s="371"/>
      <c r="C154" s="371"/>
      <c r="D154" s="372"/>
      <c r="E154" s="373"/>
      <c r="F154" s="373"/>
      <c r="G154" s="373"/>
      <c r="H154" s="373"/>
      <c r="I154" s="373"/>
      <c r="J154" s="373"/>
      <c r="K154" s="373"/>
      <c r="L154" s="373"/>
      <c r="M154" s="373"/>
      <c r="N154" s="373"/>
      <c r="O154" s="373"/>
      <c r="P154" s="373"/>
      <c r="Q154" s="373"/>
      <c r="R154" s="373"/>
      <c r="S154" s="373"/>
      <c r="T154" s="373"/>
      <c r="U154" s="374"/>
      <c r="V154" s="375">
        <f t="shared" si="8"/>
        <v>0</v>
      </c>
      <c r="W154" s="375">
        <f>AN_TME_BY[[#This Row],[TOTAL Non-Truncated Unadjusted Claims Expenses]]-AN_TME_BY[[#This Row],[Total Claims Excluded because of Truncation]]</f>
        <v>0</v>
      </c>
      <c r="X154" s="375">
        <f t="shared" si="9"/>
        <v>0</v>
      </c>
      <c r="Y154" s="375">
        <f>AN_TME_BY[[#This Row],[TOTAL Non-Truncated Unadjusted Claims Expenses]]+AN_TME_BY[[#This Row],[TOTAL Non-Claims Expenses]]</f>
        <v>0</v>
      </c>
      <c r="Z154" s="375">
        <f>AN_TME_BY[[#This Row],[TOTAL Truncated Unadjusted Claims Expenses (A21 -A19)]]+AN_TME_BY[[#This Row],[TOTAL Non-Claims Expenses]]</f>
        <v>0</v>
      </c>
      <c r="AA154" s="416">
        <f>IFERROR(AN_TME_BY[[#This Row],[TOTAL Non-Truncated Unadjusted Expenses (A21 + A23)]]/AN_TME_BY[[#This Row],[Member Months]],0)</f>
        <v>0</v>
      </c>
      <c r="AB154" s="416">
        <f>IFERROR(AN_TME_BY[[#This Row],[TOTAL Truncated Unadjusted Expenses (A22 + A23)]]/AN_TME_BY[[#This Row],[Member Months]],0)</f>
        <v>0</v>
      </c>
      <c r="AC154" s="416">
        <f>IFERROR(AN_TME_BY[[#This Row],[Total Claims Excluded because of Truncation]]/AN_TME_BY[[#This Row],[Count of Members with Claims Truncated]], 0)</f>
        <v>0</v>
      </c>
      <c r="AD154" s="417">
        <f>IFERROR(AN_TME_BY[[#This Row],[Total Claims Excluded because of Truncation]]/AN_TME_BY[[#This Row],[TOTAL Non-Truncated Unadjusted Claims Expenses]], 0)</f>
        <v>0</v>
      </c>
    </row>
    <row r="155" spans="1:30" x14ac:dyDescent="0.25">
      <c r="A155" s="364"/>
      <c r="B155" s="365"/>
      <c r="C155" s="365"/>
      <c r="D155" s="366"/>
      <c r="E155" s="367"/>
      <c r="F155" s="367"/>
      <c r="G155" s="367"/>
      <c r="H155" s="367"/>
      <c r="I155" s="367"/>
      <c r="J155" s="367"/>
      <c r="K155" s="367"/>
      <c r="L155" s="367"/>
      <c r="M155" s="367"/>
      <c r="N155" s="367"/>
      <c r="O155" s="367"/>
      <c r="P155" s="367"/>
      <c r="Q155" s="367"/>
      <c r="R155" s="367"/>
      <c r="S155" s="367"/>
      <c r="T155" s="367"/>
      <c r="U155" s="368"/>
      <c r="V155" s="369">
        <f t="shared" si="8"/>
        <v>0</v>
      </c>
      <c r="W155" s="413">
        <f>AN_TME_BY[[#This Row],[TOTAL Non-Truncated Unadjusted Claims Expenses]]-AN_TME_BY[[#This Row],[Total Claims Excluded because of Truncation]]</f>
        <v>0</v>
      </c>
      <c r="X155" s="369">
        <f t="shared" si="9"/>
        <v>0</v>
      </c>
      <c r="Y155" s="413">
        <f>AN_TME_BY[[#This Row],[TOTAL Non-Truncated Unadjusted Claims Expenses]]+AN_TME_BY[[#This Row],[TOTAL Non-Claims Expenses]]</f>
        <v>0</v>
      </c>
      <c r="Z155" s="413">
        <f>AN_TME_BY[[#This Row],[TOTAL Truncated Unadjusted Claims Expenses (A21 -A19)]]+AN_TME_BY[[#This Row],[TOTAL Non-Claims Expenses]]</f>
        <v>0</v>
      </c>
      <c r="AA155" s="415">
        <f>IFERROR(AN_TME_BY[[#This Row],[TOTAL Non-Truncated Unadjusted Expenses (A21 + A23)]]/AN_TME_BY[[#This Row],[Member Months]],0)</f>
        <v>0</v>
      </c>
      <c r="AB155" s="415">
        <f>IFERROR(AN_TME_BY[[#This Row],[TOTAL Truncated Unadjusted Expenses (A22 + A23)]]/AN_TME_BY[[#This Row],[Member Months]],0)</f>
        <v>0</v>
      </c>
      <c r="AC155" s="415">
        <f>IFERROR(AN_TME_BY[[#This Row],[Total Claims Excluded because of Truncation]]/AN_TME_BY[[#This Row],[Count of Members with Claims Truncated]], 0)</f>
        <v>0</v>
      </c>
      <c r="AD155" s="417">
        <f>IFERROR(AN_TME_BY[[#This Row],[Total Claims Excluded because of Truncation]]/AN_TME_BY[[#This Row],[TOTAL Non-Truncated Unadjusted Claims Expenses]], 0)</f>
        <v>0</v>
      </c>
    </row>
    <row r="156" spans="1:30" x14ac:dyDescent="0.25">
      <c r="A156" s="370"/>
      <c r="B156" s="371"/>
      <c r="C156" s="371"/>
      <c r="D156" s="372"/>
      <c r="E156" s="373"/>
      <c r="F156" s="373"/>
      <c r="G156" s="373"/>
      <c r="H156" s="373"/>
      <c r="I156" s="373"/>
      <c r="J156" s="373"/>
      <c r="K156" s="373"/>
      <c r="L156" s="373"/>
      <c r="M156" s="373"/>
      <c r="N156" s="373"/>
      <c r="O156" s="373"/>
      <c r="P156" s="373"/>
      <c r="Q156" s="373"/>
      <c r="R156" s="373"/>
      <c r="S156" s="373"/>
      <c r="T156" s="373"/>
      <c r="U156" s="374"/>
      <c r="V156" s="375">
        <f t="shared" si="8"/>
        <v>0</v>
      </c>
      <c r="W156" s="375">
        <f>AN_TME_BY[[#This Row],[TOTAL Non-Truncated Unadjusted Claims Expenses]]-AN_TME_BY[[#This Row],[Total Claims Excluded because of Truncation]]</f>
        <v>0</v>
      </c>
      <c r="X156" s="375">
        <f t="shared" si="9"/>
        <v>0</v>
      </c>
      <c r="Y156" s="375">
        <f>AN_TME_BY[[#This Row],[TOTAL Non-Truncated Unadjusted Claims Expenses]]+AN_TME_BY[[#This Row],[TOTAL Non-Claims Expenses]]</f>
        <v>0</v>
      </c>
      <c r="Z156" s="375">
        <f>AN_TME_BY[[#This Row],[TOTAL Truncated Unadjusted Claims Expenses (A21 -A19)]]+AN_TME_BY[[#This Row],[TOTAL Non-Claims Expenses]]</f>
        <v>0</v>
      </c>
      <c r="AA156" s="416">
        <f>IFERROR(AN_TME_BY[[#This Row],[TOTAL Non-Truncated Unadjusted Expenses (A21 + A23)]]/AN_TME_BY[[#This Row],[Member Months]],0)</f>
        <v>0</v>
      </c>
      <c r="AB156" s="416">
        <f>IFERROR(AN_TME_BY[[#This Row],[TOTAL Truncated Unadjusted Expenses (A22 + A23)]]/AN_TME_BY[[#This Row],[Member Months]],0)</f>
        <v>0</v>
      </c>
      <c r="AC156" s="416">
        <f>IFERROR(AN_TME_BY[[#This Row],[Total Claims Excluded because of Truncation]]/AN_TME_BY[[#This Row],[Count of Members with Claims Truncated]], 0)</f>
        <v>0</v>
      </c>
      <c r="AD156" s="417">
        <f>IFERROR(AN_TME_BY[[#This Row],[Total Claims Excluded because of Truncation]]/AN_TME_BY[[#This Row],[TOTAL Non-Truncated Unadjusted Claims Expenses]], 0)</f>
        <v>0</v>
      </c>
    </row>
    <row r="157" spans="1:30" x14ac:dyDescent="0.25">
      <c r="A157" s="364"/>
      <c r="B157" s="365"/>
      <c r="C157" s="365"/>
      <c r="D157" s="366"/>
      <c r="E157" s="367"/>
      <c r="F157" s="367"/>
      <c r="G157" s="367"/>
      <c r="H157" s="367"/>
      <c r="I157" s="367"/>
      <c r="J157" s="367"/>
      <c r="K157" s="367"/>
      <c r="L157" s="367"/>
      <c r="M157" s="367"/>
      <c r="N157" s="367"/>
      <c r="O157" s="367"/>
      <c r="P157" s="367"/>
      <c r="Q157" s="367"/>
      <c r="R157" s="367"/>
      <c r="S157" s="367"/>
      <c r="T157" s="367"/>
      <c r="U157" s="368"/>
      <c r="V157" s="369">
        <f t="shared" si="8"/>
        <v>0</v>
      </c>
      <c r="W157" s="413">
        <f>AN_TME_BY[[#This Row],[TOTAL Non-Truncated Unadjusted Claims Expenses]]-AN_TME_BY[[#This Row],[Total Claims Excluded because of Truncation]]</f>
        <v>0</v>
      </c>
      <c r="X157" s="369">
        <f t="shared" si="9"/>
        <v>0</v>
      </c>
      <c r="Y157" s="413">
        <f>AN_TME_BY[[#This Row],[TOTAL Non-Truncated Unadjusted Claims Expenses]]+AN_TME_BY[[#This Row],[TOTAL Non-Claims Expenses]]</f>
        <v>0</v>
      </c>
      <c r="Z157" s="413">
        <f>AN_TME_BY[[#This Row],[TOTAL Truncated Unadjusted Claims Expenses (A21 -A19)]]+AN_TME_BY[[#This Row],[TOTAL Non-Claims Expenses]]</f>
        <v>0</v>
      </c>
      <c r="AA157" s="415">
        <f>IFERROR(AN_TME_BY[[#This Row],[TOTAL Non-Truncated Unadjusted Expenses (A21 + A23)]]/AN_TME_BY[[#This Row],[Member Months]],0)</f>
        <v>0</v>
      </c>
      <c r="AB157" s="415">
        <f>IFERROR(AN_TME_BY[[#This Row],[TOTAL Truncated Unadjusted Expenses (A22 + A23)]]/AN_TME_BY[[#This Row],[Member Months]],0)</f>
        <v>0</v>
      </c>
      <c r="AC157" s="415">
        <f>IFERROR(AN_TME_BY[[#This Row],[Total Claims Excluded because of Truncation]]/AN_TME_BY[[#This Row],[Count of Members with Claims Truncated]], 0)</f>
        <v>0</v>
      </c>
      <c r="AD157" s="417">
        <f>IFERROR(AN_TME_BY[[#This Row],[Total Claims Excluded because of Truncation]]/AN_TME_BY[[#This Row],[TOTAL Non-Truncated Unadjusted Claims Expenses]], 0)</f>
        <v>0</v>
      </c>
    </row>
    <row r="158" spans="1:30" x14ac:dyDescent="0.25">
      <c r="A158" s="370"/>
      <c r="B158" s="371"/>
      <c r="C158" s="371"/>
      <c r="D158" s="372"/>
      <c r="E158" s="373"/>
      <c r="F158" s="373"/>
      <c r="G158" s="373"/>
      <c r="H158" s="373"/>
      <c r="I158" s="373"/>
      <c r="J158" s="373"/>
      <c r="K158" s="373"/>
      <c r="L158" s="373"/>
      <c r="M158" s="373"/>
      <c r="N158" s="373"/>
      <c r="O158" s="373"/>
      <c r="P158" s="373"/>
      <c r="Q158" s="373"/>
      <c r="R158" s="373"/>
      <c r="S158" s="373"/>
      <c r="T158" s="373"/>
      <c r="U158" s="374"/>
      <c r="V158" s="375">
        <f t="shared" si="8"/>
        <v>0</v>
      </c>
      <c r="W158" s="375">
        <f>AN_TME_BY[[#This Row],[TOTAL Non-Truncated Unadjusted Claims Expenses]]-AN_TME_BY[[#This Row],[Total Claims Excluded because of Truncation]]</f>
        <v>0</v>
      </c>
      <c r="X158" s="375">
        <f t="shared" si="9"/>
        <v>0</v>
      </c>
      <c r="Y158" s="375">
        <f>AN_TME_BY[[#This Row],[TOTAL Non-Truncated Unadjusted Claims Expenses]]+AN_TME_BY[[#This Row],[TOTAL Non-Claims Expenses]]</f>
        <v>0</v>
      </c>
      <c r="Z158" s="375">
        <f>AN_TME_BY[[#This Row],[TOTAL Truncated Unadjusted Claims Expenses (A21 -A19)]]+AN_TME_BY[[#This Row],[TOTAL Non-Claims Expenses]]</f>
        <v>0</v>
      </c>
      <c r="AA158" s="416">
        <f>IFERROR(AN_TME_BY[[#This Row],[TOTAL Non-Truncated Unadjusted Expenses (A21 + A23)]]/AN_TME_BY[[#This Row],[Member Months]],0)</f>
        <v>0</v>
      </c>
      <c r="AB158" s="416">
        <f>IFERROR(AN_TME_BY[[#This Row],[TOTAL Truncated Unadjusted Expenses (A22 + A23)]]/AN_TME_BY[[#This Row],[Member Months]],0)</f>
        <v>0</v>
      </c>
      <c r="AC158" s="416">
        <f>IFERROR(AN_TME_BY[[#This Row],[Total Claims Excluded because of Truncation]]/AN_TME_BY[[#This Row],[Count of Members with Claims Truncated]], 0)</f>
        <v>0</v>
      </c>
      <c r="AD158" s="417">
        <f>IFERROR(AN_TME_BY[[#This Row],[Total Claims Excluded because of Truncation]]/AN_TME_BY[[#This Row],[TOTAL Non-Truncated Unadjusted Claims Expenses]], 0)</f>
        <v>0</v>
      </c>
    </row>
    <row r="159" spans="1:30" x14ac:dyDescent="0.25">
      <c r="A159" s="364"/>
      <c r="B159" s="365"/>
      <c r="C159" s="365"/>
      <c r="D159" s="366"/>
      <c r="E159" s="367"/>
      <c r="F159" s="367"/>
      <c r="G159" s="367"/>
      <c r="H159" s="367"/>
      <c r="I159" s="367"/>
      <c r="J159" s="367"/>
      <c r="K159" s="367"/>
      <c r="L159" s="367"/>
      <c r="M159" s="367"/>
      <c r="N159" s="367"/>
      <c r="O159" s="367"/>
      <c r="P159" s="367"/>
      <c r="Q159" s="367"/>
      <c r="R159" s="367"/>
      <c r="S159" s="367"/>
      <c r="T159" s="367"/>
      <c r="U159" s="368"/>
      <c r="V159" s="369">
        <f t="shared" si="8"/>
        <v>0</v>
      </c>
      <c r="W159" s="413">
        <f>AN_TME_BY[[#This Row],[TOTAL Non-Truncated Unadjusted Claims Expenses]]-AN_TME_BY[[#This Row],[Total Claims Excluded because of Truncation]]</f>
        <v>0</v>
      </c>
      <c r="X159" s="369">
        <f t="shared" si="9"/>
        <v>0</v>
      </c>
      <c r="Y159" s="413">
        <f>AN_TME_BY[[#This Row],[TOTAL Non-Truncated Unadjusted Claims Expenses]]+AN_TME_BY[[#This Row],[TOTAL Non-Claims Expenses]]</f>
        <v>0</v>
      </c>
      <c r="Z159" s="413">
        <f>AN_TME_BY[[#This Row],[TOTAL Truncated Unadjusted Claims Expenses (A21 -A19)]]+AN_TME_BY[[#This Row],[TOTAL Non-Claims Expenses]]</f>
        <v>0</v>
      </c>
      <c r="AA159" s="415">
        <f>IFERROR(AN_TME_BY[[#This Row],[TOTAL Non-Truncated Unadjusted Expenses (A21 + A23)]]/AN_TME_BY[[#This Row],[Member Months]],0)</f>
        <v>0</v>
      </c>
      <c r="AB159" s="415">
        <f>IFERROR(AN_TME_BY[[#This Row],[TOTAL Truncated Unadjusted Expenses (A22 + A23)]]/AN_TME_BY[[#This Row],[Member Months]],0)</f>
        <v>0</v>
      </c>
      <c r="AC159" s="415">
        <f>IFERROR(AN_TME_BY[[#This Row],[Total Claims Excluded because of Truncation]]/AN_TME_BY[[#This Row],[Count of Members with Claims Truncated]], 0)</f>
        <v>0</v>
      </c>
      <c r="AD159" s="417">
        <f>IFERROR(AN_TME_BY[[#This Row],[Total Claims Excluded because of Truncation]]/AN_TME_BY[[#This Row],[TOTAL Non-Truncated Unadjusted Claims Expenses]], 0)</f>
        <v>0</v>
      </c>
    </row>
    <row r="160" spans="1:30" x14ac:dyDescent="0.25">
      <c r="A160" s="370"/>
      <c r="B160" s="371"/>
      <c r="C160" s="371"/>
      <c r="D160" s="372"/>
      <c r="E160" s="373"/>
      <c r="F160" s="373"/>
      <c r="G160" s="373"/>
      <c r="H160" s="373"/>
      <c r="I160" s="373"/>
      <c r="J160" s="373"/>
      <c r="K160" s="373"/>
      <c r="L160" s="373"/>
      <c r="M160" s="373"/>
      <c r="N160" s="373"/>
      <c r="O160" s="373"/>
      <c r="P160" s="373"/>
      <c r="Q160" s="373"/>
      <c r="R160" s="373"/>
      <c r="S160" s="373"/>
      <c r="T160" s="373"/>
      <c r="U160" s="374"/>
      <c r="V160" s="375">
        <f t="shared" si="8"/>
        <v>0</v>
      </c>
      <c r="W160" s="375">
        <f>AN_TME_BY[[#This Row],[TOTAL Non-Truncated Unadjusted Claims Expenses]]-AN_TME_BY[[#This Row],[Total Claims Excluded because of Truncation]]</f>
        <v>0</v>
      </c>
      <c r="X160" s="375">
        <f t="shared" si="9"/>
        <v>0</v>
      </c>
      <c r="Y160" s="375">
        <f>AN_TME_BY[[#This Row],[TOTAL Non-Truncated Unadjusted Claims Expenses]]+AN_TME_BY[[#This Row],[TOTAL Non-Claims Expenses]]</f>
        <v>0</v>
      </c>
      <c r="Z160" s="375">
        <f>AN_TME_BY[[#This Row],[TOTAL Truncated Unadjusted Claims Expenses (A21 -A19)]]+AN_TME_BY[[#This Row],[TOTAL Non-Claims Expenses]]</f>
        <v>0</v>
      </c>
      <c r="AA160" s="416">
        <f>IFERROR(AN_TME_BY[[#This Row],[TOTAL Non-Truncated Unadjusted Expenses (A21 + A23)]]/AN_TME_BY[[#This Row],[Member Months]],0)</f>
        <v>0</v>
      </c>
      <c r="AB160" s="416">
        <f>IFERROR(AN_TME_BY[[#This Row],[TOTAL Truncated Unadjusted Expenses (A22 + A23)]]/AN_TME_BY[[#This Row],[Member Months]],0)</f>
        <v>0</v>
      </c>
      <c r="AC160" s="416">
        <f>IFERROR(AN_TME_BY[[#This Row],[Total Claims Excluded because of Truncation]]/AN_TME_BY[[#This Row],[Count of Members with Claims Truncated]], 0)</f>
        <v>0</v>
      </c>
      <c r="AD160" s="417">
        <f>IFERROR(AN_TME_BY[[#This Row],[Total Claims Excluded because of Truncation]]/AN_TME_BY[[#This Row],[TOTAL Non-Truncated Unadjusted Claims Expenses]], 0)</f>
        <v>0</v>
      </c>
    </row>
    <row r="161" spans="1:30" x14ac:dyDescent="0.25">
      <c r="A161" s="364"/>
      <c r="B161" s="365"/>
      <c r="C161" s="365"/>
      <c r="D161" s="366"/>
      <c r="E161" s="367"/>
      <c r="F161" s="367"/>
      <c r="G161" s="367"/>
      <c r="H161" s="367"/>
      <c r="I161" s="367"/>
      <c r="J161" s="367"/>
      <c r="K161" s="367"/>
      <c r="L161" s="367"/>
      <c r="M161" s="367"/>
      <c r="N161" s="367"/>
      <c r="O161" s="367"/>
      <c r="P161" s="367"/>
      <c r="Q161" s="367"/>
      <c r="R161" s="367"/>
      <c r="S161" s="367"/>
      <c r="T161" s="367"/>
      <c r="U161" s="368"/>
      <c r="V161" s="369">
        <f t="shared" si="8"/>
        <v>0</v>
      </c>
      <c r="W161" s="413">
        <f>AN_TME_BY[[#This Row],[TOTAL Non-Truncated Unadjusted Claims Expenses]]-AN_TME_BY[[#This Row],[Total Claims Excluded because of Truncation]]</f>
        <v>0</v>
      </c>
      <c r="X161" s="369">
        <f t="shared" si="9"/>
        <v>0</v>
      </c>
      <c r="Y161" s="413">
        <f>AN_TME_BY[[#This Row],[TOTAL Non-Truncated Unadjusted Claims Expenses]]+AN_TME_BY[[#This Row],[TOTAL Non-Claims Expenses]]</f>
        <v>0</v>
      </c>
      <c r="Z161" s="413">
        <f>AN_TME_BY[[#This Row],[TOTAL Truncated Unadjusted Claims Expenses (A21 -A19)]]+AN_TME_BY[[#This Row],[TOTAL Non-Claims Expenses]]</f>
        <v>0</v>
      </c>
      <c r="AA161" s="415">
        <f>IFERROR(AN_TME_BY[[#This Row],[TOTAL Non-Truncated Unadjusted Expenses (A21 + A23)]]/AN_TME_BY[[#This Row],[Member Months]],0)</f>
        <v>0</v>
      </c>
      <c r="AB161" s="415">
        <f>IFERROR(AN_TME_BY[[#This Row],[TOTAL Truncated Unadjusted Expenses (A22 + A23)]]/AN_TME_BY[[#This Row],[Member Months]],0)</f>
        <v>0</v>
      </c>
      <c r="AC161" s="415">
        <f>IFERROR(AN_TME_BY[[#This Row],[Total Claims Excluded because of Truncation]]/AN_TME_BY[[#This Row],[Count of Members with Claims Truncated]], 0)</f>
        <v>0</v>
      </c>
      <c r="AD161" s="417">
        <f>IFERROR(AN_TME_BY[[#This Row],[Total Claims Excluded because of Truncation]]/AN_TME_BY[[#This Row],[TOTAL Non-Truncated Unadjusted Claims Expenses]], 0)</f>
        <v>0</v>
      </c>
    </row>
    <row r="162" spans="1:30" x14ac:dyDescent="0.25">
      <c r="A162" s="370"/>
      <c r="B162" s="371"/>
      <c r="C162" s="371"/>
      <c r="D162" s="372"/>
      <c r="E162" s="373"/>
      <c r="F162" s="373"/>
      <c r="G162" s="373"/>
      <c r="H162" s="373"/>
      <c r="I162" s="373"/>
      <c r="J162" s="373"/>
      <c r="K162" s="373"/>
      <c r="L162" s="373"/>
      <c r="M162" s="373"/>
      <c r="N162" s="373"/>
      <c r="O162" s="373"/>
      <c r="P162" s="373"/>
      <c r="Q162" s="373"/>
      <c r="R162" s="373"/>
      <c r="S162" s="373"/>
      <c r="T162" s="373"/>
      <c r="U162" s="374"/>
      <c r="V162" s="375">
        <f t="shared" si="8"/>
        <v>0</v>
      </c>
      <c r="W162" s="375">
        <f>AN_TME_BY[[#This Row],[TOTAL Non-Truncated Unadjusted Claims Expenses]]-AN_TME_BY[[#This Row],[Total Claims Excluded because of Truncation]]</f>
        <v>0</v>
      </c>
      <c r="X162" s="375">
        <f t="shared" si="9"/>
        <v>0</v>
      </c>
      <c r="Y162" s="375">
        <f>AN_TME_BY[[#This Row],[TOTAL Non-Truncated Unadjusted Claims Expenses]]+AN_TME_BY[[#This Row],[TOTAL Non-Claims Expenses]]</f>
        <v>0</v>
      </c>
      <c r="Z162" s="375">
        <f>AN_TME_BY[[#This Row],[TOTAL Truncated Unadjusted Claims Expenses (A21 -A19)]]+AN_TME_BY[[#This Row],[TOTAL Non-Claims Expenses]]</f>
        <v>0</v>
      </c>
      <c r="AA162" s="416">
        <f>IFERROR(AN_TME_BY[[#This Row],[TOTAL Non-Truncated Unadjusted Expenses (A21 + A23)]]/AN_TME_BY[[#This Row],[Member Months]],0)</f>
        <v>0</v>
      </c>
      <c r="AB162" s="416">
        <f>IFERROR(AN_TME_BY[[#This Row],[TOTAL Truncated Unadjusted Expenses (A22 + A23)]]/AN_TME_BY[[#This Row],[Member Months]],0)</f>
        <v>0</v>
      </c>
      <c r="AC162" s="416">
        <f>IFERROR(AN_TME_BY[[#This Row],[Total Claims Excluded because of Truncation]]/AN_TME_BY[[#This Row],[Count of Members with Claims Truncated]], 0)</f>
        <v>0</v>
      </c>
      <c r="AD162" s="417">
        <f>IFERROR(AN_TME_BY[[#This Row],[Total Claims Excluded because of Truncation]]/AN_TME_BY[[#This Row],[TOTAL Non-Truncated Unadjusted Claims Expenses]], 0)</f>
        <v>0</v>
      </c>
    </row>
    <row r="163" spans="1:30" x14ac:dyDescent="0.25">
      <c r="A163" s="364"/>
      <c r="B163" s="365"/>
      <c r="C163" s="365"/>
      <c r="D163" s="366"/>
      <c r="E163" s="367"/>
      <c r="F163" s="367"/>
      <c r="G163" s="367"/>
      <c r="H163" s="367"/>
      <c r="I163" s="367"/>
      <c r="J163" s="367"/>
      <c r="K163" s="367"/>
      <c r="L163" s="367"/>
      <c r="M163" s="367"/>
      <c r="N163" s="367"/>
      <c r="O163" s="367"/>
      <c r="P163" s="367"/>
      <c r="Q163" s="367"/>
      <c r="R163" s="367"/>
      <c r="S163" s="367"/>
      <c r="T163" s="367"/>
      <c r="U163" s="368"/>
      <c r="V163" s="369">
        <f t="shared" si="8"/>
        <v>0</v>
      </c>
      <c r="W163" s="413">
        <f>AN_TME_BY[[#This Row],[TOTAL Non-Truncated Unadjusted Claims Expenses]]-AN_TME_BY[[#This Row],[Total Claims Excluded because of Truncation]]</f>
        <v>0</v>
      </c>
      <c r="X163" s="369">
        <f t="shared" si="9"/>
        <v>0</v>
      </c>
      <c r="Y163" s="413">
        <f>AN_TME_BY[[#This Row],[TOTAL Non-Truncated Unadjusted Claims Expenses]]+AN_TME_BY[[#This Row],[TOTAL Non-Claims Expenses]]</f>
        <v>0</v>
      </c>
      <c r="Z163" s="413">
        <f>AN_TME_BY[[#This Row],[TOTAL Truncated Unadjusted Claims Expenses (A21 -A19)]]+AN_TME_BY[[#This Row],[TOTAL Non-Claims Expenses]]</f>
        <v>0</v>
      </c>
      <c r="AA163" s="415">
        <f>IFERROR(AN_TME_BY[[#This Row],[TOTAL Non-Truncated Unadjusted Expenses (A21 + A23)]]/AN_TME_BY[[#This Row],[Member Months]],0)</f>
        <v>0</v>
      </c>
      <c r="AB163" s="415">
        <f>IFERROR(AN_TME_BY[[#This Row],[TOTAL Truncated Unadjusted Expenses (A22 + A23)]]/AN_TME_BY[[#This Row],[Member Months]],0)</f>
        <v>0</v>
      </c>
      <c r="AC163" s="415">
        <f>IFERROR(AN_TME_BY[[#This Row],[Total Claims Excluded because of Truncation]]/AN_TME_BY[[#This Row],[Count of Members with Claims Truncated]], 0)</f>
        <v>0</v>
      </c>
      <c r="AD163" s="417">
        <f>IFERROR(AN_TME_BY[[#This Row],[Total Claims Excluded because of Truncation]]/AN_TME_BY[[#This Row],[TOTAL Non-Truncated Unadjusted Claims Expenses]], 0)</f>
        <v>0</v>
      </c>
    </row>
    <row r="164" spans="1:30" x14ac:dyDescent="0.25">
      <c r="A164" s="370"/>
      <c r="B164" s="371"/>
      <c r="C164" s="371"/>
      <c r="D164" s="372"/>
      <c r="E164" s="373"/>
      <c r="F164" s="373"/>
      <c r="G164" s="373"/>
      <c r="H164" s="373"/>
      <c r="I164" s="373"/>
      <c r="J164" s="373"/>
      <c r="K164" s="373"/>
      <c r="L164" s="373"/>
      <c r="M164" s="373"/>
      <c r="N164" s="373"/>
      <c r="O164" s="373"/>
      <c r="P164" s="373"/>
      <c r="Q164" s="373"/>
      <c r="R164" s="373"/>
      <c r="S164" s="373"/>
      <c r="T164" s="373"/>
      <c r="U164" s="374"/>
      <c r="V164" s="375">
        <f t="shared" si="8"/>
        <v>0</v>
      </c>
      <c r="W164" s="375">
        <f>AN_TME_BY[[#This Row],[TOTAL Non-Truncated Unadjusted Claims Expenses]]-AN_TME_BY[[#This Row],[Total Claims Excluded because of Truncation]]</f>
        <v>0</v>
      </c>
      <c r="X164" s="375">
        <f t="shared" si="9"/>
        <v>0</v>
      </c>
      <c r="Y164" s="375">
        <f>AN_TME_BY[[#This Row],[TOTAL Non-Truncated Unadjusted Claims Expenses]]+AN_TME_BY[[#This Row],[TOTAL Non-Claims Expenses]]</f>
        <v>0</v>
      </c>
      <c r="Z164" s="375">
        <f>AN_TME_BY[[#This Row],[TOTAL Truncated Unadjusted Claims Expenses (A21 -A19)]]+AN_TME_BY[[#This Row],[TOTAL Non-Claims Expenses]]</f>
        <v>0</v>
      </c>
      <c r="AA164" s="416">
        <f>IFERROR(AN_TME_BY[[#This Row],[TOTAL Non-Truncated Unadjusted Expenses (A21 + A23)]]/AN_TME_BY[[#This Row],[Member Months]],0)</f>
        <v>0</v>
      </c>
      <c r="AB164" s="416">
        <f>IFERROR(AN_TME_BY[[#This Row],[TOTAL Truncated Unadjusted Expenses (A22 + A23)]]/AN_TME_BY[[#This Row],[Member Months]],0)</f>
        <v>0</v>
      </c>
      <c r="AC164" s="416">
        <f>IFERROR(AN_TME_BY[[#This Row],[Total Claims Excluded because of Truncation]]/AN_TME_BY[[#This Row],[Count of Members with Claims Truncated]], 0)</f>
        <v>0</v>
      </c>
      <c r="AD164" s="417">
        <f>IFERROR(AN_TME_BY[[#This Row],[Total Claims Excluded because of Truncation]]/AN_TME_BY[[#This Row],[TOTAL Non-Truncated Unadjusted Claims Expenses]], 0)</f>
        <v>0</v>
      </c>
    </row>
    <row r="165" spans="1:30" x14ac:dyDescent="0.25">
      <c r="A165" s="364"/>
      <c r="B165" s="365"/>
      <c r="C165" s="365"/>
      <c r="D165" s="366"/>
      <c r="E165" s="367"/>
      <c r="F165" s="367"/>
      <c r="G165" s="367"/>
      <c r="H165" s="367"/>
      <c r="I165" s="367"/>
      <c r="J165" s="367"/>
      <c r="K165" s="367"/>
      <c r="L165" s="367"/>
      <c r="M165" s="367"/>
      <c r="N165" s="367"/>
      <c r="O165" s="367"/>
      <c r="P165" s="367"/>
      <c r="Q165" s="367"/>
      <c r="R165" s="367"/>
      <c r="S165" s="367"/>
      <c r="T165" s="367"/>
      <c r="U165" s="368"/>
      <c r="V165" s="369">
        <f t="shared" si="8"/>
        <v>0</v>
      </c>
      <c r="W165" s="413">
        <f>AN_TME_BY[[#This Row],[TOTAL Non-Truncated Unadjusted Claims Expenses]]-AN_TME_BY[[#This Row],[Total Claims Excluded because of Truncation]]</f>
        <v>0</v>
      </c>
      <c r="X165" s="369">
        <f t="shared" si="9"/>
        <v>0</v>
      </c>
      <c r="Y165" s="413">
        <f>AN_TME_BY[[#This Row],[TOTAL Non-Truncated Unadjusted Claims Expenses]]+AN_TME_BY[[#This Row],[TOTAL Non-Claims Expenses]]</f>
        <v>0</v>
      </c>
      <c r="Z165" s="413">
        <f>AN_TME_BY[[#This Row],[TOTAL Truncated Unadjusted Claims Expenses (A21 -A19)]]+AN_TME_BY[[#This Row],[TOTAL Non-Claims Expenses]]</f>
        <v>0</v>
      </c>
      <c r="AA165" s="415">
        <f>IFERROR(AN_TME_BY[[#This Row],[TOTAL Non-Truncated Unadjusted Expenses (A21 + A23)]]/AN_TME_BY[[#This Row],[Member Months]],0)</f>
        <v>0</v>
      </c>
      <c r="AB165" s="415">
        <f>IFERROR(AN_TME_BY[[#This Row],[TOTAL Truncated Unadjusted Expenses (A22 + A23)]]/AN_TME_BY[[#This Row],[Member Months]],0)</f>
        <v>0</v>
      </c>
      <c r="AC165" s="415">
        <f>IFERROR(AN_TME_BY[[#This Row],[Total Claims Excluded because of Truncation]]/AN_TME_BY[[#This Row],[Count of Members with Claims Truncated]], 0)</f>
        <v>0</v>
      </c>
      <c r="AD165" s="417">
        <f>IFERROR(AN_TME_BY[[#This Row],[Total Claims Excluded because of Truncation]]/AN_TME_BY[[#This Row],[TOTAL Non-Truncated Unadjusted Claims Expenses]], 0)</f>
        <v>0</v>
      </c>
    </row>
    <row r="166" spans="1:30" x14ac:dyDescent="0.25">
      <c r="A166" s="370"/>
      <c r="B166" s="371"/>
      <c r="C166" s="371"/>
      <c r="D166" s="372"/>
      <c r="E166" s="373"/>
      <c r="F166" s="373"/>
      <c r="G166" s="373"/>
      <c r="H166" s="373"/>
      <c r="I166" s="373"/>
      <c r="J166" s="373"/>
      <c r="K166" s="373"/>
      <c r="L166" s="373"/>
      <c r="M166" s="373"/>
      <c r="N166" s="373"/>
      <c r="O166" s="373"/>
      <c r="P166" s="373"/>
      <c r="Q166" s="373"/>
      <c r="R166" s="373"/>
      <c r="S166" s="373"/>
      <c r="T166" s="373"/>
      <c r="U166" s="374"/>
      <c r="V166" s="375">
        <f t="shared" si="8"/>
        <v>0</v>
      </c>
      <c r="W166" s="375">
        <f>AN_TME_BY[[#This Row],[TOTAL Non-Truncated Unadjusted Claims Expenses]]-AN_TME_BY[[#This Row],[Total Claims Excluded because of Truncation]]</f>
        <v>0</v>
      </c>
      <c r="X166" s="375">
        <f t="shared" si="9"/>
        <v>0</v>
      </c>
      <c r="Y166" s="375">
        <f>AN_TME_BY[[#This Row],[TOTAL Non-Truncated Unadjusted Claims Expenses]]+AN_TME_BY[[#This Row],[TOTAL Non-Claims Expenses]]</f>
        <v>0</v>
      </c>
      <c r="Z166" s="375">
        <f>AN_TME_BY[[#This Row],[TOTAL Truncated Unadjusted Claims Expenses (A21 -A19)]]+AN_TME_BY[[#This Row],[TOTAL Non-Claims Expenses]]</f>
        <v>0</v>
      </c>
      <c r="AA166" s="416">
        <f>IFERROR(AN_TME_BY[[#This Row],[TOTAL Non-Truncated Unadjusted Expenses (A21 + A23)]]/AN_TME_BY[[#This Row],[Member Months]],0)</f>
        <v>0</v>
      </c>
      <c r="AB166" s="416">
        <f>IFERROR(AN_TME_BY[[#This Row],[TOTAL Truncated Unadjusted Expenses (A22 + A23)]]/AN_TME_BY[[#This Row],[Member Months]],0)</f>
        <v>0</v>
      </c>
      <c r="AC166" s="416">
        <f>IFERROR(AN_TME_BY[[#This Row],[Total Claims Excluded because of Truncation]]/AN_TME_BY[[#This Row],[Count of Members with Claims Truncated]], 0)</f>
        <v>0</v>
      </c>
      <c r="AD166" s="417">
        <f>IFERROR(AN_TME_BY[[#This Row],[Total Claims Excluded because of Truncation]]/AN_TME_BY[[#This Row],[TOTAL Non-Truncated Unadjusted Claims Expenses]], 0)</f>
        <v>0</v>
      </c>
    </row>
    <row r="167" spans="1:30" x14ac:dyDescent="0.25">
      <c r="A167" s="364"/>
      <c r="B167" s="365"/>
      <c r="C167" s="365"/>
      <c r="D167" s="366"/>
      <c r="E167" s="367"/>
      <c r="F167" s="367"/>
      <c r="G167" s="367"/>
      <c r="H167" s="367"/>
      <c r="I167" s="367"/>
      <c r="J167" s="367"/>
      <c r="K167" s="367"/>
      <c r="L167" s="367"/>
      <c r="M167" s="367"/>
      <c r="N167" s="367"/>
      <c r="O167" s="367"/>
      <c r="P167" s="367"/>
      <c r="Q167" s="367"/>
      <c r="R167" s="367"/>
      <c r="S167" s="367"/>
      <c r="T167" s="367"/>
      <c r="U167" s="368"/>
      <c r="V167" s="369">
        <f t="shared" si="8"/>
        <v>0</v>
      </c>
      <c r="W167" s="413">
        <f>AN_TME_BY[[#This Row],[TOTAL Non-Truncated Unadjusted Claims Expenses]]-AN_TME_BY[[#This Row],[Total Claims Excluded because of Truncation]]</f>
        <v>0</v>
      </c>
      <c r="X167" s="369">
        <f t="shared" si="9"/>
        <v>0</v>
      </c>
      <c r="Y167" s="413">
        <f>AN_TME_BY[[#This Row],[TOTAL Non-Truncated Unadjusted Claims Expenses]]+AN_TME_BY[[#This Row],[TOTAL Non-Claims Expenses]]</f>
        <v>0</v>
      </c>
      <c r="Z167" s="413">
        <f>AN_TME_BY[[#This Row],[TOTAL Truncated Unadjusted Claims Expenses (A21 -A19)]]+AN_TME_BY[[#This Row],[TOTAL Non-Claims Expenses]]</f>
        <v>0</v>
      </c>
      <c r="AA167" s="415">
        <f>IFERROR(AN_TME_BY[[#This Row],[TOTAL Non-Truncated Unadjusted Expenses (A21 + A23)]]/AN_TME_BY[[#This Row],[Member Months]],0)</f>
        <v>0</v>
      </c>
      <c r="AB167" s="415">
        <f>IFERROR(AN_TME_BY[[#This Row],[TOTAL Truncated Unadjusted Expenses (A22 + A23)]]/AN_TME_BY[[#This Row],[Member Months]],0)</f>
        <v>0</v>
      </c>
      <c r="AC167" s="415">
        <f>IFERROR(AN_TME_BY[[#This Row],[Total Claims Excluded because of Truncation]]/AN_TME_BY[[#This Row],[Count of Members with Claims Truncated]], 0)</f>
        <v>0</v>
      </c>
      <c r="AD167" s="417">
        <f>IFERROR(AN_TME_BY[[#This Row],[Total Claims Excluded because of Truncation]]/AN_TME_BY[[#This Row],[TOTAL Non-Truncated Unadjusted Claims Expenses]], 0)</f>
        <v>0</v>
      </c>
    </row>
    <row r="168" spans="1:30" x14ac:dyDescent="0.25">
      <c r="A168" s="370"/>
      <c r="B168" s="371"/>
      <c r="C168" s="371"/>
      <c r="D168" s="372"/>
      <c r="E168" s="373"/>
      <c r="F168" s="373"/>
      <c r="G168" s="373"/>
      <c r="H168" s="373"/>
      <c r="I168" s="373"/>
      <c r="J168" s="373"/>
      <c r="K168" s="373"/>
      <c r="L168" s="373"/>
      <c r="M168" s="373"/>
      <c r="N168" s="373"/>
      <c r="O168" s="373"/>
      <c r="P168" s="373"/>
      <c r="Q168" s="373"/>
      <c r="R168" s="373"/>
      <c r="S168" s="373"/>
      <c r="T168" s="373"/>
      <c r="U168" s="374"/>
      <c r="V168" s="375">
        <f t="shared" si="8"/>
        <v>0</v>
      </c>
      <c r="W168" s="375">
        <f>AN_TME_BY[[#This Row],[TOTAL Non-Truncated Unadjusted Claims Expenses]]-AN_TME_BY[[#This Row],[Total Claims Excluded because of Truncation]]</f>
        <v>0</v>
      </c>
      <c r="X168" s="375">
        <f t="shared" si="9"/>
        <v>0</v>
      </c>
      <c r="Y168" s="375">
        <f>AN_TME_BY[[#This Row],[TOTAL Non-Truncated Unadjusted Claims Expenses]]+AN_TME_BY[[#This Row],[TOTAL Non-Claims Expenses]]</f>
        <v>0</v>
      </c>
      <c r="Z168" s="375">
        <f>AN_TME_BY[[#This Row],[TOTAL Truncated Unadjusted Claims Expenses (A21 -A19)]]+AN_TME_BY[[#This Row],[TOTAL Non-Claims Expenses]]</f>
        <v>0</v>
      </c>
      <c r="AA168" s="416">
        <f>IFERROR(AN_TME_BY[[#This Row],[TOTAL Non-Truncated Unadjusted Expenses (A21 + A23)]]/AN_TME_BY[[#This Row],[Member Months]],0)</f>
        <v>0</v>
      </c>
      <c r="AB168" s="416">
        <f>IFERROR(AN_TME_BY[[#This Row],[TOTAL Truncated Unadjusted Expenses (A22 + A23)]]/AN_TME_BY[[#This Row],[Member Months]],0)</f>
        <v>0</v>
      </c>
      <c r="AC168" s="416">
        <f>IFERROR(AN_TME_BY[[#This Row],[Total Claims Excluded because of Truncation]]/AN_TME_BY[[#This Row],[Count of Members with Claims Truncated]], 0)</f>
        <v>0</v>
      </c>
      <c r="AD168" s="417">
        <f>IFERROR(AN_TME_BY[[#This Row],[Total Claims Excluded because of Truncation]]/AN_TME_BY[[#This Row],[TOTAL Non-Truncated Unadjusted Claims Expenses]], 0)</f>
        <v>0</v>
      </c>
    </row>
    <row r="169" spans="1:30" x14ac:dyDescent="0.25">
      <c r="A169" s="364"/>
      <c r="B169" s="365"/>
      <c r="C169" s="365"/>
      <c r="D169" s="366"/>
      <c r="E169" s="367"/>
      <c r="F169" s="367"/>
      <c r="G169" s="367"/>
      <c r="H169" s="367"/>
      <c r="I169" s="367"/>
      <c r="J169" s="367"/>
      <c r="K169" s="367"/>
      <c r="L169" s="367"/>
      <c r="M169" s="367"/>
      <c r="N169" s="367"/>
      <c r="O169" s="367"/>
      <c r="P169" s="367"/>
      <c r="Q169" s="367"/>
      <c r="R169" s="367"/>
      <c r="S169" s="367"/>
      <c r="T169" s="367"/>
      <c r="U169" s="368"/>
      <c r="V169" s="369">
        <f t="shared" si="8"/>
        <v>0</v>
      </c>
      <c r="W169" s="413">
        <f>AN_TME_BY[[#This Row],[TOTAL Non-Truncated Unadjusted Claims Expenses]]-AN_TME_BY[[#This Row],[Total Claims Excluded because of Truncation]]</f>
        <v>0</v>
      </c>
      <c r="X169" s="369">
        <f t="shared" si="9"/>
        <v>0</v>
      </c>
      <c r="Y169" s="413">
        <f>AN_TME_BY[[#This Row],[TOTAL Non-Truncated Unadjusted Claims Expenses]]+AN_TME_BY[[#This Row],[TOTAL Non-Claims Expenses]]</f>
        <v>0</v>
      </c>
      <c r="Z169" s="413">
        <f>AN_TME_BY[[#This Row],[TOTAL Truncated Unadjusted Claims Expenses (A21 -A19)]]+AN_TME_BY[[#This Row],[TOTAL Non-Claims Expenses]]</f>
        <v>0</v>
      </c>
      <c r="AA169" s="415">
        <f>IFERROR(AN_TME_BY[[#This Row],[TOTAL Non-Truncated Unadjusted Expenses (A21 + A23)]]/AN_TME_BY[[#This Row],[Member Months]],0)</f>
        <v>0</v>
      </c>
      <c r="AB169" s="415">
        <f>IFERROR(AN_TME_BY[[#This Row],[TOTAL Truncated Unadjusted Expenses (A22 + A23)]]/AN_TME_BY[[#This Row],[Member Months]],0)</f>
        <v>0</v>
      </c>
      <c r="AC169" s="415">
        <f>IFERROR(AN_TME_BY[[#This Row],[Total Claims Excluded because of Truncation]]/AN_TME_BY[[#This Row],[Count of Members with Claims Truncated]], 0)</f>
        <v>0</v>
      </c>
      <c r="AD169" s="417">
        <f>IFERROR(AN_TME_BY[[#This Row],[Total Claims Excluded because of Truncation]]/AN_TME_BY[[#This Row],[TOTAL Non-Truncated Unadjusted Claims Expenses]], 0)</f>
        <v>0</v>
      </c>
    </row>
    <row r="170" spans="1:30" x14ac:dyDescent="0.25">
      <c r="A170" s="370"/>
      <c r="B170" s="371"/>
      <c r="C170" s="371"/>
      <c r="D170" s="372"/>
      <c r="E170" s="373"/>
      <c r="F170" s="373"/>
      <c r="G170" s="373"/>
      <c r="H170" s="373"/>
      <c r="I170" s="373"/>
      <c r="J170" s="373"/>
      <c r="K170" s="373"/>
      <c r="L170" s="373"/>
      <c r="M170" s="373"/>
      <c r="N170" s="373"/>
      <c r="O170" s="373"/>
      <c r="P170" s="373"/>
      <c r="Q170" s="373"/>
      <c r="R170" s="373"/>
      <c r="S170" s="373"/>
      <c r="T170" s="373"/>
      <c r="U170" s="374"/>
      <c r="V170" s="375">
        <f t="shared" si="8"/>
        <v>0</v>
      </c>
      <c r="W170" s="375">
        <f>AN_TME_BY[[#This Row],[TOTAL Non-Truncated Unadjusted Claims Expenses]]-AN_TME_BY[[#This Row],[Total Claims Excluded because of Truncation]]</f>
        <v>0</v>
      </c>
      <c r="X170" s="375">
        <f t="shared" si="9"/>
        <v>0</v>
      </c>
      <c r="Y170" s="375">
        <f>AN_TME_BY[[#This Row],[TOTAL Non-Truncated Unadjusted Claims Expenses]]+AN_TME_BY[[#This Row],[TOTAL Non-Claims Expenses]]</f>
        <v>0</v>
      </c>
      <c r="Z170" s="375">
        <f>AN_TME_BY[[#This Row],[TOTAL Truncated Unadjusted Claims Expenses (A21 -A19)]]+AN_TME_BY[[#This Row],[TOTAL Non-Claims Expenses]]</f>
        <v>0</v>
      </c>
      <c r="AA170" s="416">
        <f>IFERROR(AN_TME_BY[[#This Row],[TOTAL Non-Truncated Unadjusted Expenses (A21 + A23)]]/AN_TME_BY[[#This Row],[Member Months]],0)</f>
        <v>0</v>
      </c>
      <c r="AB170" s="416">
        <f>IFERROR(AN_TME_BY[[#This Row],[TOTAL Truncated Unadjusted Expenses (A22 + A23)]]/AN_TME_BY[[#This Row],[Member Months]],0)</f>
        <v>0</v>
      </c>
      <c r="AC170" s="416">
        <f>IFERROR(AN_TME_BY[[#This Row],[Total Claims Excluded because of Truncation]]/AN_TME_BY[[#This Row],[Count of Members with Claims Truncated]], 0)</f>
        <v>0</v>
      </c>
      <c r="AD170" s="417">
        <f>IFERROR(AN_TME_BY[[#This Row],[Total Claims Excluded because of Truncation]]/AN_TME_BY[[#This Row],[TOTAL Non-Truncated Unadjusted Claims Expenses]], 0)</f>
        <v>0</v>
      </c>
    </row>
    <row r="171" spans="1:30" x14ac:dyDescent="0.25">
      <c r="A171" s="364"/>
      <c r="B171" s="365"/>
      <c r="C171" s="365"/>
      <c r="D171" s="366"/>
      <c r="E171" s="367"/>
      <c r="F171" s="367"/>
      <c r="G171" s="367"/>
      <c r="H171" s="367"/>
      <c r="I171" s="367"/>
      <c r="J171" s="367"/>
      <c r="K171" s="367"/>
      <c r="L171" s="367"/>
      <c r="M171" s="367"/>
      <c r="N171" s="367"/>
      <c r="O171" s="367"/>
      <c r="P171" s="367"/>
      <c r="Q171" s="367"/>
      <c r="R171" s="367"/>
      <c r="S171" s="367"/>
      <c r="T171" s="367"/>
      <c r="U171" s="368"/>
      <c r="V171" s="369">
        <f t="shared" ref="V171:V200" si="10">SUM(E171:G171)+SUM(I171:M171)</f>
        <v>0</v>
      </c>
      <c r="W171" s="413">
        <f>AN_TME_BY[[#This Row],[TOTAL Non-Truncated Unadjusted Claims Expenses]]-AN_TME_BY[[#This Row],[Total Claims Excluded because of Truncation]]</f>
        <v>0</v>
      </c>
      <c r="X171" s="369">
        <f t="shared" ref="X171:X200" si="11">SUM(N171:R171)</f>
        <v>0</v>
      </c>
      <c r="Y171" s="413">
        <f>AN_TME_BY[[#This Row],[TOTAL Non-Truncated Unadjusted Claims Expenses]]+AN_TME_BY[[#This Row],[TOTAL Non-Claims Expenses]]</f>
        <v>0</v>
      </c>
      <c r="Z171" s="413">
        <f>AN_TME_BY[[#This Row],[TOTAL Truncated Unadjusted Claims Expenses (A21 -A19)]]+AN_TME_BY[[#This Row],[TOTAL Non-Claims Expenses]]</f>
        <v>0</v>
      </c>
      <c r="AA171" s="415">
        <f>IFERROR(AN_TME_BY[[#This Row],[TOTAL Non-Truncated Unadjusted Expenses (A21 + A23)]]/AN_TME_BY[[#This Row],[Member Months]],0)</f>
        <v>0</v>
      </c>
      <c r="AB171" s="415">
        <f>IFERROR(AN_TME_BY[[#This Row],[TOTAL Truncated Unadjusted Expenses (A22 + A23)]]/AN_TME_BY[[#This Row],[Member Months]],0)</f>
        <v>0</v>
      </c>
      <c r="AC171" s="415">
        <f>IFERROR(AN_TME_BY[[#This Row],[Total Claims Excluded because of Truncation]]/AN_TME_BY[[#This Row],[Count of Members with Claims Truncated]], 0)</f>
        <v>0</v>
      </c>
      <c r="AD171" s="417">
        <f>IFERROR(AN_TME_BY[[#This Row],[Total Claims Excluded because of Truncation]]/AN_TME_BY[[#This Row],[TOTAL Non-Truncated Unadjusted Claims Expenses]], 0)</f>
        <v>0</v>
      </c>
    </row>
    <row r="172" spans="1:30" x14ac:dyDescent="0.25">
      <c r="A172" s="370"/>
      <c r="B172" s="371"/>
      <c r="C172" s="371"/>
      <c r="D172" s="372"/>
      <c r="E172" s="373"/>
      <c r="F172" s="373"/>
      <c r="G172" s="373"/>
      <c r="H172" s="373"/>
      <c r="I172" s="373"/>
      <c r="J172" s="373"/>
      <c r="K172" s="373"/>
      <c r="L172" s="373"/>
      <c r="M172" s="373"/>
      <c r="N172" s="373"/>
      <c r="O172" s="373"/>
      <c r="P172" s="373"/>
      <c r="Q172" s="373"/>
      <c r="R172" s="373"/>
      <c r="S172" s="373"/>
      <c r="T172" s="373"/>
      <c r="U172" s="374"/>
      <c r="V172" s="375">
        <f t="shared" si="10"/>
        <v>0</v>
      </c>
      <c r="W172" s="375">
        <f>AN_TME_BY[[#This Row],[TOTAL Non-Truncated Unadjusted Claims Expenses]]-AN_TME_BY[[#This Row],[Total Claims Excluded because of Truncation]]</f>
        <v>0</v>
      </c>
      <c r="X172" s="375">
        <f t="shared" si="11"/>
        <v>0</v>
      </c>
      <c r="Y172" s="375">
        <f>AN_TME_BY[[#This Row],[TOTAL Non-Truncated Unadjusted Claims Expenses]]+AN_TME_BY[[#This Row],[TOTAL Non-Claims Expenses]]</f>
        <v>0</v>
      </c>
      <c r="Z172" s="375">
        <f>AN_TME_BY[[#This Row],[TOTAL Truncated Unadjusted Claims Expenses (A21 -A19)]]+AN_TME_BY[[#This Row],[TOTAL Non-Claims Expenses]]</f>
        <v>0</v>
      </c>
      <c r="AA172" s="416">
        <f>IFERROR(AN_TME_BY[[#This Row],[TOTAL Non-Truncated Unadjusted Expenses (A21 + A23)]]/AN_TME_BY[[#This Row],[Member Months]],0)</f>
        <v>0</v>
      </c>
      <c r="AB172" s="416">
        <f>IFERROR(AN_TME_BY[[#This Row],[TOTAL Truncated Unadjusted Expenses (A22 + A23)]]/AN_TME_BY[[#This Row],[Member Months]],0)</f>
        <v>0</v>
      </c>
      <c r="AC172" s="416">
        <f>IFERROR(AN_TME_BY[[#This Row],[Total Claims Excluded because of Truncation]]/AN_TME_BY[[#This Row],[Count of Members with Claims Truncated]], 0)</f>
        <v>0</v>
      </c>
      <c r="AD172" s="417">
        <f>IFERROR(AN_TME_BY[[#This Row],[Total Claims Excluded because of Truncation]]/AN_TME_BY[[#This Row],[TOTAL Non-Truncated Unadjusted Claims Expenses]], 0)</f>
        <v>0</v>
      </c>
    </row>
    <row r="173" spans="1:30" x14ac:dyDescent="0.25">
      <c r="A173" s="364"/>
      <c r="B173" s="365"/>
      <c r="C173" s="365"/>
      <c r="D173" s="366"/>
      <c r="E173" s="367"/>
      <c r="F173" s="367"/>
      <c r="G173" s="367"/>
      <c r="H173" s="367"/>
      <c r="I173" s="367"/>
      <c r="J173" s="367"/>
      <c r="K173" s="367"/>
      <c r="L173" s="367"/>
      <c r="M173" s="367"/>
      <c r="N173" s="367"/>
      <c r="O173" s="367"/>
      <c r="P173" s="367"/>
      <c r="Q173" s="367"/>
      <c r="R173" s="367"/>
      <c r="S173" s="367"/>
      <c r="T173" s="367"/>
      <c r="U173" s="368"/>
      <c r="V173" s="369">
        <f t="shared" si="10"/>
        <v>0</v>
      </c>
      <c r="W173" s="413">
        <f>AN_TME_BY[[#This Row],[TOTAL Non-Truncated Unadjusted Claims Expenses]]-AN_TME_BY[[#This Row],[Total Claims Excluded because of Truncation]]</f>
        <v>0</v>
      </c>
      <c r="X173" s="369">
        <f t="shared" si="11"/>
        <v>0</v>
      </c>
      <c r="Y173" s="413">
        <f>AN_TME_BY[[#This Row],[TOTAL Non-Truncated Unadjusted Claims Expenses]]+AN_TME_BY[[#This Row],[TOTAL Non-Claims Expenses]]</f>
        <v>0</v>
      </c>
      <c r="Z173" s="413">
        <f>AN_TME_BY[[#This Row],[TOTAL Truncated Unadjusted Claims Expenses (A21 -A19)]]+AN_TME_BY[[#This Row],[TOTAL Non-Claims Expenses]]</f>
        <v>0</v>
      </c>
      <c r="AA173" s="415">
        <f>IFERROR(AN_TME_BY[[#This Row],[TOTAL Non-Truncated Unadjusted Expenses (A21 + A23)]]/AN_TME_BY[[#This Row],[Member Months]],0)</f>
        <v>0</v>
      </c>
      <c r="AB173" s="415">
        <f>IFERROR(AN_TME_BY[[#This Row],[TOTAL Truncated Unadjusted Expenses (A22 + A23)]]/AN_TME_BY[[#This Row],[Member Months]],0)</f>
        <v>0</v>
      </c>
      <c r="AC173" s="415">
        <f>IFERROR(AN_TME_BY[[#This Row],[Total Claims Excluded because of Truncation]]/AN_TME_BY[[#This Row],[Count of Members with Claims Truncated]], 0)</f>
        <v>0</v>
      </c>
      <c r="AD173" s="417">
        <f>IFERROR(AN_TME_BY[[#This Row],[Total Claims Excluded because of Truncation]]/AN_TME_BY[[#This Row],[TOTAL Non-Truncated Unadjusted Claims Expenses]], 0)</f>
        <v>0</v>
      </c>
    </row>
    <row r="174" spans="1:30" x14ac:dyDescent="0.25">
      <c r="A174" s="370"/>
      <c r="B174" s="371"/>
      <c r="C174" s="371"/>
      <c r="D174" s="372"/>
      <c r="E174" s="373"/>
      <c r="F174" s="373"/>
      <c r="G174" s="373"/>
      <c r="H174" s="373"/>
      <c r="I174" s="373"/>
      <c r="J174" s="373"/>
      <c r="K174" s="373"/>
      <c r="L174" s="373"/>
      <c r="M174" s="373"/>
      <c r="N174" s="373"/>
      <c r="O174" s="373"/>
      <c r="P174" s="373"/>
      <c r="Q174" s="373"/>
      <c r="R174" s="373"/>
      <c r="S174" s="373"/>
      <c r="T174" s="373"/>
      <c r="U174" s="374"/>
      <c r="V174" s="375">
        <f t="shared" si="10"/>
        <v>0</v>
      </c>
      <c r="W174" s="375">
        <f>AN_TME_BY[[#This Row],[TOTAL Non-Truncated Unadjusted Claims Expenses]]-AN_TME_BY[[#This Row],[Total Claims Excluded because of Truncation]]</f>
        <v>0</v>
      </c>
      <c r="X174" s="375">
        <f t="shared" si="11"/>
        <v>0</v>
      </c>
      <c r="Y174" s="375">
        <f>AN_TME_BY[[#This Row],[TOTAL Non-Truncated Unadjusted Claims Expenses]]+AN_TME_BY[[#This Row],[TOTAL Non-Claims Expenses]]</f>
        <v>0</v>
      </c>
      <c r="Z174" s="375">
        <f>AN_TME_BY[[#This Row],[TOTAL Truncated Unadjusted Claims Expenses (A21 -A19)]]+AN_TME_BY[[#This Row],[TOTAL Non-Claims Expenses]]</f>
        <v>0</v>
      </c>
      <c r="AA174" s="416">
        <f>IFERROR(AN_TME_BY[[#This Row],[TOTAL Non-Truncated Unadjusted Expenses (A21 + A23)]]/AN_TME_BY[[#This Row],[Member Months]],0)</f>
        <v>0</v>
      </c>
      <c r="AB174" s="416">
        <f>IFERROR(AN_TME_BY[[#This Row],[TOTAL Truncated Unadjusted Expenses (A22 + A23)]]/AN_TME_BY[[#This Row],[Member Months]],0)</f>
        <v>0</v>
      </c>
      <c r="AC174" s="416">
        <f>IFERROR(AN_TME_BY[[#This Row],[Total Claims Excluded because of Truncation]]/AN_TME_BY[[#This Row],[Count of Members with Claims Truncated]], 0)</f>
        <v>0</v>
      </c>
      <c r="AD174" s="417">
        <f>IFERROR(AN_TME_BY[[#This Row],[Total Claims Excluded because of Truncation]]/AN_TME_BY[[#This Row],[TOTAL Non-Truncated Unadjusted Claims Expenses]], 0)</f>
        <v>0</v>
      </c>
    </row>
    <row r="175" spans="1:30" x14ac:dyDescent="0.25">
      <c r="A175" s="364"/>
      <c r="B175" s="365"/>
      <c r="C175" s="365"/>
      <c r="D175" s="366"/>
      <c r="E175" s="367"/>
      <c r="F175" s="367"/>
      <c r="G175" s="367"/>
      <c r="H175" s="367"/>
      <c r="I175" s="367"/>
      <c r="J175" s="367"/>
      <c r="K175" s="367"/>
      <c r="L175" s="367"/>
      <c r="M175" s="367"/>
      <c r="N175" s="367"/>
      <c r="O175" s="367"/>
      <c r="P175" s="367"/>
      <c r="Q175" s="367"/>
      <c r="R175" s="367"/>
      <c r="S175" s="367"/>
      <c r="T175" s="367"/>
      <c r="U175" s="368"/>
      <c r="V175" s="369">
        <f t="shared" si="10"/>
        <v>0</v>
      </c>
      <c r="W175" s="413">
        <f>AN_TME_BY[[#This Row],[TOTAL Non-Truncated Unadjusted Claims Expenses]]-AN_TME_BY[[#This Row],[Total Claims Excluded because of Truncation]]</f>
        <v>0</v>
      </c>
      <c r="X175" s="369">
        <f t="shared" si="11"/>
        <v>0</v>
      </c>
      <c r="Y175" s="413">
        <f>AN_TME_BY[[#This Row],[TOTAL Non-Truncated Unadjusted Claims Expenses]]+AN_TME_BY[[#This Row],[TOTAL Non-Claims Expenses]]</f>
        <v>0</v>
      </c>
      <c r="Z175" s="413">
        <f>AN_TME_BY[[#This Row],[TOTAL Truncated Unadjusted Claims Expenses (A21 -A19)]]+AN_TME_BY[[#This Row],[TOTAL Non-Claims Expenses]]</f>
        <v>0</v>
      </c>
      <c r="AA175" s="415">
        <f>IFERROR(AN_TME_BY[[#This Row],[TOTAL Non-Truncated Unadjusted Expenses (A21 + A23)]]/AN_TME_BY[[#This Row],[Member Months]],0)</f>
        <v>0</v>
      </c>
      <c r="AB175" s="415">
        <f>IFERROR(AN_TME_BY[[#This Row],[TOTAL Truncated Unadjusted Expenses (A22 + A23)]]/AN_TME_BY[[#This Row],[Member Months]],0)</f>
        <v>0</v>
      </c>
      <c r="AC175" s="415">
        <f>IFERROR(AN_TME_BY[[#This Row],[Total Claims Excluded because of Truncation]]/AN_TME_BY[[#This Row],[Count of Members with Claims Truncated]], 0)</f>
        <v>0</v>
      </c>
      <c r="AD175" s="417">
        <f>IFERROR(AN_TME_BY[[#This Row],[Total Claims Excluded because of Truncation]]/AN_TME_BY[[#This Row],[TOTAL Non-Truncated Unadjusted Claims Expenses]], 0)</f>
        <v>0</v>
      </c>
    </row>
    <row r="176" spans="1:30" x14ac:dyDescent="0.25">
      <c r="A176" s="370"/>
      <c r="B176" s="371"/>
      <c r="C176" s="371"/>
      <c r="D176" s="372"/>
      <c r="E176" s="373"/>
      <c r="F176" s="373"/>
      <c r="G176" s="373"/>
      <c r="H176" s="373"/>
      <c r="I176" s="373"/>
      <c r="J176" s="373"/>
      <c r="K176" s="373"/>
      <c r="L176" s="373"/>
      <c r="M176" s="373"/>
      <c r="N176" s="373"/>
      <c r="O176" s="373"/>
      <c r="P176" s="373"/>
      <c r="Q176" s="373"/>
      <c r="R176" s="373"/>
      <c r="S176" s="373"/>
      <c r="T176" s="373"/>
      <c r="U176" s="374"/>
      <c r="V176" s="375">
        <f t="shared" si="10"/>
        <v>0</v>
      </c>
      <c r="W176" s="375">
        <f>AN_TME_BY[[#This Row],[TOTAL Non-Truncated Unadjusted Claims Expenses]]-AN_TME_BY[[#This Row],[Total Claims Excluded because of Truncation]]</f>
        <v>0</v>
      </c>
      <c r="X176" s="375">
        <f t="shared" si="11"/>
        <v>0</v>
      </c>
      <c r="Y176" s="375">
        <f>AN_TME_BY[[#This Row],[TOTAL Non-Truncated Unadjusted Claims Expenses]]+AN_TME_BY[[#This Row],[TOTAL Non-Claims Expenses]]</f>
        <v>0</v>
      </c>
      <c r="Z176" s="375">
        <f>AN_TME_BY[[#This Row],[TOTAL Truncated Unadjusted Claims Expenses (A21 -A19)]]+AN_TME_BY[[#This Row],[TOTAL Non-Claims Expenses]]</f>
        <v>0</v>
      </c>
      <c r="AA176" s="416">
        <f>IFERROR(AN_TME_BY[[#This Row],[TOTAL Non-Truncated Unadjusted Expenses (A21 + A23)]]/AN_TME_BY[[#This Row],[Member Months]],0)</f>
        <v>0</v>
      </c>
      <c r="AB176" s="416">
        <f>IFERROR(AN_TME_BY[[#This Row],[TOTAL Truncated Unadjusted Expenses (A22 + A23)]]/AN_TME_BY[[#This Row],[Member Months]],0)</f>
        <v>0</v>
      </c>
      <c r="AC176" s="416">
        <f>IFERROR(AN_TME_BY[[#This Row],[Total Claims Excluded because of Truncation]]/AN_TME_BY[[#This Row],[Count of Members with Claims Truncated]], 0)</f>
        <v>0</v>
      </c>
      <c r="AD176" s="417">
        <f>IFERROR(AN_TME_BY[[#This Row],[Total Claims Excluded because of Truncation]]/AN_TME_BY[[#This Row],[TOTAL Non-Truncated Unadjusted Claims Expenses]], 0)</f>
        <v>0</v>
      </c>
    </row>
    <row r="177" spans="1:30" x14ac:dyDescent="0.25">
      <c r="A177" s="364"/>
      <c r="B177" s="365"/>
      <c r="C177" s="365"/>
      <c r="D177" s="366"/>
      <c r="E177" s="367"/>
      <c r="F177" s="367"/>
      <c r="G177" s="367"/>
      <c r="H177" s="367"/>
      <c r="I177" s="367"/>
      <c r="J177" s="367"/>
      <c r="K177" s="367"/>
      <c r="L177" s="367"/>
      <c r="M177" s="367"/>
      <c r="N177" s="367"/>
      <c r="O177" s="367"/>
      <c r="P177" s="367"/>
      <c r="Q177" s="367"/>
      <c r="R177" s="367"/>
      <c r="S177" s="367"/>
      <c r="T177" s="367"/>
      <c r="U177" s="368"/>
      <c r="V177" s="369">
        <f t="shared" si="10"/>
        <v>0</v>
      </c>
      <c r="W177" s="413">
        <f>AN_TME_BY[[#This Row],[TOTAL Non-Truncated Unadjusted Claims Expenses]]-AN_TME_BY[[#This Row],[Total Claims Excluded because of Truncation]]</f>
        <v>0</v>
      </c>
      <c r="X177" s="369">
        <f t="shared" si="11"/>
        <v>0</v>
      </c>
      <c r="Y177" s="413">
        <f>AN_TME_BY[[#This Row],[TOTAL Non-Truncated Unadjusted Claims Expenses]]+AN_TME_BY[[#This Row],[TOTAL Non-Claims Expenses]]</f>
        <v>0</v>
      </c>
      <c r="Z177" s="413">
        <f>AN_TME_BY[[#This Row],[TOTAL Truncated Unadjusted Claims Expenses (A21 -A19)]]+AN_TME_BY[[#This Row],[TOTAL Non-Claims Expenses]]</f>
        <v>0</v>
      </c>
      <c r="AA177" s="415">
        <f>IFERROR(AN_TME_BY[[#This Row],[TOTAL Non-Truncated Unadjusted Expenses (A21 + A23)]]/AN_TME_BY[[#This Row],[Member Months]],0)</f>
        <v>0</v>
      </c>
      <c r="AB177" s="415">
        <f>IFERROR(AN_TME_BY[[#This Row],[TOTAL Truncated Unadjusted Expenses (A22 + A23)]]/AN_TME_BY[[#This Row],[Member Months]],0)</f>
        <v>0</v>
      </c>
      <c r="AC177" s="415">
        <f>IFERROR(AN_TME_BY[[#This Row],[Total Claims Excluded because of Truncation]]/AN_TME_BY[[#This Row],[Count of Members with Claims Truncated]], 0)</f>
        <v>0</v>
      </c>
      <c r="AD177" s="417">
        <f>IFERROR(AN_TME_BY[[#This Row],[Total Claims Excluded because of Truncation]]/AN_TME_BY[[#This Row],[TOTAL Non-Truncated Unadjusted Claims Expenses]], 0)</f>
        <v>0</v>
      </c>
    </row>
    <row r="178" spans="1:30" x14ac:dyDescent="0.25">
      <c r="A178" s="370"/>
      <c r="B178" s="371"/>
      <c r="C178" s="371"/>
      <c r="D178" s="372"/>
      <c r="E178" s="373"/>
      <c r="F178" s="373"/>
      <c r="G178" s="373"/>
      <c r="H178" s="373"/>
      <c r="I178" s="373"/>
      <c r="J178" s="373"/>
      <c r="K178" s="373"/>
      <c r="L178" s="373"/>
      <c r="M178" s="373"/>
      <c r="N178" s="373"/>
      <c r="O178" s="373"/>
      <c r="P178" s="373"/>
      <c r="Q178" s="373"/>
      <c r="R178" s="373"/>
      <c r="S178" s="373"/>
      <c r="T178" s="373"/>
      <c r="U178" s="374"/>
      <c r="V178" s="375">
        <f t="shared" si="10"/>
        <v>0</v>
      </c>
      <c r="W178" s="375">
        <f>AN_TME_BY[[#This Row],[TOTAL Non-Truncated Unadjusted Claims Expenses]]-AN_TME_BY[[#This Row],[Total Claims Excluded because of Truncation]]</f>
        <v>0</v>
      </c>
      <c r="X178" s="375">
        <f t="shared" si="11"/>
        <v>0</v>
      </c>
      <c r="Y178" s="375">
        <f>AN_TME_BY[[#This Row],[TOTAL Non-Truncated Unadjusted Claims Expenses]]+AN_TME_BY[[#This Row],[TOTAL Non-Claims Expenses]]</f>
        <v>0</v>
      </c>
      <c r="Z178" s="375">
        <f>AN_TME_BY[[#This Row],[TOTAL Truncated Unadjusted Claims Expenses (A21 -A19)]]+AN_TME_BY[[#This Row],[TOTAL Non-Claims Expenses]]</f>
        <v>0</v>
      </c>
      <c r="AA178" s="416">
        <f>IFERROR(AN_TME_BY[[#This Row],[TOTAL Non-Truncated Unadjusted Expenses (A21 + A23)]]/AN_TME_BY[[#This Row],[Member Months]],0)</f>
        <v>0</v>
      </c>
      <c r="AB178" s="416">
        <f>IFERROR(AN_TME_BY[[#This Row],[TOTAL Truncated Unadjusted Expenses (A22 + A23)]]/AN_TME_BY[[#This Row],[Member Months]],0)</f>
        <v>0</v>
      </c>
      <c r="AC178" s="416">
        <f>IFERROR(AN_TME_BY[[#This Row],[Total Claims Excluded because of Truncation]]/AN_TME_BY[[#This Row],[Count of Members with Claims Truncated]], 0)</f>
        <v>0</v>
      </c>
      <c r="AD178" s="417">
        <f>IFERROR(AN_TME_BY[[#This Row],[Total Claims Excluded because of Truncation]]/AN_TME_BY[[#This Row],[TOTAL Non-Truncated Unadjusted Claims Expenses]], 0)</f>
        <v>0</v>
      </c>
    </row>
    <row r="179" spans="1:30" x14ac:dyDescent="0.25">
      <c r="A179" s="364"/>
      <c r="B179" s="365"/>
      <c r="C179" s="365"/>
      <c r="D179" s="366"/>
      <c r="E179" s="367"/>
      <c r="F179" s="367"/>
      <c r="G179" s="367"/>
      <c r="H179" s="367"/>
      <c r="I179" s="367"/>
      <c r="J179" s="367"/>
      <c r="K179" s="367"/>
      <c r="L179" s="367"/>
      <c r="M179" s="367"/>
      <c r="N179" s="367"/>
      <c r="O179" s="367"/>
      <c r="P179" s="367"/>
      <c r="Q179" s="367"/>
      <c r="R179" s="367"/>
      <c r="S179" s="367"/>
      <c r="T179" s="367"/>
      <c r="U179" s="368"/>
      <c r="V179" s="369">
        <f t="shared" si="10"/>
        <v>0</v>
      </c>
      <c r="W179" s="413">
        <f>AN_TME_BY[[#This Row],[TOTAL Non-Truncated Unadjusted Claims Expenses]]-AN_TME_BY[[#This Row],[Total Claims Excluded because of Truncation]]</f>
        <v>0</v>
      </c>
      <c r="X179" s="369">
        <f t="shared" si="11"/>
        <v>0</v>
      </c>
      <c r="Y179" s="413">
        <f>AN_TME_BY[[#This Row],[TOTAL Non-Truncated Unadjusted Claims Expenses]]+AN_TME_BY[[#This Row],[TOTAL Non-Claims Expenses]]</f>
        <v>0</v>
      </c>
      <c r="Z179" s="413">
        <f>AN_TME_BY[[#This Row],[TOTAL Truncated Unadjusted Claims Expenses (A21 -A19)]]+AN_TME_BY[[#This Row],[TOTAL Non-Claims Expenses]]</f>
        <v>0</v>
      </c>
      <c r="AA179" s="415">
        <f>IFERROR(AN_TME_BY[[#This Row],[TOTAL Non-Truncated Unadjusted Expenses (A21 + A23)]]/AN_TME_BY[[#This Row],[Member Months]],0)</f>
        <v>0</v>
      </c>
      <c r="AB179" s="415">
        <f>IFERROR(AN_TME_BY[[#This Row],[TOTAL Truncated Unadjusted Expenses (A22 + A23)]]/AN_TME_BY[[#This Row],[Member Months]],0)</f>
        <v>0</v>
      </c>
      <c r="AC179" s="415">
        <f>IFERROR(AN_TME_BY[[#This Row],[Total Claims Excluded because of Truncation]]/AN_TME_BY[[#This Row],[Count of Members with Claims Truncated]], 0)</f>
        <v>0</v>
      </c>
      <c r="AD179" s="417">
        <f>IFERROR(AN_TME_BY[[#This Row],[Total Claims Excluded because of Truncation]]/AN_TME_BY[[#This Row],[TOTAL Non-Truncated Unadjusted Claims Expenses]], 0)</f>
        <v>0</v>
      </c>
    </row>
    <row r="180" spans="1:30" x14ac:dyDescent="0.25">
      <c r="A180" s="370"/>
      <c r="B180" s="371"/>
      <c r="C180" s="371"/>
      <c r="D180" s="372"/>
      <c r="E180" s="373"/>
      <c r="F180" s="373"/>
      <c r="G180" s="373"/>
      <c r="H180" s="373"/>
      <c r="I180" s="373"/>
      <c r="J180" s="373"/>
      <c r="K180" s="373"/>
      <c r="L180" s="373"/>
      <c r="M180" s="373"/>
      <c r="N180" s="373"/>
      <c r="O180" s="373"/>
      <c r="P180" s="373"/>
      <c r="Q180" s="373"/>
      <c r="R180" s="373"/>
      <c r="S180" s="373"/>
      <c r="T180" s="373"/>
      <c r="U180" s="374"/>
      <c r="V180" s="375">
        <f t="shared" si="10"/>
        <v>0</v>
      </c>
      <c r="W180" s="375">
        <f>AN_TME_BY[[#This Row],[TOTAL Non-Truncated Unadjusted Claims Expenses]]-AN_TME_BY[[#This Row],[Total Claims Excluded because of Truncation]]</f>
        <v>0</v>
      </c>
      <c r="X180" s="375">
        <f t="shared" si="11"/>
        <v>0</v>
      </c>
      <c r="Y180" s="375">
        <f>AN_TME_BY[[#This Row],[TOTAL Non-Truncated Unadjusted Claims Expenses]]+AN_TME_BY[[#This Row],[TOTAL Non-Claims Expenses]]</f>
        <v>0</v>
      </c>
      <c r="Z180" s="375">
        <f>AN_TME_BY[[#This Row],[TOTAL Truncated Unadjusted Claims Expenses (A21 -A19)]]+AN_TME_BY[[#This Row],[TOTAL Non-Claims Expenses]]</f>
        <v>0</v>
      </c>
      <c r="AA180" s="416">
        <f>IFERROR(AN_TME_BY[[#This Row],[TOTAL Non-Truncated Unadjusted Expenses (A21 + A23)]]/AN_TME_BY[[#This Row],[Member Months]],0)</f>
        <v>0</v>
      </c>
      <c r="AB180" s="416">
        <f>IFERROR(AN_TME_BY[[#This Row],[TOTAL Truncated Unadjusted Expenses (A22 + A23)]]/AN_TME_BY[[#This Row],[Member Months]],0)</f>
        <v>0</v>
      </c>
      <c r="AC180" s="416">
        <f>IFERROR(AN_TME_BY[[#This Row],[Total Claims Excluded because of Truncation]]/AN_TME_BY[[#This Row],[Count of Members with Claims Truncated]], 0)</f>
        <v>0</v>
      </c>
      <c r="AD180" s="417">
        <f>IFERROR(AN_TME_BY[[#This Row],[Total Claims Excluded because of Truncation]]/AN_TME_BY[[#This Row],[TOTAL Non-Truncated Unadjusted Claims Expenses]], 0)</f>
        <v>0</v>
      </c>
    </row>
    <row r="181" spans="1:30" x14ac:dyDescent="0.25">
      <c r="A181" s="364"/>
      <c r="B181" s="365"/>
      <c r="C181" s="365"/>
      <c r="D181" s="366"/>
      <c r="E181" s="367"/>
      <c r="F181" s="367"/>
      <c r="G181" s="367"/>
      <c r="H181" s="367"/>
      <c r="I181" s="367"/>
      <c r="J181" s="367"/>
      <c r="K181" s="367"/>
      <c r="L181" s="367"/>
      <c r="M181" s="367"/>
      <c r="N181" s="367"/>
      <c r="O181" s="367"/>
      <c r="P181" s="367"/>
      <c r="Q181" s="367"/>
      <c r="R181" s="367"/>
      <c r="S181" s="367"/>
      <c r="T181" s="367"/>
      <c r="U181" s="368"/>
      <c r="V181" s="369">
        <f t="shared" si="10"/>
        <v>0</v>
      </c>
      <c r="W181" s="413">
        <f>AN_TME_BY[[#This Row],[TOTAL Non-Truncated Unadjusted Claims Expenses]]-AN_TME_BY[[#This Row],[Total Claims Excluded because of Truncation]]</f>
        <v>0</v>
      </c>
      <c r="X181" s="369">
        <f t="shared" si="11"/>
        <v>0</v>
      </c>
      <c r="Y181" s="413">
        <f>AN_TME_BY[[#This Row],[TOTAL Non-Truncated Unadjusted Claims Expenses]]+AN_TME_BY[[#This Row],[TOTAL Non-Claims Expenses]]</f>
        <v>0</v>
      </c>
      <c r="Z181" s="413">
        <f>AN_TME_BY[[#This Row],[TOTAL Truncated Unadjusted Claims Expenses (A21 -A19)]]+AN_TME_BY[[#This Row],[TOTAL Non-Claims Expenses]]</f>
        <v>0</v>
      </c>
      <c r="AA181" s="415">
        <f>IFERROR(AN_TME_BY[[#This Row],[TOTAL Non-Truncated Unadjusted Expenses (A21 + A23)]]/AN_TME_BY[[#This Row],[Member Months]],0)</f>
        <v>0</v>
      </c>
      <c r="AB181" s="415">
        <f>IFERROR(AN_TME_BY[[#This Row],[TOTAL Truncated Unadjusted Expenses (A22 + A23)]]/AN_TME_BY[[#This Row],[Member Months]],0)</f>
        <v>0</v>
      </c>
      <c r="AC181" s="415">
        <f>IFERROR(AN_TME_BY[[#This Row],[Total Claims Excluded because of Truncation]]/AN_TME_BY[[#This Row],[Count of Members with Claims Truncated]], 0)</f>
        <v>0</v>
      </c>
      <c r="AD181" s="417">
        <f>IFERROR(AN_TME_BY[[#This Row],[Total Claims Excluded because of Truncation]]/AN_TME_BY[[#This Row],[TOTAL Non-Truncated Unadjusted Claims Expenses]], 0)</f>
        <v>0</v>
      </c>
    </row>
    <row r="182" spans="1:30" x14ac:dyDescent="0.25">
      <c r="A182" s="370"/>
      <c r="B182" s="371"/>
      <c r="C182" s="371"/>
      <c r="D182" s="372"/>
      <c r="E182" s="373"/>
      <c r="F182" s="373"/>
      <c r="G182" s="373"/>
      <c r="H182" s="373"/>
      <c r="I182" s="373"/>
      <c r="J182" s="373"/>
      <c r="K182" s="373"/>
      <c r="L182" s="373"/>
      <c r="M182" s="373"/>
      <c r="N182" s="373"/>
      <c r="O182" s="373"/>
      <c r="P182" s="373"/>
      <c r="Q182" s="373"/>
      <c r="R182" s="373"/>
      <c r="S182" s="373"/>
      <c r="T182" s="373"/>
      <c r="U182" s="374"/>
      <c r="V182" s="375">
        <f t="shared" si="10"/>
        <v>0</v>
      </c>
      <c r="W182" s="375">
        <f>AN_TME_BY[[#This Row],[TOTAL Non-Truncated Unadjusted Claims Expenses]]-AN_TME_BY[[#This Row],[Total Claims Excluded because of Truncation]]</f>
        <v>0</v>
      </c>
      <c r="X182" s="375">
        <f t="shared" si="11"/>
        <v>0</v>
      </c>
      <c r="Y182" s="375">
        <f>AN_TME_BY[[#This Row],[TOTAL Non-Truncated Unadjusted Claims Expenses]]+AN_TME_BY[[#This Row],[TOTAL Non-Claims Expenses]]</f>
        <v>0</v>
      </c>
      <c r="Z182" s="375">
        <f>AN_TME_BY[[#This Row],[TOTAL Truncated Unadjusted Claims Expenses (A21 -A19)]]+AN_TME_BY[[#This Row],[TOTAL Non-Claims Expenses]]</f>
        <v>0</v>
      </c>
      <c r="AA182" s="416">
        <f>IFERROR(AN_TME_BY[[#This Row],[TOTAL Non-Truncated Unadjusted Expenses (A21 + A23)]]/AN_TME_BY[[#This Row],[Member Months]],0)</f>
        <v>0</v>
      </c>
      <c r="AB182" s="416">
        <f>IFERROR(AN_TME_BY[[#This Row],[TOTAL Truncated Unadjusted Expenses (A22 + A23)]]/AN_TME_BY[[#This Row],[Member Months]],0)</f>
        <v>0</v>
      </c>
      <c r="AC182" s="416">
        <f>IFERROR(AN_TME_BY[[#This Row],[Total Claims Excluded because of Truncation]]/AN_TME_BY[[#This Row],[Count of Members with Claims Truncated]], 0)</f>
        <v>0</v>
      </c>
      <c r="AD182" s="417">
        <f>IFERROR(AN_TME_BY[[#This Row],[Total Claims Excluded because of Truncation]]/AN_TME_BY[[#This Row],[TOTAL Non-Truncated Unadjusted Claims Expenses]], 0)</f>
        <v>0</v>
      </c>
    </row>
    <row r="183" spans="1:30" x14ac:dyDescent="0.25">
      <c r="A183" s="364"/>
      <c r="B183" s="365"/>
      <c r="C183" s="365"/>
      <c r="D183" s="366"/>
      <c r="E183" s="367"/>
      <c r="F183" s="367"/>
      <c r="G183" s="367"/>
      <c r="H183" s="367"/>
      <c r="I183" s="367"/>
      <c r="J183" s="367"/>
      <c r="K183" s="367"/>
      <c r="L183" s="367"/>
      <c r="M183" s="367"/>
      <c r="N183" s="367"/>
      <c r="O183" s="367"/>
      <c r="P183" s="367"/>
      <c r="Q183" s="367"/>
      <c r="R183" s="367"/>
      <c r="S183" s="367"/>
      <c r="T183" s="367"/>
      <c r="U183" s="368"/>
      <c r="V183" s="369">
        <f t="shared" si="10"/>
        <v>0</v>
      </c>
      <c r="W183" s="413">
        <f>AN_TME_BY[[#This Row],[TOTAL Non-Truncated Unadjusted Claims Expenses]]-AN_TME_BY[[#This Row],[Total Claims Excluded because of Truncation]]</f>
        <v>0</v>
      </c>
      <c r="X183" s="369">
        <f t="shared" si="11"/>
        <v>0</v>
      </c>
      <c r="Y183" s="413">
        <f>AN_TME_BY[[#This Row],[TOTAL Non-Truncated Unadjusted Claims Expenses]]+AN_TME_BY[[#This Row],[TOTAL Non-Claims Expenses]]</f>
        <v>0</v>
      </c>
      <c r="Z183" s="413">
        <f>AN_TME_BY[[#This Row],[TOTAL Truncated Unadjusted Claims Expenses (A21 -A19)]]+AN_TME_BY[[#This Row],[TOTAL Non-Claims Expenses]]</f>
        <v>0</v>
      </c>
      <c r="AA183" s="415">
        <f>IFERROR(AN_TME_BY[[#This Row],[TOTAL Non-Truncated Unadjusted Expenses (A21 + A23)]]/AN_TME_BY[[#This Row],[Member Months]],0)</f>
        <v>0</v>
      </c>
      <c r="AB183" s="415">
        <f>IFERROR(AN_TME_BY[[#This Row],[TOTAL Truncated Unadjusted Expenses (A22 + A23)]]/AN_TME_BY[[#This Row],[Member Months]],0)</f>
        <v>0</v>
      </c>
      <c r="AC183" s="415">
        <f>IFERROR(AN_TME_BY[[#This Row],[Total Claims Excluded because of Truncation]]/AN_TME_BY[[#This Row],[Count of Members with Claims Truncated]], 0)</f>
        <v>0</v>
      </c>
      <c r="AD183" s="417">
        <f>IFERROR(AN_TME_BY[[#This Row],[Total Claims Excluded because of Truncation]]/AN_TME_BY[[#This Row],[TOTAL Non-Truncated Unadjusted Claims Expenses]], 0)</f>
        <v>0</v>
      </c>
    </row>
    <row r="184" spans="1:30" x14ac:dyDescent="0.25">
      <c r="A184" s="370"/>
      <c r="B184" s="371"/>
      <c r="C184" s="371"/>
      <c r="D184" s="372"/>
      <c r="E184" s="373"/>
      <c r="F184" s="373"/>
      <c r="G184" s="373"/>
      <c r="H184" s="373"/>
      <c r="I184" s="373"/>
      <c r="J184" s="373"/>
      <c r="K184" s="373"/>
      <c r="L184" s="373"/>
      <c r="M184" s="373"/>
      <c r="N184" s="373"/>
      <c r="O184" s="373"/>
      <c r="P184" s="373"/>
      <c r="Q184" s="373"/>
      <c r="R184" s="373"/>
      <c r="S184" s="373"/>
      <c r="T184" s="373"/>
      <c r="U184" s="374"/>
      <c r="V184" s="375">
        <f t="shared" si="10"/>
        <v>0</v>
      </c>
      <c r="W184" s="375">
        <f>AN_TME_BY[[#This Row],[TOTAL Non-Truncated Unadjusted Claims Expenses]]-AN_TME_BY[[#This Row],[Total Claims Excluded because of Truncation]]</f>
        <v>0</v>
      </c>
      <c r="X184" s="375">
        <f t="shared" si="11"/>
        <v>0</v>
      </c>
      <c r="Y184" s="375">
        <f>AN_TME_BY[[#This Row],[TOTAL Non-Truncated Unadjusted Claims Expenses]]+AN_TME_BY[[#This Row],[TOTAL Non-Claims Expenses]]</f>
        <v>0</v>
      </c>
      <c r="Z184" s="375">
        <f>AN_TME_BY[[#This Row],[TOTAL Truncated Unadjusted Claims Expenses (A21 -A19)]]+AN_TME_BY[[#This Row],[TOTAL Non-Claims Expenses]]</f>
        <v>0</v>
      </c>
      <c r="AA184" s="416">
        <f>IFERROR(AN_TME_BY[[#This Row],[TOTAL Non-Truncated Unadjusted Expenses (A21 + A23)]]/AN_TME_BY[[#This Row],[Member Months]],0)</f>
        <v>0</v>
      </c>
      <c r="AB184" s="416">
        <f>IFERROR(AN_TME_BY[[#This Row],[TOTAL Truncated Unadjusted Expenses (A22 + A23)]]/AN_TME_BY[[#This Row],[Member Months]],0)</f>
        <v>0</v>
      </c>
      <c r="AC184" s="416">
        <f>IFERROR(AN_TME_BY[[#This Row],[Total Claims Excluded because of Truncation]]/AN_TME_BY[[#This Row],[Count of Members with Claims Truncated]], 0)</f>
        <v>0</v>
      </c>
      <c r="AD184" s="417">
        <f>IFERROR(AN_TME_BY[[#This Row],[Total Claims Excluded because of Truncation]]/AN_TME_BY[[#This Row],[TOTAL Non-Truncated Unadjusted Claims Expenses]], 0)</f>
        <v>0</v>
      </c>
    </row>
    <row r="185" spans="1:30" x14ac:dyDescent="0.25">
      <c r="A185" s="364"/>
      <c r="B185" s="365"/>
      <c r="C185" s="365"/>
      <c r="D185" s="366"/>
      <c r="E185" s="367"/>
      <c r="F185" s="367"/>
      <c r="G185" s="367"/>
      <c r="H185" s="367"/>
      <c r="I185" s="367"/>
      <c r="J185" s="367"/>
      <c r="K185" s="367"/>
      <c r="L185" s="367"/>
      <c r="M185" s="367"/>
      <c r="N185" s="367"/>
      <c r="O185" s="367"/>
      <c r="P185" s="367"/>
      <c r="Q185" s="367"/>
      <c r="R185" s="367"/>
      <c r="S185" s="367"/>
      <c r="T185" s="367"/>
      <c r="U185" s="368"/>
      <c r="V185" s="369">
        <f t="shared" si="10"/>
        <v>0</v>
      </c>
      <c r="W185" s="413">
        <f>AN_TME_BY[[#This Row],[TOTAL Non-Truncated Unadjusted Claims Expenses]]-AN_TME_BY[[#This Row],[Total Claims Excluded because of Truncation]]</f>
        <v>0</v>
      </c>
      <c r="X185" s="369">
        <f t="shared" si="11"/>
        <v>0</v>
      </c>
      <c r="Y185" s="413">
        <f>AN_TME_BY[[#This Row],[TOTAL Non-Truncated Unadjusted Claims Expenses]]+AN_TME_BY[[#This Row],[TOTAL Non-Claims Expenses]]</f>
        <v>0</v>
      </c>
      <c r="Z185" s="413">
        <f>AN_TME_BY[[#This Row],[TOTAL Truncated Unadjusted Claims Expenses (A21 -A19)]]+AN_TME_BY[[#This Row],[TOTAL Non-Claims Expenses]]</f>
        <v>0</v>
      </c>
      <c r="AA185" s="415">
        <f>IFERROR(AN_TME_BY[[#This Row],[TOTAL Non-Truncated Unadjusted Expenses (A21 + A23)]]/AN_TME_BY[[#This Row],[Member Months]],0)</f>
        <v>0</v>
      </c>
      <c r="AB185" s="415">
        <f>IFERROR(AN_TME_BY[[#This Row],[TOTAL Truncated Unadjusted Expenses (A22 + A23)]]/AN_TME_BY[[#This Row],[Member Months]],0)</f>
        <v>0</v>
      </c>
      <c r="AC185" s="415">
        <f>IFERROR(AN_TME_BY[[#This Row],[Total Claims Excluded because of Truncation]]/AN_TME_BY[[#This Row],[Count of Members with Claims Truncated]], 0)</f>
        <v>0</v>
      </c>
      <c r="AD185" s="417">
        <f>IFERROR(AN_TME_BY[[#This Row],[Total Claims Excluded because of Truncation]]/AN_TME_BY[[#This Row],[TOTAL Non-Truncated Unadjusted Claims Expenses]], 0)</f>
        <v>0</v>
      </c>
    </row>
    <row r="186" spans="1:30" x14ac:dyDescent="0.25">
      <c r="A186" s="370"/>
      <c r="B186" s="371"/>
      <c r="C186" s="371"/>
      <c r="D186" s="372"/>
      <c r="E186" s="373"/>
      <c r="F186" s="373"/>
      <c r="G186" s="373"/>
      <c r="H186" s="373"/>
      <c r="I186" s="373"/>
      <c r="J186" s="373"/>
      <c r="K186" s="373"/>
      <c r="L186" s="373"/>
      <c r="M186" s="373"/>
      <c r="N186" s="373"/>
      <c r="O186" s="373"/>
      <c r="P186" s="373"/>
      <c r="Q186" s="373"/>
      <c r="R186" s="373"/>
      <c r="S186" s="373"/>
      <c r="T186" s="373"/>
      <c r="U186" s="374"/>
      <c r="V186" s="375">
        <f t="shared" si="10"/>
        <v>0</v>
      </c>
      <c r="W186" s="375">
        <f>AN_TME_BY[[#This Row],[TOTAL Non-Truncated Unadjusted Claims Expenses]]-AN_TME_BY[[#This Row],[Total Claims Excluded because of Truncation]]</f>
        <v>0</v>
      </c>
      <c r="X186" s="375">
        <f t="shared" si="11"/>
        <v>0</v>
      </c>
      <c r="Y186" s="375">
        <f>AN_TME_BY[[#This Row],[TOTAL Non-Truncated Unadjusted Claims Expenses]]+AN_TME_BY[[#This Row],[TOTAL Non-Claims Expenses]]</f>
        <v>0</v>
      </c>
      <c r="Z186" s="375">
        <f>AN_TME_BY[[#This Row],[TOTAL Truncated Unadjusted Claims Expenses (A21 -A19)]]+AN_TME_BY[[#This Row],[TOTAL Non-Claims Expenses]]</f>
        <v>0</v>
      </c>
      <c r="AA186" s="416">
        <f>IFERROR(AN_TME_BY[[#This Row],[TOTAL Non-Truncated Unadjusted Expenses (A21 + A23)]]/AN_TME_BY[[#This Row],[Member Months]],0)</f>
        <v>0</v>
      </c>
      <c r="AB186" s="416">
        <f>IFERROR(AN_TME_BY[[#This Row],[TOTAL Truncated Unadjusted Expenses (A22 + A23)]]/AN_TME_BY[[#This Row],[Member Months]],0)</f>
        <v>0</v>
      </c>
      <c r="AC186" s="416">
        <f>IFERROR(AN_TME_BY[[#This Row],[Total Claims Excluded because of Truncation]]/AN_TME_BY[[#This Row],[Count of Members with Claims Truncated]], 0)</f>
        <v>0</v>
      </c>
      <c r="AD186" s="417">
        <f>IFERROR(AN_TME_BY[[#This Row],[Total Claims Excluded because of Truncation]]/AN_TME_BY[[#This Row],[TOTAL Non-Truncated Unadjusted Claims Expenses]], 0)</f>
        <v>0</v>
      </c>
    </row>
    <row r="187" spans="1:30" x14ac:dyDescent="0.25">
      <c r="A187" s="364"/>
      <c r="B187" s="365"/>
      <c r="C187" s="365"/>
      <c r="D187" s="366"/>
      <c r="E187" s="367"/>
      <c r="F187" s="367"/>
      <c r="G187" s="367"/>
      <c r="H187" s="367"/>
      <c r="I187" s="367"/>
      <c r="J187" s="367"/>
      <c r="K187" s="367"/>
      <c r="L187" s="367"/>
      <c r="M187" s="367"/>
      <c r="N187" s="367"/>
      <c r="O187" s="367"/>
      <c r="P187" s="367"/>
      <c r="Q187" s="367"/>
      <c r="R187" s="367"/>
      <c r="S187" s="367"/>
      <c r="T187" s="367"/>
      <c r="U187" s="368"/>
      <c r="V187" s="369">
        <f t="shared" si="10"/>
        <v>0</v>
      </c>
      <c r="W187" s="413">
        <f>AN_TME_BY[[#This Row],[TOTAL Non-Truncated Unadjusted Claims Expenses]]-AN_TME_BY[[#This Row],[Total Claims Excluded because of Truncation]]</f>
        <v>0</v>
      </c>
      <c r="X187" s="369">
        <f t="shared" si="11"/>
        <v>0</v>
      </c>
      <c r="Y187" s="413">
        <f>AN_TME_BY[[#This Row],[TOTAL Non-Truncated Unadjusted Claims Expenses]]+AN_TME_BY[[#This Row],[TOTAL Non-Claims Expenses]]</f>
        <v>0</v>
      </c>
      <c r="Z187" s="413">
        <f>AN_TME_BY[[#This Row],[TOTAL Truncated Unadjusted Claims Expenses (A21 -A19)]]+AN_TME_BY[[#This Row],[TOTAL Non-Claims Expenses]]</f>
        <v>0</v>
      </c>
      <c r="AA187" s="415">
        <f>IFERROR(AN_TME_BY[[#This Row],[TOTAL Non-Truncated Unadjusted Expenses (A21 + A23)]]/AN_TME_BY[[#This Row],[Member Months]],0)</f>
        <v>0</v>
      </c>
      <c r="AB187" s="415">
        <f>IFERROR(AN_TME_BY[[#This Row],[TOTAL Truncated Unadjusted Expenses (A22 + A23)]]/AN_TME_BY[[#This Row],[Member Months]],0)</f>
        <v>0</v>
      </c>
      <c r="AC187" s="415">
        <f>IFERROR(AN_TME_BY[[#This Row],[Total Claims Excluded because of Truncation]]/AN_TME_BY[[#This Row],[Count of Members with Claims Truncated]], 0)</f>
        <v>0</v>
      </c>
      <c r="AD187" s="417">
        <f>IFERROR(AN_TME_BY[[#This Row],[Total Claims Excluded because of Truncation]]/AN_TME_BY[[#This Row],[TOTAL Non-Truncated Unadjusted Claims Expenses]], 0)</f>
        <v>0</v>
      </c>
    </row>
    <row r="188" spans="1:30" x14ac:dyDescent="0.25">
      <c r="A188" s="370"/>
      <c r="B188" s="371"/>
      <c r="C188" s="371"/>
      <c r="D188" s="372"/>
      <c r="E188" s="373"/>
      <c r="F188" s="373"/>
      <c r="G188" s="373"/>
      <c r="H188" s="373"/>
      <c r="I188" s="373"/>
      <c r="J188" s="373"/>
      <c r="K188" s="373"/>
      <c r="L188" s="373"/>
      <c r="M188" s="373"/>
      <c r="N188" s="373"/>
      <c r="O188" s="373"/>
      <c r="P188" s="373"/>
      <c r="Q188" s="373"/>
      <c r="R188" s="373"/>
      <c r="S188" s="373"/>
      <c r="T188" s="373"/>
      <c r="U188" s="374"/>
      <c r="V188" s="375">
        <f t="shared" si="10"/>
        <v>0</v>
      </c>
      <c r="W188" s="375">
        <f>AN_TME_BY[[#This Row],[TOTAL Non-Truncated Unadjusted Claims Expenses]]-AN_TME_BY[[#This Row],[Total Claims Excluded because of Truncation]]</f>
        <v>0</v>
      </c>
      <c r="X188" s="375">
        <f t="shared" si="11"/>
        <v>0</v>
      </c>
      <c r="Y188" s="375">
        <f>AN_TME_BY[[#This Row],[TOTAL Non-Truncated Unadjusted Claims Expenses]]+AN_TME_BY[[#This Row],[TOTAL Non-Claims Expenses]]</f>
        <v>0</v>
      </c>
      <c r="Z188" s="375">
        <f>AN_TME_BY[[#This Row],[TOTAL Truncated Unadjusted Claims Expenses (A21 -A19)]]+AN_TME_BY[[#This Row],[TOTAL Non-Claims Expenses]]</f>
        <v>0</v>
      </c>
      <c r="AA188" s="416">
        <f>IFERROR(AN_TME_BY[[#This Row],[TOTAL Non-Truncated Unadjusted Expenses (A21 + A23)]]/AN_TME_BY[[#This Row],[Member Months]],0)</f>
        <v>0</v>
      </c>
      <c r="AB188" s="416">
        <f>IFERROR(AN_TME_BY[[#This Row],[TOTAL Truncated Unadjusted Expenses (A22 + A23)]]/AN_TME_BY[[#This Row],[Member Months]],0)</f>
        <v>0</v>
      </c>
      <c r="AC188" s="416">
        <f>IFERROR(AN_TME_BY[[#This Row],[Total Claims Excluded because of Truncation]]/AN_TME_BY[[#This Row],[Count of Members with Claims Truncated]], 0)</f>
        <v>0</v>
      </c>
      <c r="AD188" s="417">
        <f>IFERROR(AN_TME_BY[[#This Row],[Total Claims Excluded because of Truncation]]/AN_TME_BY[[#This Row],[TOTAL Non-Truncated Unadjusted Claims Expenses]], 0)</f>
        <v>0</v>
      </c>
    </row>
    <row r="189" spans="1:30" x14ac:dyDescent="0.25">
      <c r="A189" s="364"/>
      <c r="B189" s="365"/>
      <c r="C189" s="365"/>
      <c r="D189" s="366"/>
      <c r="E189" s="367"/>
      <c r="F189" s="367"/>
      <c r="G189" s="367"/>
      <c r="H189" s="367"/>
      <c r="I189" s="367"/>
      <c r="J189" s="367"/>
      <c r="K189" s="367"/>
      <c r="L189" s="367"/>
      <c r="M189" s="367"/>
      <c r="N189" s="367"/>
      <c r="O189" s="367"/>
      <c r="P189" s="367"/>
      <c r="Q189" s="367"/>
      <c r="R189" s="367"/>
      <c r="S189" s="367"/>
      <c r="T189" s="367"/>
      <c r="U189" s="368"/>
      <c r="V189" s="369">
        <f t="shared" si="10"/>
        <v>0</v>
      </c>
      <c r="W189" s="413">
        <f>AN_TME_BY[[#This Row],[TOTAL Non-Truncated Unadjusted Claims Expenses]]-AN_TME_BY[[#This Row],[Total Claims Excluded because of Truncation]]</f>
        <v>0</v>
      </c>
      <c r="X189" s="369">
        <f t="shared" si="11"/>
        <v>0</v>
      </c>
      <c r="Y189" s="413">
        <f>AN_TME_BY[[#This Row],[TOTAL Non-Truncated Unadjusted Claims Expenses]]+AN_TME_BY[[#This Row],[TOTAL Non-Claims Expenses]]</f>
        <v>0</v>
      </c>
      <c r="Z189" s="413">
        <f>AN_TME_BY[[#This Row],[TOTAL Truncated Unadjusted Claims Expenses (A21 -A19)]]+AN_TME_BY[[#This Row],[TOTAL Non-Claims Expenses]]</f>
        <v>0</v>
      </c>
      <c r="AA189" s="415">
        <f>IFERROR(AN_TME_BY[[#This Row],[TOTAL Non-Truncated Unadjusted Expenses (A21 + A23)]]/AN_TME_BY[[#This Row],[Member Months]],0)</f>
        <v>0</v>
      </c>
      <c r="AB189" s="415">
        <f>IFERROR(AN_TME_BY[[#This Row],[TOTAL Truncated Unadjusted Expenses (A22 + A23)]]/AN_TME_BY[[#This Row],[Member Months]],0)</f>
        <v>0</v>
      </c>
      <c r="AC189" s="415">
        <f>IFERROR(AN_TME_BY[[#This Row],[Total Claims Excluded because of Truncation]]/AN_TME_BY[[#This Row],[Count of Members with Claims Truncated]], 0)</f>
        <v>0</v>
      </c>
      <c r="AD189" s="417">
        <f>IFERROR(AN_TME_BY[[#This Row],[Total Claims Excluded because of Truncation]]/AN_TME_BY[[#This Row],[TOTAL Non-Truncated Unadjusted Claims Expenses]], 0)</f>
        <v>0</v>
      </c>
    </row>
    <row r="190" spans="1:30" x14ac:dyDescent="0.25">
      <c r="A190" s="370"/>
      <c r="B190" s="371"/>
      <c r="C190" s="371"/>
      <c r="D190" s="372"/>
      <c r="E190" s="373"/>
      <c r="F190" s="373"/>
      <c r="G190" s="373"/>
      <c r="H190" s="373"/>
      <c r="I190" s="373"/>
      <c r="J190" s="373"/>
      <c r="K190" s="373"/>
      <c r="L190" s="373"/>
      <c r="M190" s="373"/>
      <c r="N190" s="373"/>
      <c r="O190" s="373"/>
      <c r="P190" s="373"/>
      <c r="Q190" s="373"/>
      <c r="R190" s="373"/>
      <c r="S190" s="373"/>
      <c r="T190" s="373"/>
      <c r="U190" s="374"/>
      <c r="V190" s="375">
        <f t="shared" si="10"/>
        <v>0</v>
      </c>
      <c r="W190" s="375">
        <f>AN_TME_BY[[#This Row],[TOTAL Non-Truncated Unadjusted Claims Expenses]]-AN_TME_BY[[#This Row],[Total Claims Excluded because of Truncation]]</f>
        <v>0</v>
      </c>
      <c r="X190" s="375">
        <f t="shared" si="11"/>
        <v>0</v>
      </c>
      <c r="Y190" s="375">
        <f>AN_TME_BY[[#This Row],[TOTAL Non-Truncated Unadjusted Claims Expenses]]+AN_TME_BY[[#This Row],[TOTAL Non-Claims Expenses]]</f>
        <v>0</v>
      </c>
      <c r="Z190" s="375">
        <f>AN_TME_BY[[#This Row],[TOTAL Truncated Unadjusted Claims Expenses (A21 -A19)]]+AN_TME_BY[[#This Row],[TOTAL Non-Claims Expenses]]</f>
        <v>0</v>
      </c>
      <c r="AA190" s="416">
        <f>IFERROR(AN_TME_BY[[#This Row],[TOTAL Non-Truncated Unadjusted Expenses (A21 + A23)]]/AN_TME_BY[[#This Row],[Member Months]],0)</f>
        <v>0</v>
      </c>
      <c r="AB190" s="416">
        <f>IFERROR(AN_TME_BY[[#This Row],[TOTAL Truncated Unadjusted Expenses (A22 + A23)]]/AN_TME_BY[[#This Row],[Member Months]],0)</f>
        <v>0</v>
      </c>
      <c r="AC190" s="416">
        <f>IFERROR(AN_TME_BY[[#This Row],[Total Claims Excluded because of Truncation]]/AN_TME_BY[[#This Row],[Count of Members with Claims Truncated]], 0)</f>
        <v>0</v>
      </c>
      <c r="AD190" s="417">
        <f>IFERROR(AN_TME_BY[[#This Row],[Total Claims Excluded because of Truncation]]/AN_TME_BY[[#This Row],[TOTAL Non-Truncated Unadjusted Claims Expenses]], 0)</f>
        <v>0</v>
      </c>
    </row>
    <row r="191" spans="1:30" x14ac:dyDescent="0.25">
      <c r="A191" s="364"/>
      <c r="B191" s="365"/>
      <c r="C191" s="365"/>
      <c r="D191" s="366"/>
      <c r="E191" s="367"/>
      <c r="F191" s="367"/>
      <c r="G191" s="367"/>
      <c r="H191" s="367"/>
      <c r="I191" s="367"/>
      <c r="J191" s="367"/>
      <c r="K191" s="367"/>
      <c r="L191" s="367"/>
      <c r="M191" s="367"/>
      <c r="N191" s="367"/>
      <c r="O191" s="367"/>
      <c r="P191" s="367"/>
      <c r="Q191" s="367"/>
      <c r="R191" s="367"/>
      <c r="S191" s="367"/>
      <c r="T191" s="367"/>
      <c r="U191" s="368"/>
      <c r="V191" s="369">
        <f t="shared" si="10"/>
        <v>0</v>
      </c>
      <c r="W191" s="413">
        <f>AN_TME_BY[[#This Row],[TOTAL Non-Truncated Unadjusted Claims Expenses]]-AN_TME_BY[[#This Row],[Total Claims Excluded because of Truncation]]</f>
        <v>0</v>
      </c>
      <c r="X191" s="369">
        <f t="shared" si="11"/>
        <v>0</v>
      </c>
      <c r="Y191" s="413">
        <f>AN_TME_BY[[#This Row],[TOTAL Non-Truncated Unadjusted Claims Expenses]]+AN_TME_BY[[#This Row],[TOTAL Non-Claims Expenses]]</f>
        <v>0</v>
      </c>
      <c r="Z191" s="413">
        <f>AN_TME_BY[[#This Row],[TOTAL Truncated Unadjusted Claims Expenses (A21 -A19)]]+AN_TME_BY[[#This Row],[TOTAL Non-Claims Expenses]]</f>
        <v>0</v>
      </c>
      <c r="AA191" s="415">
        <f>IFERROR(AN_TME_BY[[#This Row],[TOTAL Non-Truncated Unadjusted Expenses (A21 + A23)]]/AN_TME_BY[[#This Row],[Member Months]],0)</f>
        <v>0</v>
      </c>
      <c r="AB191" s="415">
        <f>IFERROR(AN_TME_BY[[#This Row],[TOTAL Truncated Unadjusted Expenses (A22 + A23)]]/AN_TME_BY[[#This Row],[Member Months]],0)</f>
        <v>0</v>
      </c>
      <c r="AC191" s="415">
        <f>IFERROR(AN_TME_BY[[#This Row],[Total Claims Excluded because of Truncation]]/AN_TME_BY[[#This Row],[Count of Members with Claims Truncated]], 0)</f>
        <v>0</v>
      </c>
      <c r="AD191" s="417">
        <f>IFERROR(AN_TME_BY[[#This Row],[Total Claims Excluded because of Truncation]]/AN_TME_BY[[#This Row],[TOTAL Non-Truncated Unadjusted Claims Expenses]], 0)</f>
        <v>0</v>
      </c>
    </row>
    <row r="192" spans="1:30" x14ac:dyDescent="0.25">
      <c r="A192" s="370"/>
      <c r="B192" s="371"/>
      <c r="C192" s="371"/>
      <c r="D192" s="372"/>
      <c r="E192" s="373"/>
      <c r="F192" s="373"/>
      <c r="G192" s="373"/>
      <c r="H192" s="373"/>
      <c r="I192" s="373"/>
      <c r="J192" s="373"/>
      <c r="K192" s="373"/>
      <c r="L192" s="373"/>
      <c r="M192" s="373"/>
      <c r="N192" s="373"/>
      <c r="O192" s="373"/>
      <c r="P192" s="373"/>
      <c r="Q192" s="373"/>
      <c r="R192" s="373"/>
      <c r="S192" s="373"/>
      <c r="T192" s="373"/>
      <c r="U192" s="374"/>
      <c r="V192" s="375">
        <f t="shared" si="10"/>
        <v>0</v>
      </c>
      <c r="W192" s="375">
        <f>AN_TME_BY[[#This Row],[TOTAL Non-Truncated Unadjusted Claims Expenses]]-AN_TME_BY[[#This Row],[Total Claims Excluded because of Truncation]]</f>
        <v>0</v>
      </c>
      <c r="X192" s="375">
        <f t="shared" si="11"/>
        <v>0</v>
      </c>
      <c r="Y192" s="375">
        <f>AN_TME_BY[[#This Row],[TOTAL Non-Truncated Unadjusted Claims Expenses]]+AN_TME_BY[[#This Row],[TOTAL Non-Claims Expenses]]</f>
        <v>0</v>
      </c>
      <c r="Z192" s="375">
        <f>AN_TME_BY[[#This Row],[TOTAL Truncated Unadjusted Claims Expenses (A21 -A19)]]+AN_TME_BY[[#This Row],[TOTAL Non-Claims Expenses]]</f>
        <v>0</v>
      </c>
      <c r="AA192" s="416">
        <f>IFERROR(AN_TME_BY[[#This Row],[TOTAL Non-Truncated Unadjusted Expenses (A21 + A23)]]/AN_TME_BY[[#This Row],[Member Months]],0)</f>
        <v>0</v>
      </c>
      <c r="AB192" s="416">
        <f>IFERROR(AN_TME_BY[[#This Row],[TOTAL Truncated Unadjusted Expenses (A22 + A23)]]/AN_TME_BY[[#This Row],[Member Months]],0)</f>
        <v>0</v>
      </c>
      <c r="AC192" s="416">
        <f>IFERROR(AN_TME_BY[[#This Row],[Total Claims Excluded because of Truncation]]/AN_TME_BY[[#This Row],[Count of Members with Claims Truncated]], 0)</f>
        <v>0</v>
      </c>
      <c r="AD192" s="417">
        <f>IFERROR(AN_TME_BY[[#This Row],[Total Claims Excluded because of Truncation]]/AN_TME_BY[[#This Row],[TOTAL Non-Truncated Unadjusted Claims Expenses]], 0)</f>
        <v>0</v>
      </c>
    </row>
    <row r="193" spans="1:30" x14ac:dyDescent="0.25">
      <c r="A193" s="364"/>
      <c r="B193" s="365"/>
      <c r="C193" s="365"/>
      <c r="D193" s="366"/>
      <c r="E193" s="367"/>
      <c r="F193" s="367"/>
      <c r="G193" s="367"/>
      <c r="H193" s="367"/>
      <c r="I193" s="367"/>
      <c r="J193" s="367"/>
      <c r="K193" s="367"/>
      <c r="L193" s="367"/>
      <c r="M193" s="367"/>
      <c r="N193" s="367"/>
      <c r="O193" s="367"/>
      <c r="P193" s="367"/>
      <c r="Q193" s="367"/>
      <c r="R193" s="367"/>
      <c r="S193" s="367"/>
      <c r="T193" s="367"/>
      <c r="U193" s="368"/>
      <c r="V193" s="369">
        <f t="shared" si="10"/>
        <v>0</v>
      </c>
      <c r="W193" s="413">
        <f>AN_TME_BY[[#This Row],[TOTAL Non-Truncated Unadjusted Claims Expenses]]-AN_TME_BY[[#This Row],[Total Claims Excluded because of Truncation]]</f>
        <v>0</v>
      </c>
      <c r="X193" s="369">
        <f t="shared" si="11"/>
        <v>0</v>
      </c>
      <c r="Y193" s="413">
        <f>AN_TME_BY[[#This Row],[TOTAL Non-Truncated Unadjusted Claims Expenses]]+AN_TME_BY[[#This Row],[TOTAL Non-Claims Expenses]]</f>
        <v>0</v>
      </c>
      <c r="Z193" s="413">
        <f>AN_TME_BY[[#This Row],[TOTAL Truncated Unadjusted Claims Expenses (A21 -A19)]]+AN_TME_BY[[#This Row],[TOTAL Non-Claims Expenses]]</f>
        <v>0</v>
      </c>
      <c r="AA193" s="415">
        <f>IFERROR(AN_TME_BY[[#This Row],[TOTAL Non-Truncated Unadjusted Expenses (A21 + A23)]]/AN_TME_BY[[#This Row],[Member Months]],0)</f>
        <v>0</v>
      </c>
      <c r="AB193" s="415">
        <f>IFERROR(AN_TME_BY[[#This Row],[TOTAL Truncated Unadjusted Expenses (A22 + A23)]]/AN_TME_BY[[#This Row],[Member Months]],0)</f>
        <v>0</v>
      </c>
      <c r="AC193" s="415">
        <f>IFERROR(AN_TME_BY[[#This Row],[Total Claims Excluded because of Truncation]]/AN_TME_BY[[#This Row],[Count of Members with Claims Truncated]], 0)</f>
        <v>0</v>
      </c>
      <c r="AD193" s="417">
        <f>IFERROR(AN_TME_BY[[#This Row],[Total Claims Excluded because of Truncation]]/AN_TME_BY[[#This Row],[TOTAL Non-Truncated Unadjusted Claims Expenses]], 0)</f>
        <v>0</v>
      </c>
    </row>
    <row r="194" spans="1:30" x14ac:dyDescent="0.25">
      <c r="A194" s="370"/>
      <c r="B194" s="371"/>
      <c r="C194" s="371"/>
      <c r="D194" s="372"/>
      <c r="E194" s="373"/>
      <c r="F194" s="373"/>
      <c r="G194" s="373"/>
      <c r="H194" s="373"/>
      <c r="I194" s="373"/>
      <c r="J194" s="373"/>
      <c r="K194" s="373"/>
      <c r="L194" s="373"/>
      <c r="M194" s="373"/>
      <c r="N194" s="373"/>
      <c r="O194" s="373"/>
      <c r="P194" s="373"/>
      <c r="Q194" s="373"/>
      <c r="R194" s="373"/>
      <c r="S194" s="373"/>
      <c r="T194" s="373"/>
      <c r="U194" s="374"/>
      <c r="V194" s="375">
        <f t="shared" si="10"/>
        <v>0</v>
      </c>
      <c r="W194" s="375">
        <f>AN_TME_BY[[#This Row],[TOTAL Non-Truncated Unadjusted Claims Expenses]]-AN_TME_BY[[#This Row],[Total Claims Excluded because of Truncation]]</f>
        <v>0</v>
      </c>
      <c r="X194" s="375">
        <f t="shared" si="11"/>
        <v>0</v>
      </c>
      <c r="Y194" s="375">
        <f>AN_TME_BY[[#This Row],[TOTAL Non-Truncated Unadjusted Claims Expenses]]+AN_TME_BY[[#This Row],[TOTAL Non-Claims Expenses]]</f>
        <v>0</v>
      </c>
      <c r="Z194" s="375">
        <f>AN_TME_BY[[#This Row],[TOTAL Truncated Unadjusted Claims Expenses (A21 -A19)]]+AN_TME_BY[[#This Row],[TOTAL Non-Claims Expenses]]</f>
        <v>0</v>
      </c>
      <c r="AA194" s="416">
        <f>IFERROR(AN_TME_BY[[#This Row],[TOTAL Non-Truncated Unadjusted Expenses (A21 + A23)]]/AN_TME_BY[[#This Row],[Member Months]],0)</f>
        <v>0</v>
      </c>
      <c r="AB194" s="416">
        <f>IFERROR(AN_TME_BY[[#This Row],[TOTAL Truncated Unadjusted Expenses (A22 + A23)]]/AN_TME_BY[[#This Row],[Member Months]],0)</f>
        <v>0</v>
      </c>
      <c r="AC194" s="416">
        <f>IFERROR(AN_TME_BY[[#This Row],[Total Claims Excluded because of Truncation]]/AN_TME_BY[[#This Row],[Count of Members with Claims Truncated]], 0)</f>
        <v>0</v>
      </c>
      <c r="AD194" s="417">
        <f>IFERROR(AN_TME_BY[[#This Row],[Total Claims Excluded because of Truncation]]/AN_TME_BY[[#This Row],[TOTAL Non-Truncated Unadjusted Claims Expenses]], 0)</f>
        <v>0</v>
      </c>
    </row>
    <row r="195" spans="1:30" x14ac:dyDescent="0.25">
      <c r="A195" s="364"/>
      <c r="B195" s="365"/>
      <c r="C195" s="365"/>
      <c r="D195" s="366"/>
      <c r="E195" s="367"/>
      <c r="F195" s="367"/>
      <c r="G195" s="367"/>
      <c r="H195" s="367"/>
      <c r="I195" s="367"/>
      <c r="J195" s="367"/>
      <c r="K195" s="367"/>
      <c r="L195" s="367"/>
      <c r="M195" s="367"/>
      <c r="N195" s="367"/>
      <c r="O195" s="367"/>
      <c r="P195" s="367"/>
      <c r="Q195" s="367"/>
      <c r="R195" s="367"/>
      <c r="S195" s="367"/>
      <c r="T195" s="367"/>
      <c r="U195" s="368"/>
      <c r="V195" s="369">
        <f t="shared" si="10"/>
        <v>0</v>
      </c>
      <c r="W195" s="413">
        <f>AN_TME_BY[[#This Row],[TOTAL Non-Truncated Unadjusted Claims Expenses]]-AN_TME_BY[[#This Row],[Total Claims Excluded because of Truncation]]</f>
        <v>0</v>
      </c>
      <c r="X195" s="369">
        <f t="shared" si="11"/>
        <v>0</v>
      </c>
      <c r="Y195" s="413">
        <f>AN_TME_BY[[#This Row],[TOTAL Non-Truncated Unadjusted Claims Expenses]]+AN_TME_BY[[#This Row],[TOTAL Non-Claims Expenses]]</f>
        <v>0</v>
      </c>
      <c r="Z195" s="413">
        <f>AN_TME_BY[[#This Row],[TOTAL Truncated Unadjusted Claims Expenses (A21 -A19)]]+AN_TME_BY[[#This Row],[TOTAL Non-Claims Expenses]]</f>
        <v>0</v>
      </c>
      <c r="AA195" s="415">
        <f>IFERROR(AN_TME_BY[[#This Row],[TOTAL Non-Truncated Unadjusted Expenses (A21 + A23)]]/AN_TME_BY[[#This Row],[Member Months]],0)</f>
        <v>0</v>
      </c>
      <c r="AB195" s="415">
        <f>IFERROR(AN_TME_BY[[#This Row],[TOTAL Truncated Unadjusted Expenses (A22 + A23)]]/AN_TME_BY[[#This Row],[Member Months]],0)</f>
        <v>0</v>
      </c>
      <c r="AC195" s="415">
        <f>IFERROR(AN_TME_BY[[#This Row],[Total Claims Excluded because of Truncation]]/AN_TME_BY[[#This Row],[Count of Members with Claims Truncated]], 0)</f>
        <v>0</v>
      </c>
      <c r="AD195" s="417">
        <f>IFERROR(AN_TME_BY[[#This Row],[Total Claims Excluded because of Truncation]]/AN_TME_BY[[#This Row],[TOTAL Non-Truncated Unadjusted Claims Expenses]], 0)</f>
        <v>0</v>
      </c>
    </row>
    <row r="196" spans="1:30" x14ac:dyDescent="0.25">
      <c r="A196" s="370"/>
      <c r="B196" s="371"/>
      <c r="C196" s="371"/>
      <c r="D196" s="372"/>
      <c r="E196" s="373"/>
      <c r="F196" s="373"/>
      <c r="G196" s="373"/>
      <c r="H196" s="373"/>
      <c r="I196" s="373"/>
      <c r="J196" s="373"/>
      <c r="K196" s="373"/>
      <c r="L196" s="373"/>
      <c r="M196" s="373"/>
      <c r="N196" s="373"/>
      <c r="O196" s="373"/>
      <c r="P196" s="373"/>
      <c r="Q196" s="373"/>
      <c r="R196" s="373"/>
      <c r="S196" s="373"/>
      <c r="T196" s="373"/>
      <c r="U196" s="374"/>
      <c r="V196" s="375">
        <f t="shared" si="10"/>
        <v>0</v>
      </c>
      <c r="W196" s="375">
        <f>AN_TME_BY[[#This Row],[TOTAL Non-Truncated Unadjusted Claims Expenses]]-AN_TME_BY[[#This Row],[Total Claims Excluded because of Truncation]]</f>
        <v>0</v>
      </c>
      <c r="X196" s="375">
        <f t="shared" si="11"/>
        <v>0</v>
      </c>
      <c r="Y196" s="375">
        <f>AN_TME_BY[[#This Row],[TOTAL Non-Truncated Unadjusted Claims Expenses]]+AN_TME_BY[[#This Row],[TOTAL Non-Claims Expenses]]</f>
        <v>0</v>
      </c>
      <c r="Z196" s="375">
        <f>AN_TME_BY[[#This Row],[TOTAL Truncated Unadjusted Claims Expenses (A21 -A19)]]+AN_TME_BY[[#This Row],[TOTAL Non-Claims Expenses]]</f>
        <v>0</v>
      </c>
      <c r="AA196" s="416">
        <f>IFERROR(AN_TME_BY[[#This Row],[TOTAL Non-Truncated Unadjusted Expenses (A21 + A23)]]/AN_TME_BY[[#This Row],[Member Months]],0)</f>
        <v>0</v>
      </c>
      <c r="AB196" s="416">
        <f>IFERROR(AN_TME_BY[[#This Row],[TOTAL Truncated Unadjusted Expenses (A22 + A23)]]/AN_TME_BY[[#This Row],[Member Months]],0)</f>
        <v>0</v>
      </c>
      <c r="AC196" s="416">
        <f>IFERROR(AN_TME_BY[[#This Row],[Total Claims Excluded because of Truncation]]/AN_TME_BY[[#This Row],[Count of Members with Claims Truncated]], 0)</f>
        <v>0</v>
      </c>
      <c r="AD196" s="417">
        <f>IFERROR(AN_TME_BY[[#This Row],[Total Claims Excluded because of Truncation]]/AN_TME_BY[[#This Row],[TOTAL Non-Truncated Unadjusted Claims Expenses]], 0)</f>
        <v>0</v>
      </c>
    </row>
    <row r="197" spans="1:30" x14ac:dyDescent="0.25">
      <c r="A197" s="364"/>
      <c r="B197" s="365"/>
      <c r="C197" s="365"/>
      <c r="D197" s="366"/>
      <c r="E197" s="367"/>
      <c r="F197" s="367"/>
      <c r="G197" s="367"/>
      <c r="H197" s="367"/>
      <c r="I197" s="367"/>
      <c r="J197" s="367"/>
      <c r="K197" s="367"/>
      <c r="L197" s="367"/>
      <c r="M197" s="367"/>
      <c r="N197" s="367"/>
      <c r="O197" s="367"/>
      <c r="P197" s="367"/>
      <c r="Q197" s="367"/>
      <c r="R197" s="367"/>
      <c r="S197" s="367"/>
      <c r="T197" s="367"/>
      <c r="U197" s="368"/>
      <c r="V197" s="369">
        <f t="shared" si="10"/>
        <v>0</v>
      </c>
      <c r="W197" s="413">
        <f>AN_TME_BY[[#This Row],[TOTAL Non-Truncated Unadjusted Claims Expenses]]-AN_TME_BY[[#This Row],[Total Claims Excluded because of Truncation]]</f>
        <v>0</v>
      </c>
      <c r="X197" s="369">
        <f t="shared" si="11"/>
        <v>0</v>
      </c>
      <c r="Y197" s="413">
        <f>AN_TME_BY[[#This Row],[TOTAL Non-Truncated Unadjusted Claims Expenses]]+AN_TME_BY[[#This Row],[TOTAL Non-Claims Expenses]]</f>
        <v>0</v>
      </c>
      <c r="Z197" s="413">
        <f>AN_TME_BY[[#This Row],[TOTAL Truncated Unadjusted Claims Expenses (A21 -A19)]]+AN_TME_BY[[#This Row],[TOTAL Non-Claims Expenses]]</f>
        <v>0</v>
      </c>
      <c r="AA197" s="415">
        <f>IFERROR(AN_TME_BY[[#This Row],[TOTAL Non-Truncated Unadjusted Expenses (A21 + A23)]]/AN_TME_BY[[#This Row],[Member Months]],0)</f>
        <v>0</v>
      </c>
      <c r="AB197" s="415">
        <f>IFERROR(AN_TME_BY[[#This Row],[TOTAL Truncated Unadjusted Expenses (A22 + A23)]]/AN_TME_BY[[#This Row],[Member Months]],0)</f>
        <v>0</v>
      </c>
      <c r="AC197" s="415">
        <f>IFERROR(AN_TME_BY[[#This Row],[Total Claims Excluded because of Truncation]]/AN_TME_BY[[#This Row],[Count of Members with Claims Truncated]], 0)</f>
        <v>0</v>
      </c>
      <c r="AD197" s="417">
        <f>IFERROR(AN_TME_BY[[#This Row],[Total Claims Excluded because of Truncation]]/AN_TME_BY[[#This Row],[TOTAL Non-Truncated Unadjusted Claims Expenses]], 0)</f>
        <v>0</v>
      </c>
    </row>
    <row r="198" spans="1:30" x14ac:dyDescent="0.25">
      <c r="A198" s="370"/>
      <c r="B198" s="371"/>
      <c r="C198" s="371"/>
      <c r="D198" s="372"/>
      <c r="E198" s="373"/>
      <c r="F198" s="373"/>
      <c r="G198" s="373"/>
      <c r="H198" s="373"/>
      <c r="I198" s="373"/>
      <c r="J198" s="373"/>
      <c r="K198" s="373"/>
      <c r="L198" s="373"/>
      <c r="M198" s="373"/>
      <c r="N198" s="373"/>
      <c r="O198" s="373"/>
      <c r="P198" s="373"/>
      <c r="Q198" s="373"/>
      <c r="R198" s="373"/>
      <c r="S198" s="373"/>
      <c r="T198" s="373"/>
      <c r="U198" s="374"/>
      <c r="V198" s="375">
        <f t="shared" si="10"/>
        <v>0</v>
      </c>
      <c r="W198" s="375">
        <f>AN_TME_BY[[#This Row],[TOTAL Non-Truncated Unadjusted Claims Expenses]]-AN_TME_BY[[#This Row],[Total Claims Excluded because of Truncation]]</f>
        <v>0</v>
      </c>
      <c r="X198" s="375">
        <f t="shared" si="11"/>
        <v>0</v>
      </c>
      <c r="Y198" s="375">
        <f>AN_TME_BY[[#This Row],[TOTAL Non-Truncated Unadjusted Claims Expenses]]+AN_TME_BY[[#This Row],[TOTAL Non-Claims Expenses]]</f>
        <v>0</v>
      </c>
      <c r="Z198" s="375">
        <f>AN_TME_BY[[#This Row],[TOTAL Truncated Unadjusted Claims Expenses (A21 -A19)]]+AN_TME_BY[[#This Row],[TOTAL Non-Claims Expenses]]</f>
        <v>0</v>
      </c>
      <c r="AA198" s="416">
        <f>IFERROR(AN_TME_BY[[#This Row],[TOTAL Non-Truncated Unadjusted Expenses (A21 + A23)]]/AN_TME_BY[[#This Row],[Member Months]],0)</f>
        <v>0</v>
      </c>
      <c r="AB198" s="416">
        <f>IFERROR(AN_TME_BY[[#This Row],[TOTAL Truncated Unadjusted Expenses (A22 + A23)]]/AN_TME_BY[[#This Row],[Member Months]],0)</f>
        <v>0</v>
      </c>
      <c r="AC198" s="416">
        <f>IFERROR(AN_TME_BY[[#This Row],[Total Claims Excluded because of Truncation]]/AN_TME_BY[[#This Row],[Count of Members with Claims Truncated]], 0)</f>
        <v>0</v>
      </c>
      <c r="AD198" s="417">
        <f>IFERROR(AN_TME_BY[[#This Row],[Total Claims Excluded because of Truncation]]/AN_TME_BY[[#This Row],[TOTAL Non-Truncated Unadjusted Claims Expenses]], 0)</f>
        <v>0</v>
      </c>
    </row>
    <row r="199" spans="1:30" x14ac:dyDescent="0.25">
      <c r="A199" s="364"/>
      <c r="B199" s="365"/>
      <c r="C199" s="365"/>
      <c r="D199" s="366"/>
      <c r="E199" s="367"/>
      <c r="F199" s="367"/>
      <c r="G199" s="367"/>
      <c r="H199" s="367"/>
      <c r="I199" s="367"/>
      <c r="J199" s="367"/>
      <c r="K199" s="367"/>
      <c r="L199" s="367"/>
      <c r="M199" s="367"/>
      <c r="N199" s="367"/>
      <c r="O199" s="367"/>
      <c r="P199" s="367"/>
      <c r="Q199" s="367"/>
      <c r="R199" s="367"/>
      <c r="S199" s="367"/>
      <c r="T199" s="367"/>
      <c r="U199" s="368"/>
      <c r="V199" s="369">
        <f t="shared" si="10"/>
        <v>0</v>
      </c>
      <c r="W199" s="413">
        <f>AN_TME_BY[[#This Row],[TOTAL Non-Truncated Unadjusted Claims Expenses]]-AN_TME_BY[[#This Row],[Total Claims Excluded because of Truncation]]</f>
        <v>0</v>
      </c>
      <c r="X199" s="369">
        <f t="shared" si="11"/>
        <v>0</v>
      </c>
      <c r="Y199" s="413">
        <f>AN_TME_BY[[#This Row],[TOTAL Non-Truncated Unadjusted Claims Expenses]]+AN_TME_BY[[#This Row],[TOTAL Non-Claims Expenses]]</f>
        <v>0</v>
      </c>
      <c r="Z199" s="413">
        <f>AN_TME_BY[[#This Row],[TOTAL Truncated Unadjusted Claims Expenses (A21 -A19)]]+AN_TME_BY[[#This Row],[TOTAL Non-Claims Expenses]]</f>
        <v>0</v>
      </c>
      <c r="AA199" s="415">
        <f>IFERROR(AN_TME_BY[[#This Row],[TOTAL Non-Truncated Unadjusted Expenses (A21 + A23)]]/AN_TME_BY[[#This Row],[Member Months]],0)</f>
        <v>0</v>
      </c>
      <c r="AB199" s="415">
        <f>IFERROR(AN_TME_BY[[#This Row],[TOTAL Truncated Unadjusted Expenses (A22 + A23)]]/AN_TME_BY[[#This Row],[Member Months]],0)</f>
        <v>0</v>
      </c>
      <c r="AC199" s="415">
        <f>IFERROR(AN_TME_BY[[#This Row],[Total Claims Excluded because of Truncation]]/AN_TME_BY[[#This Row],[Count of Members with Claims Truncated]], 0)</f>
        <v>0</v>
      </c>
      <c r="AD199" s="417">
        <f>IFERROR(AN_TME_BY[[#This Row],[Total Claims Excluded because of Truncation]]/AN_TME_BY[[#This Row],[TOTAL Non-Truncated Unadjusted Claims Expenses]], 0)</f>
        <v>0</v>
      </c>
    </row>
    <row r="200" spans="1:30" x14ac:dyDescent="0.25">
      <c r="A200" s="370"/>
      <c r="B200" s="371"/>
      <c r="C200" s="371"/>
      <c r="D200" s="372"/>
      <c r="E200" s="373"/>
      <c r="F200" s="373"/>
      <c r="G200" s="373"/>
      <c r="H200" s="373"/>
      <c r="I200" s="373"/>
      <c r="J200" s="373"/>
      <c r="K200" s="373"/>
      <c r="L200" s="373"/>
      <c r="M200" s="373"/>
      <c r="N200" s="373"/>
      <c r="O200" s="373"/>
      <c r="P200" s="373"/>
      <c r="Q200" s="373"/>
      <c r="R200" s="373"/>
      <c r="S200" s="373"/>
      <c r="T200" s="373"/>
      <c r="U200" s="374"/>
      <c r="V200" s="375">
        <f t="shared" si="10"/>
        <v>0</v>
      </c>
      <c r="W200" s="375">
        <f>AN_TME_BY[[#This Row],[TOTAL Non-Truncated Unadjusted Claims Expenses]]-AN_TME_BY[[#This Row],[Total Claims Excluded because of Truncation]]</f>
        <v>0</v>
      </c>
      <c r="X200" s="375">
        <f t="shared" si="11"/>
        <v>0</v>
      </c>
      <c r="Y200" s="375">
        <f>AN_TME_BY[[#This Row],[TOTAL Non-Truncated Unadjusted Claims Expenses]]+AN_TME_BY[[#This Row],[TOTAL Non-Claims Expenses]]</f>
        <v>0</v>
      </c>
      <c r="Z200" s="375">
        <f>AN_TME_BY[[#This Row],[TOTAL Truncated Unadjusted Claims Expenses (A21 -A19)]]+AN_TME_BY[[#This Row],[TOTAL Non-Claims Expenses]]</f>
        <v>0</v>
      </c>
      <c r="AA200" s="416">
        <f>IFERROR(AN_TME_BY[[#This Row],[TOTAL Non-Truncated Unadjusted Expenses (A21 + A23)]]/AN_TME_BY[[#This Row],[Member Months]],0)</f>
        <v>0</v>
      </c>
      <c r="AB200" s="416">
        <f>IFERROR(AN_TME_BY[[#This Row],[TOTAL Truncated Unadjusted Expenses (A22 + A23)]]/AN_TME_BY[[#This Row],[Member Months]],0)</f>
        <v>0</v>
      </c>
      <c r="AC200" s="416">
        <f>IFERROR(AN_TME_BY[[#This Row],[Total Claims Excluded because of Truncation]]/AN_TME_BY[[#This Row],[Count of Members with Claims Truncated]], 0)</f>
        <v>0</v>
      </c>
      <c r="AD200" s="417">
        <f>IFERROR(AN_TME_BY[[#This Row],[Total Claims Excluded because of Truncation]]/AN_TME_BY[[#This Row],[TOTAL Non-Truncated Unadjusted Claims Expenses]], 0)</f>
        <v>0</v>
      </c>
    </row>
  </sheetData>
  <sheetProtection algorithmName="SHA-512" hashValue="F4WBRxnjVjNelVL2W2c1GrAUU5s5G6YmXLQ4YO5g52JnziUgxWgNIWWDog9eWSoDW8S2KSy6DjisXfo2WplQNg==" saltValue="35sH4R3UPV9+Csb5nXxFEA==" spinCount="100000" sheet="1" insertRows="0" sort="0" autoFilter="0"/>
  <protectedRanges>
    <protectedRange sqref="A11:AD200" name="Range1"/>
  </protectedRanges>
  <dataConsolidate/>
  <mergeCells count="7">
    <mergeCell ref="P2:Q2"/>
    <mergeCell ref="P3:Q6"/>
    <mergeCell ref="C4:E5"/>
    <mergeCell ref="J2:K2"/>
    <mergeCell ref="J3:K6"/>
    <mergeCell ref="M3:N6"/>
    <mergeCell ref="M2:N2"/>
  </mergeCells>
  <conditionalFormatting sqref="H3:H6">
    <cfRule type="cellIs" dxfId="141" priority="1" operator="lessThanOrEqual">
      <formula>0</formula>
    </cfRule>
    <cfRule type="cellIs" dxfId="140" priority="2" operator="greaterThan">
      <formula>0</formula>
    </cfRule>
  </conditionalFormatting>
  <conditionalFormatting sqref="J3:K6">
    <cfRule type="containsText" dxfId="139" priority="9" operator="containsText" text="Good">
      <formula>NOT(ISERROR(SEARCH("Good",J3)))</formula>
    </cfRule>
    <cfRule type="notContainsText" dxfId="138" priority="10" operator="notContains" text="Good">
      <formula>ISERROR(SEARCH("Good",J3))</formula>
    </cfRule>
  </conditionalFormatting>
  <conditionalFormatting sqref="M3:N6">
    <cfRule type="containsText" dxfId="137" priority="7" operator="containsText" text="Good">
      <formula>NOT(ISERROR(SEARCH("Good",M3)))</formula>
    </cfRule>
    <cfRule type="notContainsText" dxfId="136" priority="8" operator="notContains" text="Good">
      <formula>ISERROR(SEARCH("Good",M3))</formula>
    </cfRule>
  </conditionalFormatting>
  <conditionalFormatting sqref="P3">
    <cfRule type="notContainsText" dxfId="135" priority="5" operator="notContains" text="Good">
      <formula>ISERROR(SEARCH("Good",P3))</formula>
    </cfRule>
    <cfRule type="containsText" dxfId="134" priority="6" operator="containsText" text="Good">
      <formula>NOT(ISERROR(SEARCH("Good",P3)))</formula>
    </cfRule>
  </conditionalFormatting>
  <conditionalFormatting sqref="AD11:AD200">
    <cfRule type="cellIs" dxfId="133" priority="3" operator="greaterThan">
      <formula>0.1</formula>
    </cfRule>
  </conditionalFormatting>
  <dataValidations count="8">
    <dataValidation type="decimal" operator="greaterThanOrEqual" allowBlank="1" showInputMessage="1" showErrorMessage="1" error="See Definitions tab._x000a_No negative values." prompt="See Definitions tab._x000a_No negative values._x000a_" sqref="F11:O13 F73:O75 E11:E200" xr:uid="{CE5FA42D-2564-41C1-88DB-2E37FB147170}">
      <formula1>0</formula1>
    </dataValidation>
    <dataValidation type="decimal" operator="greaterThanOrEqual" allowBlank="1" showInputMessage="1" showErrorMessage="1" error="See Definitions tab._x000a_No negative values." prompt="See Definitions tab._x000a_No negative values." sqref="Q48:Q72 I14:O47 F14:F72 Q73:Q109 Q110:Q200 I76:O109 F76:F200 S11:U200 I110:O200 I48:O72 Q11:Q47" xr:uid="{5DBB5374-E51F-452C-9E22-1E689A29436D}">
      <formula1>0</formula1>
    </dataValidation>
    <dataValidation type="decimal" operator="greaterThan" allowBlank="1" showInputMessage="1" showErrorMessage="1" error="See Definitions tab._x000a_No negative values." prompt="See Definitions tab._x000a_No negative values." sqref="G14:H72 G76:H200" xr:uid="{D90106C5-2905-4E86-A914-68C7210DBE6F}">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5E63E75D-3027-4387-8C9C-70C9566429E7}">
      <formula1>1</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3E6E1DAA-909D-4570-994C-DC02ED3CDFD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D11:D200" xr:uid="{7296F7A3-999E-44E4-B5DF-09726CC4D42C}">
      <formula1>0</formula1>
    </dataValidation>
    <dataValidation allowBlank="1" showInputMessage="1" showErrorMessage="1" prompt="See Definitions tab." sqref="R11:R200 P11:P200" xr:uid="{E4A9F392-6A33-425A-BD4F-A3AB86AF8CB4}"/>
    <dataValidation type="list" operator="equal" allowBlank="1" showDropDown="1" showInputMessage="1" showErrorMessage="1" error="Please input the insurance category being reported." prompt="Hierarchy Field Codes:_x000a_1 = Member Selection_x000a_2 = Contract Arrangement_x000a_3 = Utilization_x000a_4 = Unattributed Member Months" sqref="C11:C200" xr:uid="{20456344-A29F-47CE-B031-BD5F4E029A8F}">
      <formula1>"1, 2, 3, 4"</formula1>
    </dataValidation>
  </dataValidations>
  <hyperlinks>
    <hyperlink ref="J2:K2" location="'Data Validation'!B4:B20" display="Check for Member Months" xr:uid="{A5FD6FED-01C7-4A99-800E-8C68A7D15AAE}"/>
    <hyperlink ref="M2:N2" location="'Data Validation'!B4:B20" display="Check for Truncated and Non-Truncated Spending" xr:uid="{117A8D0D-5BC8-4C7B-8D03-BC80442C13C3}"/>
    <hyperlink ref="P2:Q2" location="'Advanced Network - 2021'!AD10:AE10" display="Check for Average Truncated Claims Per Member" xr:uid="{9E89857B-90B9-4A47-A2CB-72F56A02AE5A}"/>
    <hyperlink ref="G2:H2" location="'Data Validation'!A1" display="Insurance Category Code" xr:uid="{6E469C10-2A48-4B1D-A875-7FE602885AA2}"/>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6DAE-E6A3-475A-B7D1-AC798C71CA00}">
  <sheetPr codeName="Sheet9">
    <tabColor theme="3"/>
  </sheetPr>
  <dimension ref="A1:AD200"/>
  <sheetViews>
    <sheetView zoomScaleNormal="100" workbookViewId="0"/>
  </sheetViews>
  <sheetFormatPr defaultColWidth="9.140625" defaultRowHeight="15" x14ac:dyDescent="0.25"/>
  <cols>
    <col min="1" max="6" width="17.7109375" customWidth="1"/>
    <col min="7" max="7" width="18.85546875" customWidth="1"/>
    <col min="8" max="8" width="20.5703125" customWidth="1"/>
    <col min="9" max="13" width="17.7109375" customWidth="1"/>
    <col min="14" max="14" width="24.42578125" customWidth="1"/>
    <col min="15" max="30" width="17.7109375" customWidth="1"/>
  </cols>
  <sheetData>
    <row r="1" spans="1:30" ht="15.75" thickBot="1" x14ac:dyDescent="0.3">
      <c r="A1" s="1" t="s">
        <v>162</v>
      </c>
    </row>
    <row r="2" spans="1:30" ht="33" customHeight="1" thickBot="1" x14ac:dyDescent="0.3">
      <c r="A2" s="1" t="s">
        <v>225</v>
      </c>
      <c r="G2" s="523" t="s">
        <v>80</v>
      </c>
      <c r="H2" s="524" t="s">
        <v>179</v>
      </c>
      <c r="J2" s="550" t="s">
        <v>226</v>
      </c>
      <c r="K2" s="550"/>
      <c r="M2" s="550" t="s">
        <v>181</v>
      </c>
      <c r="N2" s="550"/>
      <c r="P2" s="550" t="s">
        <v>182</v>
      </c>
      <c r="Q2" s="550"/>
    </row>
    <row r="3" spans="1:30" x14ac:dyDescent="0.25">
      <c r="G3" s="521">
        <v>1</v>
      </c>
      <c r="H3" s="522">
        <f>'Data Validation'!I13</f>
        <v>32</v>
      </c>
      <c r="J3" s="551" t="str">
        <f>IF(AND(A11&lt;&gt;"", 'Data Validation'!D5&gt;0),"STOP - MISALIGNMENT IN MEMBER MONTHS FOR 2023 - CHECK DATA VALIDATION TAB.", "Good")</f>
        <v>Good</v>
      </c>
      <c r="K3" s="551"/>
      <c r="M3" s="551" t="str">
        <f>IF(AND(A11&lt;&gt;"", OR('Data Validation'!C12&gt;0,'Data Validation'!D14&gt;0,'Data Validation'!E14&gt;0,'Data Validation'!F14&gt;0,'Data Validation'!G14&gt;0,'Data Validation'!H14&gt;0)), "STOP - MISALIGNMENT OF TRUNCATED OR NON-TRUNCATED SPENDING WITH AGE/SEX TAB FOR 2023. CHECK DATA VALIDATION TAB)", "Good")</f>
        <v>Good</v>
      </c>
      <c r="N3" s="551"/>
      <c r="P3" s="551" t="str">
        <f>IF(COUNTIF(AN_TME_PY[[#All],[Average Claims Truncated Per Member]], "&gt;250000")+COUNTIF(AN_TME_PY[[#All],[Total Claims Excluded (A19)/Total Non-Truncated Claims Expenses (A21)]], "&gt;10%")&gt;0, "STOP - see highlighted cells in A28 or A29", "Good")</f>
        <v>Good</v>
      </c>
      <c r="Q3" s="551"/>
    </row>
    <row r="4" spans="1:30" x14ac:dyDescent="0.25">
      <c r="A4" t="s">
        <v>164</v>
      </c>
      <c r="C4" s="548" t="s">
        <v>177</v>
      </c>
      <c r="D4" s="549"/>
      <c r="E4" s="549"/>
      <c r="G4" s="207">
        <v>3</v>
      </c>
      <c r="H4" s="519">
        <f>'Data Validation'!K13</f>
        <v>32</v>
      </c>
      <c r="J4" s="551"/>
      <c r="K4" s="551"/>
      <c r="M4" s="551"/>
      <c r="N4" s="551"/>
      <c r="P4" s="551"/>
      <c r="Q4" s="551"/>
    </row>
    <row r="5" spans="1:30" x14ac:dyDescent="0.25">
      <c r="A5" s="158" t="s">
        <v>183</v>
      </c>
      <c r="C5" s="549"/>
      <c r="D5" s="549"/>
      <c r="E5" s="549"/>
      <c r="G5" s="207">
        <v>4</v>
      </c>
      <c r="H5" s="519">
        <f>'Data Validation'!L13</f>
        <v>32</v>
      </c>
      <c r="J5" s="551"/>
      <c r="K5" s="551"/>
      <c r="M5" s="551"/>
      <c r="N5" s="551"/>
      <c r="P5" s="551"/>
      <c r="Q5" s="551"/>
    </row>
    <row r="6" spans="1:30" ht="15.75" thickBot="1" x14ac:dyDescent="0.3">
      <c r="G6" s="208">
        <v>5</v>
      </c>
      <c r="H6" s="520">
        <f>'Data Validation'!M13</f>
        <v>32</v>
      </c>
      <c r="J6" s="551"/>
      <c r="K6" s="551"/>
      <c r="M6" s="551"/>
      <c r="N6" s="551"/>
      <c r="P6" s="551"/>
      <c r="Q6" s="551"/>
    </row>
    <row r="9" spans="1:30" x14ac:dyDescent="0.25">
      <c r="D9" s="4" t="s">
        <v>184</v>
      </c>
      <c r="E9" s="4" t="s">
        <v>185</v>
      </c>
      <c r="F9" s="4" t="s">
        <v>186</v>
      </c>
      <c r="G9" s="4" t="s">
        <v>187</v>
      </c>
      <c r="H9" s="4" t="s">
        <v>188</v>
      </c>
      <c r="I9" s="4" t="s">
        <v>189</v>
      </c>
      <c r="J9" s="4" t="s">
        <v>190</v>
      </c>
      <c r="K9" s="4" t="s">
        <v>191</v>
      </c>
      <c r="L9" s="4" t="s">
        <v>192</v>
      </c>
      <c r="M9" s="4" t="s">
        <v>193</v>
      </c>
      <c r="N9" s="4" t="s">
        <v>194</v>
      </c>
      <c r="O9" s="4" t="s">
        <v>195</v>
      </c>
      <c r="P9" s="4" t="s">
        <v>196</v>
      </c>
      <c r="Q9" s="4" t="s">
        <v>197</v>
      </c>
      <c r="R9" s="4" t="s">
        <v>198</v>
      </c>
      <c r="S9" s="4" t="s">
        <v>199</v>
      </c>
      <c r="T9" s="4" t="s">
        <v>200</v>
      </c>
      <c r="U9" s="4" t="s">
        <v>201</v>
      </c>
      <c r="V9" s="4" t="s">
        <v>202</v>
      </c>
      <c r="W9" s="159" t="s">
        <v>203</v>
      </c>
      <c r="X9" s="4" t="s">
        <v>204</v>
      </c>
      <c r="Y9" s="4" t="s">
        <v>205</v>
      </c>
      <c r="Z9" s="159" t="s">
        <v>206</v>
      </c>
      <c r="AA9" s="159" t="s">
        <v>207</v>
      </c>
      <c r="AB9" s="4" t="s">
        <v>208</v>
      </c>
      <c r="AC9" s="4" t="s">
        <v>209</v>
      </c>
      <c r="AD9" s="4" t="s">
        <v>210</v>
      </c>
    </row>
    <row r="10" spans="1:30" ht="75" x14ac:dyDescent="0.25">
      <c r="A10" s="376" t="s">
        <v>211</v>
      </c>
      <c r="B10" s="377" t="s">
        <v>80</v>
      </c>
      <c r="C10" s="377" t="s">
        <v>114</v>
      </c>
      <c r="D10" s="377" t="s">
        <v>212</v>
      </c>
      <c r="E10" s="377" t="s">
        <v>124</v>
      </c>
      <c r="F10" s="377" t="s">
        <v>125</v>
      </c>
      <c r="G10" s="377" t="s">
        <v>127</v>
      </c>
      <c r="H10" s="377" t="s">
        <v>128</v>
      </c>
      <c r="I10" s="377" t="s">
        <v>129</v>
      </c>
      <c r="J10" s="377" t="s">
        <v>130</v>
      </c>
      <c r="K10" s="377" t="s">
        <v>132</v>
      </c>
      <c r="L10" s="377" t="s">
        <v>133</v>
      </c>
      <c r="M10" s="377" t="s">
        <v>134</v>
      </c>
      <c r="N10" s="377" t="s">
        <v>136</v>
      </c>
      <c r="O10" s="377" t="s">
        <v>213</v>
      </c>
      <c r="P10" s="377" t="s">
        <v>214</v>
      </c>
      <c r="Q10" s="377" t="s">
        <v>215</v>
      </c>
      <c r="R10" s="377" t="s">
        <v>137</v>
      </c>
      <c r="S10" s="377" t="s">
        <v>138</v>
      </c>
      <c r="T10" s="377" t="s">
        <v>139</v>
      </c>
      <c r="U10" s="377" t="s">
        <v>140</v>
      </c>
      <c r="V10" s="381" t="s">
        <v>216</v>
      </c>
      <c r="W10" s="381" t="s">
        <v>217</v>
      </c>
      <c r="X10" s="381" t="s">
        <v>218</v>
      </c>
      <c r="Y10" s="381" t="s">
        <v>219</v>
      </c>
      <c r="Z10" s="381" t="s">
        <v>220</v>
      </c>
      <c r="AA10" s="381" t="s">
        <v>221</v>
      </c>
      <c r="AB10" s="414" t="s">
        <v>222</v>
      </c>
      <c r="AC10" s="381" t="s">
        <v>223</v>
      </c>
      <c r="AD10" s="381" t="s">
        <v>224</v>
      </c>
    </row>
    <row r="11" spans="1:30" x14ac:dyDescent="0.25">
      <c r="A11" s="364"/>
      <c r="B11" s="365"/>
      <c r="C11" s="365"/>
      <c r="D11" s="366"/>
      <c r="E11" s="367"/>
      <c r="F11" s="367"/>
      <c r="G11" s="367"/>
      <c r="H11" s="367"/>
      <c r="I11" s="367"/>
      <c r="J11" s="367"/>
      <c r="K11" s="367"/>
      <c r="L11" s="367"/>
      <c r="M11" s="367"/>
      <c r="N11" s="367"/>
      <c r="O11" s="367"/>
      <c r="P11" s="367"/>
      <c r="Q11" s="367"/>
      <c r="R11" s="367"/>
      <c r="S11" s="367"/>
      <c r="T11" s="367"/>
      <c r="U11" s="379"/>
      <c r="V11" s="413">
        <f t="shared" ref="V11:V42" si="0">SUM(E11:G11)+SUM(I11:M11)</f>
        <v>0</v>
      </c>
      <c r="W11" s="413">
        <f>AN_TME_PY[[#This Row],[TOTAL Non-Truncated Unadjusted Claims Expenses]]-AN_TME_PY[[#This Row],[Total Claims Excluded because of Truncation]]</f>
        <v>0</v>
      </c>
      <c r="X11" s="413">
        <f t="shared" ref="X11:X42" si="1">SUM(N11:R11)</f>
        <v>0</v>
      </c>
      <c r="Y11" s="413">
        <f>AN_TME_PY[[#This Row],[TOTAL Non-Truncated Unadjusted Claims Expenses]]+AN_TME_PY[[#This Row],[TOTAL Non-Claims Expenses]]</f>
        <v>0</v>
      </c>
      <c r="Z11" s="413">
        <f>AN_TME_PY[[#This Row],[TOTAL Truncated Unadjusted Claims Expenses (A21 -A19)]]+AN_TME_PY[[#This Row],[TOTAL Non-Claims Expenses]]</f>
        <v>0</v>
      </c>
      <c r="AA11" s="415">
        <f>IFERROR(AN_TME_PY[[#This Row],[TOTAL Non-Truncated Unadjusted Expenses (A21 + A23)]]/AN_TME_PY[[#This Row],[Member Months]],0)</f>
        <v>0</v>
      </c>
      <c r="AB11" s="415">
        <f>IFERROR(AN_TME_PY[[#This Row],[TOTAL Truncated Unadjusted Expenses (A22 + A23)]]/AN_TME_PY[[#This Row],[Member Months]],0)</f>
        <v>0</v>
      </c>
      <c r="AC11" s="241">
        <f>IFERROR(AN_TME_PY[[#This Row],[Total Claims Excluded because of Truncation]]/AN_TME_PY[[#This Row],[Count of Members with Claims Truncated]], 0)</f>
        <v>0</v>
      </c>
      <c r="AD11" s="418">
        <f>IFERROR(AN_TME_PY[[#This Row],[Total Claims Excluded because of Truncation]]/AN_TME_PY[[#This Row],[TOTAL Non-Truncated Unadjusted Claims Expenses]], 0)</f>
        <v>0</v>
      </c>
    </row>
    <row r="12" spans="1:30" x14ac:dyDescent="0.25">
      <c r="A12" s="370"/>
      <c r="B12" s="371"/>
      <c r="C12" s="371"/>
      <c r="D12" s="372"/>
      <c r="E12" s="373"/>
      <c r="F12" s="373"/>
      <c r="G12" s="373"/>
      <c r="H12" s="373"/>
      <c r="I12" s="373"/>
      <c r="J12" s="373"/>
      <c r="K12" s="373"/>
      <c r="L12" s="373"/>
      <c r="M12" s="373"/>
      <c r="N12" s="373"/>
      <c r="O12" s="373"/>
      <c r="P12" s="373"/>
      <c r="Q12" s="373"/>
      <c r="R12" s="373"/>
      <c r="S12" s="373"/>
      <c r="T12" s="373"/>
      <c r="U12" s="380"/>
      <c r="V12" s="375">
        <f t="shared" si="0"/>
        <v>0</v>
      </c>
      <c r="W12" s="375">
        <f>AN_TME_PY[[#This Row],[TOTAL Non-Truncated Unadjusted Claims Expenses]]-AN_TME_PY[[#This Row],[Total Claims Excluded because of Truncation]]</f>
        <v>0</v>
      </c>
      <c r="X12" s="375">
        <f t="shared" si="1"/>
        <v>0</v>
      </c>
      <c r="Y12" s="375">
        <f>AN_TME_PY[[#This Row],[TOTAL Non-Truncated Unadjusted Claims Expenses]]+AN_TME_PY[[#This Row],[TOTAL Non-Claims Expenses]]</f>
        <v>0</v>
      </c>
      <c r="Z12" s="375">
        <f>AN_TME_PY[[#This Row],[TOTAL Truncated Unadjusted Claims Expenses (A21 -A19)]]+AN_TME_PY[[#This Row],[TOTAL Non-Claims Expenses]]</f>
        <v>0</v>
      </c>
      <c r="AA12" s="416">
        <f>IFERROR(AN_TME_PY[[#This Row],[TOTAL Non-Truncated Unadjusted Expenses (A21 + A23)]]/AN_TME_PY[[#This Row],[Member Months]],0)</f>
        <v>0</v>
      </c>
      <c r="AB12" s="416">
        <f>IFERROR(AN_TME_PY[[#This Row],[TOTAL Truncated Unadjusted Expenses (A22 + A23)]]/AN_TME_PY[[#This Row],[Member Months]],0)</f>
        <v>0</v>
      </c>
      <c r="AC12" s="385">
        <f>IFERROR(AN_TME_PY[[#This Row],[Total Claims Excluded because of Truncation]]/AN_TME_PY[[#This Row],[Count of Members with Claims Truncated]], 0)</f>
        <v>0</v>
      </c>
      <c r="AD12" s="417">
        <f>IFERROR(AN_TME_PY[[#This Row],[Total Claims Excluded because of Truncation]]/AN_TME_PY[[#This Row],[TOTAL Non-Truncated Unadjusted Claims Expenses]], 0)</f>
        <v>0</v>
      </c>
    </row>
    <row r="13" spans="1:30" x14ac:dyDescent="0.25">
      <c r="A13" s="364"/>
      <c r="B13" s="365"/>
      <c r="C13" s="365"/>
      <c r="D13" s="366"/>
      <c r="E13" s="367"/>
      <c r="F13" s="367"/>
      <c r="G13" s="367"/>
      <c r="H13" s="367"/>
      <c r="I13" s="367"/>
      <c r="J13" s="367"/>
      <c r="K13" s="367"/>
      <c r="L13" s="367"/>
      <c r="M13" s="367"/>
      <c r="N13" s="367"/>
      <c r="O13" s="367"/>
      <c r="P13" s="367"/>
      <c r="Q13" s="367"/>
      <c r="R13" s="367"/>
      <c r="S13" s="367"/>
      <c r="T13" s="367"/>
      <c r="U13" s="379"/>
      <c r="V13" s="369">
        <f t="shared" si="0"/>
        <v>0</v>
      </c>
      <c r="W13" s="369">
        <f>AN_TME_PY[[#This Row],[TOTAL Non-Truncated Unadjusted Claims Expenses]]-AN_TME_PY[[#This Row],[Total Claims Excluded because of Truncation]]</f>
        <v>0</v>
      </c>
      <c r="X13" s="369">
        <f t="shared" si="1"/>
        <v>0</v>
      </c>
      <c r="Y13" s="369">
        <f>AN_TME_PY[[#This Row],[TOTAL Non-Truncated Unadjusted Claims Expenses]]+AN_TME_PY[[#This Row],[TOTAL Non-Claims Expenses]]</f>
        <v>0</v>
      </c>
      <c r="Z13" s="369">
        <f>AN_TME_PY[[#This Row],[TOTAL Truncated Unadjusted Claims Expenses (A21 -A19)]]+AN_TME_PY[[#This Row],[TOTAL Non-Claims Expenses]]</f>
        <v>0</v>
      </c>
      <c r="AA13" s="415">
        <f>IFERROR(AN_TME_PY[[#This Row],[TOTAL Non-Truncated Unadjusted Expenses (A21 + A23)]]/AN_TME_PY[[#This Row],[Member Months]],0)</f>
        <v>0</v>
      </c>
      <c r="AB13" s="415">
        <f>IFERROR(AN_TME_PY[[#This Row],[TOTAL Truncated Unadjusted Expenses (A22 + A23)]]/AN_TME_PY[[#This Row],[Member Months]],0)</f>
        <v>0</v>
      </c>
      <c r="AC13" s="385">
        <f>IFERROR(AN_TME_PY[[#This Row],[Total Claims Excluded because of Truncation]]/AN_TME_PY[[#This Row],[Count of Members with Claims Truncated]], 0)</f>
        <v>0</v>
      </c>
      <c r="AD13" s="417">
        <f>IFERROR(AN_TME_PY[[#This Row],[Total Claims Excluded because of Truncation]]/AN_TME_PY[[#This Row],[TOTAL Non-Truncated Unadjusted Claims Expenses]], 0)</f>
        <v>0</v>
      </c>
    </row>
    <row r="14" spans="1:30" x14ac:dyDescent="0.25">
      <c r="A14" s="370"/>
      <c r="B14" s="371"/>
      <c r="C14" s="371"/>
      <c r="D14" s="372"/>
      <c r="E14" s="373"/>
      <c r="F14" s="373"/>
      <c r="G14" s="373"/>
      <c r="H14" s="373"/>
      <c r="I14" s="373"/>
      <c r="J14" s="373"/>
      <c r="K14" s="373"/>
      <c r="L14" s="373"/>
      <c r="M14" s="373"/>
      <c r="N14" s="373"/>
      <c r="O14" s="373"/>
      <c r="P14" s="373"/>
      <c r="Q14" s="373"/>
      <c r="R14" s="373"/>
      <c r="S14" s="373"/>
      <c r="T14" s="373"/>
      <c r="U14" s="380"/>
      <c r="V14" s="375">
        <f t="shared" si="0"/>
        <v>0</v>
      </c>
      <c r="W14" s="375">
        <f>AN_TME_PY[[#This Row],[TOTAL Non-Truncated Unadjusted Claims Expenses]]-AN_TME_PY[[#This Row],[Total Claims Excluded because of Truncation]]</f>
        <v>0</v>
      </c>
      <c r="X14" s="375">
        <f t="shared" si="1"/>
        <v>0</v>
      </c>
      <c r="Y14" s="375">
        <f>AN_TME_PY[[#This Row],[TOTAL Non-Truncated Unadjusted Claims Expenses]]+AN_TME_PY[[#This Row],[TOTAL Non-Claims Expenses]]</f>
        <v>0</v>
      </c>
      <c r="Z14" s="375">
        <f>AN_TME_PY[[#This Row],[TOTAL Truncated Unadjusted Claims Expenses (A21 -A19)]]+AN_TME_PY[[#This Row],[TOTAL Non-Claims Expenses]]</f>
        <v>0</v>
      </c>
      <c r="AA14" s="416">
        <f>IFERROR(AN_TME_PY[[#This Row],[TOTAL Non-Truncated Unadjusted Expenses (A21 + A23)]]/AN_TME_PY[[#This Row],[Member Months]],0)</f>
        <v>0</v>
      </c>
      <c r="AB14" s="416">
        <f>IFERROR(AN_TME_PY[[#This Row],[TOTAL Truncated Unadjusted Expenses (A22 + A23)]]/AN_TME_PY[[#This Row],[Member Months]],0)</f>
        <v>0</v>
      </c>
      <c r="AC14" s="385">
        <f>IFERROR(AN_TME_PY[[#This Row],[Total Claims Excluded because of Truncation]]/AN_TME_PY[[#This Row],[Count of Members with Claims Truncated]], 0)</f>
        <v>0</v>
      </c>
      <c r="AD14" s="417">
        <f>IFERROR(AN_TME_PY[[#This Row],[Total Claims Excluded because of Truncation]]/AN_TME_PY[[#This Row],[TOTAL Non-Truncated Unadjusted Claims Expenses]], 0)</f>
        <v>0</v>
      </c>
    </row>
    <row r="15" spans="1:30" x14ac:dyDescent="0.25">
      <c r="A15" s="364"/>
      <c r="B15" s="365"/>
      <c r="C15" s="365"/>
      <c r="D15" s="366"/>
      <c r="E15" s="367"/>
      <c r="F15" s="367"/>
      <c r="G15" s="367"/>
      <c r="H15" s="367"/>
      <c r="I15" s="367"/>
      <c r="J15" s="367"/>
      <c r="K15" s="367"/>
      <c r="L15" s="367"/>
      <c r="M15" s="367"/>
      <c r="N15" s="367"/>
      <c r="O15" s="367"/>
      <c r="P15" s="367"/>
      <c r="Q15" s="367"/>
      <c r="R15" s="367"/>
      <c r="S15" s="367"/>
      <c r="T15" s="367"/>
      <c r="U15" s="379"/>
      <c r="V15" s="369">
        <f t="shared" si="0"/>
        <v>0</v>
      </c>
      <c r="W15" s="369">
        <f>AN_TME_PY[[#This Row],[TOTAL Non-Truncated Unadjusted Claims Expenses]]-AN_TME_PY[[#This Row],[Total Claims Excluded because of Truncation]]</f>
        <v>0</v>
      </c>
      <c r="X15" s="369">
        <f t="shared" si="1"/>
        <v>0</v>
      </c>
      <c r="Y15" s="369">
        <f>AN_TME_PY[[#This Row],[TOTAL Non-Truncated Unadjusted Claims Expenses]]+AN_TME_PY[[#This Row],[TOTAL Non-Claims Expenses]]</f>
        <v>0</v>
      </c>
      <c r="Z15" s="369">
        <f>AN_TME_PY[[#This Row],[TOTAL Truncated Unadjusted Claims Expenses (A21 -A19)]]+AN_TME_PY[[#This Row],[TOTAL Non-Claims Expenses]]</f>
        <v>0</v>
      </c>
      <c r="AA15" s="415">
        <f>IFERROR(AN_TME_PY[[#This Row],[TOTAL Non-Truncated Unadjusted Expenses (A21 + A23)]]/AN_TME_PY[[#This Row],[Member Months]],0)</f>
        <v>0</v>
      </c>
      <c r="AB15" s="415">
        <f>IFERROR(AN_TME_PY[[#This Row],[TOTAL Truncated Unadjusted Expenses (A22 + A23)]]/AN_TME_PY[[#This Row],[Member Months]],0)</f>
        <v>0</v>
      </c>
      <c r="AC15" s="385">
        <f>IFERROR(AN_TME_PY[[#This Row],[Total Claims Excluded because of Truncation]]/AN_TME_PY[[#This Row],[Count of Members with Claims Truncated]], 0)</f>
        <v>0</v>
      </c>
      <c r="AD15" s="417">
        <f>IFERROR(AN_TME_PY[[#This Row],[Total Claims Excluded because of Truncation]]/AN_TME_PY[[#This Row],[TOTAL Non-Truncated Unadjusted Claims Expenses]], 0)</f>
        <v>0</v>
      </c>
    </row>
    <row r="16" spans="1:30" x14ac:dyDescent="0.25">
      <c r="A16" s="370"/>
      <c r="B16" s="371"/>
      <c r="C16" s="371"/>
      <c r="D16" s="372"/>
      <c r="E16" s="373"/>
      <c r="F16" s="373"/>
      <c r="G16" s="373"/>
      <c r="H16" s="373"/>
      <c r="I16" s="373"/>
      <c r="J16" s="373"/>
      <c r="K16" s="373"/>
      <c r="L16" s="373"/>
      <c r="M16" s="373"/>
      <c r="N16" s="373"/>
      <c r="O16" s="373"/>
      <c r="P16" s="373"/>
      <c r="Q16" s="373"/>
      <c r="R16" s="373"/>
      <c r="S16" s="373"/>
      <c r="T16" s="373"/>
      <c r="U16" s="380"/>
      <c r="V16" s="375">
        <f t="shared" si="0"/>
        <v>0</v>
      </c>
      <c r="W16" s="375">
        <f>AN_TME_PY[[#This Row],[TOTAL Non-Truncated Unadjusted Claims Expenses]]-AN_TME_PY[[#This Row],[Total Claims Excluded because of Truncation]]</f>
        <v>0</v>
      </c>
      <c r="X16" s="375">
        <f t="shared" si="1"/>
        <v>0</v>
      </c>
      <c r="Y16" s="375">
        <f>AN_TME_PY[[#This Row],[TOTAL Non-Truncated Unadjusted Claims Expenses]]+AN_TME_PY[[#This Row],[TOTAL Non-Claims Expenses]]</f>
        <v>0</v>
      </c>
      <c r="Z16" s="375">
        <f>AN_TME_PY[[#This Row],[TOTAL Truncated Unadjusted Claims Expenses (A21 -A19)]]+AN_TME_PY[[#This Row],[TOTAL Non-Claims Expenses]]</f>
        <v>0</v>
      </c>
      <c r="AA16" s="416">
        <f>IFERROR(AN_TME_PY[[#This Row],[TOTAL Non-Truncated Unadjusted Expenses (A21 + A23)]]/AN_TME_PY[[#This Row],[Member Months]],0)</f>
        <v>0</v>
      </c>
      <c r="AB16" s="416">
        <f>IFERROR(AN_TME_PY[[#This Row],[TOTAL Truncated Unadjusted Expenses (A22 + A23)]]/AN_TME_PY[[#This Row],[Member Months]],0)</f>
        <v>0</v>
      </c>
      <c r="AC16" s="385">
        <f>IFERROR(AN_TME_PY[[#This Row],[Total Claims Excluded because of Truncation]]/AN_TME_PY[[#This Row],[Count of Members with Claims Truncated]], 0)</f>
        <v>0</v>
      </c>
      <c r="AD16" s="417">
        <f>IFERROR(AN_TME_PY[[#This Row],[Total Claims Excluded because of Truncation]]/AN_TME_PY[[#This Row],[TOTAL Non-Truncated Unadjusted Claims Expenses]], 0)</f>
        <v>0</v>
      </c>
    </row>
    <row r="17" spans="1:30" x14ac:dyDescent="0.25">
      <c r="A17" s="364"/>
      <c r="B17" s="365"/>
      <c r="C17" s="365"/>
      <c r="D17" s="366"/>
      <c r="E17" s="367"/>
      <c r="F17" s="367"/>
      <c r="G17" s="367"/>
      <c r="H17" s="367"/>
      <c r="I17" s="367"/>
      <c r="J17" s="367"/>
      <c r="K17" s="367"/>
      <c r="L17" s="367"/>
      <c r="M17" s="367"/>
      <c r="N17" s="367"/>
      <c r="O17" s="367"/>
      <c r="P17" s="367"/>
      <c r="Q17" s="367"/>
      <c r="R17" s="367"/>
      <c r="S17" s="367"/>
      <c r="T17" s="367"/>
      <c r="U17" s="379"/>
      <c r="V17" s="369">
        <f t="shared" si="0"/>
        <v>0</v>
      </c>
      <c r="W17" s="369">
        <f>AN_TME_PY[[#This Row],[TOTAL Non-Truncated Unadjusted Claims Expenses]]-AN_TME_PY[[#This Row],[Total Claims Excluded because of Truncation]]</f>
        <v>0</v>
      </c>
      <c r="X17" s="369">
        <f t="shared" si="1"/>
        <v>0</v>
      </c>
      <c r="Y17" s="369">
        <f>AN_TME_PY[[#This Row],[TOTAL Non-Truncated Unadjusted Claims Expenses]]+AN_TME_PY[[#This Row],[TOTAL Non-Claims Expenses]]</f>
        <v>0</v>
      </c>
      <c r="Z17" s="369">
        <f>AN_TME_PY[[#This Row],[TOTAL Truncated Unadjusted Claims Expenses (A21 -A19)]]+AN_TME_PY[[#This Row],[TOTAL Non-Claims Expenses]]</f>
        <v>0</v>
      </c>
      <c r="AA17" s="415">
        <f>IFERROR(AN_TME_PY[[#This Row],[TOTAL Non-Truncated Unadjusted Expenses (A21 + A23)]]/AN_TME_PY[[#This Row],[Member Months]],0)</f>
        <v>0</v>
      </c>
      <c r="AB17" s="415">
        <f>IFERROR(AN_TME_PY[[#This Row],[TOTAL Truncated Unadjusted Expenses (A22 + A23)]]/AN_TME_PY[[#This Row],[Member Months]],0)</f>
        <v>0</v>
      </c>
      <c r="AC17" s="385">
        <f>IFERROR(AN_TME_PY[[#This Row],[Total Claims Excluded because of Truncation]]/AN_TME_PY[[#This Row],[Count of Members with Claims Truncated]], 0)</f>
        <v>0</v>
      </c>
      <c r="AD17" s="417">
        <f>IFERROR(AN_TME_PY[[#This Row],[Total Claims Excluded because of Truncation]]/AN_TME_PY[[#This Row],[TOTAL Non-Truncated Unadjusted Claims Expenses]], 0)</f>
        <v>0</v>
      </c>
    </row>
    <row r="18" spans="1:30" x14ac:dyDescent="0.25">
      <c r="A18" s="370"/>
      <c r="B18" s="371"/>
      <c r="C18" s="371"/>
      <c r="D18" s="372"/>
      <c r="E18" s="373"/>
      <c r="F18" s="373"/>
      <c r="G18" s="373"/>
      <c r="H18" s="373"/>
      <c r="I18" s="373"/>
      <c r="J18" s="373"/>
      <c r="K18" s="373"/>
      <c r="L18" s="373"/>
      <c r="M18" s="373"/>
      <c r="N18" s="373"/>
      <c r="O18" s="373"/>
      <c r="P18" s="373"/>
      <c r="Q18" s="373"/>
      <c r="R18" s="373"/>
      <c r="S18" s="373"/>
      <c r="T18" s="373"/>
      <c r="U18" s="380"/>
      <c r="V18" s="375">
        <f t="shared" si="0"/>
        <v>0</v>
      </c>
      <c r="W18" s="375">
        <f>AN_TME_PY[[#This Row],[TOTAL Non-Truncated Unadjusted Claims Expenses]]-AN_TME_PY[[#This Row],[Total Claims Excluded because of Truncation]]</f>
        <v>0</v>
      </c>
      <c r="X18" s="375">
        <f t="shared" si="1"/>
        <v>0</v>
      </c>
      <c r="Y18" s="375">
        <f>AN_TME_PY[[#This Row],[TOTAL Non-Truncated Unadjusted Claims Expenses]]+AN_TME_PY[[#This Row],[TOTAL Non-Claims Expenses]]</f>
        <v>0</v>
      </c>
      <c r="Z18" s="375">
        <f>AN_TME_PY[[#This Row],[TOTAL Truncated Unadjusted Claims Expenses (A21 -A19)]]+AN_TME_PY[[#This Row],[TOTAL Non-Claims Expenses]]</f>
        <v>0</v>
      </c>
      <c r="AA18" s="416">
        <f>IFERROR(AN_TME_PY[[#This Row],[TOTAL Non-Truncated Unadjusted Expenses (A21 + A23)]]/AN_TME_PY[[#This Row],[Member Months]],0)</f>
        <v>0</v>
      </c>
      <c r="AB18" s="416">
        <f>IFERROR(AN_TME_PY[[#This Row],[TOTAL Truncated Unadjusted Expenses (A22 + A23)]]/AN_TME_PY[[#This Row],[Member Months]],0)</f>
        <v>0</v>
      </c>
      <c r="AC18" s="385">
        <f>IFERROR(AN_TME_PY[[#This Row],[Total Claims Excluded because of Truncation]]/AN_TME_PY[[#This Row],[Count of Members with Claims Truncated]], 0)</f>
        <v>0</v>
      </c>
      <c r="AD18" s="417">
        <f>IFERROR(AN_TME_PY[[#This Row],[Total Claims Excluded because of Truncation]]/AN_TME_PY[[#This Row],[TOTAL Non-Truncated Unadjusted Claims Expenses]], 0)</f>
        <v>0</v>
      </c>
    </row>
    <row r="19" spans="1:30" x14ac:dyDescent="0.25">
      <c r="A19" s="364"/>
      <c r="B19" s="365"/>
      <c r="C19" s="365"/>
      <c r="D19" s="366"/>
      <c r="E19" s="367"/>
      <c r="F19" s="367"/>
      <c r="G19" s="367"/>
      <c r="H19" s="367"/>
      <c r="I19" s="367"/>
      <c r="J19" s="367"/>
      <c r="K19" s="367"/>
      <c r="L19" s="367"/>
      <c r="M19" s="367"/>
      <c r="N19" s="367"/>
      <c r="O19" s="367"/>
      <c r="P19" s="367"/>
      <c r="Q19" s="367"/>
      <c r="R19" s="367"/>
      <c r="S19" s="367"/>
      <c r="T19" s="367"/>
      <c r="U19" s="379"/>
      <c r="V19" s="369">
        <f t="shared" si="0"/>
        <v>0</v>
      </c>
      <c r="W19" s="369">
        <f>AN_TME_PY[[#This Row],[TOTAL Non-Truncated Unadjusted Claims Expenses]]-AN_TME_PY[[#This Row],[Total Claims Excluded because of Truncation]]</f>
        <v>0</v>
      </c>
      <c r="X19" s="369">
        <f t="shared" si="1"/>
        <v>0</v>
      </c>
      <c r="Y19" s="369">
        <f>AN_TME_PY[[#This Row],[TOTAL Non-Truncated Unadjusted Claims Expenses]]+AN_TME_PY[[#This Row],[TOTAL Non-Claims Expenses]]</f>
        <v>0</v>
      </c>
      <c r="Z19" s="369">
        <f>AN_TME_PY[[#This Row],[TOTAL Truncated Unadjusted Claims Expenses (A21 -A19)]]+AN_TME_PY[[#This Row],[TOTAL Non-Claims Expenses]]</f>
        <v>0</v>
      </c>
      <c r="AA19" s="415">
        <f>IFERROR(AN_TME_PY[[#This Row],[TOTAL Non-Truncated Unadjusted Expenses (A21 + A23)]]/AN_TME_PY[[#This Row],[Member Months]],0)</f>
        <v>0</v>
      </c>
      <c r="AB19" s="415">
        <f>IFERROR(AN_TME_PY[[#This Row],[TOTAL Truncated Unadjusted Expenses (A22 + A23)]]/AN_TME_PY[[#This Row],[Member Months]],0)</f>
        <v>0</v>
      </c>
      <c r="AC19" s="385">
        <f>IFERROR(AN_TME_PY[[#This Row],[Total Claims Excluded because of Truncation]]/AN_TME_PY[[#This Row],[Count of Members with Claims Truncated]], 0)</f>
        <v>0</v>
      </c>
      <c r="AD19" s="417">
        <f>IFERROR(AN_TME_PY[[#This Row],[Total Claims Excluded because of Truncation]]/AN_TME_PY[[#This Row],[TOTAL Non-Truncated Unadjusted Claims Expenses]], 0)</f>
        <v>0</v>
      </c>
    </row>
    <row r="20" spans="1:30" x14ac:dyDescent="0.25">
      <c r="A20" s="370"/>
      <c r="B20" s="371"/>
      <c r="C20" s="371"/>
      <c r="D20" s="372"/>
      <c r="E20" s="373"/>
      <c r="F20" s="373"/>
      <c r="G20" s="373"/>
      <c r="H20" s="373"/>
      <c r="I20" s="373"/>
      <c r="J20" s="373"/>
      <c r="K20" s="373"/>
      <c r="L20" s="373"/>
      <c r="M20" s="373"/>
      <c r="N20" s="373"/>
      <c r="O20" s="373"/>
      <c r="P20" s="373"/>
      <c r="Q20" s="373"/>
      <c r="R20" s="373"/>
      <c r="S20" s="373"/>
      <c r="T20" s="373"/>
      <c r="U20" s="380"/>
      <c r="V20" s="375">
        <f t="shared" si="0"/>
        <v>0</v>
      </c>
      <c r="W20" s="375">
        <f>AN_TME_PY[[#This Row],[TOTAL Non-Truncated Unadjusted Claims Expenses]]-AN_TME_PY[[#This Row],[Total Claims Excluded because of Truncation]]</f>
        <v>0</v>
      </c>
      <c r="X20" s="375">
        <f t="shared" si="1"/>
        <v>0</v>
      </c>
      <c r="Y20" s="375">
        <f>AN_TME_PY[[#This Row],[TOTAL Non-Truncated Unadjusted Claims Expenses]]+AN_TME_PY[[#This Row],[TOTAL Non-Claims Expenses]]</f>
        <v>0</v>
      </c>
      <c r="Z20" s="375">
        <f>AN_TME_PY[[#This Row],[TOTAL Truncated Unadjusted Claims Expenses (A21 -A19)]]+AN_TME_PY[[#This Row],[TOTAL Non-Claims Expenses]]</f>
        <v>0</v>
      </c>
      <c r="AA20" s="416">
        <f>IFERROR(AN_TME_PY[[#This Row],[TOTAL Non-Truncated Unadjusted Expenses (A21 + A23)]]/AN_TME_PY[[#This Row],[Member Months]],0)</f>
        <v>0</v>
      </c>
      <c r="AB20" s="416">
        <f>IFERROR(AN_TME_PY[[#This Row],[TOTAL Truncated Unadjusted Expenses (A22 + A23)]]/AN_TME_PY[[#This Row],[Member Months]],0)</f>
        <v>0</v>
      </c>
      <c r="AC20" s="385">
        <f>IFERROR(AN_TME_PY[[#This Row],[Total Claims Excluded because of Truncation]]/AN_TME_PY[[#This Row],[Count of Members with Claims Truncated]], 0)</f>
        <v>0</v>
      </c>
      <c r="AD20" s="417">
        <f>IFERROR(AN_TME_PY[[#This Row],[Total Claims Excluded because of Truncation]]/AN_TME_PY[[#This Row],[TOTAL Non-Truncated Unadjusted Claims Expenses]], 0)</f>
        <v>0</v>
      </c>
    </row>
    <row r="21" spans="1:30" x14ac:dyDescent="0.25">
      <c r="A21" s="364"/>
      <c r="B21" s="365"/>
      <c r="C21" s="365"/>
      <c r="D21" s="366"/>
      <c r="E21" s="367"/>
      <c r="F21" s="367"/>
      <c r="G21" s="367"/>
      <c r="H21" s="367"/>
      <c r="I21" s="367"/>
      <c r="J21" s="367"/>
      <c r="K21" s="367"/>
      <c r="L21" s="367"/>
      <c r="M21" s="367"/>
      <c r="N21" s="367"/>
      <c r="O21" s="367"/>
      <c r="P21" s="367"/>
      <c r="Q21" s="367"/>
      <c r="R21" s="367"/>
      <c r="S21" s="367"/>
      <c r="T21" s="367"/>
      <c r="U21" s="379"/>
      <c r="V21" s="369">
        <f t="shared" si="0"/>
        <v>0</v>
      </c>
      <c r="W21" s="369">
        <f>AN_TME_PY[[#This Row],[TOTAL Non-Truncated Unadjusted Claims Expenses]]-AN_TME_PY[[#This Row],[Total Claims Excluded because of Truncation]]</f>
        <v>0</v>
      </c>
      <c r="X21" s="369">
        <f t="shared" si="1"/>
        <v>0</v>
      </c>
      <c r="Y21" s="369">
        <f>AN_TME_PY[[#This Row],[TOTAL Non-Truncated Unadjusted Claims Expenses]]+AN_TME_PY[[#This Row],[TOTAL Non-Claims Expenses]]</f>
        <v>0</v>
      </c>
      <c r="Z21" s="369">
        <f>AN_TME_PY[[#This Row],[TOTAL Truncated Unadjusted Claims Expenses (A21 -A19)]]+AN_TME_PY[[#This Row],[TOTAL Non-Claims Expenses]]</f>
        <v>0</v>
      </c>
      <c r="AA21" s="415">
        <f>IFERROR(AN_TME_PY[[#This Row],[TOTAL Non-Truncated Unadjusted Expenses (A21 + A23)]]/AN_TME_PY[[#This Row],[Member Months]],0)</f>
        <v>0</v>
      </c>
      <c r="AB21" s="415">
        <f>IFERROR(AN_TME_PY[[#This Row],[TOTAL Truncated Unadjusted Expenses (A22 + A23)]]/AN_TME_PY[[#This Row],[Member Months]],0)</f>
        <v>0</v>
      </c>
      <c r="AC21" s="385">
        <f>IFERROR(AN_TME_PY[[#This Row],[Total Claims Excluded because of Truncation]]/AN_TME_PY[[#This Row],[Count of Members with Claims Truncated]], 0)</f>
        <v>0</v>
      </c>
      <c r="AD21" s="417">
        <f>IFERROR(AN_TME_PY[[#This Row],[Total Claims Excluded because of Truncation]]/AN_TME_PY[[#This Row],[TOTAL Non-Truncated Unadjusted Claims Expenses]], 0)</f>
        <v>0</v>
      </c>
    </row>
    <row r="22" spans="1:30" x14ac:dyDescent="0.25">
      <c r="A22" s="370"/>
      <c r="B22" s="371"/>
      <c r="C22" s="371"/>
      <c r="D22" s="372"/>
      <c r="E22" s="373"/>
      <c r="F22" s="373"/>
      <c r="G22" s="373"/>
      <c r="H22" s="373"/>
      <c r="I22" s="373"/>
      <c r="J22" s="373"/>
      <c r="K22" s="373"/>
      <c r="L22" s="373"/>
      <c r="M22" s="373"/>
      <c r="N22" s="373"/>
      <c r="O22" s="373"/>
      <c r="P22" s="373"/>
      <c r="Q22" s="373"/>
      <c r="R22" s="373"/>
      <c r="S22" s="373"/>
      <c r="T22" s="373"/>
      <c r="U22" s="380"/>
      <c r="V22" s="375">
        <f t="shared" si="0"/>
        <v>0</v>
      </c>
      <c r="W22" s="375">
        <f>AN_TME_PY[[#This Row],[TOTAL Non-Truncated Unadjusted Claims Expenses]]-AN_TME_PY[[#This Row],[Total Claims Excluded because of Truncation]]</f>
        <v>0</v>
      </c>
      <c r="X22" s="375">
        <f t="shared" si="1"/>
        <v>0</v>
      </c>
      <c r="Y22" s="375">
        <f>AN_TME_PY[[#This Row],[TOTAL Non-Truncated Unadjusted Claims Expenses]]+AN_TME_PY[[#This Row],[TOTAL Non-Claims Expenses]]</f>
        <v>0</v>
      </c>
      <c r="Z22" s="375">
        <f>AN_TME_PY[[#This Row],[TOTAL Truncated Unadjusted Claims Expenses (A21 -A19)]]+AN_TME_PY[[#This Row],[TOTAL Non-Claims Expenses]]</f>
        <v>0</v>
      </c>
      <c r="AA22" s="416">
        <f>IFERROR(AN_TME_PY[[#This Row],[TOTAL Non-Truncated Unadjusted Expenses (A21 + A23)]]/AN_TME_PY[[#This Row],[Member Months]],0)</f>
        <v>0</v>
      </c>
      <c r="AB22" s="416">
        <f>IFERROR(AN_TME_PY[[#This Row],[TOTAL Truncated Unadjusted Expenses (A22 + A23)]]/AN_TME_PY[[#This Row],[Member Months]],0)</f>
        <v>0</v>
      </c>
      <c r="AC22" s="385">
        <f>IFERROR(AN_TME_PY[[#This Row],[Total Claims Excluded because of Truncation]]/AN_TME_PY[[#This Row],[Count of Members with Claims Truncated]], 0)</f>
        <v>0</v>
      </c>
      <c r="AD22" s="417">
        <f>IFERROR(AN_TME_PY[[#This Row],[Total Claims Excluded because of Truncation]]/AN_TME_PY[[#This Row],[TOTAL Non-Truncated Unadjusted Claims Expenses]], 0)</f>
        <v>0</v>
      </c>
    </row>
    <row r="23" spans="1:30" x14ac:dyDescent="0.25">
      <c r="A23" s="364"/>
      <c r="B23" s="365"/>
      <c r="C23" s="365"/>
      <c r="D23" s="366"/>
      <c r="E23" s="367"/>
      <c r="F23" s="367"/>
      <c r="G23" s="367"/>
      <c r="H23" s="367"/>
      <c r="I23" s="367"/>
      <c r="J23" s="367"/>
      <c r="K23" s="367"/>
      <c r="L23" s="367"/>
      <c r="M23" s="367"/>
      <c r="N23" s="367"/>
      <c r="O23" s="367"/>
      <c r="P23" s="367"/>
      <c r="Q23" s="367"/>
      <c r="R23" s="367"/>
      <c r="S23" s="367"/>
      <c r="T23" s="367"/>
      <c r="U23" s="379"/>
      <c r="V23" s="369">
        <f t="shared" si="0"/>
        <v>0</v>
      </c>
      <c r="W23" s="369">
        <f>AN_TME_PY[[#This Row],[TOTAL Non-Truncated Unadjusted Claims Expenses]]-AN_TME_PY[[#This Row],[Total Claims Excluded because of Truncation]]</f>
        <v>0</v>
      </c>
      <c r="X23" s="369">
        <f t="shared" si="1"/>
        <v>0</v>
      </c>
      <c r="Y23" s="369">
        <f>AN_TME_PY[[#This Row],[TOTAL Non-Truncated Unadjusted Claims Expenses]]+AN_TME_PY[[#This Row],[TOTAL Non-Claims Expenses]]</f>
        <v>0</v>
      </c>
      <c r="Z23" s="369">
        <f>AN_TME_PY[[#This Row],[TOTAL Truncated Unadjusted Claims Expenses (A21 -A19)]]+AN_TME_PY[[#This Row],[TOTAL Non-Claims Expenses]]</f>
        <v>0</v>
      </c>
      <c r="AA23" s="415">
        <f>IFERROR(AN_TME_PY[[#This Row],[TOTAL Non-Truncated Unadjusted Expenses (A21 + A23)]]/AN_TME_PY[[#This Row],[Member Months]],0)</f>
        <v>0</v>
      </c>
      <c r="AB23" s="415">
        <f>IFERROR(AN_TME_PY[[#This Row],[TOTAL Truncated Unadjusted Expenses (A22 + A23)]]/AN_TME_PY[[#This Row],[Member Months]],0)</f>
        <v>0</v>
      </c>
      <c r="AC23" s="385">
        <f>IFERROR(AN_TME_PY[[#This Row],[Total Claims Excluded because of Truncation]]/AN_TME_PY[[#This Row],[Count of Members with Claims Truncated]], 0)</f>
        <v>0</v>
      </c>
      <c r="AD23" s="417">
        <f>IFERROR(AN_TME_PY[[#This Row],[Total Claims Excluded because of Truncation]]/AN_TME_PY[[#This Row],[TOTAL Non-Truncated Unadjusted Claims Expenses]], 0)</f>
        <v>0</v>
      </c>
    </row>
    <row r="24" spans="1:30" x14ac:dyDescent="0.25">
      <c r="A24" s="370"/>
      <c r="B24" s="371"/>
      <c r="C24" s="371"/>
      <c r="D24" s="372"/>
      <c r="E24" s="373"/>
      <c r="F24" s="373"/>
      <c r="G24" s="373"/>
      <c r="H24" s="373"/>
      <c r="I24" s="373"/>
      <c r="J24" s="373"/>
      <c r="K24" s="373"/>
      <c r="L24" s="373"/>
      <c r="M24" s="373"/>
      <c r="N24" s="373"/>
      <c r="O24" s="373"/>
      <c r="P24" s="373"/>
      <c r="Q24" s="373"/>
      <c r="R24" s="373"/>
      <c r="S24" s="373"/>
      <c r="T24" s="373"/>
      <c r="U24" s="380"/>
      <c r="V24" s="375">
        <f t="shared" si="0"/>
        <v>0</v>
      </c>
      <c r="W24" s="375">
        <f>AN_TME_PY[[#This Row],[TOTAL Non-Truncated Unadjusted Claims Expenses]]-AN_TME_PY[[#This Row],[Total Claims Excluded because of Truncation]]</f>
        <v>0</v>
      </c>
      <c r="X24" s="375">
        <f t="shared" si="1"/>
        <v>0</v>
      </c>
      <c r="Y24" s="375">
        <f>AN_TME_PY[[#This Row],[TOTAL Non-Truncated Unadjusted Claims Expenses]]+AN_TME_PY[[#This Row],[TOTAL Non-Claims Expenses]]</f>
        <v>0</v>
      </c>
      <c r="Z24" s="375">
        <f>AN_TME_PY[[#This Row],[TOTAL Truncated Unadjusted Claims Expenses (A21 -A19)]]+AN_TME_PY[[#This Row],[TOTAL Non-Claims Expenses]]</f>
        <v>0</v>
      </c>
      <c r="AA24" s="416">
        <f>IFERROR(AN_TME_PY[[#This Row],[TOTAL Non-Truncated Unadjusted Expenses (A21 + A23)]]/AN_TME_PY[[#This Row],[Member Months]],0)</f>
        <v>0</v>
      </c>
      <c r="AB24" s="416">
        <f>IFERROR(AN_TME_PY[[#This Row],[TOTAL Truncated Unadjusted Expenses (A22 + A23)]]/AN_TME_PY[[#This Row],[Member Months]],0)</f>
        <v>0</v>
      </c>
      <c r="AC24" s="385">
        <f>IFERROR(AN_TME_PY[[#This Row],[Total Claims Excluded because of Truncation]]/AN_TME_PY[[#This Row],[Count of Members with Claims Truncated]], 0)</f>
        <v>0</v>
      </c>
      <c r="AD24" s="417">
        <f>IFERROR(AN_TME_PY[[#This Row],[Total Claims Excluded because of Truncation]]/AN_TME_PY[[#This Row],[TOTAL Non-Truncated Unadjusted Claims Expenses]], 0)</f>
        <v>0</v>
      </c>
    </row>
    <row r="25" spans="1:30" x14ac:dyDescent="0.25">
      <c r="A25" s="364"/>
      <c r="B25" s="365"/>
      <c r="C25" s="365"/>
      <c r="D25" s="366"/>
      <c r="E25" s="367"/>
      <c r="F25" s="367"/>
      <c r="G25" s="367"/>
      <c r="H25" s="367"/>
      <c r="I25" s="367"/>
      <c r="J25" s="367"/>
      <c r="K25" s="367"/>
      <c r="L25" s="367"/>
      <c r="M25" s="367"/>
      <c r="N25" s="367"/>
      <c r="O25" s="367"/>
      <c r="P25" s="367"/>
      <c r="Q25" s="367"/>
      <c r="R25" s="367"/>
      <c r="S25" s="367"/>
      <c r="T25" s="367"/>
      <c r="U25" s="379"/>
      <c r="V25" s="369">
        <f t="shared" si="0"/>
        <v>0</v>
      </c>
      <c r="W25" s="369">
        <f>AN_TME_PY[[#This Row],[TOTAL Non-Truncated Unadjusted Claims Expenses]]-AN_TME_PY[[#This Row],[Total Claims Excluded because of Truncation]]</f>
        <v>0</v>
      </c>
      <c r="X25" s="369">
        <f t="shared" si="1"/>
        <v>0</v>
      </c>
      <c r="Y25" s="369">
        <f>AN_TME_PY[[#This Row],[TOTAL Non-Truncated Unadjusted Claims Expenses]]+AN_TME_PY[[#This Row],[TOTAL Non-Claims Expenses]]</f>
        <v>0</v>
      </c>
      <c r="Z25" s="369">
        <f>AN_TME_PY[[#This Row],[TOTAL Truncated Unadjusted Claims Expenses (A21 -A19)]]+AN_TME_PY[[#This Row],[TOTAL Non-Claims Expenses]]</f>
        <v>0</v>
      </c>
      <c r="AA25" s="415">
        <f>IFERROR(AN_TME_PY[[#This Row],[TOTAL Non-Truncated Unadjusted Expenses (A21 + A23)]]/AN_TME_PY[[#This Row],[Member Months]],0)</f>
        <v>0</v>
      </c>
      <c r="AB25" s="415">
        <f>IFERROR(AN_TME_PY[[#This Row],[TOTAL Truncated Unadjusted Expenses (A22 + A23)]]/AN_TME_PY[[#This Row],[Member Months]],0)</f>
        <v>0</v>
      </c>
      <c r="AC25" s="385">
        <f>IFERROR(AN_TME_PY[[#This Row],[Total Claims Excluded because of Truncation]]/AN_TME_PY[[#This Row],[Count of Members with Claims Truncated]], 0)</f>
        <v>0</v>
      </c>
      <c r="AD25" s="417">
        <f>IFERROR(AN_TME_PY[[#This Row],[Total Claims Excluded because of Truncation]]/AN_TME_PY[[#This Row],[TOTAL Non-Truncated Unadjusted Claims Expenses]], 0)</f>
        <v>0</v>
      </c>
    </row>
    <row r="26" spans="1:30" x14ac:dyDescent="0.25">
      <c r="A26" s="370"/>
      <c r="B26" s="371"/>
      <c r="C26" s="371"/>
      <c r="D26" s="372"/>
      <c r="E26" s="373"/>
      <c r="F26" s="373"/>
      <c r="G26" s="373"/>
      <c r="H26" s="373"/>
      <c r="I26" s="373"/>
      <c r="J26" s="373"/>
      <c r="K26" s="373"/>
      <c r="L26" s="373"/>
      <c r="M26" s="373"/>
      <c r="N26" s="373"/>
      <c r="O26" s="373"/>
      <c r="P26" s="373"/>
      <c r="Q26" s="373"/>
      <c r="R26" s="373"/>
      <c r="S26" s="373"/>
      <c r="T26" s="373"/>
      <c r="U26" s="380"/>
      <c r="V26" s="375">
        <f t="shared" si="0"/>
        <v>0</v>
      </c>
      <c r="W26" s="375">
        <f>AN_TME_PY[[#This Row],[TOTAL Non-Truncated Unadjusted Claims Expenses]]-AN_TME_PY[[#This Row],[Total Claims Excluded because of Truncation]]</f>
        <v>0</v>
      </c>
      <c r="X26" s="375">
        <f t="shared" si="1"/>
        <v>0</v>
      </c>
      <c r="Y26" s="375">
        <f>AN_TME_PY[[#This Row],[TOTAL Non-Truncated Unadjusted Claims Expenses]]+AN_TME_PY[[#This Row],[TOTAL Non-Claims Expenses]]</f>
        <v>0</v>
      </c>
      <c r="Z26" s="375">
        <f>AN_TME_PY[[#This Row],[TOTAL Truncated Unadjusted Claims Expenses (A21 -A19)]]+AN_TME_PY[[#This Row],[TOTAL Non-Claims Expenses]]</f>
        <v>0</v>
      </c>
      <c r="AA26" s="416">
        <f>IFERROR(AN_TME_PY[[#This Row],[TOTAL Non-Truncated Unadjusted Expenses (A21 + A23)]]/AN_TME_PY[[#This Row],[Member Months]],0)</f>
        <v>0</v>
      </c>
      <c r="AB26" s="416">
        <f>IFERROR(AN_TME_PY[[#This Row],[TOTAL Truncated Unadjusted Expenses (A22 + A23)]]/AN_TME_PY[[#This Row],[Member Months]],0)</f>
        <v>0</v>
      </c>
      <c r="AC26" s="385">
        <f>IFERROR(AN_TME_PY[[#This Row],[Total Claims Excluded because of Truncation]]/AN_TME_PY[[#This Row],[Count of Members with Claims Truncated]], 0)</f>
        <v>0</v>
      </c>
      <c r="AD26" s="417">
        <f>IFERROR(AN_TME_PY[[#This Row],[Total Claims Excluded because of Truncation]]/AN_TME_PY[[#This Row],[TOTAL Non-Truncated Unadjusted Claims Expenses]], 0)</f>
        <v>0</v>
      </c>
    </row>
    <row r="27" spans="1:30" x14ac:dyDescent="0.25">
      <c r="A27" s="364"/>
      <c r="B27" s="365"/>
      <c r="C27" s="365"/>
      <c r="D27" s="366"/>
      <c r="E27" s="367"/>
      <c r="F27" s="367"/>
      <c r="G27" s="367"/>
      <c r="H27" s="367"/>
      <c r="I27" s="367"/>
      <c r="J27" s="367"/>
      <c r="K27" s="367"/>
      <c r="L27" s="367"/>
      <c r="M27" s="367"/>
      <c r="N27" s="367"/>
      <c r="O27" s="367"/>
      <c r="P27" s="367"/>
      <c r="Q27" s="367"/>
      <c r="R27" s="367"/>
      <c r="S27" s="367"/>
      <c r="T27" s="367"/>
      <c r="U27" s="379"/>
      <c r="V27" s="369">
        <f t="shared" si="0"/>
        <v>0</v>
      </c>
      <c r="W27" s="369">
        <f>AN_TME_PY[[#This Row],[TOTAL Non-Truncated Unadjusted Claims Expenses]]-AN_TME_PY[[#This Row],[Total Claims Excluded because of Truncation]]</f>
        <v>0</v>
      </c>
      <c r="X27" s="369">
        <f t="shared" si="1"/>
        <v>0</v>
      </c>
      <c r="Y27" s="369">
        <f>AN_TME_PY[[#This Row],[TOTAL Non-Truncated Unadjusted Claims Expenses]]+AN_TME_PY[[#This Row],[TOTAL Non-Claims Expenses]]</f>
        <v>0</v>
      </c>
      <c r="Z27" s="369">
        <f>AN_TME_PY[[#This Row],[TOTAL Truncated Unadjusted Claims Expenses (A21 -A19)]]+AN_TME_PY[[#This Row],[TOTAL Non-Claims Expenses]]</f>
        <v>0</v>
      </c>
      <c r="AA27" s="415">
        <f>IFERROR(AN_TME_PY[[#This Row],[TOTAL Non-Truncated Unadjusted Expenses (A21 + A23)]]/AN_TME_PY[[#This Row],[Member Months]],0)</f>
        <v>0</v>
      </c>
      <c r="AB27" s="415">
        <f>IFERROR(AN_TME_PY[[#This Row],[TOTAL Truncated Unadjusted Expenses (A22 + A23)]]/AN_TME_PY[[#This Row],[Member Months]],0)</f>
        <v>0</v>
      </c>
      <c r="AC27" s="385">
        <f>IFERROR(AN_TME_PY[[#This Row],[Total Claims Excluded because of Truncation]]/AN_TME_PY[[#This Row],[Count of Members with Claims Truncated]], 0)</f>
        <v>0</v>
      </c>
      <c r="AD27" s="417">
        <f>IFERROR(AN_TME_PY[[#This Row],[Total Claims Excluded because of Truncation]]/AN_TME_PY[[#This Row],[TOTAL Non-Truncated Unadjusted Claims Expenses]], 0)</f>
        <v>0</v>
      </c>
    </row>
    <row r="28" spans="1:30" x14ac:dyDescent="0.25">
      <c r="A28" s="370"/>
      <c r="B28" s="371"/>
      <c r="C28" s="371"/>
      <c r="D28" s="372"/>
      <c r="E28" s="373"/>
      <c r="F28" s="373"/>
      <c r="G28" s="373"/>
      <c r="H28" s="373"/>
      <c r="I28" s="373"/>
      <c r="J28" s="373"/>
      <c r="K28" s="373"/>
      <c r="L28" s="373"/>
      <c r="M28" s="373"/>
      <c r="N28" s="373"/>
      <c r="O28" s="373"/>
      <c r="P28" s="373"/>
      <c r="Q28" s="373"/>
      <c r="R28" s="373"/>
      <c r="S28" s="373"/>
      <c r="T28" s="373"/>
      <c r="U28" s="380"/>
      <c r="V28" s="375">
        <f t="shared" si="0"/>
        <v>0</v>
      </c>
      <c r="W28" s="375">
        <f>AN_TME_PY[[#This Row],[TOTAL Non-Truncated Unadjusted Claims Expenses]]-AN_TME_PY[[#This Row],[Total Claims Excluded because of Truncation]]</f>
        <v>0</v>
      </c>
      <c r="X28" s="375">
        <f t="shared" si="1"/>
        <v>0</v>
      </c>
      <c r="Y28" s="375">
        <f>AN_TME_PY[[#This Row],[TOTAL Non-Truncated Unadjusted Claims Expenses]]+AN_TME_PY[[#This Row],[TOTAL Non-Claims Expenses]]</f>
        <v>0</v>
      </c>
      <c r="Z28" s="375">
        <f>AN_TME_PY[[#This Row],[TOTAL Truncated Unadjusted Claims Expenses (A21 -A19)]]+AN_TME_PY[[#This Row],[TOTAL Non-Claims Expenses]]</f>
        <v>0</v>
      </c>
      <c r="AA28" s="416">
        <f>IFERROR(AN_TME_PY[[#This Row],[TOTAL Non-Truncated Unadjusted Expenses (A21 + A23)]]/AN_TME_PY[[#This Row],[Member Months]],0)</f>
        <v>0</v>
      </c>
      <c r="AB28" s="416">
        <f>IFERROR(AN_TME_PY[[#This Row],[TOTAL Truncated Unadjusted Expenses (A22 + A23)]]/AN_TME_PY[[#This Row],[Member Months]],0)</f>
        <v>0</v>
      </c>
      <c r="AC28" s="385">
        <f>IFERROR(AN_TME_PY[[#This Row],[Total Claims Excluded because of Truncation]]/AN_TME_PY[[#This Row],[Count of Members with Claims Truncated]], 0)</f>
        <v>0</v>
      </c>
      <c r="AD28" s="417">
        <f>IFERROR(AN_TME_PY[[#This Row],[Total Claims Excluded because of Truncation]]/AN_TME_PY[[#This Row],[TOTAL Non-Truncated Unadjusted Claims Expenses]], 0)</f>
        <v>0</v>
      </c>
    </row>
    <row r="29" spans="1:30" x14ac:dyDescent="0.25">
      <c r="A29" s="364"/>
      <c r="B29" s="365"/>
      <c r="C29" s="365"/>
      <c r="D29" s="366"/>
      <c r="E29" s="367"/>
      <c r="F29" s="367"/>
      <c r="G29" s="367"/>
      <c r="H29" s="367"/>
      <c r="I29" s="367"/>
      <c r="J29" s="367"/>
      <c r="K29" s="367"/>
      <c r="L29" s="367"/>
      <c r="M29" s="367"/>
      <c r="N29" s="367"/>
      <c r="O29" s="367"/>
      <c r="P29" s="367"/>
      <c r="Q29" s="367"/>
      <c r="R29" s="367"/>
      <c r="S29" s="367"/>
      <c r="T29" s="367"/>
      <c r="U29" s="379"/>
      <c r="V29" s="369">
        <f t="shared" si="0"/>
        <v>0</v>
      </c>
      <c r="W29" s="369">
        <f>AN_TME_PY[[#This Row],[TOTAL Non-Truncated Unadjusted Claims Expenses]]-AN_TME_PY[[#This Row],[Total Claims Excluded because of Truncation]]</f>
        <v>0</v>
      </c>
      <c r="X29" s="369">
        <f t="shared" si="1"/>
        <v>0</v>
      </c>
      <c r="Y29" s="369">
        <f>AN_TME_PY[[#This Row],[TOTAL Non-Truncated Unadjusted Claims Expenses]]+AN_TME_PY[[#This Row],[TOTAL Non-Claims Expenses]]</f>
        <v>0</v>
      </c>
      <c r="Z29" s="369">
        <f>AN_TME_PY[[#This Row],[TOTAL Truncated Unadjusted Claims Expenses (A21 -A19)]]+AN_TME_PY[[#This Row],[TOTAL Non-Claims Expenses]]</f>
        <v>0</v>
      </c>
      <c r="AA29" s="415">
        <f>IFERROR(AN_TME_PY[[#This Row],[TOTAL Non-Truncated Unadjusted Expenses (A21 + A23)]]/AN_TME_PY[[#This Row],[Member Months]],0)</f>
        <v>0</v>
      </c>
      <c r="AB29" s="415">
        <f>IFERROR(AN_TME_PY[[#This Row],[TOTAL Truncated Unadjusted Expenses (A22 + A23)]]/AN_TME_PY[[#This Row],[Member Months]],0)</f>
        <v>0</v>
      </c>
      <c r="AC29" s="385">
        <f>IFERROR(AN_TME_PY[[#This Row],[Total Claims Excluded because of Truncation]]/AN_TME_PY[[#This Row],[Count of Members with Claims Truncated]], 0)</f>
        <v>0</v>
      </c>
      <c r="AD29" s="417">
        <f>IFERROR(AN_TME_PY[[#This Row],[Total Claims Excluded because of Truncation]]/AN_TME_PY[[#This Row],[TOTAL Non-Truncated Unadjusted Claims Expenses]], 0)</f>
        <v>0</v>
      </c>
    </row>
    <row r="30" spans="1:30" x14ac:dyDescent="0.25">
      <c r="A30" s="370"/>
      <c r="B30" s="371"/>
      <c r="C30" s="371"/>
      <c r="D30" s="372"/>
      <c r="E30" s="373"/>
      <c r="F30" s="373"/>
      <c r="G30" s="373"/>
      <c r="H30" s="373"/>
      <c r="I30" s="373"/>
      <c r="J30" s="373"/>
      <c r="K30" s="373"/>
      <c r="L30" s="373"/>
      <c r="M30" s="373"/>
      <c r="N30" s="373"/>
      <c r="O30" s="373"/>
      <c r="P30" s="373"/>
      <c r="Q30" s="373"/>
      <c r="R30" s="373"/>
      <c r="S30" s="373"/>
      <c r="T30" s="373"/>
      <c r="U30" s="380"/>
      <c r="V30" s="375">
        <f t="shared" si="0"/>
        <v>0</v>
      </c>
      <c r="W30" s="375">
        <f>AN_TME_PY[[#This Row],[TOTAL Non-Truncated Unadjusted Claims Expenses]]-AN_TME_PY[[#This Row],[Total Claims Excluded because of Truncation]]</f>
        <v>0</v>
      </c>
      <c r="X30" s="375">
        <f t="shared" si="1"/>
        <v>0</v>
      </c>
      <c r="Y30" s="375">
        <f>AN_TME_PY[[#This Row],[TOTAL Non-Truncated Unadjusted Claims Expenses]]+AN_TME_PY[[#This Row],[TOTAL Non-Claims Expenses]]</f>
        <v>0</v>
      </c>
      <c r="Z30" s="375">
        <f>AN_TME_PY[[#This Row],[TOTAL Truncated Unadjusted Claims Expenses (A21 -A19)]]+AN_TME_PY[[#This Row],[TOTAL Non-Claims Expenses]]</f>
        <v>0</v>
      </c>
      <c r="AA30" s="416">
        <f>IFERROR(AN_TME_PY[[#This Row],[TOTAL Non-Truncated Unadjusted Expenses (A21 + A23)]]/AN_TME_PY[[#This Row],[Member Months]],0)</f>
        <v>0</v>
      </c>
      <c r="AB30" s="416">
        <f>IFERROR(AN_TME_PY[[#This Row],[TOTAL Truncated Unadjusted Expenses (A22 + A23)]]/AN_TME_PY[[#This Row],[Member Months]],0)</f>
        <v>0</v>
      </c>
      <c r="AC30" s="385">
        <f>IFERROR(AN_TME_PY[[#This Row],[Total Claims Excluded because of Truncation]]/AN_TME_PY[[#This Row],[Count of Members with Claims Truncated]], 0)</f>
        <v>0</v>
      </c>
      <c r="AD30" s="417">
        <f>IFERROR(AN_TME_PY[[#This Row],[Total Claims Excluded because of Truncation]]/AN_TME_PY[[#This Row],[TOTAL Non-Truncated Unadjusted Claims Expenses]], 0)</f>
        <v>0</v>
      </c>
    </row>
    <row r="31" spans="1:30" x14ac:dyDescent="0.25">
      <c r="A31" s="364"/>
      <c r="B31" s="365"/>
      <c r="C31" s="365"/>
      <c r="D31" s="366"/>
      <c r="E31" s="367"/>
      <c r="F31" s="367"/>
      <c r="G31" s="367"/>
      <c r="H31" s="367"/>
      <c r="I31" s="367"/>
      <c r="J31" s="367"/>
      <c r="K31" s="367"/>
      <c r="L31" s="367"/>
      <c r="M31" s="367"/>
      <c r="N31" s="367"/>
      <c r="O31" s="367"/>
      <c r="P31" s="367"/>
      <c r="Q31" s="367"/>
      <c r="R31" s="367"/>
      <c r="S31" s="367"/>
      <c r="T31" s="367"/>
      <c r="U31" s="379"/>
      <c r="V31" s="369">
        <f t="shared" si="0"/>
        <v>0</v>
      </c>
      <c r="W31" s="369">
        <f>AN_TME_PY[[#This Row],[TOTAL Non-Truncated Unadjusted Claims Expenses]]-AN_TME_PY[[#This Row],[Total Claims Excluded because of Truncation]]</f>
        <v>0</v>
      </c>
      <c r="X31" s="369">
        <f t="shared" si="1"/>
        <v>0</v>
      </c>
      <c r="Y31" s="369">
        <f>AN_TME_PY[[#This Row],[TOTAL Non-Truncated Unadjusted Claims Expenses]]+AN_TME_PY[[#This Row],[TOTAL Non-Claims Expenses]]</f>
        <v>0</v>
      </c>
      <c r="Z31" s="369">
        <f>AN_TME_PY[[#This Row],[TOTAL Truncated Unadjusted Claims Expenses (A21 -A19)]]+AN_TME_PY[[#This Row],[TOTAL Non-Claims Expenses]]</f>
        <v>0</v>
      </c>
      <c r="AA31" s="415">
        <f>IFERROR(AN_TME_PY[[#This Row],[TOTAL Non-Truncated Unadjusted Expenses (A21 + A23)]]/AN_TME_PY[[#This Row],[Member Months]],0)</f>
        <v>0</v>
      </c>
      <c r="AB31" s="415">
        <f>IFERROR(AN_TME_PY[[#This Row],[TOTAL Truncated Unadjusted Expenses (A22 + A23)]]/AN_TME_PY[[#This Row],[Member Months]],0)</f>
        <v>0</v>
      </c>
      <c r="AC31" s="385">
        <f>IFERROR(AN_TME_PY[[#This Row],[Total Claims Excluded because of Truncation]]/AN_TME_PY[[#This Row],[Count of Members with Claims Truncated]], 0)</f>
        <v>0</v>
      </c>
      <c r="AD31" s="417">
        <f>IFERROR(AN_TME_PY[[#This Row],[Total Claims Excluded because of Truncation]]/AN_TME_PY[[#This Row],[TOTAL Non-Truncated Unadjusted Claims Expenses]], 0)</f>
        <v>0</v>
      </c>
    </row>
    <row r="32" spans="1:30" x14ac:dyDescent="0.25">
      <c r="A32" s="370"/>
      <c r="B32" s="371"/>
      <c r="C32" s="371"/>
      <c r="D32" s="372"/>
      <c r="E32" s="373"/>
      <c r="F32" s="373"/>
      <c r="G32" s="373"/>
      <c r="H32" s="373"/>
      <c r="I32" s="373"/>
      <c r="J32" s="373"/>
      <c r="K32" s="373"/>
      <c r="L32" s="373"/>
      <c r="M32" s="373"/>
      <c r="N32" s="373"/>
      <c r="O32" s="373"/>
      <c r="P32" s="373"/>
      <c r="Q32" s="373"/>
      <c r="R32" s="373"/>
      <c r="S32" s="373"/>
      <c r="T32" s="373"/>
      <c r="U32" s="380"/>
      <c r="V32" s="375">
        <f t="shared" si="0"/>
        <v>0</v>
      </c>
      <c r="W32" s="375">
        <f>AN_TME_PY[[#This Row],[TOTAL Non-Truncated Unadjusted Claims Expenses]]-AN_TME_PY[[#This Row],[Total Claims Excluded because of Truncation]]</f>
        <v>0</v>
      </c>
      <c r="X32" s="375">
        <f t="shared" si="1"/>
        <v>0</v>
      </c>
      <c r="Y32" s="375">
        <f>AN_TME_PY[[#This Row],[TOTAL Non-Truncated Unadjusted Claims Expenses]]+AN_TME_PY[[#This Row],[TOTAL Non-Claims Expenses]]</f>
        <v>0</v>
      </c>
      <c r="Z32" s="375">
        <f>AN_TME_PY[[#This Row],[TOTAL Truncated Unadjusted Claims Expenses (A21 -A19)]]+AN_TME_PY[[#This Row],[TOTAL Non-Claims Expenses]]</f>
        <v>0</v>
      </c>
      <c r="AA32" s="416">
        <f>IFERROR(AN_TME_PY[[#This Row],[TOTAL Non-Truncated Unadjusted Expenses (A21 + A23)]]/AN_TME_PY[[#This Row],[Member Months]],0)</f>
        <v>0</v>
      </c>
      <c r="AB32" s="416">
        <f>IFERROR(AN_TME_PY[[#This Row],[TOTAL Truncated Unadjusted Expenses (A22 + A23)]]/AN_TME_PY[[#This Row],[Member Months]],0)</f>
        <v>0</v>
      </c>
      <c r="AC32" s="385">
        <f>IFERROR(AN_TME_PY[[#This Row],[Total Claims Excluded because of Truncation]]/AN_TME_PY[[#This Row],[Count of Members with Claims Truncated]], 0)</f>
        <v>0</v>
      </c>
      <c r="AD32" s="417">
        <f>IFERROR(AN_TME_PY[[#This Row],[Total Claims Excluded because of Truncation]]/AN_TME_PY[[#This Row],[TOTAL Non-Truncated Unadjusted Claims Expenses]], 0)</f>
        <v>0</v>
      </c>
    </row>
    <row r="33" spans="1:30" x14ac:dyDescent="0.25">
      <c r="A33" s="364"/>
      <c r="B33" s="365"/>
      <c r="C33" s="365"/>
      <c r="D33" s="366"/>
      <c r="E33" s="367"/>
      <c r="F33" s="367"/>
      <c r="G33" s="367"/>
      <c r="H33" s="367"/>
      <c r="I33" s="367"/>
      <c r="J33" s="367"/>
      <c r="K33" s="367"/>
      <c r="L33" s="367"/>
      <c r="M33" s="367"/>
      <c r="N33" s="367"/>
      <c r="O33" s="367"/>
      <c r="P33" s="367"/>
      <c r="Q33" s="367"/>
      <c r="R33" s="367"/>
      <c r="S33" s="367"/>
      <c r="T33" s="367"/>
      <c r="U33" s="379"/>
      <c r="V33" s="369">
        <f t="shared" si="0"/>
        <v>0</v>
      </c>
      <c r="W33" s="369">
        <f>AN_TME_PY[[#This Row],[TOTAL Non-Truncated Unadjusted Claims Expenses]]-AN_TME_PY[[#This Row],[Total Claims Excluded because of Truncation]]</f>
        <v>0</v>
      </c>
      <c r="X33" s="369">
        <f t="shared" si="1"/>
        <v>0</v>
      </c>
      <c r="Y33" s="369">
        <f>AN_TME_PY[[#This Row],[TOTAL Non-Truncated Unadjusted Claims Expenses]]+AN_TME_PY[[#This Row],[TOTAL Non-Claims Expenses]]</f>
        <v>0</v>
      </c>
      <c r="Z33" s="369">
        <f>AN_TME_PY[[#This Row],[TOTAL Truncated Unadjusted Claims Expenses (A21 -A19)]]+AN_TME_PY[[#This Row],[TOTAL Non-Claims Expenses]]</f>
        <v>0</v>
      </c>
      <c r="AA33" s="415">
        <f>IFERROR(AN_TME_PY[[#This Row],[TOTAL Non-Truncated Unadjusted Expenses (A21 + A23)]]/AN_TME_PY[[#This Row],[Member Months]],0)</f>
        <v>0</v>
      </c>
      <c r="AB33" s="415">
        <f>IFERROR(AN_TME_PY[[#This Row],[TOTAL Truncated Unadjusted Expenses (A22 + A23)]]/AN_TME_PY[[#This Row],[Member Months]],0)</f>
        <v>0</v>
      </c>
      <c r="AC33" s="385">
        <f>IFERROR(AN_TME_PY[[#This Row],[Total Claims Excluded because of Truncation]]/AN_TME_PY[[#This Row],[Count of Members with Claims Truncated]], 0)</f>
        <v>0</v>
      </c>
      <c r="AD33" s="417">
        <f>IFERROR(AN_TME_PY[[#This Row],[Total Claims Excluded because of Truncation]]/AN_TME_PY[[#This Row],[TOTAL Non-Truncated Unadjusted Claims Expenses]], 0)</f>
        <v>0</v>
      </c>
    </row>
    <row r="34" spans="1:30" x14ac:dyDescent="0.25">
      <c r="A34" s="370"/>
      <c r="B34" s="371"/>
      <c r="C34" s="371"/>
      <c r="D34" s="372"/>
      <c r="E34" s="373"/>
      <c r="F34" s="373"/>
      <c r="G34" s="373"/>
      <c r="H34" s="373"/>
      <c r="I34" s="373"/>
      <c r="J34" s="373"/>
      <c r="K34" s="373"/>
      <c r="L34" s="373"/>
      <c r="M34" s="373"/>
      <c r="N34" s="373"/>
      <c r="O34" s="373"/>
      <c r="P34" s="373"/>
      <c r="Q34" s="373"/>
      <c r="R34" s="373"/>
      <c r="S34" s="373"/>
      <c r="T34" s="373"/>
      <c r="U34" s="380"/>
      <c r="V34" s="375">
        <f t="shared" si="0"/>
        <v>0</v>
      </c>
      <c r="W34" s="375">
        <f>AN_TME_PY[[#This Row],[TOTAL Non-Truncated Unadjusted Claims Expenses]]-AN_TME_PY[[#This Row],[Total Claims Excluded because of Truncation]]</f>
        <v>0</v>
      </c>
      <c r="X34" s="375">
        <f t="shared" si="1"/>
        <v>0</v>
      </c>
      <c r="Y34" s="375">
        <f>AN_TME_PY[[#This Row],[TOTAL Non-Truncated Unadjusted Claims Expenses]]+AN_TME_PY[[#This Row],[TOTAL Non-Claims Expenses]]</f>
        <v>0</v>
      </c>
      <c r="Z34" s="375">
        <f>AN_TME_PY[[#This Row],[TOTAL Truncated Unadjusted Claims Expenses (A21 -A19)]]+AN_TME_PY[[#This Row],[TOTAL Non-Claims Expenses]]</f>
        <v>0</v>
      </c>
      <c r="AA34" s="416">
        <f>IFERROR(AN_TME_PY[[#This Row],[TOTAL Non-Truncated Unadjusted Expenses (A21 + A23)]]/AN_TME_PY[[#This Row],[Member Months]],0)</f>
        <v>0</v>
      </c>
      <c r="AB34" s="416">
        <f>IFERROR(AN_TME_PY[[#This Row],[TOTAL Truncated Unadjusted Expenses (A22 + A23)]]/AN_TME_PY[[#This Row],[Member Months]],0)</f>
        <v>0</v>
      </c>
      <c r="AC34" s="385">
        <f>IFERROR(AN_TME_PY[[#This Row],[Total Claims Excluded because of Truncation]]/AN_TME_PY[[#This Row],[Count of Members with Claims Truncated]], 0)</f>
        <v>0</v>
      </c>
      <c r="AD34" s="417">
        <f>IFERROR(AN_TME_PY[[#This Row],[Total Claims Excluded because of Truncation]]/AN_TME_PY[[#This Row],[TOTAL Non-Truncated Unadjusted Claims Expenses]], 0)</f>
        <v>0</v>
      </c>
    </row>
    <row r="35" spans="1:30" x14ac:dyDescent="0.25">
      <c r="A35" s="364"/>
      <c r="B35" s="365"/>
      <c r="C35" s="365"/>
      <c r="D35" s="366"/>
      <c r="E35" s="367"/>
      <c r="F35" s="367"/>
      <c r="G35" s="367"/>
      <c r="H35" s="367"/>
      <c r="I35" s="367"/>
      <c r="J35" s="367"/>
      <c r="K35" s="367"/>
      <c r="L35" s="367"/>
      <c r="M35" s="367"/>
      <c r="N35" s="367"/>
      <c r="O35" s="367"/>
      <c r="P35" s="367"/>
      <c r="Q35" s="367"/>
      <c r="R35" s="367"/>
      <c r="S35" s="367"/>
      <c r="T35" s="367"/>
      <c r="U35" s="379"/>
      <c r="V35" s="369">
        <f t="shared" si="0"/>
        <v>0</v>
      </c>
      <c r="W35" s="369">
        <f>AN_TME_PY[[#This Row],[TOTAL Non-Truncated Unadjusted Claims Expenses]]-AN_TME_PY[[#This Row],[Total Claims Excluded because of Truncation]]</f>
        <v>0</v>
      </c>
      <c r="X35" s="369">
        <f t="shared" si="1"/>
        <v>0</v>
      </c>
      <c r="Y35" s="369">
        <f>AN_TME_PY[[#This Row],[TOTAL Non-Truncated Unadjusted Claims Expenses]]+AN_TME_PY[[#This Row],[TOTAL Non-Claims Expenses]]</f>
        <v>0</v>
      </c>
      <c r="Z35" s="369">
        <f>AN_TME_PY[[#This Row],[TOTAL Truncated Unadjusted Claims Expenses (A21 -A19)]]+AN_TME_PY[[#This Row],[TOTAL Non-Claims Expenses]]</f>
        <v>0</v>
      </c>
      <c r="AA35" s="415">
        <f>IFERROR(AN_TME_PY[[#This Row],[TOTAL Non-Truncated Unadjusted Expenses (A21 + A23)]]/AN_TME_PY[[#This Row],[Member Months]],0)</f>
        <v>0</v>
      </c>
      <c r="AB35" s="415">
        <f>IFERROR(AN_TME_PY[[#This Row],[TOTAL Truncated Unadjusted Expenses (A22 + A23)]]/AN_TME_PY[[#This Row],[Member Months]],0)</f>
        <v>0</v>
      </c>
      <c r="AC35" s="385">
        <f>IFERROR(AN_TME_PY[[#This Row],[Total Claims Excluded because of Truncation]]/AN_TME_PY[[#This Row],[Count of Members with Claims Truncated]], 0)</f>
        <v>0</v>
      </c>
      <c r="AD35" s="417">
        <f>IFERROR(AN_TME_PY[[#This Row],[Total Claims Excluded because of Truncation]]/AN_TME_PY[[#This Row],[TOTAL Non-Truncated Unadjusted Claims Expenses]], 0)</f>
        <v>0</v>
      </c>
    </row>
    <row r="36" spans="1:30" x14ac:dyDescent="0.25">
      <c r="A36" s="370"/>
      <c r="B36" s="371"/>
      <c r="C36" s="371"/>
      <c r="D36" s="372"/>
      <c r="E36" s="373"/>
      <c r="F36" s="373"/>
      <c r="G36" s="373"/>
      <c r="H36" s="373"/>
      <c r="I36" s="373"/>
      <c r="J36" s="373"/>
      <c r="K36" s="373"/>
      <c r="L36" s="373"/>
      <c r="M36" s="373"/>
      <c r="N36" s="373"/>
      <c r="O36" s="373"/>
      <c r="P36" s="373"/>
      <c r="Q36" s="373"/>
      <c r="R36" s="373"/>
      <c r="S36" s="373"/>
      <c r="T36" s="373"/>
      <c r="U36" s="380"/>
      <c r="V36" s="375">
        <f t="shared" si="0"/>
        <v>0</v>
      </c>
      <c r="W36" s="375">
        <f>AN_TME_PY[[#This Row],[TOTAL Non-Truncated Unadjusted Claims Expenses]]-AN_TME_PY[[#This Row],[Total Claims Excluded because of Truncation]]</f>
        <v>0</v>
      </c>
      <c r="X36" s="375">
        <f t="shared" si="1"/>
        <v>0</v>
      </c>
      <c r="Y36" s="375">
        <f>AN_TME_PY[[#This Row],[TOTAL Non-Truncated Unadjusted Claims Expenses]]+AN_TME_PY[[#This Row],[TOTAL Non-Claims Expenses]]</f>
        <v>0</v>
      </c>
      <c r="Z36" s="375">
        <f>AN_TME_PY[[#This Row],[TOTAL Truncated Unadjusted Claims Expenses (A21 -A19)]]+AN_TME_PY[[#This Row],[TOTAL Non-Claims Expenses]]</f>
        <v>0</v>
      </c>
      <c r="AA36" s="416">
        <f>IFERROR(AN_TME_PY[[#This Row],[TOTAL Non-Truncated Unadjusted Expenses (A21 + A23)]]/AN_TME_PY[[#This Row],[Member Months]],0)</f>
        <v>0</v>
      </c>
      <c r="AB36" s="416">
        <f>IFERROR(AN_TME_PY[[#This Row],[TOTAL Truncated Unadjusted Expenses (A22 + A23)]]/AN_TME_PY[[#This Row],[Member Months]],0)</f>
        <v>0</v>
      </c>
      <c r="AC36" s="385">
        <f>IFERROR(AN_TME_PY[[#This Row],[Total Claims Excluded because of Truncation]]/AN_TME_PY[[#This Row],[Count of Members with Claims Truncated]], 0)</f>
        <v>0</v>
      </c>
      <c r="AD36" s="417">
        <f>IFERROR(AN_TME_PY[[#This Row],[Total Claims Excluded because of Truncation]]/AN_TME_PY[[#This Row],[TOTAL Non-Truncated Unadjusted Claims Expenses]], 0)</f>
        <v>0</v>
      </c>
    </row>
    <row r="37" spans="1:30" x14ac:dyDescent="0.25">
      <c r="A37" s="364"/>
      <c r="B37" s="365"/>
      <c r="C37" s="365"/>
      <c r="D37" s="366"/>
      <c r="E37" s="367"/>
      <c r="F37" s="367"/>
      <c r="G37" s="367"/>
      <c r="H37" s="367"/>
      <c r="I37" s="367"/>
      <c r="J37" s="367"/>
      <c r="K37" s="367"/>
      <c r="L37" s="367"/>
      <c r="M37" s="367"/>
      <c r="N37" s="367"/>
      <c r="O37" s="367"/>
      <c r="P37" s="367"/>
      <c r="Q37" s="367"/>
      <c r="R37" s="367"/>
      <c r="S37" s="367"/>
      <c r="T37" s="367"/>
      <c r="U37" s="379"/>
      <c r="V37" s="369">
        <f t="shared" si="0"/>
        <v>0</v>
      </c>
      <c r="W37" s="369">
        <f>AN_TME_PY[[#This Row],[TOTAL Non-Truncated Unadjusted Claims Expenses]]-AN_TME_PY[[#This Row],[Total Claims Excluded because of Truncation]]</f>
        <v>0</v>
      </c>
      <c r="X37" s="369">
        <f t="shared" si="1"/>
        <v>0</v>
      </c>
      <c r="Y37" s="369">
        <f>AN_TME_PY[[#This Row],[TOTAL Non-Truncated Unadjusted Claims Expenses]]+AN_TME_PY[[#This Row],[TOTAL Non-Claims Expenses]]</f>
        <v>0</v>
      </c>
      <c r="Z37" s="369">
        <f>AN_TME_PY[[#This Row],[TOTAL Truncated Unadjusted Claims Expenses (A21 -A19)]]+AN_TME_PY[[#This Row],[TOTAL Non-Claims Expenses]]</f>
        <v>0</v>
      </c>
      <c r="AA37" s="415">
        <f>IFERROR(AN_TME_PY[[#This Row],[TOTAL Non-Truncated Unadjusted Expenses (A21 + A23)]]/AN_TME_PY[[#This Row],[Member Months]],0)</f>
        <v>0</v>
      </c>
      <c r="AB37" s="415">
        <f>IFERROR(AN_TME_PY[[#This Row],[TOTAL Truncated Unadjusted Expenses (A22 + A23)]]/AN_TME_PY[[#This Row],[Member Months]],0)</f>
        <v>0</v>
      </c>
      <c r="AC37" s="385">
        <f>IFERROR(AN_TME_PY[[#This Row],[Total Claims Excluded because of Truncation]]/AN_TME_PY[[#This Row],[Count of Members with Claims Truncated]], 0)</f>
        <v>0</v>
      </c>
      <c r="AD37" s="417">
        <f>IFERROR(AN_TME_PY[[#This Row],[Total Claims Excluded because of Truncation]]/AN_TME_PY[[#This Row],[TOTAL Non-Truncated Unadjusted Claims Expenses]], 0)</f>
        <v>0</v>
      </c>
    </row>
    <row r="38" spans="1:30" x14ac:dyDescent="0.25">
      <c r="A38" s="370"/>
      <c r="B38" s="371"/>
      <c r="C38" s="371"/>
      <c r="D38" s="372"/>
      <c r="E38" s="373"/>
      <c r="F38" s="373"/>
      <c r="G38" s="373"/>
      <c r="H38" s="373"/>
      <c r="I38" s="373"/>
      <c r="J38" s="373"/>
      <c r="K38" s="373"/>
      <c r="L38" s="373"/>
      <c r="M38" s="373"/>
      <c r="N38" s="373"/>
      <c r="O38" s="373"/>
      <c r="P38" s="373"/>
      <c r="Q38" s="373"/>
      <c r="R38" s="373"/>
      <c r="S38" s="373"/>
      <c r="T38" s="373"/>
      <c r="U38" s="380"/>
      <c r="V38" s="375">
        <f t="shared" si="0"/>
        <v>0</v>
      </c>
      <c r="W38" s="375">
        <f>AN_TME_PY[[#This Row],[TOTAL Non-Truncated Unadjusted Claims Expenses]]-AN_TME_PY[[#This Row],[Total Claims Excluded because of Truncation]]</f>
        <v>0</v>
      </c>
      <c r="X38" s="375">
        <f t="shared" si="1"/>
        <v>0</v>
      </c>
      <c r="Y38" s="375">
        <f>AN_TME_PY[[#This Row],[TOTAL Non-Truncated Unadjusted Claims Expenses]]+AN_TME_PY[[#This Row],[TOTAL Non-Claims Expenses]]</f>
        <v>0</v>
      </c>
      <c r="Z38" s="375">
        <f>AN_TME_PY[[#This Row],[TOTAL Truncated Unadjusted Claims Expenses (A21 -A19)]]+AN_TME_PY[[#This Row],[TOTAL Non-Claims Expenses]]</f>
        <v>0</v>
      </c>
      <c r="AA38" s="416">
        <f>IFERROR(AN_TME_PY[[#This Row],[TOTAL Non-Truncated Unadjusted Expenses (A21 + A23)]]/AN_TME_PY[[#This Row],[Member Months]],0)</f>
        <v>0</v>
      </c>
      <c r="AB38" s="416">
        <f>IFERROR(AN_TME_PY[[#This Row],[TOTAL Truncated Unadjusted Expenses (A22 + A23)]]/AN_TME_PY[[#This Row],[Member Months]],0)</f>
        <v>0</v>
      </c>
      <c r="AC38" s="385">
        <f>IFERROR(AN_TME_PY[[#This Row],[Total Claims Excluded because of Truncation]]/AN_TME_PY[[#This Row],[Count of Members with Claims Truncated]], 0)</f>
        <v>0</v>
      </c>
      <c r="AD38" s="417">
        <f>IFERROR(AN_TME_PY[[#This Row],[Total Claims Excluded because of Truncation]]/AN_TME_PY[[#This Row],[TOTAL Non-Truncated Unadjusted Claims Expenses]], 0)</f>
        <v>0</v>
      </c>
    </row>
    <row r="39" spans="1:30" x14ac:dyDescent="0.25">
      <c r="A39" s="364"/>
      <c r="B39" s="365"/>
      <c r="C39" s="365"/>
      <c r="D39" s="366"/>
      <c r="E39" s="367"/>
      <c r="F39" s="367"/>
      <c r="G39" s="367"/>
      <c r="H39" s="367"/>
      <c r="I39" s="367"/>
      <c r="J39" s="367"/>
      <c r="K39" s="367"/>
      <c r="L39" s="367"/>
      <c r="M39" s="367"/>
      <c r="N39" s="367"/>
      <c r="O39" s="367"/>
      <c r="P39" s="367"/>
      <c r="Q39" s="367"/>
      <c r="R39" s="367"/>
      <c r="S39" s="367"/>
      <c r="T39" s="367"/>
      <c r="U39" s="379"/>
      <c r="V39" s="369">
        <f t="shared" si="0"/>
        <v>0</v>
      </c>
      <c r="W39" s="369">
        <f>AN_TME_PY[[#This Row],[TOTAL Non-Truncated Unadjusted Claims Expenses]]-AN_TME_PY[[#This Row],[Total Claims Excluded because of Truncation]]</f>
        <v>0</v>
      </c>
      <c r="X39" s="369">
        <f t="shared" si="1"/>
        <v>0</v>
      </c>
      <c r="Y39" s="369">
        <f>AN_TME_PY[[#This Row],[TOTAL Non-Truncated Unadjusted Claims Expenses]]+AN_TME_PY[[#This Row],[TOTAL Non-Claims Expenses]]</f>
        <v>0</v>
      </c>
      <c r="Z39" s="369">
        <f>AN_TME_PY[[#This Row],[TOTAL Truncated Unadjusted Claims Expenses (A21 -A19)]]+AN_TME_PY[[#This Row],[TOTAL Non-Claims Expenses]]</f>
        <v>0</v>
      </c>
      <c r="AA39" s="415">
        <f>IFERROR(AN_TME_PY[[#This Row],[TOTAL Non-Truncated Unadjusted Expenses (A21 + A23)]]/AN_TME_PY[[#This Row],[Member Months]],0)</f>
        <v>0</v>
      </c>
      <c r="AB39" s="415">
        <f>IFERROR(AN_TME_PY[[#This Row],[TOTAL Truncated Unadjusted Expenses (A22 + A23)]]/AN_TME_PY[[#This Row],[Member Months]],0)</f>
        <v>0</v>
      </c>
      <c r="AC39" s="385">
        <f>IFERROR(AN_TME_PY[[#This Row],[Total Claims Excluded because of Truncation]]/AN_TME_PY[[#This Row],[Count of Members with Claims Truncated]], 0)</f>
        <v>0</v>
      </c>
      <c r="AD39" s="417">
        <f>IFERROR(AN_TME_PY[[#This Row],[Total Claims Excluded because of Truncation]]/AN_TME_PY[[#This Row],[TOTAL Non-Truncated Unadjusted Claims Expenses]], 0)</f>
        <v>0</v>
      </c>
    </row>
    <row r="40" spans="1:30" x14ac:dyDescent="0.25">
      <c r="A40" s="370"/>
      <c r="B40" s="371"/>
      <c r="C40" s="371"/>
      <c r="D40" s="372"/>
      <c r="E40" s="373"/>
      <c r="F40" s="373"/>
      <c r="G40" s="373"/>
      <c r="H40" s="373"/>
      <c r="I40" s="373"/>
      <c r="J40" s="373"/>
      <c r="K40" s="373"/>
      <c r="L40" s="373"/>
      <c r="M40" s="373"/>
      <c r="N40" s="373"/>
      <c r="O40" s="373"/>
      <c r="P40" s="373"/>
      <c r="Q40" s="373"/>
      <c r="R40" s="373"/>
      <c r="S40" s="373"/>
      <c r="T40" s="373"/>
      <c r="U40" s="380"/>
      <c r="V40" s="375">
        <f t="shared" si="0"/>
        <v>0</v>
      </c>
      <c r="W40" s="375">
        <f>AN_TME_PY[[#This Row],[TOTAL Non-Truncated Unadjusted Claims Expenses]]-AN_TME_PY[[#This Row],[Total Claims Excluded because of Truncation]]</f>
        <v>0</v>
      </c>
      <c r="X40" s="375">
        <f t="shared" si="1"/>
        <v>0</v>
      </c>
      <c r="Y40" s="375">
        <f>AN_TME_PY[[#This Row],[TOTAL Non-Truncated Unadjusted Claims Expenses]]+AN_TME_PY[[#This Row],[TOTAL Non-Claims Expenses]]</f>
        <v>0</v>
      </c>
      <c r="Z40" s="375">
        <f>AN_TME_PY[[#This Row],[TOTAL Truncated Unadjusted Claims Expenses (A21 -A19)]]+AN_TME_PY[[#This Row],[TOTAL Non-Claims Expenses]]</f>
        <v>0</v>
      </c>
      <c r="AA40" s="416">
        <f>IFERROR(AN_TME_PY[[#This Row],[TOTAL Non-Truncated Unadjusted Expenses (A21 + A23)]]/AN_TME_PY[[#This Row],[Member Months]],0)</f>
        <v>0</v>
      </c>
      <c r="AB40" s="416">
        <f>IFERROR(AN_TME_PY[[#This Row],[TOTAL Truncated Unadjusted Expenses (A22 + A23)]]/AN_TME_PY[[#This Row],[Member Months]],0)</f>
        <v>0</v>
      </c>
      <c r="AC40" s="385">
        <f>IFERROR(AN_TME_PY[[#This Row],[Total Claims Excluded because of Truncation]]/AN_TME_PY[[#This Row],[Count of Members with Claims Truncated]], 0)</f>
        <v>0</v>
      </c>
      <c r="AD40" s="417">
        <f>IFERROR(AN_TME_PY[[#This Row],[Total Claims Excluded because of Truncation]]/AN_TME_PY[[#This Row],[TOTAL Non-Truncated Unadjusted Claims Expenses]], 0)</f>
        <v>0</v>
      </c>
    </row>
    <row r="41" spans="1:30" x14ac:dyDescent="0.25">
      <c r="A41" s="364"/>
      <c r="B41" s="365"/>
      <c r="C41" s="365"/>
      <c r="D41" s="366"/>
      <c r="E41" s="367"/>
      <c r="F41" s="367"/>
      <c r="G41" s="367"/>
      <c r="H41" s="367"/>
      <c r="I41" s="367"/>
      <c r="J41" s="367"/>
      <c r="K41" s="367"/>
      <c r="L41" s="367"/>
      <c r="M41" s="367"/>
      <c r="N41" s="367"/>
      <c r="O41" s="367"/>
      <c r="P41" s="367"/>
      <c r="Q41" s="367"/>
      <c r="R41" s="367"/>
      <c r="S41" s="367"/>
      <c r="T41" s="367"/>
      <c r="U41" s="379"/>
      <c r="V41" s="369">
        <f t="shared" si="0"/>
        <v>0</v>
      </c>
      <c r="W41" s="369">
        <f>AN_TME_PY[[#This Row],[TOTAL Non-Truncated Unadjusted Claims Expenses]]-AN_TME_PY[[#This Row],[Total Claims Excluded because of Truncation]]</f>
        <v>0</v>
      </c>
      <c r="X41" s="369">
        <f t="shared" si="1"/>
        <v>0</v>
      </c>
      <c r="Y41" s="369">
        <f>AN_TME_PY[[#This Row],[TOTAL Non-Truncated Unadjusted Claims Expenses]]+AN_TME_PY[[#This Row],[TOTAL Non-Claims Expenses]]</f>
        <v>0</v>
      </c>
      <c r="Z41" s="369">
        <f>AN_TME_PY[[#This Row],[TOTAL Truncated Unadjusted Claims Expenses (A21 -A19)]]+AN_TME_PY[[#This Row],[TOTAL Non-Claims Expenses]]</f>
        <v>0</v>
      </c>
      <c r="AA41" s="415">
        <f>IFERROR(AN_TME_PY[[#This Row],[TOTAL Non-Truncated Unadjusted Expenses (A21 + A23)]]/AN_TME_PY[[#This Row],[Member Months]],0)</f>
        <v>0</v>
      </c>
      <c r="AB41" s="415">
        <f>IFERROR(AN_TME_PY[[#This Row],[TOTAL Truncated Unadjusted Expenses (A22 + A23)]]/AN_TME_PY[[#This Row],[Member Months]],0)</f>
        <v>0</v>
      </c>
      <c r="AC41" s="385">
        <f>IFERROR(AN_TME_PY[[#This Row],[Total Claims Excluded because of Truncation]]/AN_TME_PY[[#This Row],[Count of Members with Claims Truncated]], 0)</f>
        <v>0</v>
      </c>
      <c r="AD41" s="417">
        <f>IFERROR(AN_TME_PY[[#This Row],[Total Claims Excluded because of Truncation]]/AN_TME_PY[[#This Row],[TOTAL Non-Truncated Unadjusted Claims Expenses]], 0)</f>
        <v>0</v>
      </c>
    </row>
    <row r="42" spans="1:30" x14ac:dyDescent="0.25">
      <c r="A42" s="370"/>
      <c r="B42" s="371"/>
      <c r="C42" s="371"/>
      <c r="D42" s="372"/>
      <c r="E42" s="373"/>
      <c r="F42" s="373"/>
      <c r="G42" s="373"/>
      <c r="H42" s="373"/>
      <c r="I42" s="373"/>
      <c r="J42" s="373"/>
      <c r="K42" s="373"/>
      <c r="L42" s="373"/>
      <c r="M42" s="373"/>
      <c r="N42" s="373"/>
      <c r="O42" s="373"/>
      <c r="P42" s="373"/>
      <c r="Q42" s="373"/>
      <c r="R42" s="373"/>
      <c r="S42" s="373"/>
      <c r="T42" s="373"/>
      <c r="U42" s="380"/>
      <c r="V42" s="375">
        <f t="shared" si="0"/>
        <v>0</v>
      </c>
      <c r="W42" s="375">
        <f>AN_TME_PY[[#This Row],[TOTAL Non-Truncated Unadjusted Claims Expenses]]-AN_TME_PY[[#This Row],[Total Claims Excluded because of Truncation]]</f>
        <v>0</v>
      </c>
      <c r="X42" s="375">
        <f t="shared" si="1"/>
        <v>0</v>
      </c>
      <c r="Y42" s="375">
        <f>AN_TME_PY[[#This Row],[TOTAL Non-Truncated Unadjusted Claims Expenses]]+AN_TME_PY[[#This Row],[TOTAL Non-Claims Expenses]]</f>
        <v>0</v>
      </c>
      <c r="Z42" s="375">
        <f>AN_TME_PY[[#This Row],[TOTAL Truncated Unadjusted Claims Expenses (A21 -A19)]]+AN_TME_PY[[#This Row],[TOTAL Non-Claims Expenses]]</f>
        <v>0</v>
      </c>
      <c r="AA42" s="416">
        <f>IFERROR(AN_TME_PY[[#This Row],[TOTAL Non-Truncated Unadjusted Expenses (A21 + A23)]]/AN_TME_PY[[#This Row],[Member Months]],0)</f>
        <v>0</v>
      </c>
      <c r="AB42" s="416">
        <f>IFERROR(AN_TME_PY[[#This Row],[TOTAL Truncated Unadjusted Expenses (A22 + A23)]]/AN_TME_PY[[#This Row],[Member Months]],0)</f>
        <v>0</v>
      </c>
      <c r="AC42" s="385">
        <f>IFERROR(AN_TME_PY[[#This Row],[Total Claims Excluded because of Truncation]]/AN_TME_PY[[#This Row],[Count of Members with Claims Truncated]], 0)</f>
        <v>0</v>
      </c>
      <c r="AD42" s="417">
        <f>IFERROR(AN_TME_PY[[#This Row],[Total Claims Excluded because of Truncation]]/AN_TME_PY[[#This Row],[TOTAL Non-Truncated Unadjusted Claims Expenses]], 0)</f>
        <v>0</v>
      </c>
    </row>
    <row r="43" spans="1:30" x14ac:dyDescent="0.25">
      <c r="A43" s="364"/>
      <c r="B43" s="365"/>
      <c r="C43" s="365"/>
      <c r="D43" s="366"/>
      <c r="E43" s="367"/>
      <c r="F43" s="367"/>
      <c r="G43" s="367"/>
      <c r="H43" s="367"/>
      <c r="I43" s="367"/>
      <c r="J43" s="367"/>
      <c r="K43" s="367"/>
      <c r="L43" s="367"/>
      <c r="M43" s="367"/>
      <c r="N43" s="367"/>
      <c r="O43" s="367"/>
      <c r="P43" s="367"/>
      <c r="Q43" s="367"/>
      <c r="R43" s="367"/>
      <c r="S43" s="367"/>
      <c r="T43" s="367"/>
      <c r="U43" s="379"/>
      <c r="V43" s="369">
        <f t="shared" ref="V43:V74" si="2">SUM(E43:G43)+SUM(I43:M43)</f>
        <v>0</v>
      </c>
      <c r="W43" s="369">
        <f>AN_TME_PY[[#This Row],[TOTAL Non-Truncated Unadjusted Claims Expenses]]-AN_TME_PY[[#This Row],[Total Claims Excluded because of Truncation]]</f>
        <v>0</v>
      </c>
      <c r="X43" s="369">
        <f t="shared" ref="X43:X74" si="3">SUM(N43:R43)</f>
        <v>0</v>
      </c>
      <c r="Y43" s="369">
        <f>AN_TME_PY[[#This Row],[TOTAL Non-Truncated Unadjusted Claims Expenses]]+AN_TME_PY[[#This Row],[TOTAL Non-Claims Expenses]]</f>
        <v>0</v>
      </c>
      <c r="Z43" s="369">
        <f>AN_TME_PY[[#This Row],[TOTAL Truncated Unadjusted Claims Expenses (A21 -A19)]]+AN_TME_PY[[#This Row],[TOTAL Non-Claims Expenses]]</f>
        <v>0</v>
      </c>
      <c r="AA43" s="415">
        <f>IFERROR(AN_TME_PY[[#This Row],[TOTAL Non-Truncated Unadjusted Expenses (A21 + A23)]]/AN_TME_PY[[#This Row],[Member Months]],0)</f>
        <v>0</v>
      </c>
      <c r="AB43" s="415">
        <f>IFERROR(AN_TME_PY[[#This Row],[TOTAL Truncated Unadjusted Expenses (A22 + A23)]]/AN_TME_PY[[#This Row],[Member Months]],0)</f>
        <v>0</v>
      </c>
      <c r="AC43" s="385">
        <f>IFERROR(AN_TME_PY[[#This Row],[Total Claims Excluded because of Truncation]]/AN_TME_PY[[#This Row],[Count of Members with Claims Truncated]], 0)</f>
        <v>0</v>
      </c>
      <c r="AD43" s="417">
        <f>IFERROR(AN_TME_PY[[#This Row],[Total Claims Excluded because of Truncation]]/AN_TME_PY[[#This Row],[TOTAL Non-Truncated Unadjusted Claims Expenses]], 0)</f>
        <v>0</v>
      </c>
    </row>
    <row r="44" spans="1:30" x14ac:dyDescent="0.25">
      <c r="A44" s="370"/>
      <c r="B44" s="371"/>
      <c r="C44" s="371"/>
      <c r="D44" s="372"/>
      <c r="E44" s="373"/>
      <c r="F44" s="373"/>
      <c r="G44" s="373"/>
      <c r="H44" s="373"/>
      <c r="I44" s="373"/>
      <c r="J44" s="373"/>
      <c r="K44" s="373"/>
      <c r="L44" s="373"/>
      <c r="M44" s="373"/>
      <c r="N44" s="373"/>
      <c r="O44" s="373"/>
      <c r="P44" s="373"/>
      <c r="Q44" s="373"/>
      <c r="R44" s="373"/>
      <c r="S44" s="373"/>
      <c r="T44" s="373"/>
      <c r="U44" s="380"/>
      <c r="V44" s="375">
        <f t="shared" si="2"/>
        <v>0</v>
      </c>
      <c r="W44" s="375">
        <f>AN_TME_PY[[#This Row],[TOTAL Non-Truncated Unadjusted Claims Expenses]]-AN_TME_PY[[#This Row],[Total Claims Excluded because of Truncation]]</f>
        <v>0</v>
      </c>
      <c r="X44" s="375">
        <f t="shared" si="3"/>
        <v>0</v>
      </c>
      <c r="Y44" s="375">
        <f>AN_TME_PY[[#This Row],[TOTAL Non-Truncated Unadjusted Claims Expenses]]+AN_TME_PY[[#This Row],[TOTAL Non-Claims Expenses]]</f>
        <v>0</v>
      </c>
      <c r="Z44" s="375">
        <f>AN_TME_PY[[#This Row],[TOTAL Truncated Unadjusted Claims Expenses (A21 -A19)]]+AN_TME_PY[[#This Row],[TOTAL Non-Claims Expenses]]</f>
        <v>0</v>
      </c>
      <c r="AA44" s="416">
        <f>IFERROR(AN_TME_PY[[#This Row],[TOTAL Non-Truncated Unadjusted Expenses (A21 + A23)]]/AN_TME_PY[[#This Row],[Member Months]],0)</f>
        <v>0</v>
      </c>
      <c r="AB44" s="416">
        <f>IFERROR(AN_TME_PY[[#This Row],[TOTAL Truncated Unadjusted Expenses (A22 + A23)]]/AN_TME_PY[[#This Row],[Member Months]],0)</f>
        <v>0</v>
      </c>
      <c r="AC44" s="385">
        <f>IFERROR(AN_TME_PY[[#This Row],[Total Claims Excluded because of Truncation]]/AN_TME_PY[[#This Row],[Count of Members with Claims Truncated]], 0)</f>
        <v>0</v>
      </c>
      <c r="AD44" s="417">
        <f>IFERROR(AN_TME_PY[[#This Row],[Total Claims Excluded because of Truncation]]/AN_TME_PY[[#This Row],[TOTAL Non-Truncated Unadjusted Claims Expenses]], 0)</f>
        <v>0</v>
      </c>
    </row>
    <row r="45" spans="1:30" x14ac:dyDescent="0.25">
      <c r="A45" s="364"/>
      <c r="B45" s="365"/>
      <c r="C45" s="365"/>
      <c r="D45" s="366"/>
      <c r="E45" s="367"/>
      <c r="F45" s="367"/>
      <c r="G45" s="367"/>
      <c r="H45" s="367"/>
      <c r="I45" s="367"/>
      <c r="J45" s="367"/>
      <c r="K45" s="367"/>
      <c r="L45" s="367"/>
      <c r="M45" s="367"/>
      <c r="N45" s="367"/>
      <c r="O45" s="367"/>
      <c r="P45" s="367"/>
      <c r="Q45" s="367"/>
      <c r="R45" s="367"/>
      <c r="S45" s="367"/>
      <c r="T45" s="367"/>
      <c r="U45" s="379"/>
      <c r="V45" s="369">
        <f t="shared" si="2"/>
        <v>0</v>
      </c>
      <c r="W45" s="369">
        <f>AN_TME_PY[[#This Row],[TOTAL Non-Truncated Unadjusted Claims Expenses]]-AN_TME_PY[[#This Row],[Total Claims Excluded because of Truncation]]</f>
        <v>0</v>
      </c>
      <c r="X45" s="369">
        <f t="shared" si="3"/>
        <v>0</v>
      </c>
      <c r="Y45" s="369">
        <f>AN_TME_PY[[#This Row],[TOTAL Non-Truncated Unadjusted Claims Expenses]]+AN_TME_PY[[#This Row],[TOTAL Non-Claims Expenses]]</f>
        <v>0</v>
      </c>
      <c r="Z45" s="369">
        <f>AN_TME_PY[[#This Row],[TOTAL Truncated Unadjusted Claims Expenses (A21 -A19)]]+AN_TME_PY[[#This Row],[TOTAL Non-Claims Expenses]]</f>
        <v>0</v>
      </c>
      <c r="AA45" s="415">
        <f>IFERROR(AN_TME_PY[[#This Row],[TOTAL Non-Truncated Unadjusted Expenses (A21 + A23)]]/AN_TME_PY[[#This Row],[Member Months]],0)</f>
        <v>0</v>
      </c>
      <c r="AB45" s="415">
        <f>IFERROR(AN_TME_PY[[#This Row],[TOTAL Truncated Unadjusted Expenses (A22 + A23)]]/AN_TME_PY[[#This Row],[Member Months]],0)</f>
        <v>0</v>
      </c>
      <c r="AC45" s="385">
        <f>IFERROR(AN_TME_PY[[#This Row],[Total Claims Excluded because of Truncation]]/AN_TME_PY[[#This Row],[Count of Members with Claims Truncated]], 0)</f>
        <v>0</v>
      </c>
      <c r="AD45" s="417">
        <f>IFERROR(AN_TME_PY[[#This Row],[Total Claims Excluded because of Truncation]]/AN_TME_PY[[#This Row],[TOTAL Non-Truncated Unadjusted Claims Expenses]], 0)</f>
        <v>0</v>
      </c>
    </row>
    <row r="46" spans="1:30" x14ac:dyDescent="0.25">
      <c r="A46" s="370"/>
      <c r="B46" s="371"/>
      <c r="C46" s="371"/>
      <c r="D46" s="372"/>
      <c r="E46" s="373"/>
      <c r="F46" s="373"/>
      <c r="G46" s="373"/>
      <c r="H46" s="373"/>
      <c r="I46" s="373"/>
      <c r="J46" s="373"/>
      <c r="K46" s="373"/>
      <c r="L46" s="373"/>
      <c r="M46" s="373"/>
      <c r="N46" s="373"/>
      <c r="O46" s="373"/>
      <c r="P46" s="373"/>
      <c r="Q46" s="373"/>
      <c r="R46" s="373"/>
      <c r="S46" s="373"/>
      <c r="T46" s="373"/>
      <c r="U46" s="380"/>
      <c r="V46" s="375">
        <f t="shared" si="2"/>
        <v>0</v>
      </c>
      <c r="W46" s="375">
        <f>AN_TME_PY[[#This Row],[TOTAL Non-Truncated Unadjusted Claims Expenses]]-AN_TME_PY[[#This Row],[Total Claims Excluded because of Truncation]]</f>
        <v>0</v>
      </c>
      <c r="X46" s="375">
        <f t="shared" si="3"/>
        <v>0</v>
      </c>
      <c r="Y46" s="375">
        <f>AN_TME_PY[[#This Row],[TOTAL Non-Truncated Unadjusted Claims Expenses]]+AN_TME_PY[[#This Row],[TOTAL Non-Claims Expenses]]</f>
        <v>0</v>
      </c>
      <c r="Z46" s="375">
        <f>AN_TME_PY[[#This Row],[TOTAL Truncated Unadjusted Claims Expenses (A21 -A19)]]+AN_TME_PY[[#This Row],[TOTAL Non-Claims Expenses]]</f>
        <v>0</v>
      </c>
      <c r="AA46" s="416">
        <f>IFERROR(AN_TME_PY[[#This Row],[TOTAL Non-Truncated Unadjusted Expenses (A21 + A23)]]/AN_TME_PY[[#This Row],[Member Months]],0)</f>
        <v>0</v>
      </c>
      <c r="AB46" s="416">
        <f>IFERROR(AN_TME_PY[[#This Row],[TOTAL Truncated Unadjusted Expenses (A22 + A23)]]/AN_TME_PY[[#This Row],[Member Months]],0)</f>
        <v>0</v>
      </c>
      <c r="AC46" s="385">
        <f>IFERROR(AN_TME_PY[[#This Row],[Total Claims Excluded because of Truncation]]/AN_TME_PY[[#This Row],[Count of Members with Claims Truncated]], 0)</f>
        <v>0</v>
      </c>
      <c r="AD46" s="417">
        <f>IFERROR(AN_TME_PY[[#This Row],[Total Claims Excluded because of Truncation]]/AN_TME_PY[[#This Row],[TOTAL Non-Truncated Unadjusted Claims Expenses]], 0)</f>
        <v>0</v>
      </c>
    </row>
    <row r="47" spans="1:30" x14ac:dyDescent="0.25">
      <c r="A47" s="364"/>
      <c r="B47" s="365"/>
      <c r="C47" s="365"/>
      <c r="D47" s="366"/>
      <c r="E47" s="367"/>
      <c r="F47" s="367"/>
      <c r="G47" s="367"/>
      <c r="H47" s="367"/>
      <c r="I47" s="367"/>
      <c r="J47" s="367"/>
      <c r="K47" s="367"/>
      <c r="L47" s="367"/>
      <c r="M47" s="367"/>
      <c r="N47" s="367"/>
      <c r="O47" s="367"/>
      <c r="P47" s="367"/>
      <c r="Q47" s="367"/>
      <c r="R47" s="367"/>
      <c r="S47" s="367"/>
      <c r="T47" s="367"/>
      <c r="U47" s="379"/>
      <c r="V47" s="369">
        <f t="shared" si="2"/>
        <v>0</v>
      </c>
      <c r="W47" s="369">
        <f>AN_TME_PY[[#This Row],[TOTAL Non-Truncated Unadjusted Claims Expenses]]-AN_TME_PY[[#This Row],[Total Claims Excluded because of Truncation]]</f>
        <v>0</v>
      </c>
      <c r="X47" s="369">
        <f t="shared" si="3"/>
        <v>0</v>
      </c>
      <c r="Y47" s="369">
        <f>AN_TME_PY[[#This Row],[TOTAL Non-Truncated Unadjusted Claims Expenses]]+AN_TME_PY[[#This Row],[TOTAL Non-Claims Expenses]]</f>
        <v>0</v>
      </c>
      <c r="Z47" s="369">
        <f>AN_TME_PY[[#This Row],[TOTAL Truncated Unadjusted Claims Expenses (A21 -A19)]]+AN_TME_PY[[#This Row],[TOTAL Non-Claims Expenses]]</f>
        <v>0</v>
      </c>
      <c r="AA47" s="415">
        <f>IFERROR(AN_TME_PY[[#This Row],[TOTAL Non-Truncated Unadjusted Expenses (A21 + A23)]]/AN_TME_PY[[#This Row],[Member Months]],0)</f>
        <v>0</v>
      </c>
      <c r="AB47" s="415">
        <f>IFERROR(AN_TME_PY[[#This Row],[TOTAL Truncated Unadjusted Expenses (A22 + A23)]]/AN_TME_PY[[#This Row],[Member Months]],0)</f>
        <v>0</v>
      </c>
      <c r="AC47" s="385">
        <f>IFERROR(AN_TME_PY[[#This Row],[Total Claims Excluded because of Truncation]]/AN_TME_PY[[#This Row],[Count of Members with Claims Truncated]], 0)</f>
        <v>0</v>
      </c>
      <c r="AD47" s="417">
        <f>IFERROR(AN_TME_PY[[#This Row],[Total Claims Excluded because of Truncation]]/AN_TME_PY[[#This Row],[TOTAL Non-Truncated Unadjusted Claims Expenses]], 0)</f>
        <v>0</v>
      </c>
    </row>
    <row r="48" spans="1:30" x14ac:dyDescent="0.25">
      <c r="A48" s="370"/>
      <c r="B48" s="371"/>
      <c r="C48" s="371"/>
      <c r="D48" s="372"/>
      <c r="E48" s="373"/>
      <c r="F48" s="373"/>
      <c r="G48" s="373"/>
      <c r="H48" s="373"/>
      <c r="I48" s="373"/>
      <c r="J48" s="373"/>
      <c r="K48" s="373"/>
      <c r="L48" s="373"/>
      <c r="M48" s="373"/>
      <c r="N48" s="373"/>
      <c r="O48" s="373"/>
      <c r="P48" s="373"/>
      <c r="Q48" s="373"/>
      <c r="R48" s="373"/>
      <c r="S48" s="373"/>
      <c r="T48" s="373"/>
      <c r="U48" s="380"/>
      <c r="V48" s="375">
        <f t="shared" si="2"/>
        <v>0</v>
      </c>
      <c r="W48" s="375">
        <f>AN_TME_PY[[#This Row],[TOTAL Non-Truncated Unadjusted Claims Expenses]]-AN_TME_PY[[#This Row],[Total Claims Excluded because of Truncation]]</f>
        <v>0</v>
      </c>
      <c r="X48" s="375">
        <f t="shared" si="3"/>
        <v>0</v>
      </c>
      <c r="Y48" s="375">
        <f>AN_TME_PY[[#This Row],[TOTAL Non-Truncated Unadjusted Claims Expenses]]+AN_TME_PY[[#This Row],[TOTAL Non-Claims Expenses]]</f>
        <v>0</v>
      </c>
      <c r="Z48" s="375">
        <f>AN_TME_PY[[#This Row],[TOTAL Truncated Unadjusted Claims Expenses (A21 -A19)]]+AN_TME_PY[[#This Row],[TOTAL Non-Claims Expenses]]</f>
        <v>0</v>
      </c>
      <c r="AA48" s="416">
        <f>IFERROR(AN_TME_PY[[#This Row],[TOTAL Non-Truncated Unadjusted Expenses (A21 + A23)]]/AN_TME_PY[[#This Row],[Member Months]],0)</f>
        <v>0</v>
      </c>
      <c r="AB48" s="416">
        <f>IFERROR(AN_TME_PY[[#This Row],[TOTAL Truncated Unadjusted Expenses (A22 + A23)]]/AN_TME_PY[[#This Row],[Member Months]],0)</f>
        <v>0</v>
      </c>
      <c r="AC48" s="385">
        <f>IFERROR(AN_TME_PY[[#This Row],[Total Claims Excluded because of Truncation]]/AN_TME_PY[[#This Row],[Count of Members with Claims Truncated]], 0)</f>
        <v>0</v>
      </c>
      <c r="AD48" s="417">
        <f>IFERROR(AN_TME_PY[[#This Row],[Total Claims Excluded because of Truncation]]/AN_TME_PY[[#This Row],[TOTAL Non-Truncated Unadjusted Claims Expenses]], 0)</f>
        <v>0</v>
      </c>
    </row>
    <row r="49" spans="1:30" x14ac:dyDescent="0.25">
      <c r="A49" s="364"/>
      <c r="B49" s="365"/>
      <c r="C49" s="365"/>
      <c r="D49" s="366"/>
      <c r="E49" s="367"/>
      <c r="F49" s="367"/>
      <c r="G49" s="367"/>
      <c r="H49" s="367"/>
      <c r="I49" s="367"/>
      <c r="J49" s="367"/>
      <c r="K49" s="367"/>
      <c r="L49" s="367"/>
      <c r="M49" s="367"/>
      <c r="N49" s="367"/>
      <c r="O49" s="367"/>
      <c r="P49" s="367"/>
      <c r="Q49" s="367"/>
      <c r="R49" s="367"/>
      <c r="S49" s="367"/>
      <c r="T49" s="367"/>
      <c r="U49" s="379"/>
      <c r="V49" s="369">
        <f t="shared" si="2"/>
        <v>0</v>
      </c>
      <c r="W49" s="369">
        <f>AN_TME_PY[[#This Row],[TOTAL Non-Truncated Unadjusted Claims Expenses]]-AN_TME_PY[[#This Row],[Total Claims Excluded because of Truncation]]</f>
        <v>0</v>
      </c>
      <c r="X49" s="369">
        <f t="shared" si="3"/>
        <v>0</v>
      </c>
      <c r="Y49" s="369">
        <f>AN_TME_PY[[#This Row],[TOTAL Non-Truncated Unadjusted Claims Expenses]]+AN_TME_PY[[#This Row],[TOTAL Non-Claims Expenses]]</f>
        <v>0</v>
      </c>
      <c r="Z49" s="369">
        <f>AN_TME_PY[[#This Row],[TOTAL Truncated Unadjusted Claims Expenses (A21 -A19)]]+AN_TME_PY[[#This Row],[TOTAL Non-Claims Expenses]]</f>
        <v>0</v>
      </c>
      <c r="AA49" s="415">
        <f>IFERROR(AN_TME_PY[[#This Row],[TOTAL Non-Truncated Unadjusted Expenses (A21 + A23)]]/AN_TME_PY[[#This Row],[Member Months]],0)</f>
        <v>0</v>
      </c>
      <c r="AB49" s="415">
        <f>IFERROR(AN_TME_PY[[#This Row],[TOTAL Truncated Unadjusted Expenses (A22 + A23)]]/AN_TME_PY[[#This Row],[Member Months]],0)</f>
        <v>0</v>
      </c>
      <c r="AC49" s="385">
        <f>IFERROR(AN_TME_PY[[#This Row],[Total Claims Excluded because of Truncation]]/AN_TME_PY[[#This Row],[Count of Members with Claims Truncated]], 0)</f>
        <v>0</v>
      </c>
      <c r="AD49" s="417">
        <f>IFERROR(AN_TME_PY[[#This Row],[Total Claims Excluded because of Truncation]]/AN_TME_PY[[#This Row],[TOTAL Non-Truncated Unadjusted Claims Expenses]], 0)</f>
        <v>0</v>
      </c>
    </row>
    <row r="50" spans="1:30" x14ac:dyDescent="0.25">
      <c r="A50" s="370"/>
      <c r="B50" s="371"/>
      <c r="C50" s="371"/>
      <c r="D50" s="372"/>
      <c r="E50" s="373"/>
      <c r="F50" s="373"/>
      <c r="G50" s="373"/>
      <c r="H50" s="373"/>
      <c r="I50" s="373"/>
      <c r="J50" s="373"/>
      <c r="K50" s="373"/>
      <c r="L50" s="373"/>
      <c r="M50" s="373"/>
      <c r="N50" s="373"/>
      <c r="O50" s="373"/>
      <c r="P50" s="373"/>
      <c r="Q50" s="373"/>
      <c r="R50" s="373"/>
      <c r="S50" s="373"/>
      <c r="T50" s="373"/>
      <c r="U50" s="380"/>
      <c r="V50" s="375">
        <f t="shared" si="2"/>
        <v>0</v>
      </c>
      <c r="W50" s="375">
        <f>AN_TME_PY[[#This Row],[TOTAL Non-Truncated Unadjusted Claims Expenses]]-AN_TME_PY[[#This Row],[Total Claims Excluded because of Truncation]]</f>
        <v>0</v>
      </c>
      <c r="X50" s="375">
        <f t="shared" si="3"/>
        <v>0</v>
      </c>
      <c r="Y50" s="375">
        <f>AN_TME_PY[[#This Row],[TOTAL Non-Truncated Unadjusted Claims Expenses]]+AN_TME_PY[[#This Row],[TOTAL Non-Claims Expenses]]</f>
        <v>0</v>
      </c>
      <c r="Z50" s="375">
        <f>AN_TME_PY[[#This Row],[TOTAL Truncated Unadjusted Claims Expenses (A21 -A19)]]+AN_TME_PY[[#This Row],[TOTAL Non-Claims Expenses]]</f>
        <v>0</v>
      </c>
      <c r="AA50" s="416">
        <f>IFERROR(AN_TME_PY[[#This Row],[TOTAL Non-Truncated Unadjusted Expenses (A21 + A23)]]/AN_TME_PY[[#This Row],[Member Months]],0)</f>
        <v>0</v>
      </c>
      <c r="AB50" s="416">
        <f>IFERROR(AN_TME_PY[[#This Row],[TOTAL Truncated Unadjusted Expenses (A22 + A23)]]/AN_TME_PY[[#This Row],[Member Months]],0)</f>
        <v>0</v>
      </c>
      <c r="AC50" s="385">
        <f>IFERROR(AN_TME_PY[[#This Row],[Total Claims Excluded because of Truncation]]/AN_TME_PY[[#This Row],[Count of Members with Claims Truncated]], 0)</f>
        <v>0</v>
      </c>
      <c r="AD50" s="417">
        <f>IFERROR(AN_TME_PY[[#This Row],[Total Claims Excluded because of Truncation]]/AN_TME_PY[[#This Row],[TOTAL Non-Truncated Unadjusted Claims Expenses]], 0)</f>
        <v>0</v>
      </c>
    </row>
    <row r="51" spans="1:30" x14ac:dyDescent="0.25">
      <c r="A51" s="364"/>
      <c r="B51" s="365"/>
      <c r="C51" s="365"/>
      <c r="D51" s="366"/>
      <c r="E51" s="367"/>
      <c r="F51" s="367"/>
      <c r="G51" s="367"/>
      <c r="H51" s="367"/>
      <c r="I51" s="367"/>
      <c r="J51" s="367"/>
      <c r="K51" s="367"/>
      <c r="L51" s="367"/>
      <c r="M51" s="367"/>
      <c r="N51" s="367"/>
      <c r="O51" s="367"/>
      <c r="P51" s="367"/>
      <c r="Q51" s="367"/>
      <c r="R51" s="367"/>
      <c r="S51" s="367"/>
      <c r="T51" s="367"/>
      <c r="U51" s="379"/>
      <c r="V51" s="369">
        <f t="shared" si="2"/>
        <v>0</v>
      </c>
      <c r="W51" s="369">
        <f>AN_TME_PY[[#This Row],[TOTAL Non-Truncated Unadjusted Claims Expenses]]-AN_TME_PY[[#This Row],[Total Claims Excluded because of Truncation]]</f>
        <v>0</v>
      </c>
      <c r="X51" s="369">
        <f t="shared" si="3"/>
        <v>0</v>
      </c>
      <c r="Y51" s="369">
        <f>AN_TME_PY[[#This Row],[TOTAL Non-Truncated Unadjusted Claims Expenses]]+AN_TME_PY[[#This Row],[TOTAL Non-Claims Expenses]]</f>
        <v>0</v>
      </c>
      <c r="Z51" s="369">
        <f>AN_TME_PY[[#This Row],[TOTAL Truncated Unadjusted Claims Expenses (A21 -A19)]]+AN_TME_PY[[#This Row],[TOTAL Non-Claims Expenses]]</f>
        <v>0</v>
      </c>
      <c r="AA51" s="415">
        <f>IFERROR(AN_TME_PY[[#This Row],[TOTAL Non-Truncated Unadjusted Expenses (A21 + A23)]]/AN_TME_PY[[#This Row],[Member Months]],0)</f>
        <v>0</v>
      </c>
      <c r="AB51" s="415">
        <f>IFERROR(AN_TME_PY[[#This Row],[TOTAL Truncated Unadjusted Expenses (A22 + A23)]]/AN_TME_PY[[#This Row],[Member Months]],0)</f>
        <v>0</v>
      </c>
      <c r="AC51" s="385">
        <f>IFERROR(AN_TME_PY[[#This Row],[Total Claims Excluded because of Truncation]]/AN_TME_PY[[#This Row],[Count of Members with Claims Truncated]], 0)</f>
        <v>0</v>
      </c>
      <c r="AD51" s="417">
        <f>IFERROR(AN_TME_PY[[#This Row],[Total Claims Excluded because of Truncation]]/AN_TME_PY[[#This Row],[TOTAL Non-Truncated Unadjusted Claims Expenses]], 0)</f>
        <v>0</v>
      </c>
    </row>
    <row r="52" spans="1:30" x14ac:dyDescent="0.25">
      <c r="A52" s="370"/>
      <c r="B52" s="371"/>
      <c r="C52" s="371"/>
      <c r="D52" s="372"/>
      <c r="E52" s="373"/>
      <c r="F52" s="373"/>
      <c r="G52" s="373"/>
      <c r="H52" s="373"/>
      <c r="I52" s="373"/>
      <c r="J52" s="373"/>
      <c r="K52" s="373"/>
      <c r="L52" s="373"/>
      <c r="M52" s="373"/>
      <c r="N52" s="373"/>
      <c r="O52" s="373"/>
      <c r="P52" s="373"/>
      <c r="Q52" s="373"/>
      <c r="R52" s="373"/>
      <c r="S52" s="373"/>
      <c r="T52" s="373"/>
      <c r="U52" s="380"/>
      <c r="V52" s="375">
        <f t="shared" si="2"/>
        <v>0</v>
      </c>
      <c r="W52" s="375">
        <f>AN_TME_PY[[#This Row],[TOTAL Non-Truncated Unadjusted Claims Expenses]]-AN_TME_PY[[#This Row],[Total Claims Excluded because of Truncation]]</f>
        <v>0</v>
      </c>
      <c r="X52" s="375">
        <f t="shared" si="3"/>
        <v>0</v>
      </c>
      <c r="Y52" s="375">
        <f>AN_TME_PY[[#This Row],[TOTAL Non-Truncated Unadjusted Claims Expenses]]+AN_TME_PY[[#This Row],[TOTAL Non-Claims Expenses]]</f>
        <v>0</v>
      </c>
      <c r="Z52" s="375">
        <f>AN_TME_PY[[#This Row],[TOTAL Truncated Unadjusted Claims Expenses (A21 -A19)]]+AN_TME_PY[[#This Row],[TOTAL Non-Claims Expenses]]</f>
        <v>0</v>
      </c>
      <c r="AA52" s="416">
        <f>IFERROR(AN_TME_PY[[#This Row],[TOTAL Non-Truncated Unadjusted Expenses (A21 + A23)]]/AN_TME_PY[[#This Row],[Member Months]],0)</f>
        <v>0</v>
      </c>
      <c r="AB52" s="416">
        <f>IFERROR(AN_TME_PY[[#This Row],[TOTAL Truncated Unadjusted Expenses (A22 + A23)]]/AN_TME_PY[[#This Row],[Member Months]],0)</f>
        <v>0</v>
      </c>
      <c r="AC52" s="385">
        <f>IFERROR(AN_TME_PY[[#This Row],[Total Claims Excluded because of Truncation]]/AN_TME_PY[[#This Row],[Count of Members with Claims Truncated]], 0)</f>
        <v>0</v>
      </c>
      <c r="AD52" s="417">
        <f>IFERROR(AN_TME_PY[[#This Row],[Total Claims Excluded because of Truncation]]/AN_TME_PY[[#This Row],[TOTAL Non-Truncated Unadjusted Claims Expenses]], 0)</f>
        <v>0</v>
      </c>
    </row>
    <row r="53" spans="1:30" x14ac:dyDescent="0.25">
      <c r="A53" s="364"/>
      <c r="B53" s="365"/>
      <c r="C53" s="365"/>
      <c r="D53" s="366"/>
      <c r="E53" s="367"/>
      <c r="F53" s="367"/>
      <c r="G53" s="367"/>
      <c r="H53" s="367"/>
      <c r="I53" s="367"/>
      <c r="J53" s="367"/>
      <c r="K53" s="367"/>
      <c r="L53" s="367"/>
      <c r="M53" s="367"/>
      <c r="N53" s="367"/>
      <c r="O53" s="367"/>
      <c r="P53" s="367"/>
      <c r="Q53" s="367"/>
      <c r="R53" s="367"/>
      <c r="S53" s="367"/>
      <c r="T53" s="367"/>
      <c r="U53" s="379"/>
      <c r="V53" s="369">
        <f t="shared" si="2"/>
        <v>0</v>
      </c>
      <c r="W53" s="369">
        <f>AN_TME_PY[[#This Row],[TOTAL Non-Truncated Unadjusted Claims Expenses]]-AN_TME_PY[[#This Row],[Total Claims Excluded because of Truncation]]</f>
        <v>0</v>
      </c>
      <c r="X53" s="369">
        <f t="shared" si="3"/>
        <v>0</v>
      </c>
      <c r="Y53" s="369">
        <f>AN_TME_PY[[#This Row],[TOTAL Non-Truncated Unadjusted Claims Expenses]]+AN_TME_PY[[#This Row],[TOTAL Non-Claims Expenses]]</f>
        <v>0</v>
      </c>
      <c r="Z53" s="369">
        <f>AN_TME_PY[[#This Row],[TOTAL Truncated Unadjusted Claims Expenses (A21 -A19)]]+AN_TME_PY[[#This Row],[TOTAL Non-Claims Expenses]]</f>
        <v>0</v>
      </c>
      <c r="AA53" s="415">
        <f>IFERROR(AN_TME_PY[[#This Row],[TOTAL Non-Truncated Unadjusted Expenses (A21 + A23)]]/AN_TME_PY[[#This Row],[Member Months]],0)</f>
        <v>0</v>
      </c>
      <c r="AB53" s="415">
        <f>IFERROR(AN_TME_PY[[#This Row],[TOTAL Truncated Unadjusted Expenses (A22 + A23)]]/AN_TME_PY[[#This Row],[Member Months]],0)</f>
        <v>0</v>
      </c>
      <c r="AC53" s="385">
        <f>IFERROR(AN_TME_PY[[#This Row],[Total Claims Excluded because of Truncation]]/AN_TME_PY[[#This Row],[Count of Members with Claims Truncated]], 0)</f>
        <v>0</v>
      </c>
      <c r="AD53" s="417">
        <f>IFERROR(AN_TME_PY[[#This Row],[Total Claims Excluded because of Truncation]]/AN_TME_PY[[#This Row],[TOTAL Non-Truncated Unadjusted Claims Expenses]], 0)</f>
        <v>0</v>
      </c>
    </row>
    <row r="54" spans="1:30" x14ac:dyDescent="0.25">
      <c r="A54" s="370"/>
      <c r="B54" s="371"/>
      <c r="C54" s="371"/>
      <c r="D54" s="372"/>
      <c r="E54" s="373"/>
      <c r="F54" s="373"/>
      <c r="G54" s="373"/>
      <c r="H54" s="373"/>
      <c r="I54" s="373"/>
      <c r="J54" s="373"/>
      <c r="K54" s="373"/>
      <c r="L54" s="373"/>
      <c r="M54" s="373"/>
      <c r="N54" s="373"/>
      <c r="O54" s="373"/>
      <c r="P54" s="373"/>
      <c r="Q54" s="373"/>
      <c r="R54" s="373"/>
      <c r="S54" s="373"/>
      <c r="T54" s="373"/>
      <c r="U54" s="380"/>
      <c r="V54" s="375">
        <f t="shared" si="2"/>
        <v>0</v>
      </c>
      <c r="W54" s="375">
        <f>AN_TME_PY[[#This Row],[TOTAL Non-Truncated Unadjusted Claims Expenses]]-AN_TME_PY[[#This Row],[Total Claims Excluded because of Truncation]]</f>
        <v>0</v>
      </c>
      <c r="X54" s="375">
        <f t="shared" si="3"/>
        <v>0</v>
      </c>
      <c r="Y54" s="375">
        <f>AN_TME_PY[[#This Row],[TOTAL Non-Truncated Unadjusted Claims Expenses]]+AN_TME_PY[[#This Row],[TOTAL Non-Claims Expenses]]</f>
        <v>0</v>
      </c>
      <c r="Z54" s="375">
        <f>AN_TME_PY[[#This Row],[TOTAL Truncated Unadjusted Claims Expenses (A21 -A19)]]+AN_TME_PY[[#This Row],[TOTAL Non-Claims Expenses]]</f>
        <v>0</v>
      </c>
      <c r="AA54" s="416">
        <f>IFERROR(AN_TME_PY[[#This Row],[TOTAL Non-Truncated Unadjusted Expenses (A21 + A23)]]/AN_TME_PY[[#This Row],[Member Months]],0)</f>
        <v>0</v>
      </c>
      <c r="AB54" s="416">
        <f>IFERROR(AN_TME_PY[[#This Row],[TOTAL Truncated Unadjusted Expenses (A22 + A23)]]/AN_TME_PY[[#This Row],[Member Months]],0)</f>
        <v>0</v>
      </c>
      <c r="AC54" s="385">
        <f>IFERROR(AN_TME_PY[[#This Row],[Total Claims Excluded because of Truncation]]/AN_TME_PY[[#This Row],[Count of Members with Claims Truncated]], 0)</f>
        <v>0</v>
      </c>
      <c r="AD54" s="417">
        <f>IFERROR(AN_TME_PY[[#This Row],[Total Claims Excluded because of Truncation]]/AN_TME_PY[[#This Row],[TOTAL Non-Truncated Unadjusted Claims Expenses]], 0)</f>
        <v>0</v>
      </c>
    </row>
    <row r="55" spans="1:30" x14ac:dyDescent="0.25">
      <c r="A55" s="364"/>
      <c r="B55" s="365"/>
      <c r="C55" s="365"/>
      <c r="D55" s="366"/>
      <c r="E55" s="367"/>
      <c r="F55" s="367"/>
      <c r="G55" s="367"/>
      <c r="H55" s="367"/>
      <c r="I55" s="367"/>
      <c r="J55" s="367"/>
      <c r="K55" s="367"/>
      <c r="L55" s="367"/>
      <c r="M55" s="367"/>
      <c r="N55" s="367"/>
      <c r="O55" s="367"/>
      <c r="P55" s="367"/>
      <c r="Q55" s="367"/>
      <c r="R55" s="367"/>
      <c r="S55" s="367"/>
      <c r="T55" s="367"/>
      <c r="U55" s="379"/>
      <c r="V55" s="369">
        <f t="shared" si="2"/>
        <v>0</v>
      </c>
      <c r="W55" s="369">
        <f>AN_TME_PY[[#This Row],[TOTAL Non-Truncated Unadjusted Claims Expenses]]-AN_TME_PY[[#This Row],[Total Claims Excluded because of Truncation]]</f>
        <v>0</v>
      </c>
      <c r="X55" s="369">
        <f t="shared" si="3"/>
        <v>0</v>
      </c>
      <c r="Y55" s="369">
        <f>AN_TME_PY[[#This Row],[TOTAL Non-Truncated Unadjusted Claims Expenses]]+AN_TME_PY[[#This Row],[TOTAL Non-Claims Expenses]]</f>
        <v>0</v>
      </c>
      <c r="Z55" s="369">
        <f>AN_TME_PY[[#This Row],[TOTAL Truncated Unadjusted Claims Expenses (A21 -A19)]]+AN_TME_PY[[#This Row],[TOTAL Non-Claims Expenses]]</f>
        <v>0</v>
      </c>
      <c r="AA55" s="415">
        <f>IFERROR(AN_TME_PY[[#This Row],[TOTAL Non-Truncated Unadjusted Expenses (A21 + A23)]]/AN_TME_PY[[#This Row],[Member Months]],0)</f>
        <v>0</v>
      </c>
      <c r="AB55" s="415">
        <f>IFERROR(AN_TME_PY[[#This Row],[TOTAL Truncated Unadjusted Expenses (A22 + A23)]]/AN_TME_PY[[#This Row],[Member Months]],0)</f>
        <v>0</v>
      </c>
      <c r="AC55" s="385">
        <f>IFERROR(AN_TME_PY[[#This Row],[Total Claims Excluded because of Truncation]]/AN_TME_PY[[#This Row],[Count of Members with Claims Truncated]], 0)</f>
        <v>0</v>
      </c>
      <c r="AD55" s="417">
        <f>IFERROR(AN_TME_PY[[#This Row],[Total Claims Excluded because of Truncation]]/AN_TME_PY[[#This Row],[TOTAL Non-Truncated Unadjusted Claims Expenses]], 0)</f>
        <v>0</v>
      </c>
    </row>
    <row r="56" spans="1:30" x14ac:dyDescent="0.25">
      <c r="A56" s="370"/>
      <c r="B56" s="371"/>
      <c r="C56" s="371"/>
      <c r="D56" s="372"/>
      <c r="E56" s="373"/>
      <c r="F56" s="373"/>
      <c r="G56" s="373"/>
      <c r="H56" s="373"/>
      <c r="I56" s="373"/>
      <c r="J56" s="373"/>
      <c r="K56" s="373"/>
      <c r="L56" s="373"/>
      <c r="M56" s="373"/>
      <c r="N56" s="373"/>
      <c r="O56" s="373"/>
      <c r="P56" s="373"/>
      <c r="Q56" s="373"/>
      <c r="R56" s="373"/>
      <c r="S56" s="373"/>
      <c r="T56" s="373"/>
      <c r="U56" s="380"/>
      <c r="V56" s="375">
        <f t="shared" si="2"/>
        <v>0</v>
      </c>
      <c r="W56" s="375">
        <f>AN_TME_PY[[#This Row],[TOTAL Non-Truncated Unadjusted Claims Expenses]]-AN_TME_PY[[#This Row],[Total Claims Excluded because of Truncation]]</f>
        <v>0</v>
      </c>
      <c r="X56" s="375">
        <f t="shared" si="3"/>
        <v>0</v>
      </c>
      <c r="Y56" s="375">
        <f>AN_TME_PY[[#This Row],[TOTAL Non-Truncated Unadjusted Claims Expenses]]+AN_TME_PY[[#This Row],[TOTAL Non-Claims Expenses]]</f>
        <v>0</v>
      </c>
      <c r="Z56" s="375">
        <f>AN_TME_PY[[#This Row],[TOTAL Truncated Unadjusted Claims Expenses (A21 -A19)]]+AN_TME_PY[[#This Row],[TOTAL Non-Claims Expenses]]</f>
        <v>0</v>
      </c>
      <c r="AA56" s="416">
        <f>IFERROR(AN_TME_PY[[#This Row],[TOTAL Non-Truncated Unadjusted Expenses (A21 + A23)]]/AN_TME_PY[[#This Row],[Member Months]],0)</f>
        <v>0</v>
      </c>
      <c r="AB56" s="416">
        <f>IFERROR(AN_TME_PY[[#This Row],[TOTAL Truncated Unadjusted Expenses (A22 + A23)]]/AN_TME_PY[[#This Row],[Member Months]],0)</f>
        <v>0</v>
      </c>
      <c r="AC56" s="385">
        <f>IFERROR(AN_TME_PY[[#This Row],[Total Claims Excluded because of Truncation]]/AN_TME_PY[[#This Row],[Count of Members with Claims Truncated]], 0)</f>
        <v>0</v>
      </c>
      <c r="AD56" s="417">
        <f>IFERROR(AN_TME_PY[[#This Row],[Total Claims Excluded because of Truncation]]/AN_TME_PY[[#This Row],[TOTAL Non-Truncated Unadjusted Claims Expenses]], 0)</f>
        <v>0</v>
      </c>
    </row>
    <row r="57" spans="1:30" x14ac:dyDescent="0.25">
      <c r="A57" s="364"/>
      <c r="B57" s="365"/>
      <c r="C57" s="365"/>
      <c r="D57" s="366"/>
      <c r="E57" s="367"/>
      <c r="F57" s="367"/>
      <c r="G57" s="367"/>
      <c r="H57" s="367"/>
      <c r="I57" s="367"/>
      <c r="J57" s="367"/>
      <c r="K57" s="367"/>
      <c r="L57" s="367"/>
      <c r="M57" s="367"/>
      <c r="N57" s="367"/>
      <c r="O57" s="367"/>
      <c r="P57" s="367"/>
      <c r="Q57" s="367"/>
      <c r="R57" s="367"/>
      <c r="S57" s="367"/>
      <c r="T57" s="367"/>
      <c r="U57" s="379"/>
      <c r="V57" s="369">
        <f t="shared" si="2"/>
        <v>0</v>
      </c>
      <c r="W57" s="369">
        <f>AN_TME_PY[[#This Row],[TOTAL Non-Truncated Unadjusted Claims Expenses]]-AN_TME_PY[[#This Row],[Total Claims Excluded because of Truncation]]</f>
        <v>0</v>
      </c>
      <c r="X57" s="369">
        <f t="shared" si="3"/>
        <v>0</v>
      </c>
      <c r="Y57" s="369">
        <f>AN_TME_PY[[#This Row],[TOTAL Non-Truncated Unadjusted Claims Expenses]]+AN_TME_PY[[#This Row],[TOTAL Non-Claims Expenses]]</f>
        <v>0</v>
      </c>
      <c r="Z57" s="369">
        <f>AN_TME_PY[[#This Row],[TOTAL Truncated Unadjusted Claims Expenses (A21 -A19)]]+AN_TME_PY[[#This Row],[TOTAL Non-Claims Expenses]]</f>
        <v>0</v>
      </c>
      <c r="AA57" s="415">
        <f>IFERROR(AN_TME_PY[[#This Row],[TOTAL Non-Truncated Unadjusted Expenses (A21 + A23)]]/AN_TME_PY[[#This Row],[Member Months]],0)</f>
        <v>0</v>
      </c>
      <c r="AB57" s="415">
        <f>IFERROR(AN_TME_PY[[#This Row],[TOTAL Truncated Unadjusted Expenses (A22 + A23)]]/AN_TME_PY[[#This Row],[Member Months]],0)</f>
        <v>0</v>
      </c>
      <c r="AC57" s="385">
        <f>IFERROR(AN_TME_PY[[#This Row],[Total Claims Excluded because of Truncation]]/AN_TME_PY[[#This Row],[Count of Members with Claims Truncated]], 0)</f>
        <v>0</v>
      </c>
      <c r="AD57" s="417">
        <f>IFERROR(AN_TME_PY[[#This Row],[Total Claims Excluded because of Truncation]]/AN_TME_PY[[#This Row],[TOTAL Non-Truncated Unadjusted Claims Expenses]], 0)</f>
        <v>0</v>
      </c>
    </row>
    <row r="58" spans="1:30" x14ac:dyDescent="0.25">
      <c r="A58" s="370"/>
      <c r="B58" s="371"/>
      <c r="C58" s="371"/>
      <c r="D58" s="372"/>
      <c r="E58" s="373"/>
      <c r="F58" s="373"/>
      <c r="G58" s="373"/>
      <c r="H58" s="373"/>
      <c r="I58" s="373"/>
      <c r="J58" s="373"/>
      <c r="K58" s="373"/>
      <c r="L58" s="373"/>
      <c r="M58" s="373"/>
      <c r="N58" s="373"/>
      <c r="O58" s="373"/>
      <c r="P58" s="373"/>
      <c r="Q58" s="373"/>
      <c r="R58" s="373"/>
      <c r="S58" s="373"/>
      <c r="T58" s="373"/>
      <c r="U58" s="380"/>
      <c r="V58" s="375">
        <f t="shared" si="2"/>
        <v>0</v>
      </c>
      <c r="W58" s="375">
        <f>AN_TME_PY[[#This Row],[TOTAL Non-Truncated Unadjusted Claims Expenses]]-AN_TME_PY[[#This Row],[Total Claims Excluded because of Truncation]]</f>
        <v>0</v>
      </c>
      <c r="X58" s="375">
        <f t="shared" si="3"/>
        <v>0</v>
      </c>
      <c r="Y58" s="375">
        <f>AN_TME_PY[[#This Row],[TOTAL Non-Truncated Unadjusted Claims Expenses]]+AN_TME_PY[[#This Row],[TOTAL Non-Claims Expenses]]</f>
        <v>0</v>
      </c>
      <c r="Z58" s="375">
        <f>AN_TME_PY[[#This Row],[TOTAL Truncated Unadjusted Claims Expenses (A21 -A19)]]+AN_TME_PY[[#This Row],[TOTAL Non-Claims Expenses]]</f>
        <v>0</v>
      </c>
      <c r="AA58" s="416">
        <f>IFERROR(AN_TME_PY[[#This Row],[TOTAL Non-Truncated Unadjusted Expenses (A21 + A23)]]/AN_TME_PY[[#This Row],[Member Months]],0)</f>
        <v>0</v>
      </c>
      <c r="AB58" s="416">
        <f>IFERROR(AN_TME_PY[[#This Row],[TOTAL Truncated Unadjusted Expenses (A22 + A23)]]/AN_TME_PY[[#This Row],[Member Months]],0)</f>
        <v>0</v>
      </c>
      <c r="AC58" s="385">
        <f>IFERROR(AN_TME_PY[[#This Row],[Total Claims Excluded because of Truncation]]/AN_TME_PY[[#This Row],[Count of Members with Claims Truncated]], 0)</f>
        <v>0</v>
      </c>
      <c r="AD58" s="417">
        <f>IFERROR(AN_TME_PY[[#This Row],[Total Claims Excluded because of Truncation]]/AN_TME_PY[[#This Row],[TOTAL Non-Truncated Unadjusted Claims Expenses]], 0)</f>
        <v>0</v>
      </c>
    </row>
    <row r="59" spans="1:30" x14ac:dyDescent="0.25">
      <c r="A59" s="364"/>
      <c r="B59" s="365"/>
      <c r="C59" s="365"/>
      <c r="D59" s="366"/>
      <c r="E59" s="367"/>
      <c r="F59" s="367"/>
      <c r="G59" s="367"/>
      <c r="H59" s="367"/>
      <c r="I59" s="367"/>
      <c r="J59" s="367"/>
      <c r="K59" s="367"/>
      <c r="L59" s="367"/>
      <c r="M59" s="367"/>
      <c r="N59" s="367"/>
      <c r="O59" s="367"/>
      <c r="P59" s="367"/>
      <c r="Q59" s="367"/>
      <c r="R59" s="367"/>
      <c r="S59" s="367"/>
      <c r="T59" s="367"/>
      <c r="U59" s="379"/>
      <c r="V59" s="369">
        <f t="shared" si="2"/>
        <v>0</v>
      </c>
      <c r="W59" s="369">
        <f>AN_TME_PY[[#This Row],[TOTAL Non-Truncated Unadjusted Claims Expenses]]-AN_TME_PY[[#This Row],[Total Claims Excluded because of Truncation]]</f>
        <v>0</v>
      </c>
      <c r="X59" s="369">
        <f t="shared" si="3"/>
        <v>0</v>
      </c>
      <c r="Y59" s="369">
        <f>AN_TME_PY[[#This Row],[TOTAL Non-Truncated Unadjusted Claims Expenses]]+AN_TME_PY[[#This Row],[TOTAL Non-Claims Expenses]]</f>
        <v>0</v>
      </c>
      <c r="Z59" s="369">
        <f>AN_TME_PY[[#This Row],[TOTAL Truncated Unadjusted Claims Expenses (A21 -A19)]]+AN_TME_PY[[#This Row],[TOTAL Non-Claims Expenses]]</f>
        <v>0</v>
      </c>
      <c r="AA59" s="415">
        <f>IFERROR(AN_TME_PY[[#This Row],[TOTAL Non-Truncated Unadjusted Expenses (A21 + A23)]]/AN_TME_PY[[#This Row],[Member Months]],0)</f>
        <v>0</v>
      </c>
      <c r="AB59" s="415">
        <f>IFERROR(AN_TME_PY[[#This Row],[TOTAL Truncated Unadjusted Expenses (A22 + A23)]]/AN_TME_PY[[#This Row],[Member Months]],0)</f>
        <v>0</v>
      </c>
      <c r="AC59" s="385">
        <f>IFERROR(AN_TME_PY[[#This Row],[Total Claims Excluded because of Truncation]]/AN_TME_PY[[#This Row],[Count of Members with Claims Truncated]], 0)</f>
        <v>0</v>
      </c>
      <c r="AD59" s="417">
        <f>IFERROR(AN_TME_PY[[#This Row],[Total Claims Excluded because of Truncation]]/AN_TME_PY[[#This Row],[TOTAL Non-Truncated Unadjusted Claims Expenses]], 0)</f>
        <v>0</v>
      </c>
    </row>
    <row r="60" spans="1:30" x14ac:dyDescent="0.25">
      <c r="A60" s="370"/>
      <c r="B60" s="371"/>
      <c r="C60" s="371"/>
      <c r="D60" s="372"/>
      <c r="E60" s="373"/>
      <c r="F60" s="373"/>
      <c r="G60" s="373"/>
      <c r="H60" s="373"/>
      <c r="I60" s="373"/>
      <c r="J60" s="373"/>
      <c r="K60" s="373"/>
      <c r="L60" s="373"/>
      <c r="M60" s="373"/>
      <c r="N60" s="373"/>
      <c r="O60" s="373"/>
      <c r="P60" s="373"/>
      <c r="Q60" s="373"/>
      <c r="R60" s="373"/>
      <c r="S60" s="373"/>
      <c r="T60" s="373"/>
      <c r="U60" s="380"/>
      <c r="V60" s="375">
        <f t="shared" si="2"/>
        <v>0</v>
      </c>
      <c r="W60" s="375">
        <f>AN_TME_PY[[#This Row],[TOTAL Non-Truncated Unadjusted Claims Expenses]]-AN_TME_PY[[#This Row],[Total Claims Excluded because of Truncation]]</f>
        <v>0</v>
      </c>
      <c r="X60" s="375">
        <f t="shared" si="3"/>
        <v>0</v>
      </c>
      <c r="Y60" s="375">
        <f>AN_TME_PY[[#This Row],[TOTAL Non-Truncated Unadjusted Claims Expenses]]+AN_TME_PY[[#This Row],[TOTAL Non-Claims Expenses]]</f>
        <v>0</v>
      </c>
      <c r="Z60" s="375">
        <f>AN_TME_PY[[#This Row],[TOTAL Truncated Unadjusted Claims Expenses (A21 -A19)]]+AN_TME_PY[[#This Row],[TOTAL Non-Claims Expenses]]</f>
        <v>0</v>
      </c>
      <c r="AA60" s="416">
        <f>IFERROR(AN_TME_PY[[#This Row],[TOTAL Non-Truncated Unadjusted Expenses (A21 + A23)]]/AN_TME_PY[[#This Row],[Member Months]],0)</f>
        <v>0</v>
      </c>
      <c r="AB60" s="416">
        <f>IFERROR(AN_TME_PY[[#This Row],[TOTAL Truncated Unadjusted Expenses (A22 + A23)]]/AN_TME_PY[[#This Row],[Member Months]],0)</f>
        <v>0</v>
      </c>
      <c r="AC60" s="385">
        <f>IFERROR(AN_TME_PY[[#This Row],[Total Claims Excluded because of Truncation]]/AN_TME_PY[[#This Row],[Count of Members with Claims Truncated]], 0)</f>
        <v>0</v>
      </c>
      <c r="AD60" s="417">
        <f>IFERROR(AN_TME_PY[[#This Row],[Total Claims Excluded because of Truncation]]/AN_TME_PY[[#This Row],[TOTAL Non-Truncated Unadjusted Claims Expenses]], 0)</f>
        <v>0</v>
      </c>
    </row>
    <row r="61" spans="1:30" x14ac:dyDescent="0.25">
      <c r="A61" s="364"/>
      <c r="B61" s="365"/>
      <c r="C61" s="365"/>
      <c r="D61" s="366"/>
      <c r="E61" s="367"/>
      <c r="F61" s="367"/>
      <c r="G61" s="367"/>
      <c r="H61" s="367"/>
      <c r="I61" s="367"/>
      <c r="J61" s="367"/>
      <c r="K61" s="367"/>
      <c r="L61" s="367"/>
      <c r="M61" s="367"/>
      <c r="N61" s="367"/>
      <c r="O61" s="367"/>
      <c r="P61" s="367"/>
      <c r="Q61" s="367"/>
      <c r="R61" s="367"/>
      <c r="S61" s="367"/>
      <c r="T61" s="367"/>
      <c r="U61" s="379"/>
      <c r="V61" s="369">
        <f t="shared" si="2"/>
        <v>0</v>
      </c>
      <c r="W61" s="369">
        <f>AN_TME_PY[[#This Row],[TOTAL Non-Truncated Unadjusted Claims Expenses]]-AN_TME_PY[[#This Row],[Total Claims Excluded because of Truncation]]</f>
        <v>0</v>
      </c>
      <c r="X61" s="369">
        <f t="shared" si="3"/>
        <v>0</v>
      </c>
      <c r="Y61" s="369">
        <f>AN_TME_PY[[#This Row],[TOTAL Non-Truncated Unadjusted Claims Expenses]]+AN_TME_PY[[#This Row],[TOTAL Non-Claims Expenses]]</f>
        <v>0</v>
      </c>
      <c r="Z61" s="369">
        <f>AN_TME_PY[[#This Row],[TOTAL Truncated Unadjusted Claims Expenses (A21 -A19)]]+AN_TME_PY[[#This Row],[TOTAL Non-Claims Expenses]]</f>
        <v>0</v>
      </c>
      <c r="AA61" s="415">
        <f>IFERROR(AN_TME_PY[[#This Row],[TOTAL Non-Truncated Unadjusted Expenses (A21 + A23)]]/AN_TME_PY[[#This Row],[Member Months]],0)</f>
        <v>0</v>
      </c>
      <c r="AB61" s="415">
        <f>IFERROR(AN_TME_PY[[#This Row],[TOTAL Truncated Unadjusted Expenses (A22 + A23)]]/AN_TME_PY[[#This Row],[Member Months]],0)</f>
        <v>0</v>
      </c>
      <c r="AC61" s="385">
        <f>IFERROR(AN_TME_PY[[#This Row],[Total Claims Excluded because of Truncation]]/AN_TME_PY[[#This Row],[Count of Members with Claims Truncated]], 0)</f>
        <v>0</v>
      </c>
      <c r="AD61" s="417">
        <f>IFERROR(AN_TME_PY[[#This Row],[Total Claims Excluded because of Truncation]]/AN_TME_PY[[#This Row],[TOTAL Non-Truncated Unadjusted Claims Expenses]], 0)</f>
        <v>0</v>
      </c>
    </row>
    <row r="62" spans="1:30" x14ac:dyDescent="0.25">
      <c r="A62" s="370"/>
      <c r="B62" s="371"/>
      <c r="C62" s="371"/>
      <c r="D62" s="372"/>
      <c r="E62" s="373"/>
      <c r="F62" s="373"/>
      <c r="G62" s="373"/>
      <c r="H62" s="373"/>
      <c r="I62" s="373"/>
      <c r="J62" s="373"/>
      <c r="K62" s="373"/>
      <c r="L62" s="373"/>
      <c r="M62" s="373"/>
      <c r="N62" s="373"/>
      <c r="O62" s="373"/>
      <c r="P62" s="373"/>
      <c r="Q62" s="373"/>
      <c r="R62" s="373"/>
      <c r="S62" s="373"/>
      <c r="T62" s="373"/>
      <c r="U62" s="380"/>
      <c r="V62" s="375">
        <f t="shared" si="2"/>
        <v>0</v>
      </c>
      <c r="W62" s="375">
        <f>AN_TME_PY[[#This Row],[TOTAL Non-Truncated Unadjusted Claims Expenses]]-AN_TME_PY[[#This Row],[Total Claims Excluded because of Truncation]]</f>
        <v>0</v>
      </c>
      <c r="X62" s="375">
        <f t="shared" si="3"/>
        <v>0</v>
      </c>
      <c r="Y62" s="375">
        <f>AN_TME_PY[[#This Row],[TOTAL Non-Truncated Unadjusted Claims Expenses]]+AN_TME_PY[[#This Row],[TOTAL Non-Claims Expenses]]</f>
        <v>0</v>
      </c>
      <c r="Z62" s="375">
        <f>AN_TME_PY[[#This Row],[TOTAL Truncated Unadjusted Claims Expenses (A21 -A19)]]+AN_TME_PY[[#This Row],[TOTAL Non-Claims Expenses]]</f>
        <v>0</v>
      </c>
      <c r="AA62" s="416">
        <f>IFERROR(AN_TME_PY[[#This Row],[TOTAL Non-Truncated Unadjusted Expenses (A21 + A23)]]/AN_TME_PY[[#This Row],[Member Months]],0)</f>
        <v>0</v>
      </c>
      <c r="AB62" s="416">
        <f>IFERROR(AN_TME_PY[[#This Row],[TOTAL Truncated Unadjusted Expenses (A22 + A23)]]/AN_TME_PY[[#This Row],[Member Months]],0)</f>
        <v>0</v>
      </c>
      <c r="AC62" s="385">
        <f>IFERROR(AN_TME_PY[[#This Row],[Total Claims Excluded because of Truncation]]/AN_TME_PY[[#This Row],[Count of Members with Claims Truncated]], 0)</f>
        <v>0</v>
      </c>
      <c r="AD62" s="417">
        <f>IFERROR(AN_TME_PY[[#This Row],[Total Claims Excluded because of Truncation]]/AN_TME_PY[[#This Row],[TOTAL Non-Truncated Unadjusted Claims Expenses]], 0)</f>
        <v>0</v>
      </c>
    </row>
    <row r="63" spans="1:30" x14ac:dyDescent="0.25">
      <c r="A63" s="364"/>
      <c r="B63" s="365"/>
      <c r="C63" s="365"/>
      <c r="D63" s="366"/>
      <c r="E63" s="367"/>
      <c r="F63" s="367"/>
      <c r="G63" s="367"/>
      <c r="H63" s="367"/>
      <c r="I63" s="367"/>
      <c r="J63" s="367"/>
      <c r="K63" s="367"/>
      <c r="L63" s="367"/>
      <c r="M63" s="367"/>
      <c r="N63" s="367"/>
      <c r="O63" s="367"/>
      <c r="P63" s="367"/>
      <c r="Q63" s="367"/>
      <c r="R63" s="367"/>
      <c r="S63" s="367"/>
      <c r="T63" s="367"/>
      <c r="U63" s="379"/>
      <c r="V63" s="369">
        <f t="shared" si="2"/>
        <v>0</v>
      </c>
      <c r="W63" s="369">
        <f>AN_TME_PY[[#This Row],[TOTAL Non-Truncated Unadjusted Claims Expenses]]-AN_TME_PY[[#This Row],[Total Claims Excluded because of Truncation]]</f>
        <v>0</v>
      </c>
      <c r="X63" s="369">
        <f t="shared" si="3"/>
        <v>0</v>
      </c>
      <c r="Y63" s="369">
        <f>AN_TME_PY[[#This Row],[TOTAL Non-Truncated Unadjusted Claims Expenses]]+AN_TME_PY[[#This Row],[TOTAL Non-Claims Expenses]]</f>
        <v>0</v>
      </c>
      <c r="Z63" s="369">
        <f>AN_TME_PY[[#This Row],[TOTAL Truncated Unadjusted Claims Expenses (A21 -A19)]]+AN_TME_PY[[#This Row],[TOTAL Non-Claims Expenses]]</f>
        <v>0</v>
      </c>
      <c r="AA63" s="415">
        <f>IFERROR(AN_TME_PY[[#This Row],[TOTAL Non-Truncated Unadjusted Expenses (A21 + A23)]]/AN_TME_PY[[#This Row],[Member Months]],0)</f>
        <v>0</v>
      </c>
      <c r="AB63" s="415">
        <f>IFERROR(AN_TME_PY[[#This Row],[TOTAL Truncated Unadjusted Expenses (A22 + A23)]]/AN_TME_PY[[#This Row],[Member Months]],0)</f>
        <v>0</v>
      </c>
      <c r="AC63" s="385">
        <f>IFERROR(AN_TME_PY[[#This Row],[Total Claims Excluded because of Truncation]]/AN_TME_PY[[#This Row],[Count of Members with Claims Truncated]], 0)</f>
        <v>0</v>
      </c>
      <c r="AD63" s="417">
        <f>IFERROR(AN_TME_PY[[#This Row],[Total Claims Excluded because of Truncation]]/AN_TME_PY[[#This Row],[TOTAL Non-Truncated Unadjusted Claims Expenses]], 0)</f>
        <v>0</v>
      </c>
    </row>
    <row r="64" spans="1:30" x14ac:dyDescent="0.25">
      <c r="A64" s="370"/>
      <c r="B64" s="371"/>
      <c r="C64" s="371"/>
      <c r="D64" s="372"/>
      <c r="E64" s="373"/>
      <c r="F64" s="373"/>
      <c r="G64" s="373"/>
      <c r="H64" s="373"/>
      <c r="I64" s="373"/>
      <c r="J64" s="373"/>
      <c r="K64" s="373"/>
      <c r="L64" s="373"/>
      <c r="M64" s="373"/>
      <c r="N64" s="373"/>
      <c r="O64" s="373"/>
      <c r="P64" s="373"/>
      <c r="Q64" s="373"/>
      <c r="R64" s="373"/>
      <c r="S64" s="373"/>
      <c r="T64" s="373"/>
      <c r="U64" s="380"/>
      <c r="V64" s="375">
        <f t="shared" si="2"/>
        <v>0</v>
      </c>
      <c r="W64" s="375">
        <f>AN_TME_PY[[#This Row],[TOTAL Non-Truncated Unadjusted Claims Expenses]]-AN_TME_PY[[#This Row],[Total Claims Excluded because of Truncation]]</f>
        <v>0</v>
      </c>
      <c r="X64" s="375">
        <f t="shared" si="3"/>
        <v>0</v>
      </c>
      <c r="Y64" s="375">
        <f>AN_TME_PY[[#This Row],[TOTAL Non-Truncated Unadjusted Claims Expenses]]+AN_TME_PY[[#This Row],[TOTAL Non-Claims Expenses]]</f>
        <v>0</v>
      </c>
      <c r="Z64" s="375">
        <f>AN_TME_PY[[#This Row],[TOTAL Truncated Unadjusted Claims Expenses (A21 -A19)]]+AN_TME_PY[[#This Row],[TOTAL Non-Claims Expenses]]</f>
        <v>0</v>
      </c>
      <c r="AA64" s="416">
        <f>IFERROR(AN_TME_PY[[#This Row],[TOTAL Non-Truncated Unadjusted Expenses (A21 + A23)]]/AN_TME_PY[[#This Row],[Member Months]],0)</f>
        <v>0</v>
      </c>
      <c r="AB64" s="416">
        <f>IFERROR(AN_TME_PY[[#This Row],[TOTAL Truncated Unadjusted Expenses (A22 + A23)]]/AN_TME_PY[[#This Row],[Member Months]],0)</f>
        <v>0</v>
      </c>
      <c r="AC64" s="385">
        <f>IFERROR(AN_TME_PY[[#This Row],[Total Claims Excluded because of Truncation]]/AN_TME_PY[[#This Row],[Count of Members with Claims Truncated]], 0)</f>
        <v>0</v>
      </c>
      <c r="AD64" s="417">
        <f>IFERROR(AN_TME_PY[[#This Row],[Total Claims Excluded because of Truncation]]/AN_TME_PY[[#This Row],[TOTAL Non-Truncated Unadjusted Claims Expenses]], 0)</f>
        <v>0</v>
      </c>
    </row>
    <row r="65" spans="1:30" x14ac:dyDescent="0.25">
      <c r="A65" s="364"/>
      <c r="B65" s="365"/>
      <c r="C65" s="365"/>
      <c r="D65" s="366"/>
      <c r="E65" s="367"/>
      <c r="F65" s="367"/>
      <c r="G65" s="367"/>
      <c r="H65" s="367"/>
      <c r="I65" s="367"/>
      <c r="J65" s="367"/>
      <c r="K65" s="367"/>
      <c r="L65" s="367"/>
      <c r="M65" s="367"/>
      <c r="N65" s="367"/>
      <c r="O65" s="367"/>
      <c r="P65" s="367"/>
      <c r="Q65" s="367"/>
      <c r="R65" s="367"/>
      <c r="S65" s="367"/>
      <c r="T65" s="367"/>
      <c r="U65" s="379"/>
      <c r="V65" s="369">
        <f t="shared" si="2"/>
        <v>0</v>
      </c>
      <c r="W65" s="369">
        <f>AN_TME_PY[[#This Row],[TOTAL Non-Truncated Unadjusted Claims Expenses]]-AN_TME_PY[[#This Row],[Total Claims Excluded because of Truncation]]</f>
        <v>0</v>
      </c>
      <c r="X65" s="369">
        <f t="shared" si="3"/>
        <v>0</v>
      </c>
      <c r="Y65" s="369">
        <f>AN_TME_PY[[#This Row],[TOTAL Non-Truncated Unadjusted Claims Expenses]]+AN_TME_PY[[#This Row],[TOTAL Non-Claims Expenses]]</f>
        <v>0</v>
      </c>
      <c r="Z65" s="369">
        <f>AN_TME_PY[[#This Row],[TOTAL Truncated Unadjusted Claims Expenses (A21 -A19)]]+AN_TME_PY[[#This Row],[TOTAL Non-Claims Expenses]]</f>
        <v>0</v>
      </c>
      <c r="AA65" s="415">
        <f>IFERROR(AN_TME_PY[[#This Row],[TOTAL Non-Truncated Unadjusted Expenses (A21 + A23)]]/AN_TME_PY[[#This Row],[Member Months]],0)</f>
        <v>0</v>
      </c>
      <c r="AB65" s="415">
        <f>IFERROR(AN_TME_PY[[#This Row],[TOTAL Truncated Unadjusted Expenses (A22 + A23)]]/AN_TME_PY[[#This Row],[Member Months]],0)</f>
        <v>0</v>
      </c>
      <c r="AC65" s="385">
        <f>IFERROR(AN_TME_PY[[#This Row],[Total Claims Excluded because of Truncation]]/AN_TME_PY[[#This Row],[Count of Members with Claims Truncated]], 0)</f>
        <v>0</v>
      </c>
      <c r="AD65" s="417">
        <f>IFERROR(AN_TME_PY[[#This Row],[Total Claims Excluded because of Truncation]]/AN_TME_PY[[#This Row],[TOTAL Non-Truncated Unadjusted Claims Expenses]], 0)</f>
        <v>0</v>
      </c>
    </row>
    <row r="66" spans="1:30" x14ac:dyDescent="0.25">
      <c r="A66" s="370"/>
      <c r="B66" s="371"/>
      <c r="C66" s="371"/>
      <c r="D66" s="372"/>
      <c r="E66" s="373"/>
      <c r="F66" s="373"/>
      <c r="G66" s="373"/>
      <c r="H66" s="373"/>
      <c r="I66" s="373"/>
      <c r="J66" s="373"/>
      <c r="K66" s="373"/>
      <c r="L66" s="373"/>
      <c r="M66" s="373"/>
      <c r="N66" s="373"/>
      <c r="O66" s="373"/>
      <c r="P66" s="373"/>
      <c r="Q66" s="373"/>
      <c r="R66" s="373"/>
      <c r="S66" s="373"/>
      <c r="T66" s="373"/>
      <c r="U66" s="380"/>
      <c r="V66" s="375">
        <f t="shared" si="2"/>
        <v>0</v>
      </c>
      <c r="W66" s="375">
        <f>AN_TME_PY[[#This Row],[TOTAL Non-Truncated Unadjusted Claims Expenses]]-AN_TME_PY[[#This Row],[Total Claims Excluded because of Truncation]]</f>
        <v>0</v>
      </c>
      <c r="X66" s="375">
        <f t="shared" si="3"/>
        <v>0</v>
      </c>
      <c r="Y66" s="375">
        <f>AN_TME_PY[[#This Row],[TOTAL Non-Truncated Unadjusted Claims Expenses]]+AN_TME_PY[[#This Row],[TOTAL Non-Claims Expenses]]</f>
        <v>0</v>
      </c>
      <c r="Z66" s="375">
        <f>AN_TME_PY[[#This Row],[TOTAL Truncated Unadjusted Claims Expenses (A21 -A19)]]+AN_TME_PY[[#This Row],[TOTAL Non-Claims Expenses]]</f>
        <v>0</v>
      </c>
      <c r="AA66" s="416">
        <f>IFERROR(AN_TME_PY[[#This Row],[TOTAL Non-Truncated Unadjusted Expenses (A21 + A23)]]/AN_TME_PY[[#This Row],[Member Months]],0)</f>
        <v>0</v>
      </c>
      <c r="AB66" s="416">
        <f>IFERROR(AN_TME_PY[[#This Row],[TOTAL Truncated Unadjusted Expenses (A22 + A23)]]/AN_TME_PY[[#This Row],[Member Months]],0)</f>
        <v>0</v>
      </c>
      <c r="AC66" s="385">
        <f>IFERROR(AN_TME_PY[[#This Row],[Total Claims Excluded because of Truncation]]/AN_TME_PY[[#This Row],[Count of Members with Claims Truncated]], 0)</f>
        <v>0</v>
      </c>
      <c r="AD66" s="417">
        <f>IFERROR(AN_TME_PY[[#This Row],[Total Claims Excluded because of Truncation]]/AN_TME_PY[[#This Row],[TOTAL Non-Truncated Unadjusted Claims Expenses]], 0)</f>
        <v>0</v>
      </c>
    </row>
    <row r="67" spans="1:30" x14ac:dyDescent="0.25">
      <c r="A67" s="364"/>
      <c r="B67" s="365"/>
      <c r="C67" s="365"/>
      <c r="D67" s="366"/>
      <c r="E67" s="367"/>
      <c r="F67" s="367"/>
      <c r="G67" s="367"/>
      <c r="H67" s="367"/>
      <c r="I67" s="367"/>
      <c r="J67" s="367"/>
      <c r="K67" s="367"/>
      <c r="L67" s="367"/>
      <c r="M67" s="367"/>
      <c r="N67" s="367"/>
      <c r="O67" s="367"/>
      <c r="P67" s="367"/>
      <c r="Q67" s="367"/>
      <c r="R67" s="367"/>
      <c r="S67" s="367"/>
      <c r="T67" s="367"/>
      <c r="U67" s="379"/>
      <c r="V67" s="369">
        <f t="shared" si="2"/>
        <v>0</v>
      </c>
      <c r="W67" s="369">
        <f>AN_TME_PY[[#This Row],[TOTAL Non-Truncated Unadjusted Claims Expenses]]-AN_TME_PY[[#This Row],[Total Claims Excluded because of Truncation]]</f>
        <v>0</v>
      </c>
      <c r="X67" s="369">
        <f t="shared" si="3"/>
        <v>0</v>
      </c>
      <c r="Y67" s="369">
        <f>AN_TME_PY[[#This Row],[TOTAL Non-Truncated Unadjusted Claims Expenses]]+AN_TME_PY[[#This Row],[TOTAL Non-Claims Expenses]]</f>
        <v>0</v>
      </c>
      <c r="Z67" s="369">
        <f>AN_TME_PY[[#This Row],[TOTAL Truncated Unadjusted Claims Expenses (A21 -A19)]]+AN_TME_PY[[#This Row],[TOTAL Non-Claims Expenses]]</f>
        <v>0</v>
      </c>
      <c r="AA67" s="415">
        <f>IFERROR(AN_TME_PY[[#This Row],[TOTAL Non-Truncated Unadjusted Expenses (A21 + A23)]]/AN_TME_PY[[#This Row],[Member Months]],0)</f>
        <v>0</v>
      </c>
      <c r="AB67" s="415">
        <f>IFERROR(AN_TME_PY[[#This Row],[TOTAL Truncated Unadjusted Expenses (A22 + A23)]]/AN_TME_PY[[#This Row],[Member Months]],0)</f>
        <v>0</v>
      </c>
      <c r="AC67" s="385">
        <f>IFERROR(AN_TME_PY[[#This Row],[Total Claims Excluded because of Truncation]]/AN_TME_PY[[#This Row],[Count of Members with Claims Truncated]], 0)</f>
        <v>0</v>
      </c>
      <c r="AD67" s="417">
        <f>IFERROR(AN_TME_PY[[#This Row],[Total Claims Excluded because of Truncation]]/AN_TME_PY[[#This Row],[TOTAL Non-Truncated Unadjusted Claims Expenses]], 0)</f>
        <v>0</v>
      </c>
    </row>
    <row r="68" spans="1:30" x14ac:dyDescent="0.25">
      <c r="A68" s="370"/>
      <c r="B68" s="371"/>
      <c r="C68" s="371"/>
      <c r="D68" s="372"/>
      <c r="E68" s="373"/>
      <c r="F68" s="373"/>
      <c r="G68" s="373"/>
      <c r="H68" s="373"/>
      <c r="I68" s="373"/>
      <c r="J68" s="373"/>
      <c r="K68" s="373"/>
      <c r="L68" s="373"/>
      <c r="M68" s="373"/>
      <c r="N68" s="373"/>
      <c r="O68" s="373"/>
      <c r="P68" s="373"/>
      <c r="Q68" s="373"/>
      <c r="R68" s="373"/>
      <c r="S68" s="373"/>
      <c r="T68" s="373"/>
      <c r="U68" s="380"/>
      <c r="V68" s="375">
        <f t="shared" si="2"/>
        <v>0</v>
      </c>
      <c r="W68" s="375">
        <f>AN_TME_PY[[#This Row],[TOTAL Non-Truncated Unadjusted Claims Expenses]]-AN_TME_PY[[#This Row],[Total Claims Excluded because of Truncation]]</f>
        <v>0</v>
      </c>
      <c r="X68" s="375">
        <f t="shared" si="3"/>
        <v>0</v>
      </c>
      <c r="Y68" s="375">
        <f>AN_TME_PY[[#This Row],[TOTAL Non-Truncated Unadjusted Claims Expenses]]+AN_TME_PY[[#This Row],[TOTAL Non-Claims Expenses]]</f>
        <v>0</v>
      </c>
      <c r="Z68" s="375">
        <f>AN_TME_PY[[#This Row],[TOTAL Truncated Unadjusted Claims Expenses (A21 -A19)]]+AN_TME_PY[[#This Row],[TOTAL Non-Claims Expenses]]</f>
        <v>0</v>
      </c>
      <c r="AA68" s="416">
        <f>IFERROR(AN_TME_PY[[#This Row],[TOTAL Non-Truncated Unadjusted Expenses (A21 + A23)]]/AN_TME_PY[[#This Row],[Member Months]],0)</f>
        <v>0</v>
      </c>
      <c r="AB68" s="416">
        <f>IFERROR(AN_TME_PY[[#This Row],[TOTAL Truncated Unadjusted Expenses (A22 + A23)]]/AN_TME_PY[[#This Row],[Member Months]],0)</f>
        <v>0</v>
      </c>
      <c r="AC68" s="385">
        <f>IFERROR(AN_TME_PY[[#This Row],[Total Claims Excluded because of Truncation]]/AN_TME_PY[[#This Row],[Count of Members with Claims Truncated]], 0)</f>
        <v>0</v>
      </c>
      <c r="AD68" s="417">
        <f>IFERROR(AN_TME_PY[[#This Row],[Total Claims Excluded because of Truncation]]/AN_TME_PY[[#This Row],[TOTAL Non-Truncated Unadjusted Claims Expenses]], 0)</f>
        <v>0</v>
      </c>
    </row>
    <row r="69" spans="1:30" x14ac:dyDescent="0.25">
      <c r="A69" s="364"/>
      <c r="B69" s="365"/>
      <c r="C69" s="365"/>
      <c r="D69" s="366"/>
      <c r="E69" s="367"/>
      <c r="F69" s="367"/>
      <c r="G69" s="367"/>
      <c r="H69" s="367"/>
      <c r="I69" s="367"/>
      <c r="J69" s="367"/>
      <c r="K69" s="367"/>
      <c r="L69" s="367"/>
      <c r="M69" s="367"/>
      <c r="N69" s="367"/>
      <c r="O69" s="367"/>
      <c r="P69" s="367"/>
      <c r="Q69" s="367"/>
      <c r="R69" s="367"/>
      <c r="S69" s="367"/>
      <c r="T69" s="367"/>
      <c r="U69" s="379"/>
      <c r="V69" s="369">
        <f t="shared" si="2"/>
        <v>0</v>
      </c>
      <c r="W69" s="369">
        <f>AN_TME_PY[[#This Row],[TOTAL Non-Truncated Unadjusted Claims Expenses]]-AN_TME_PY[[#This Row],[Total Claims Excluded because of Truncation]]</f>
        <v>0</v>
      </c>
      <c r="X69" s="369">
        <f t="shared" si="3"/>
        <v>0</v>
      </c>
      <c r="Y69" s="369">
        <f>AN_TME_PY[[#This Row],[TOTAL Non-Truncated Unadjusted Claims Expenses]]+AN_TME_PY[[#This Row],[TOTAL Non-Claims Expenses]]</f>
        <v>0</v>
      </c>
      <c r="Z69" s="369">
        <f>AN_TME_PY[[#This Row],[TOTAL Truncated Unadjusted Claims Expenses (A21 -A19)]]+AN_TME_PY[[#This Row],[TOTAL Non-Claims Expenses]]</f>
        <v>0</v>
      </c>
      <c r="AA69" s="415">
        <f>IFERROR(AN_TME_PY[[#This Row],[TOTAL Non-Truncated Unadjusted Expenses (A21 + A23)]]/AN_TME_PY[[#This Row],[Member Months]],0)</f>
        <v>0</v>
      </c>
      <c r="AB69" s="415">
        <f>IFERROR(AN_TME_PY[[#This Row],[TOTAL Truncated Unadjusted Expenses (A22 + A23)]]/AN_TME_PY[[#This Row],[Member Months]],0)</f>
        <v>0</v>
      </c>
      <c r="AC69" s="385">
        <f>IFERROR(AN_TME_PY[[#This Row],[Total Claims Excluded because of Truncation]]/AN_TME_PY[[#This Row],[Count of Members with Claims Truncated]], 0)</f>
        <v>0</v>
      </c>
      <c r="AD69" s="417">
        <f>IFERROR(AN_TME_PY[[#This Row],[Total Claims Excluded because of Truncation]]/AN_TME_PY[[#This Row],[TOTAL Non-Truncated Unadjusted Claims Expenses]], 0)</f>
        <v>0</v>
      </c>
    </row>
    <row r="70" spans="1:30" x14ac:dyDescent="0.25">
      <c r="A70" s="370"/>
      <c r="B70" s="371"/>
      <c r="C70" s="371"/>
      <c r="D70" s="372"/>
      <c r="E70" s="373"/>
      <c r="F70" s="373"/>
      <c r="G70" s="373"/>
      <c r="H70" s="373"/>
      <c r="I70" s="373"/>
      <c r="J70" s="373"/>
      <c r="K70" s="373"/>
      <c r="L70" s="373"/>
      <c r="M70" s="373"/>
      <c r="N70" s="373"/>
      <c r="O70" s="373"/>
      <c r="P70" s="373"/>
      <c r="Q70" s="373"/>
      <c r="R70" s="373"/>
      <c r="S70" s="373"/>
      <c r="T70" s="373"/>
      <c r="U70" s="380"/>
      <c r="V70" s="375">
        <f t="shared" si="2"/>
        <v>0</v>
      </c>
      <c r="W70" s="375">
        <f>AN_TME_PY[[#This Row],[TOTAL Non-Truncated Unadjusted Claims Expenses]]-AN_TME_PY[[#This Row],[Total Claims Excluded because of Truncation]]</f>
        <v>0</v>
      </c>
      <c r="X70" s="375">
        <f t="shared" si="3"/>
        <v>0</v>
      </c>
      <c r="Y70" s="375">
        <f>AN_TME_PY[[#This Row],[TOTAL Non-Truncated Unadjusted Claims Expenses]]+AN_TME_PY[[#This Row],[TOTAL Non-Claims Expenses]]</f>
        <v>0</v>
      </c>
      <c r="Z70" s="375">
        <f>AN_TME_PY[[#This Row],[TOTAL Truncated Unadjusted Claims Expenses (A21 -A19)]]+AN_TME_PY[[#This Row],[TOTAL Non-Claims Expenses]]</f>
        <v>0</v>
      </c>
      <c r="AA70" s="416">
        <f>IFERROR(AN_TME_PY[[#This Row],[TOTAL Non-Truncated Unadjusted Expenses (A21 + A23)]]/AN_TME_PY[[#This Row],[Member Months]],0)</f>
        <v>0</v>
      </c>
      <c r="AB70" s="416">
        <f>IFERROR(AN_TME_PY[[#This Row],[TOTAL Truncated Unadjusted Expenses (A22 + A23)]]/AN_TME_PY[[#This Row],[Member Months]],0)</f>
        <v>0</v>
      </c>
      <c r="AC70" s="385">
        <f>IFERROR(AN_TME_PY[[#This Row],[Total Claims Excluded because of Truncation]]/AN_TME_PY[[#This Row],[Count of Members with Claims Truncated]], 0)</f>
        <v>0</v>
      </c>
      <c r="AD70" s="417">
        <f>IFERROR(AN_TME_PY[[#This Row],[Total Claims Excluded because of Truncation]]/AN_TME_PY[[#This Row],[TOTAL Non-Truncated Unadjusted Claims Expenses]], 0)</f>
        <v>0</v>
      </c>
    </row>
    <row r="71" spans="1:30" x14ac:dyDescent="0.25">
      <c r="A71" s="364"/>
      <c r="B71" s="365"/>
      <c r="C71" s="365"/>
      <c r="D71" s="366"/>
      <c r="E71" s="367"/>
      <c r="F71" s="367"/>
      <c r="G71" s="367"/>
      <c r="H71" s="367"/>
      <c r="I71" s="367"/>
      <c r="J71" s="367"/>
      <c r="K71" s="367"/>
      <c r="L71" s="367"/>
      <c r="M71" s="367"/>
      <c r="N71" s="367"/>
      <c r="O71" s="367"/>
      <c r="P71" s="367"/>
      <c r="Q71" s="367"/>
      <c r="R71" s="367"/>
      <c r="S71" s="367"/>
      <c r="T71" s="367"/>
      <c r="U71" s="379"/>
      <c r="V71" s="369">
        <f t="shared" si="2"/>
        <v>0</v>
      </c>
      <c r="W71" s="369">
        <f>AN_TME_PY[[#This Row],[TOTAL Non-Truncated Unadjusted Claims Expenses]]-AN_TME_PY[[#This Row],[Total Claims Excluded because of Truncation]]</f>
        <v>0</v>
      </c>
      <c r="X71" s="369">
        <f t="shared" si="3"/>
        <v>0</v>
      </c>
      <c r="Y71" s="369">
        <f>AN_TME_PY[[#This Row],[TOTAL Non-Truncated Unadjusted Claims Expenses]]+AN_TME_PY[[#This Row],[TOTAL Non-Claims Expenses]]</f>
        <v>0</v>
      </c>
      <c r="Z71" s="369">
        <f>AN_TME_PY[[#This Row],[TOTAL Truncated Unadjusted Claims Expenses (A21 -A19)]]+AN_TME_PY[[#This Row],[TOTAL Non-Claims Expenses]]</f>
        <v>0</v>
      </c>
      <c r="AA71" s="415">
        <f>IFERROR(AN_TME_PY[[#This Row],[TOTAL Non-Truncated Unadjusted Expenses (A21 + A23)]]/AN_TME_PY[[#This Row],[Member Months]],0)</f>
        <v>0</v>
      </c>
      <c r="AB71" s="415">
        <f>IFERROR(AN_TME_PY[[#This Row],[TOTAL Truncated Unadjusted Expenses (A22 + A23)]]/AN_TME_PY[[#This Row],[Member Months]],0)</f>
        <v>0</v>
      </c>
      <c r="AC71" s="385">
        <f>IFERROR(AN_TME_PY[[#This Row],[Total Claims Excluded because of Truncation]]/AN_TME_PY[[#This Row],[Count of Members with Claims Truncated]], 0)</f>
        <v>0</v>
      </c>
      <c r="AD71" s="417">
        <f>IFERROR(AN_TME_PY[[#This Row],[Total Claims Excluded because of Truncation]]/AN_TME_PY[[#This Row],[TOTAL Non-Truncated Unadjusted Claims Expenses]], 0)</f>
        <v>0</v>
      </c>
    </row>
    <row r="72" spans="1:30" x14ac:dyDescent="0.25">
      <c r="A72" s="370"/>
      <c r="B72" s="371"/>
      <c r="C72" s="371"/>
      <c r="D72" s="372"/>
      <c r="E72" s="373"/>
      <c r="F72" s="373"/>
      <c r="G72" s="373"/>
      <c r="H72" s="373"/>
      <c r="I72" s="373"/>
      <c r="J72" s="373"/>
      <c r="K72" s="373"/>
      <c r="L72" s="373"/>
      <c r="M72" s="373"/>
      <c r="N72" s="373"/>
      <c r="O72" s="373"/>
      <c r="P72" s="373"/>
      <c r="Q72" s="373"/>
      <c r="R72" s="373"/>
      <c r="S72" s="373"/>
      <c r="T72" s="373"/>
      <c r="U72" s="380"/>
      <c r="V72" s="375">
        <f t="shared" si="2"/>
        <v>0</v>
      </c>
      <c r="W72" s="375">
        <f>AN_TME_PY[[#This Row],[TOTAL Non-Truncated Unadjusted Claims Expenses]]-AN_TME_PY[[#This Row],[Total Claims Excluded because of Truncation]]</f>
        <v>0</v>
      </c>
      <c r="X72" s="375">
        <f t="shared" si="3"/>
        <v>0</v>
      </c>
      <c r="Y72" s="375">
        <f>AN_TME_PY[[#This Row],[TOTAL Non-Truncated Unadjusted Claims Expenses]]+AN_TME_PY[[#This Row],[TOTAL Non-Claims Expenses]]</f>
        <v>0</v>
      </c>
      <c r="Z72" s="375">
        <f>AN_TME_PY[[#This Row],[TOTAL Truncated Unadjusted Claims Expenses (A21 -A19)]]+AN_TME_PY[[#This Row],[TOTAL Non-Claims Expenses]]</f>
        <v>0</v>
      </c>
      <c r="AA72" s="416">
        <f>IFERROR(AN_TME_PY[[#This Row],[TOTAL Non-Truncated Unadjusted Expenses (A21 + A23)]]/AN_TME_PY[[#This Row],[Member Months]],0)</f>
        <v>0</v>
      </c>
      <c r="AB72" s="416">
        <f>IFERROR(AN_TME_PY[[#This Row],[TOTAL Truncated Unadjusted Expenses (A22 + A23)]]/AN_TME_PY[[#This Row],[Member Months]],0)</f>
        <v>0</v>
      </c>
      <c r="AC72" s="385">
        <f>IFERROR(AN_TME_PY[[#This Row],[Total Claims Excluded because of Truncation]]/AN_TME_PY[[#This Row],[Count of Members with Claims Truncated]], 0)</f>
        <v>0</v>
      </c>
      <c r="AD72" s="417">
        <f>IFERROR(AN_TME_PY[[#This Row],[Total Claims Excluded because of Truncation]]/AN_TME_PY[[#This Row],[TOTAL Non-Truncated Unadjusted Claims Expenses]], 0)</f>
        <v>0</v>
      </c>
    </row>
    <row r="73" spans="1:30" x14ac:dyDescent="0.25">
      <c r="A73" s="364"/>
      <c r="B73" s="365"/>
      <c r="C73" s="365"/>
      <c r="D73" s="366"/>
      <c r="E73" s="367"/>
      <c r="F73" s="367"/>
      <c r="G73" s="367"/>
      <c r="H73" s="367"/>
      <c r="I73" s="367"/>
      <c r="J73" s="367"/>
      <c r="K73" s="367"/>
      <c r="L73" s="367"/>
      <c r="M73" s="367"/>
      <c r="N73" s="367"/>
      <c r="O73" s="367"/>
      <c r="P73" s="367"/>
      <c r="Q73" s="367"/>
      <c r="R73" s="367"/>
      <c r="S73" s="367"/>
      <c r="T73" s="367"/>
      <c r="U73" s="379"/>
      <c r="V73" s="369">
        <f t="shared" si="2"/>
        <v>0</v>
      </c>
      <c r="W73" s="369">
        <f>AN_TME_PY[[#This Row],[TOTAL Non-Truncated Unadjusted Claims Expenses]]-AN_TME_PY[[#This Row],[Total Claims Excluded because of Truncation]]</f>
        <v>0</v>
      </c>
      <c r="X73" s="369">
        <f t="shared" si="3"/>
        <v>0</v>
      </c>
      <c r="Y73" s="369">
        <f>AN_TME_PY[[#This Row],[TOTAL Non-Truncated Unadjusted Claims Expenses]]+AN_TME_PY[[#This Row],[TOTAL Non-Claims Expenses]]</f>
        <v>0</v>
      </c>
      <c r="Z73" s="369">
        <f>AN_TME_PY[[#This Row],[TOTAL Truncated Unadjusted Claims Expenses (A21 -A19)]]+AN_TME_PY[[#This Row],[TOTAL Non-Claims Expenses]]</f>
        <v>0</v>
      </c>
      <c r="AA73" s="415">
        <f>IFERROR(AN_TME_PY[[#This Row],[TOTAL Non-Truncated Unadjusted Expenses (A21 + A23)]]/AN_TME_PY[[#This Row],[Member Months]],0)</f>
        <v>0</v>
      </c>
      <c r="AB73" s="415">
        <f>IFERROR(AN_TME_PY[[#This Row],[TOTAL Truncated Unadjusted Expenses (A22 + A23)]]/AN_TME_PY[[#This Row],[Member Months]],0)</f>
        <v>0</v>
      </c>
      <c r="AC73" s="385">
        <f>IFERROR(AN_TME_PY[[#This Row],[Total Claims Excluded because of Truncation]]/AN_TME_PY[[#This Row],[Count of Members with Claims Truncated]], 0)</f>
        <v>0</v>
      </c>
      <c r="AD73" s="417">
        <f>IFERROR(AN_TME_PY[[#This Row],[Total Claims Excluded because of Truncation]]/AN_TME_PY[[#This Row],[TOTAL Non-Truncated Unadjusted Claims Expenses]], 0)</f>
        <v>0</v>
      </c>
    </row>
    <row r="74" spans="1:30" x14ac:dyDescent="0.25">
      <c r="A74" s="370"/>
      <c r="B74" s="371"/>
      <c r="C74" s="371"/>
      <c r="D74" s="372"/>
      <c r="E74" s="373"/>
      <c r="F74" s="373"/>
      <c r="G74" s="373"/>
      <c r="H74" s="373"/>
      <c r="I74" s="373"/>
      <c r="J74" s="373"/>
      <c r="K74" s="373"/>
      <c r="L74" s="373"/>
      <c r="M74" s="373"/>
      <c r="N74" s="373"/>
      <c r="O74" s="373"/>
      <c r="P74" s="373"/>
      <c r="Q74" s="373"/>
      <c r="R74" s="373"/>
      <c r="S74" s="373"/>
      <c r="T74" s="373"/>
      <c r="U74" s="380"/>
      <c r="V74" s="375">
        <f t="shared" si="2"/>
        <v>0</v>
      </c>
      <c r="W74" s="375">
        <f>AN_TME_PY[[#This Row],[TOTAL Non-Truncated Unadjusted Claims Expenses]]-AN_TME_PY[[#This Row],[Total Claims Excluded because of Truncation]]</f>
        <v>0</v>
      </c>
      <c r="X74" s="375">
        <f t="shared" si="3"/>
        <v>0</v>
      </c>
      <c r="Y74" s="375">
        <f>AN_TME_PY[[#This Row],[TOTAL Non-Truncated Unadjusted Claims Expenses]]+AN_TME_PY[[#This Row],[TOTAL Non-Claims Expenses]]</f>
        <v>0</v>
      </c>
      <c r="Z74" s="375">
        <f>AN_TME_PY[[#This Row],[TOTAL Truncated Unadjusted Claims Expenses (A21 -A19)]]+AN_TME_PY[[#This Row],[TOTAL Non-Claims Expenses]]</f>
        <v>0</v>
      </c>
      <c r="AA74" s="416">
        <f>IFERROR(AN_TME_PY[[#This Row],[TOTAL Non-Truncated Unadjusted Expenses (A21 + A23)]]/AN_TME_PY[[#This Row],[Member Months]],0)</f>
        <v>0</v>
      </c>
      <c r="AB74" s="416">
        <f>IFERROR(AN_TME_PY[[#This Row],[TOTAL Truncated Unadjusted Expenses (A22 + A23)]]/AN_TME_PY[[#This Row],[Member Months]],0)</f>
        <v>0</v>
      </c>
      <c r="AC74" s="385">
        <f>IFERROR(AN_TME_PY[[#This Row],[Total Claims Excluded because of Truncation]]/AN_TME_PY[[#This Row],[Count of Members with Claims Truncated]], 0)</f>
        <v>0</v>
      </c>
      <c r="AD74" s="417">
        <f>IFERROR(AN_TME_PY[[#This Row],[Total Claims Excluded because of Truncation]]/AN_TME_PY[[#This Row],[TOTAL Non-Truncated Unadjusted Claims Expenses]], 0)</f>
        <v>0</v>
      </c>
    </row>
    <row r="75" spans="1:30" x14ac:dyDescent="0.25">
      <c r="A75" s="364"/>
      <c r="B75" s="365"/>
      <c r="C75" s="365"/>
      <c r="D75" s="366"/>
      <c r="E75" s="367"/>
      <c r="F75" s="367"/>
      <c r="G75" s="367"/>
      <c r="H75" s="367"/>
      <c r="I75" s="367"/>
      <c r="J75" s="367"/>
      <c r="K75" s="367"/>
      <c r="L75" s="367"/>
      <c r="M75" s="367"/>
      <c r="N75" s="367"/>
      <c r="O75" s="367"/>
      <c r="P75" s="367"/>
      <c r="Q75" s="367"/>
      <c r="R75" s="367"/>
      <c r="S75" s="367"/>
      <c r="T75" s="367"/>
      <c r="U75" s="379"/>
      <c r="V75" s="369">
        <f t="shared" ref="V75:V106" si="4">SUM(E75:G75)+SUM(I75:M75)</f>
        <v>0</v>
      </c>
      <c r="W75" s="369">
        <f>AN_TME_PY[[#This Row],[TOTAL Non-Truncated Unadjusted Claims Expenses]]-AN_TME_PY[[#This Row],[Total Claims Excluded because of Truncation]]</f>
        <v>0</v>
      </c>
      <c r="X75" s="369">
        <f t="shared" ref="X75:X106" si="5">SUM(N75:R75)</f>
        <v>0</v>
      </c>
      <c r="Y75" s="369">
        <f>AN_TME_PY[[#This Row],[TOTAL Non-Truncated Unadjusted Claims Expenses]]+AN_TME_PY[[#This Row],[TOTAL Non-Claims Expenses]]</f>
        <v>0</v>
      </c>
      <c r="Z75" s="369">
        <f>AN_TME_PY[[#This Row],[TOTAL Truncated Unadjusted Claims Expenses (A21 -A19)]]+AN_TME_PY[[#This Row],[TOTAL Non-Claims Expenses]]</f>
        <v>0</v>
      </c>
      <c r="AA75" s="415">
        <f>IFERROR(AN_TME_PY[[#This Row],[TOTAL Non-Truncated Unadjusted Expenses (A21 + A23)]]/AN_TME_PY[[#This Row],[Member Months]],0)</f>
        <v>0</v>
      </c>
      <c r="AB75" s="415">
        <f>IFERROR(AN_TME_PY[[#This Row],[TOTAL Truncated Unadjusted Expenses (A22 + A23)]]/AN_TME_PY[[#This Row],[Member Months]],0)</f>
        <v>0</v>
      </c>
      <c r="AC75" s="385">
        <f>IFERROR(AN_TME_PY[[#This Row],[Total Claims Excluded because of Truncation]]/AN_TME_PY[[#This Row],[Count of Members with Claims Truncated]], 0)</f>
        <v>0</v>
      </c>
      <c r="AD75" s="417">
        <f>IFERROR(AN_TME_PY[[#This Row],[Total Claims Excluded because of Truncation]]/AN_TME_PY[[#This Row],[TOTAL Non-Truncated Unadjusted Claims Expenses]], 0)</f>
        <v>0</v>
      </c>
    </row>
    <row r="76" spans="1:30" x14ac:dyDescent="0.25">
      <c r="A76" s="370"/>
      <c r="B76" s="371"/>
      <c r="C76" s="371"/>
      <c r="D76" s="372"/>
      <c r="E76" s="373"/>
      <c r="F76" s="373"/>
      <c r="G76" s="373"/>
      <c r="H76" s="373"/>
      <c r="I76" s="373"/>
      <c r="J76" s="373"/>
      <c r="K76" s="373"/>
      <c r="L76" s="373"/>
      <c r="M76" s="373"/>
      <c r="N76" s="373"/>
      <c r="O76" s="373"/>
      <c r="P76" s="373"/>
      <c r="Q76" s="373"/>
      <c r="R76" s="373"/>
      <c r="S76" s="373"/>
      <c r="T76" s="373"/>
      <c r="U76" s="380"/>
      <c r="V76" s="375">
        <f t="shared" si="4"/>
        <v>0</v>
      </c>
      <c r="W76" s="375">
        <f>AN_TME_PY[[#This Row],[TOTAL Non-Truncated Unadjusted Claims Expenses]]-AN_TME_PY[[#This Row],[Total Claims Excluded because of Truncation]]</f>
        <v>0</v>
      </c>
      <c r="X76" s="375">
        <f t="shared" si="5"/>
        <v>0</v>
      </c>
      <c r="Y76" s="375">
        <f>AN_TME_PY[[#This Row],[TOTAL Non-Truncated Unadjusted Claims Expenses]]+AN_TME_PY[[#This Row],[TOTAL Non-Claims Expenses]]</f>
        <v>0</v>
      </c>
      <c r="Z76" s="375">
        <f>AN_TME_PY[[#This Row],[TOTAL Truncated Unadjusted Claims Expenses (A21 -A19)]]+AN_TME_PY[[#This Row],[TOTAL Non-Claims Expenses]]</f>
        <v>0</v>
      </c>
      <c r="AA76" s="416">
        <f>IFERROR(AN_TME_PY[[#This Row],[TOTAL Non-Truncated Unadjusted Expenses (A21 + A23)]]/AN_TME_PY[[#This Row],[Member Months]],0)</f>
        <v>0</v>
      </c>
      <c r="AB76" s="416">
        <f>IFERROR(AN_TME_PY[[#This Row],[TOTAL Truncated Unadjusted Expenses (A22 + A23)]]/AN_TME_PY[[#This Row],[Member Months]],0)</f>
        <v>0</v>
      </c>
      <c r="AC76" s="385">
        <f>IFERROR(AN_TME_PY[[#This Row],[Total Claims Excluded because of Truncation]]/AN_TME_PY[[#This Row],[Count of Members with Claims Truncated]], 0)</f>
        <v>0</v>
      </c>
      <c r="AD76" s="417">
        <f>IFERROR(AN_TME_PY[[#This Row],[Total Claims Excluded because of Truncation]]/AN_TME_PY[[#This Row],[TOTAL Non-Truncated Unadjusted Claims Expenses]], 0)</f>
        <v>0</v>
      </c>
    </row>
    <row r="77" spans="1:30" x14ac:dyDescent="0.25">
      <c r="A77" s="364"/>
      <c r="B77" s="365"/>
      <c r="C77" s="365"/>
      <c r="D77" s="366"/>
      <c r="E77" s="367"/>
      <c r="F77" s="367"/>
      <c r="G77" s="367"/>
      <c r="H77" s="367"/>
      <c r="I77" s="367"/>
      <c r="J77" s="367"/>
      <c r="K77" s="367"/>
      <c r="L77" s="367"/>
      <c r="M77" s="367"/>
      <c r="N77" s="367"/>
      <c r="O77" s="367"/>
      <c r="P77" s="367"/>
      <c r="Q77" s="367"/>
      <c r="R77" s="367"/>
      <c r="S77" s="367"/>
      <c r="T77" s="367"/>
      <c r="U77" s="379"/>
      <c r="V77" s="369">
        <f t="shared" si="4"/>
        <v>0</v>
      </c>
      <c r="W77" s="369">
        <f>AN_TME_PY[[#This Row],[TOTAL Non-Truncated Unadjusted Claims Expenses]]-AN_TME_PY[[#This Row],[Total Claims Excluded because of Truncation]]</f>
        <v>0</v>
      </c>
      <c r="X77" s="369">
        <f t="shared" si="5"/>
        <v>0</v>
      </c>
      <c r="Y77" s="369">
        <f>AN_TME_PY[[#This Row],[TOTAL Non-Truncated Unadjusted Claims Expenses]]+AN_TME_PY[[#This Row],[TOTAL Non-Claims Expenses]]</f>
        <v>0</v>
      </c>
      <c r="Z77" s="369">
        <f>AN_TME_PY[[#This Row],[TOTAL Truncated Unadjusted Claims Expenses (A21 -A19)]]+AN_TME_PY[[#This Row],[TOTAL Non-Claims Expenses]]</f>
        <v>0</v>
      </c>
      <c r="AA77" s="415">
        <f>IFERROR(AN_TME_PY[[#This Row],[TOTAL Non-Truncated Unadjusted Expenses (A21 + A23)]]/AN_TME_PY[[#This Row],[Member Months]],0)</f>
        <v>0</v>
      </c>
      <c r="AB77" s="415">
        <f>IFERROR(AN_TME_PY[[#This Row],[TOTAL Truncated Unadjusted Expenses (A22 + A23)]]/AN_TME_PY[[#This Row],[Member Months]],0)</f>
        <v>0</v>
      </c>
      <c r="AC77" s="385">
        <f>IFERROR(AN_TME_PY[[#This Row],[Total Claims Excluded because of Truncation]]/AN_TME_PY[[#This Row],[Count of Members with Claims Truncated]], 0)</f>
        <v>0</v>
      </c>
      <c r="AD77" s="417">
        <f>IFERROR(AN_TME_PY[[#This Row],[Total Claims Excluded because of Truncation]]/AN_TME_PY[[#This Row],[TOTAL Non-Truncated Unadjusted Claims Expenses]], 0)</f>
        <v>0</v>
      </c>
    </row>
    <row r="78" spans="1:30" x14ac:dyDescent="0.25">
      <c r="A78" s="370"/>
      <c r="B78" s="371"/>
      <c r="C78" s="371"/>
      <c r="D78" s="372"/>
      <c r="E78" s="373"/>
      <c r="F78" s="373"/>
      <c r="G78" s="373"/>
      <c r="H78" s="373"/>
      <c r="I78" s="373"/>
      <c r="J78" s="373"/>
      <c r="K78" s="373"/>
      <c r="L78" s="373"/>
      <c r="M78" s="373"/>
      <c r="N78" s="373"/>
      <c r="O78" s="373"/>
      <c r="P78" s="373"/>
      <c r="Q78" s="373"/>
      <c r="R78" s="373"/>
      <c r="S78" s="373"/>
      <c r="T78" s="373"/>
      <c r="U78" s="380"/>
      <c r="V78" s="375">
        <f t="shared" si="4"/>
        <v>0</v>
      </c>
      <c r="W78" s="375">
        <f>AN_TME_PY[[#This Row],[TOTAL Non-Truncated Unadjusted Claims Expenses]]-AN_TME_PY[[#This Row],[Total Claims Excluded because of Truncation]]</f>
        <v>0</v>
      </c>
      <c r="X78" s="375">
        <f t="shared" si="5"/>
        <v>0</v>
      </c>
      <c r="Y78" s="375">
        <f>AN_TME_PY[[#This Row],[TOTAL Non-Truncated Unadjusted Claims Expenses]]+AN_TME_PY[[#This Row],[TOTAL Non-Claims Expenses]]</f>
        <v>0</v>
      </c>
      <c r="Z78" s="375">
        <f>AN_TME_PY[[#This Row],[TOTAL Truncated Unadjusted Claims Expenses (A21 -A19)]]+AN_TME_PY[[#This Row],[TOTAL Non-Claims Expenses]]</f>
        <v>0</v>
      </c>
      <c r="AA78" s="416">
        <f>IFERROR(AN_TME_PY[[#This Row],[TOTAL Non-Truncated Unadjusted Expenses (A21 + A23)]]/AN_TME_PY[[#This Row],[Member Months]],0)</f>
        <v>0</v>
      </c>
      <c r="AB78" s="416">
        <f>IFERROR(AN_TME_PY[[#This Row],[TOTAL Truncated Unadjusted Expenses (A22 + A23)]]/AN_TME_PY[[#This Row],[Member Months]],0)</f>
        <v>0</v>
      </c>
      <c r="AC78" s="385">
        <f>IFERROR(AN_TME_PY[[#This Row],[Total Claims Excluded because of Truncation]]/AN_TME_PY[[#This Row],[Count of Members with Claims Truncated]], 0)</f>
        <v>0</v>
      </c>
      <c r="AD78" s="417">
        <f>IFERROR(AN_TME_PY[[#This Row],[Total Claims Excluded because of Truncation]]/AN_TME_PY[[#This Row],[TOTAL Non-Truncated Unadjusted Claims Expenses]], 0)</f>
        <v>0</v>
      </c>
    </row>
    <row r="79" spans="1:30" x14ac:dyDescent="0.25">
      <c r="A79" s="364"/>
      <c r="B79" s="365"/>
      <c r="C79" s="365"/>
      <c r="D79" s="366"/>
      <c r="E79" s="367"/>
      <c r="F79" s="367"/>
      <c r="G79" s="367"/>
      <c r="H79" s="367"/>
      <c r="I79" s="367"/>
      <c r="J79" s="367"/>
      <c r="K79" s="367"/>
      <c r="L79" s="367"/>
      <c r="M79" s="367"/>
      <c r="N79" s="367"/>
      <c r="O79" s="367"/>
      <c r="P79" s="367"/>
      <c r="Q79" s="367"/>
      <c r="R79" s="367"/>
      <c r="S79" s="367"/>
      <c r="T79" s="367"/>
      <c r="U79" s="379"/>
      <c r="V79" s="369">
        <f t="shared" si="4"/>
        <v>0</v>
      </c>
      <c r="W79" s="369">
        <f>AN_TME_PY[[#This Row],[TOTAL Non-Truncated Unadjusted Claims Expenses]]-AN_TME_PY[[#This Row],[Total Claims Excluded because of Truncation]]</f>
        <v>0</v>
      </c>
      <c r="X79" s="369">
        <f t="shared" si="5"/>
        <v>0</v>
      </c>
      <c r="Y79" s="369">
        <f>AN_TME_PY[[#This Row],[TOTAL Non-Truncated Unadjusted Claims Expenses]]+AN_TME_PY[[#This Row],[TOTAL Non-Claims Expenses]]</f>
        <v>0</v>
      </c>
      <c r="Z79" s="369">
        <f>AN_TME_PY[[#This Row],[TOTAL Truncated Unadjusted Claims Expenses (A21 -A19)]]+AN_TME_PY[[#This Row],[TOTAL Non-Claims Expenses]]</f>
        <v>0</v>
      </c>
      <c r="AA79" s="415">
        <f>IFERROR(AN_TME_PY[[#This Row],[TOTAL Non-Truncated Unadjusted Expenses (A21 + A23)]]/AN_TME_PY[[#This Row],[Member Months]],0)</f>
        <v>0</v>
      </c>
      <c r="AB79" s="415">
        <f>IFERROR(AN_TME_PY[[#This Row],[TOTAL Truncated Unadjusted Expenses (A22 + A23)]]/AN_TME_PY[[#This Row],[Member Months]],0)</f>
        <v>0</v>
      </c>
      <c r="AC79" s="385">
        <f>IFERROR(AN_TME_PY[[#This Row],[Total Claims Excluded because of Truncation]]/AN_TME_PY[[#This Row],[Count of Members with Claims Truncated]], 0)</f>
        <v>0</v>
      </c>
      <c r="AD79" s="417">
        <f>IFERROR(AN_TME_PY[[#This Row],[Total Claims Excluded because of Truncation]]/AN_TME_PY[[#This Row],[TOTAL Non-Truncated Unadjusted Claims Expenses]], 0)</f>
        <v>0</v>
      </c>
    </row>
    <row r="80" spans="1:30" x14ac:dyDescent="0.25">
      <c r="A80" s="370"/>
      <c r="B80" s="371"/>
      <c r="C80" s="371"/>
      <c r="D80" s="372"/>
      <c r="E80" s="373"/>
      <c r="F80" s="373"/>
      <c r="G80" s="373"/>
      <c r="H80" s="373"/>
      <c r="I80" s="373"/>
      <c r="J80" s="373"/>
      <c r="K80" s="373"/>
      <c r="L80" s="373"/>
      <c r="M80" s="373"/>
      <c r="N80" s="373"/>
      <c r="O80" s="373"/>
      <c r="P80" s="373"/>
      <c r="Q80" s="373"/>
      <c r="R80" s="373"/>
      <c r="S80" s="373"/>
      <c r="T80" s="373"/>
      <c r="U80" s="380"/>
      <c r="V80" s="375">
        <f t="shared" si="4"/>
        <v>0</v>
      </c>
      <c r="W80" s="375">
        <f>AN_TME_PY[[#This Row],[TOTAL Non-Truncated Unadjusted Claims Expenses]]-AN_TME_PY[[#This Row],[Total Claims Excluded because of Truncation]]</f>
        <v>0</v>
      </c>
      <c r="X80" s="375">
        <f t="shared" si="5"/>
        <v>0</v>
      </c>
      <c r="Y80" s="375">
        <f>AN_TME_PY[[#This Row],[TOTAL Non-Truncated Unadjusted Claims Expenses]]+AN_TME_PY[[#This Row],[TOTAL Non-Claims Expenses]]</f>
        <v>0</v>
      </c>
      <c r="Z80" s="375">
        <f>AN_TME_PY[[#This Row],[TOTAL Truncated Unadjusted Claims Expenses (A21 -A19)]]+AN_TME_PY[[#This Row],[TOTAL Non-Claims Expenses]]</f>
        <v>0</v>
      </c>
      <c r="AA80" s="416">
        <f>IFERROR(AN_TME_PY[[#This Row],[TOTAL Non-Truncated Unadjusted Expenses (A21 + A23)]]/AN_TME_PY[[#This Row],[Member Months]],0)</f>
        <v>0</v>
      </c>
      <c r="AB80" s="416">
        <f>IFERROR(AN_TME_PY[[#This Row],[TOTAL Truncated Unadjusted Expenses (A22 + A23)]]/AN_TME_PY[[#This Row],[Member Months]],0)</f>
        <v>0</v>
      </c>
      <c r="AC80" s="385">
        <f>IFERROR(AN_TME_PY[[#This Row],[Total Claims Excluded because of Truncation]]/AN_TME_PY[[#This Row],[Count of Members with Claims Truncated]], 0)</f>
        <v>0</v>
      </c>
      <c r="AD80" s="417">
        <f>IFERROR(AN_TME_PY[[#This Row],[Total Claims Excluded because of Truncation]]/AN_TME_PY[[#This Row],[TOTAL Non-Truncated Unadjusted Claims Expenses]], 0)</f>
        <v>0</v>
      </c>
    </row>
    <row r="81" spans="1:30" x14ac:dyDescent="0.25">
      <c r="A81" s="364"/>
      <c r="B81" s="365"/>
      <c r="C81" s="365"/>
      <c r="D81" s="366"/>
      <c r="E81" s="367"/>
      <c r="F81" s="367"/>
      <c r="G81" s="367"/>
      <c r="H81" s="367"/>
      <c r="I81" s="367"/>
      <c r="J81" s="367"/>
      <c r="K81" s="367"/>
      <c r="L81" s="367"/>
      <c r="M81" s="367"/>
      <c r="N81" s="367"/>
      <c r="O81" s="367"/>
      <c r="P81" s="367"/>
      <c r="Q81" s="367"/>
      <c r="R81" s="367"/>
      <c r="S81" s="367"/>
      <c r="T81" s="367"/>
      <c r="U81" s="379"/>
      <c r="V81" s="369">
        <f t="shared" si="4"/>
        <v>0</v>
      </c>
      <c r="W81" s="369">
        <f>AN_TME_PY[[#This Row],[TOTAL Non-Truncated Unadjusted Claims Expenses]]-AN_TME_PY[[#This Row],[Total Claims Excluded because of Truncation]]</f>
        <v>0</v>
      </c>
      <c r="X81" s="369">
        <f t="shared" si="5"/>
        <v>0</v>
      </c>
      <c r="Y81" s="369">
        <f>AN_TME_PY[[#This Row],[TOTAL Non-Truncated Unadjusted Claims Expenses]]+AN_TME_PY[[#This Row],[TOTAL Non-Claims Expenses]]</f>
        <v>0</v>
      </c>
      <c r="Z81" s="369">
        <f>AN_TME_PY[[#This Row],[TOTAL Truncated Unadjusted Claims Expenses (A21 -A19)]]+AN_TME_PY[[#This Row],[TOTAL Non-Claims Expenses]]</f>
        <v>0</v>
      </c>
      <c r="AA81" s="415">
        <f>IFERROR(AN_TME_PY[[#This Row],[TOTAL Non-Truncated Unadjusted Expenses (A21 + A23)]]/AN_TME_PY[[#This Row],[Member Months]],0)</f>
        <v>0</v>
      </c>
      <c r="AB81" s="415">
        <f>IFERROR(AN_TME_PY[[#This Row],[TOTAL Truncated Unadjusted Expenses (A22 + A23)]]/AN_TME_PY[[#This Row],[Member Months]],0)</f>
        <v>0</v>
      </c>
      <c r="AC81" s="385">
        <f>IFERROR(AN_TME_PY[[#This Row],[Total Claims Excluded because of Truncation]]/AN_TME_PY[[#This Row],[Count of Members with Claims Truncated]], 0)</f>
        <v>0</v>
      </c>
      <c r="AD81" s="417">
        <f>IFERROR(AN_TME_PY[[#This Row],[Total Claims Excluded because of Truncation]]/AN_TME_PY[[#This Row],[TOTAL Non-Truncated Unadjusted Claims Expenses]], 0)</f>
        <v>0</v>
      </c>
    </row>
    <row r="82" spans="1:30" x14ac:dyDescent="0.25">
      <c r="A82" s="370"/>
      <c r="B82" s="371"/>
      <c r="C82" s="371"/>
      <c r="D82" s="372"/>
      <c r="E82" s="373"/>
      <c r="F82" s="373"/>
      <c r="G82" s="373"/>
      <c r="H82" s="373"/>
      <c r="I82" s="373"/>
      <c r="J82" s="373"/>
      <c r="K82" s="373"/>
      <c r="L82" s="373"/>
      <c r="M82" s="373"/>
      <c r="N82" s="373"/>
      <c r="O82" s="373"/>
      <c r="P82" s="373"/>
      <c r="Q82" s="373"/>
      <c r="R82" s="373"/>
      <c r="S82" s="373"/>
      <c r="T82" s="373"/>
      <c r="U82" s="380"/>
      <c r="V82" s="375">
        <f t="shared" si="4"/>
        <v>0</v>
      </c>
      <c r="W82" s="375">
        <f>AN_TME_PY[[#This Row],[TOTAL Non-Truncated Unadjusted Claims Expenses]]-AN_TME_PY[[#This Row],[Total Claims Excluded because of Truncation]]</f>
        <v>0</v>
      </c>
      <c r="X82" s="375">
        <f t="shared" si="5"/>
        <v>0</v>
      </c>
      <c r="Y82" s="375">
        <f>AN_TME_PY[[#This Row],[TOTAL Non-Truncated Unadjusted Claims Expenses]]+AN_TME_PY[[#This Row],[TOTAL Non-Claims Expenses]]</f>
        <v>0</v>
      </c>
      <c r="Z82" s="375">
        <f>AN_TME_PY[[#This Row],[TOTAL Truncated Unadjusted Claims Expenses (A21 -A19)]]+AN_TME_PY[[#This Row],[TOTAL Non-Claims Expenses]]</f>
        <v>0</v>
      </c>
      <c r="AA82" s="416">
        <f>IFERROR(AN_TME_PY[[#This Row],[TOTAL Non-Truncated Unadjusted Expenses (A21 + A23)]]/AN_TME_PY[[#This Row],[Member Months]],0)</f>
        <v>0</v>
      </c>
      <c r="AB82" s="416">
        <f>IFERROR(AN_TME_PY[[#This Row],[TOTAL Truncated Unadjusted Expenses (A22 + A23)]]/AN_TME_PY[[#This Row],[Member Months]],0)</f>
        <v>0</v>
      </c>
      <c r="AC82" s="385">
        <f>IFERROR(AN_TME_PY[[#This Row],[Total Claims Excluded because of Truncation]]/AN_TME_PY[[#This Row],[Count of Members with Claims Truncated]], 0)</f>
        <v>0</v>
      </c>
      <c r="AD82" s="417">
        <f>IFERROR(AN_TME_PY[[#This Row],[Total Claims Excluded because of Truncation]]/AN_TME_PY[[#This Row],[TOTAL Non-Truncated Unadjusted Claims Expenses]], 0)</f>
        <v>0</v>
      </c>
    </row>
    <row r="83" spans="1:30" x14ac:dyDescent="0.25">
      <c r="A83" s="364"/>
      <c r="B83" s="365"/>
      <c r="C83" s="365"/>
      <c r="D83" s="366"/>
      <c r="E83" s="367"/>
      <c r="F83" s="367"/>
      <c r="G83" s="367"/>
      <c r="H83" s="367"/>
      <c r="I83" s="367"/>
      <c r="J83" s="367"/>
      <c r="K83" s="367"/>
      <c r="L83" s="367"/>
      <c r="M83" s="367"/>
      <c r="N83" s="367"/>
      <c r="O83" s="367"/>
      <c r="P83" s="367"/>
      <c r="Q83" s="367"/>
      <c r="R83" s="367"/>
      <c r="S83" s="367"/>
      <c r="T83" s="367"/>
      <c r="U83" s="379"/>
      <c r="V83" s="369">
        <f t="shared" si="4"/>
        <v>0</v>
      </c>
      <c r="W83" s="369">
        <f>AN_TME_PY[[#This Row],[TOTAL Non-Truncated Unadjusted Claims Expenses]]-AN_TME_PY[[#This Row],[Total Claims Excluded because of Truncation]]</f>
        <v>0</v>
      </c>
      <c r="X83" s="369">
        <f t="shared" si="5"/>
        <v>0</v>
      </c>
      <c r="Y83" s="369">
        <f>AN_TME_PY[[#This Row],[TOTAL Non-Truncated Unadjusted Claims Expenses]]+AN_TME_PY[[#This Row],[TOTAL Non-Claims Expenses]]</f>
        <v>0</v>
      </c>
      <c r="Z83" s="369">
        <f>AN_TME_PY[[#This Row],[TOTAL Truncated Unadjusted Claims Expenses (A21 -A19)]]+AN_TME_PY[[#This Row],[TOTAL Non-Claims Expenses]]</f>
        <v>0</v>
      </c>
      <c r="AA83" s="415">
        <f>IFERROR(AN_TME_PY[[#This Row],[TOTAL Non-Truncated Unadjusted Expenses (A21 + A23)]]/AN_TME_PY[[#This Row],[Member Months]],0)</f>
        <v>0</v>
      </c>
      <c r="AB83" s="415">
        <f>IFERROR(AN_TME_PY[[#This Row],[TOTAL Truncated Unadjusted Expenses (A22 + A23)]]/AN_TME_PY[[#This Row],[Member Months]],0)</f>
        <v>0</v>
      </c>
      <c r="AC83" s="385">
        <f>IFERROR(AN_TME_PY[[#This Row],[Total Claims Excluded because of Truncation]]/AN_TME_PY[[#This Row],[Count of Members with Claims Truncated]], 0)</f>
        <v>0</v>
      </c>
      <c r="AD83" s="417">
        <f>IFERROR(AN_TME_PY[[#This Row],[Total Claims Excluded because of Truncation]]/AN_TME_PY[[#This Row],[TOTAL Non-Truncated Unadjusted Claims Expenses]], 0)</f>
        <v>0</v>
      </c>
    </row>
    <row r="84" spans="1:30" x14ac:dyDescent="0.25">
      <c r="A84" s="370"/>
      <c r="B84" s="371"/>
      <c r="C84" s="371"/>
      <c r="D84" s="372"/>
      <c r="E84" s="373"/>
      <c r="F84" s="373"/>
      <c r="G84" s="373"/>
      <c r="H84" s="373"/>
      <c r="I84" s="373"/>
      <c r="J84" s="373"/>
      <c r="K84" s="373"/>
      <c r="L84" s="373"/>
      <c r="M84" s="373"/>
      <c r="N84" s="373"/>
      <c r="O84" s="373"/>
      <c r="P84" s="373"/>
      <c r="Q84" s="373"/>
      <c r="R84" s="373"/>
      <c r="S84" s="373"/>
      <c r="T84" s="373"/>
      <c r="U84" s="380"/>
      <c r="V84" s="375">
        <f t="shared" si="4"/>
        <v>0</v>
      </c>
      <c r="W84" s="375">
        <f>AN_TME_PY[[#This Row],[TOTAL Non-Truncated Unadjusted Claims Expenses]]-AN_TME_PY[[#This Row],[Total Claims Excluded because of Truncation]]</f>
        <v>0</v>
      </c>
      <c r="X84" s="375">
        <f t="shared" si="5"/>
        <v>0</v>
      </c>
      <c r="Y84" s="375">
        <f>AN_TME_PY[[#This Row],[TOTAL Non-Truncated Unadjusted Claims Expenses]]+AN_TME_PY[[#This Row],[TOTAL Non-Claims Expenses]]</f>
        <v>0</v>
      </c>
      <c r="Z84" s="375">
        <f>AN_TME_PY[[#This Row],[TOTAL Truncated Unadjusted Claims Expenses (A21 -A19)]]+AN_TME_PY[[#This Row],[TOTAL Non-Claims Expenses]]</f>
        <v>0</v>
      </c>
      <c r="AA84" s="416">
        <f>IFERROR(AN_TME_PY[[#This Row],[TOTAL Non-Truncated Unadjusted Expenses (A21 + A23)]]/AN_TME_PY[[#This Row],[Member Months]],0)</f>
        <v>0</v>
      </c>
      <c r="AB84" s="416">
        <f>IFERROR(AN_TME_PY[[#This Row],[TOTAL Truncated Unadjusted Expenses (A22 + A23)]]/AN_TME_PY[[#This Row],[Member Months]],0)</f>
        <v>0</v>
      </c>
      <c r="AC84" s="385">
        <f>IFERROR(AN_TME_PY[[#This Row],[Total Claims Excluded because of Truncation]]/AN_TME_PY[[#This Row],[Count of Members with Claims Truncated]], 0)</f>
        <v>0</v>
      </c>
      <c r="AD84" s="417">
        <f>IFERROR(AN_TME_PY[[#This Row],[Total Claims Excluded because of Truncation]]/AN_TME_PY[[#This Row],[TOTAL Non-Truncated Unadjusted Claims Expenses]], 0)</f>
        <v>0</v>
      </c>
    </row>
    <row r="85" spans="1:30" x14ac:dyDescent="0.25">
      <c r="A85" s="364"/>
      <c r="B85" s="365"/>
      <c r="C85" s="365"/>
      <c r="D85" s="366"/>
      <c r="E85" s="367"/>
      <c r="F85" s="367"/>
      <c r="G85" s="367"/>
      <c r="H85" s="367"/>
      <c r="I85" s="367"/>
      <c r="J85" s="367"/>
      <c r="K85" s="367"/>
      <c r="L85" s="367"/>
      <c r="M85" s="367"/>
      <c r="N85" s="367"/>
      <c r="O85" s="367"/>
      <c r="P85" s="367"/>
      <c r="Q85" s="367"/>
      <c r="R85" s="367"/>
      <c r="S85" s="367"/>
      <c r="T85" s="367"/>
      <c r="U85" s="379"/>
      <c r="V85" s="369">
        <f t="shared" si="4"/>
        <v>0</v>
      </c>
      <c r="W85" s="369">
        <f>AN_TME_PY[[#This Row],[TOTAL Non-Truncated Unadjusted Claims Expenses]]-AN_TME_PY[[#This Row],[Total Claims Excluded because of Truncation]]</f>
        <v>0</v>
      </c>
      <c r="X85" s="369">
        <f t="shared" si="5"/>
        <v>0</v>
      </c>
      <c r="Y85" s="369">
        <f>AN_TME_PY[[#This Row],[TOTAL Non-Truncated Unadjusted Claims Expenses]]+AN_TME_PY[[#This Row],[TOTAL Non-Claims Expenses]]</f>
        <v>0</v>
      </c>
      <c r="Z85" s="369">
        <f>AN_TME_PY[[#This Row],[TOTAL Truncated Unadjusted Claims Expenses (A21 -A19)]]+AN_TME_PY[[#This Row],[TOTAL Non-Claims Expenses]]</f>
        <v>0</v>
      </c>
      <c r="AA85" s="415">
        <f>IFERROR(AN_TME_PY[[#This Row],[TOTAL Non-Truncated Unadjusted Expenses (A21 + A23)]]/AN_TME_PY[[#This Row],[Member Months]],0)</f>
        <v>0</v>
      </c>
      <c r="AB85" s="415">
        <f>IFERROR(AN_TME_PY[[#This Row],[TOTAL Truncated Unadjusted Expenses (A22 + A23)]]/AN_TME_PY[[#This Row],[Member Months]],0)</f>
        <v>0</v>
      </c>
      <c r="AC85" s="385">
        <f>IFERROR(AN_TME_PY[[#This Row],[Total Claims Excluded because of Truncation]]/AN_TME_PY[[#This Row],[Count of Members with Claims Truncated]], 0)</f>
        <v>0</v>
      </c>
      <c r="AD85" s="417">
        <f>IFERROR(AN_TME_PY[[#This Row],[Total Claims Excluded because of Truncation]]/AN_TME_PY[[#This Row],[TOTAL Non-Truncated Unadjusted Claims Expenses]], 0)</f>
        <v>0</v>
      </c>
    </row>
    <row r="86" spans="1:30" x14ac:dyDescent="0.25">
      <c r="A86" s="370"/>
      <c r="B86" s="371"/>
      <c r="C86" s="371"/>
      <c r="D86" s="372"/>
      <c r="E86" s="373"/>
      <c r="F86" s="373"/>
      <c r="G86" s="373"/>
      <c r="H86" s="373"/>
      <c r="I86" s="373"/>
      <c r="J86" s="373"/>
      <c r="K86" s="373"/>
      <c r="L86" s="373"/>
      <c r="M86" s="373"/>
      <c r="N86" s="373"/>
      <c r="O86" s="373"/>
      <c r="P86" s="373"/>
      <c r="Q86" s="373"/>
      <c r="R86" s="373"/>
      <c r="S86" s="373"/>
      <c r="T86" s="373"/>
      <c r="U86" s="380"/>
      <c r="V86" s="375">
        <f t="shared" si="4"/>
        <v>0</v>
      </c>
      <c r="W86" s="375">
        <f>AN_TME_PY[[#This Row],[TOTAL Non-Truncated Unadjusted Claims Expenses]]-AN_TME_PY[[#This Row],[Total Claims Excluded because of Truncation]]</f>
        <v>0</v>
      </c>
      <c r="X86" s="375">
        <f t="shared" si="5"/>
        <v>0</v>
      </c>
      <c r="Y86" s="375">
        <f>AN_TME_PY[[#This Row],[TOTAL Non-Truncated Unadjusted Claims Expenses]]+AN_TME_PY[[#This Row],[TOTAL Non-Claims Expenses]]</f>
        <v>0</v>
      </c>
      <c r="Z86" s="375">
        <f>AN_TME_PY[[#This Row],[TOTAL Truncated Unadjusted Claims Expenses (A21 -A19)]]+AN_TME_PY[[#This Row],[TOTAL Non-Claims Expenses]]</f>
        <v>0</v>
      </c>
      <c r="AA86" s="416">
        <f>IFERROR(AN_TME_PY[[#This Row],[TOTAL Non-Truncated Unadjusted Expenses (A21 + A23)]]/AN_TME_PY[[#This Row],[Member Months]],0)</f>
        <v>0</v>
      </c>
      <c r="AB86" s="416">
        <f>IFERROR(AN_TME_PY[[#This Row],[TOTAL Truncated Unadjusted Expenses (A22 + A23)]]/AN_TME_PY[[#This Row],[Member Months]],0)</f>
        <v>0</v>
      </c>
      <c r="AC86" s="385">
        <f>IFERROR(AN_TME_PY[[#This Row],[Total Claims Excluded because of Truncation]]/AN_TME_PY[[#This Row],[Count of Members with Claims Truncated]], 0)</f>
        <v>0</v>
      </c>
      <c r="AD86" s="417">
        <f>IFERROR(AN_TME_PY[[#This Row],[Total Claims Excluded because of Truncation]]/AN_TME_PY[[#This Row],[TOTAL Non-Truncated Unadjusted Claims Expenses]], 0)</f>
        <v>0</v>
      </c>
    </row>
    <row r="87" spans="1:30" x14ac:dyDescent="0.25">
      <c r="A87" s="364"/>
      <c r="B87" s="365"/>
      <c r="C87" s="365"/>
      <c r="D87" s="366"/>
      <c r="E87" s="367"/>
      <c r="F87" s="367"/>
      <c r="G87" s="367"/>
      <c r="H87" s="367"/>
      <c r="I87" s="367"/>
      <c r="J87" s="367"/>
      <c r="K87" s="367"/>
      <c r="L87" s="367"/>
      <c r="M87" s="367"/>
      <c r="N87" s="367"/>
      <c r="O87" s="367"/>
      <c r="P87" s="367"/>
      <c r="Q87" s="367"/>
      <c r="R87" s="367"/>
      <c r="S87" s="367"/>
      <c r="T87" s="367"/>
      <c r="U87" s="379"/>
      <c r="V87" s="369">
        <f t="shared" si="4"/>
        <v>0</v>
      </c>
      <c r="W87" s="369">
        <f>AN_TME_PY[[#This Row],[TOTAL Non-Truncated Unadjusted Claims Expenses]]-AN_TME_PY[[#This Row],[Total Claims Excluded because of Truncation]]</f>
        <v>0</v>
      </c>
      <c r="X87" s="369">
        <f t="shared" si="5"/>
        <v>0</v>
      </c>
      <c r="Y87" s="369">
        <f>AN_TME_PY[[#This Row],[TOTAL Non-Truncated Unadjusted Claims Expenses]]+AN_TME_PY[[#This Row],[TOTAL Non-Claims Expenses]]</f>
        <v>0</v>
      </c>
      <c r="Z87" s="369">
        <f>AN_TME_PY[[#This Row],[TOTAL Truncated Unadjusted Claims Expenses (A21 -A19)]]+AN_TME_PY[[#This Row],[TOTAL Non-Claims Expenses]]</f>
        <v>0</v>
      </c>
      <c r="AA87" s="415">
        <f>IFERROR(AN_TME_PY[[#This Row],[TOTAL Non-Truncated Unadjusted Expenses (A21 + A23)]]/AN_TME_PY[[#This Row],[Member Months]],0)</f>
        <v>0</v>
      </c>
      <c r="AB87" s="415">
        <f>IFERROR(AN_TME_PY[[#This Row],[TOTAL Truncated Unadjusted Expenses (A22 + A23)]]/AN_TME_PY[[#This Row],[Member Months]],0)</f>
        <v>0</v>
      </c>
      <c r="AC87" s="385">
        <f>IFERROR(AN_TME_PY[[#This Row],[Total Claims Excluded because of Truncation]]/AN_TME_PY[[#This Row],[Count of Members with Claims Truncated]], 0)</f>
        <v>0</v>
      </c>
      <c r="AD87" s="417">
        <f>IFERROR(AN_TME_PY[[#This Row],[Total Claims Excluded because of Truncation]]/AN_TME_PY[[#This Row],[TOTAL Non-Truncated Unadjusted Claims Expenses]], 0)</f>
        <v>0</v>
      </c>
    </row>
    <row r="88" spans="1:30" x14ac:dyDescent="0.25">
      <c r="A88" s="370"/>
      <c r="B88" s="371"/>
      <c r="C88" s="371"/>
      <c r="D88" s="372"/>
      <c r="E88" s="373"/>
      <c r="F88" s="373"/>
      <c r="G88" s="373"/>
      <c r="H88" s="373"/>
      <c r="I88" s="373"/>
      <c r="J88" s="373"/>
      <c r="K88" s="373"/>
      <c r="L88" s="373"/>
      <c r="M88" s="373"/>
      <c r="N88" s="373"/>
      <c r="O88" s="373"/>
      <c r="P88" s="373"/>
      <c r="Q88" s="373"/>
      <c r="R88" s="373"/>
      <c r="S88" s="373"/>
      <c r="T88" s="373"/>
      <c r="U88" s="380"/>
      <c r="V88" s="375">
        <f t="shared" si="4"/>
        <v>0</v>
      </c>
      <c r="W88" s="375">
        <f>AN_TME_PY[[#This Row],[TOTAL Non-Truncated Unadjusted Claims Expenses]]-AN_TME_PY[[#This Row],[Total Claims Excluded because of Truncation]]</f>
        <v>0</v>
      </c>
      <c r="X88" s="375">
        <f t="shared" si="5"/>
        <v>0</v>
      </c>
      <c r="Y88" s="375">
        <f>AN_TME_PY[[#This Row],[TOTAL Non-Truncated Unadjusted Claims Expenses]]+AN_TME_PY[[#This Row],[TOTAL Non-Claims Expenses]]</f>
        <v>0</v>
      </c>
      <c r="Z88" s="375">
        <f>AN_TME_PY[[#This Row],[TOTAL Truncated Unadjusted Claims Expenses (A21 -A19)]]+AN_TME_PY[[#This Row],[TOTAL Non-Claims Expenses]]</f>
        <v>0</v>
      </c>
      <c r="AA88" s="416">
        <f>IFERROR(AN_TME_PY[[#This Row],[TOTAL Non-Truncated Unadjusted Expenses (A21 + A23)]]/AN_TME_PY[[#This Row],[Member Months]],0)</f>
        <v>0</v>
      </c>
      <c r="AB88" s="416">
        <f>IFERROR(AN_TME_PY[[#This Row],[TOTAL Truncated Unadjusted Expenses (A22 + A23)]]/AN_TME_PY[[#This Row],[Member Months]],0)</f>
        <v>0</v>
      </c>
      <c r="AC88" s="385">
        <f>IFERROR(AN_TME_PY[[#This Row],[Total Claims Excluded because of Truncation]]/AN_TME_PY[[#This Row],[Count of Members with Claims Truncated]], 0)</f>
        <v>0</v>
      </c>
      <c r="AD88" s="417">
        <f>IFERROR(AN_TME_PY[[#This Row],[Total Claims Excluded because of Truncation]]/AN_TME_PY[[#This Row],[TOTAL Non-Truncated Unadjusted Claims Expenses]], 0)</f>
        <v>0</v>
      </c>
    </row>
    <row r="89" spans="1:30" x14ac:dyDescent="0.25">
      <c r="A89" s="364"/>
      <c r="B89" s="365"/>
      <c r="C89" s="365"/>
      <c r="D89" s="366"/>
      <c r="E89" s="367"/>
      <c r="F89" s="367"/>
      <c r="G89" s="367"/>
      <c r="H89" s="367"/>
      <c r="I89" s="367"/>
      <c r="J89" s="367"/>
      <c r="K89" s="367"/>
      <c r="L89" s="367"/>
      <c r="M89" s="367"/>
      <c r="N89" s="367"/>
      <c r="O89" s="367"/>
      <c r="P89" s="367"/>
      <c r="Q89" s="367"/>
      <c r="R89" s="367"/>
      <c r="S89" s="367"/>
      <c r="T89" s="367"/>
      <c r="U89" s="379"/>
      <c r="V89" s="369">
        <f t="shared" si="4"/>
        <v>0</v>
      </c>
      <c r="W89" s="369">
        <f>AN_TME_PY[[#This Row],[TOTAL Non-Truncated Unadjusted Claims Expenses]]-AN_TME_PY[[#This Row],[Total Claims Excluded because of Truncation]]</f>
        <v>0</v>
      </c>
      <c r="X89" s="369">
        <f t="shared" si="5"/>
        <v>0</v>
      </c>
      <c r="Y89" s="369">
        <f>AN_TME_PY[[#This Row],[TOTAL Non-Truncated Unadjusted Claims Expenses]]+AN_TME_PY[[#This Row],[TOTAL Non-Claims Expenses]]</f>
        <v>0</v>
      </c>
      <c r="Z89" s="369">
        <f>AN_TME_PY[[#This Row],[TOTAL Truncated Unadjusted Claims Expenses (A21 -A19)]]+AN_TME_PY[[#This Row],[TOTAL Non-Claims Expenses]]</f>
        <v>0</v>
      </c>
      <c r="AA89" s="415">
        <f>IFERROR(AN_TME_PY[[#This Row],[TOTAL Non-Truncated Unadjusted Expenses (A21 + A23)]]/AN_TME_PY[[#This Row],[Member Months]],0)</f>
        <v>0</v>
      </c>
      <c r="AB89" s="415">
        <f>IFERROR(AN_TME_PY[[#This Row],[TOTAL Truncated Unadjusted Expenses (A22 + A23)]]/AN_TME_PY[[#This Row],[Member Months]],0)</f>
        <v>0</v>
      </c>
      <c r="AC89" s="385">
        <f>IFERROR(AN_TME_PY[[#This Row],[Total Claims Excluded because of Truncation]]/AN_TME_PY[[#This Row],[Count of Members with Claims Truncated]], 0)</f>
        <v>0</v>
      </c>
      <c r="AD89" s="417">
        <f>IFERROR(AN_TME_PY[[#This Row],[Total Claims Excluded because of Truncation]]/AN_TME_PY[[#This Row],[TOTAL Non-Truncated Unadjusted Claims Expenses]], 0)</f>
        <v>0</v>
      </c>
    </row>
    <row r="90" spans="1:30" x14ac:dyDescent="0.25">
      <c r="A90" s="370"/>
      <c r="B90" s="371"/>
      <c r="C90" s="371"/>
      <c r="D90" s="372"/>
      <c r="E90" s="373"/>
      <c r="F90" s="373"/>
      <c r="G90" s="373"/>
      <c r="H90" s="373"/>
      <c r="I90" s="373"/>
      <c r="J90" s="373"/>
      <c r="K90" s="373"/>
      <c r="L90" s="373"/>
      <c r="M90" s="373"/>
      <c r="N90" s="373"/>
      <c r="O90" s="373"/>
      <c r="P90" s="373"/>
      <c r="Q90" s="373"/>
      <c r="R90" s="373"/>
      <c r="S90" s="373"/>
      <c r="T90" s="373"/>
      <c r="U90" s="380"/>
      <c r="V90" s="375">
        <f t="shared" si="4"/>
        <v>0</v>
      </c>
      <c r="W90" s="375">
        <f>AN_TME_PY[[#This Row],[TOTAL Non-Truncated Unadjusted Claims Expenses]]-AN_TME_PY[[#This Row],[Total Claims Excluded because of Truncation]]</f>
        <v>0</v>
      </c>
      <c r="X90" s="375">
        <f t="shared" si="5"/>
        <v>0</v>
      </c>
      <c r="Y90" s="375">
        <f>AN_TME_PY[[#This Row],[TOTAL Non-Truncated Unadjusted Claims Expenses]]+AN_TME_PY[[#This Row],[TOTAL Non-Claims Expenses]]</f>
        <v>0</v>
      </c>
      <c r="Z90" s="375">
        <f>AN_TME_PY[[#This Row],[TOTAL Truncated Unadjusted Claims Expenses (A21 -A19)]]+AN_TME_PY[[#This Row],[TOTAL Non-Claims Expenses]]</f>
        <v>0</v>
      </c>
      <c r="AA90" s="416">
        <f>IFERROR(AN_TME_PY[[#This Row],[TOTAL Non-Truncated Unadjusted Expenses (A21 + A23)]]/AN_TME_PY[[#This Row],[Member Months]],0)</f>
        <v>0</v>
      </c>
      <c r="AB90" s="416">
        <f>IFERROR(AN_TME_PY[[#This Row],[TOTAL Truncated Unadjusted Expenses (A22 + A23)]]/AN_TME_PY[[#This Row],[Member Months]],0)</f>
        <v>0</v>
      </c>
      <c r="AC90" s="385">
        <f>IFERROR(AN_TME_PY[[#This Row],[Total Claims Excluded because of Truncation]]/AN_TME_PY[[#This Row],[Count of Members with Claims Truncated]], 0)</f>
        <v>0</v>
      </c>
      <c r="AD90" s="417">
        <f>IFERROR(AN_TME_PY[[#This Row],[Total Claims Excluded because of Truncation]]/AN_TME_PY[[#This Row],[TOTAL Non-Truncated Unadjusted Claims Expenses]], 0)</f>
        <v>0</v>
      </c>
    </row>
    <row r="91" spans="1:30" x14ac:dyDescent="0.25">
      <c r="A91" s="364"/>
      <c r="B91" s="365"/>
      <c r="C91" s="365"/>
      <c r="D91" s="366"/>
      <c r="E91" s="367"/>
      <c r="F91" s="367"/>
      <c r="G91" s="367"/>
      <c r="H91" s="367"/>
      <c r="I91" s="367"/>
      <c r="J91" s="367"/>
      <c r="K91" s="367"/>
      <c r="L91" s="367"/>
      <c r="M91" s="367"/>
      <c r="N91" s="367"/>
      <c r="O91" s="367"/>
      <c r="P91" s="367"/>
      <c r="Q91" s="367"/>
      <c r="R91" s="367"/>
      <c r="S91" s="367"/>
      <c r="T91" s="367"/>
      <c r="U91" s="379"/>
      <c r="V91" s="369">
        <f t="shared" si="4"/>
        <v>0</v>
      </c>
      <c r="W91" s="369">
        <f>AN_TME_PY[[#This Row],[TOTAL Non-Truncated Unadjusted Claims Expenses]]-AN_TME_PY[[#This Row],[Total Claims Excluded because of Truncation]]</f>
        <v>0</v>
      </c>
      <c r="X91" s="369">
        <f t="shared" si="5"/>
        <v>0</v>
      </c>
      <c r="Y91" s="369">
        <f>AN_TME_PY[[#This Row],[TOTAL Non-Truncated Unadjusted Claims Expenses]]+AN_TME_PY[[#This Row],[TOTAL Non-Claims Expenses]]</f>
        <v>0</v>
      </c>
      <c r="Z91" s="369">
        <f>AN_TME_PY[[#This Row],[TOTAL Truncated Unadjusted Claims Expenses (A21 -A19)]]+AN_TME_PY[[#This Row],[TOTAL Non-Claims Expenses]]</f>
        <v>0</v>
      </c>
      <c r="AA91" s="415">
        <f>IFERROR(AN_TME_PY[[#This Row],[TOTAL Non-Truncated Unadjusted Expenses (A21 + A23)]]/AN_TME_PY[[#This Row],[Member Months]],0)</f>
        <v>0</v>
      </c>
      <c r="AB91" s="415">
        <f>IFERROR(AN_TME_PY[[#This Row],[TOTAL Truncated Unadjusted Expenses (A22 + A23)]]/AN_TME_PY[[#This Row],[Member Months]],0)</f>
        <v>0</v>
      </c>
      <c r="AC91" s="385">
        <f>IFERROR(AN_TME_PY[[#This Row],[Total Claims Excluded because of Truncation]]/AN_TME_PY[[#This Row],[Count of Members with Claims Truncated]], 0)</f>
        <v>0</v>
      </c>
      <c r="AD91" s="417">
        <f>IFERROR(AN_TME_PY[[#This Row],[Total Claims Excluded because of Truncation]]/AN_TME_PY[[#This Row],[TOTAL Non-Truncated Unadjusted Claims Expenses]], 0)</f>
        <v>0</v>
      </c>
    </row>
    <row r="92" spans="1:30" x14ac:dyDescent="0.25">
      <c r="A92" s="370"/>
      <c r="B92" s="371"/>
      <c r="C92" s="371"/>
      <c r="D92" s="372"/>
      <c r="E92" s="373"/>
      <c r="F92" s="373"/>
      <c r="G92" s="373"/>
      <c r="H92" s="373"/>
      <c r="I92" s="373"/>
      <c r="J92" s="373"/>
      <c r="K92" s="373"/>
      <c r="L92" s="373"/>
      <c r="M92" s="373"/>
      <c r="N92" s="373"/>
      <c r="O92" s="373"/>
      <c r="P92" s="373"/>
      <c r="Q92" s="373"/>
      <c r="R92" s="373"/>
      <c r="S92" s="373"/>
      <c r="T92" s="373"/>
      <c r="U92" s="380"/>
      <c r="V92" s="375">
        <f t="shared" si="4"/>
        <v>0</v>
      </c>
      <c r="W92" s="375">
        <f>AN_TME_PY[[#This Row],[TOTAL Non-Truncated Unadjusted Claims Expenses]]-AN_TME_PY[[#This Row],[Total Claims Excluded because of Truncation]]</f>
        <v>0</v>
      </c>
      <c r="X92" s="375">
        <f t="shared" si="5"/>
        <v>0</v>
      </c>
      <c r="Y92" s="375">
        <f>AN_TME_PY[[#This Row],[TOTAL Non-Truncated Unadjusted Claims Expenses]]+AN_TME_PY[[#This Row],[TOTAL Non-Claims Expenses]]</f>
        <v>0</v>
      </c>
      <c r="Z92" s="375">
        <f>AN_TME_PY[[#This Row],[TOTAL Truncated Unadjusted Claims Expenses (A21 -A19)]]+AN_TME_PY[[#This Row],[TOTAL Non-Claims Expenses]]</f>
        <v>0</v>
      </c>
      <c r="AA92" s="416">
        <f>IFERROR(AN_TME_PY[[#This Row],[TOTAL Non-Truncated Unadjusted Expenses (A21 + A23)]]/AN_TME_PY[[#This Row],[Member Months]],0)</f>
        <v>0</v>
      </c>
      <c r="AB92" s="416">
        <f>IFERROR(AN_TME_PY[[#This Row],[TOTAL Truncated Unadjusted Expenses (A22 + A23)]]/AN_TME_PY[[#This Row],[Member Months]],0)</f>
        <v>0</v>
      </c>
      <c r="AC92" s="385">
        <f>IFERROR(AN_TME_PY[[#This Row],[Total Claims Excluded because of Truncation]]/AN_TME_PY[[#This Row],[Count of Members with Claims Truncated]], 0)</f>
        <v>0</v>
      </c>
      <c r="AD92" s="417">
        <f>IFERROR(AN_TME_PY[[#This Row],[Total Claims Excluded because of Truncation]]/AN_TME_PY[[#This Row],[TOTAL Non-Truncated Unadjusted Claims Expenses]], 0)</f>
        <v>0</v>
      </c>
    </row>
    <row r="93" spans="1:30" x14ac:dyDescent="0.25">
      <c r="A93" s="364"/>
      <c r="B93" s="365"/>
      <c r="C93" s="365"/>
      <c r="D93" s="366"/>
      <c r="E93" s="367"/>
      <c r="F93" s="367"/>
      <c r="G93" s="367"/>
      <c r="H93" s="367"/>
      <c r="I93" s="367"/>
      <c r="J93" s="367"/>
      <c r="K93" s="367"/>
      <c r="L93" s="367"/>
      <c r="M93" s="367"/>
      <c r="N93" s="367"/>
      <c r="O93" s="367"/>
      <c r="P93" s="367"/>
      <c r="Q93" s="367"/>
      <c r="R93" s="367"/>
      <c r="S93" s="367"/>
      <c r="T93" s="367"/>
      <c r="U93" s="379"/>
      <c r="V93" s="369">
        <f t="shared" si="4"/>
        <v>0</v>
      </c>
      <c r="W93" s="369">
        <f>AN_TME_PY[[#This Row],[TOTAL Non-Truncated Unadjusted Claims Expenses]]-AN_TME_PY[[#This Row],[Total Claims Excluded because of Truncation]]</f>
        <v>0</v>
      </c>
      <c r="X93" s="369">
        <f t="shared" si="5"/>
        <v>0</v>
      </c>
      <c r="Y93" s="369">
        <f>AN_TME_PY[[#This Row],[TOTAL Non-Truncated Unadjusted Claims Expenses]]+AN_TME_PY[[#This Row],[TOTAL Non-Claims Expenses]]</f>
        <v>0</v>
      </c>
      <c r="Z93" s="369">
        <f>AN_TME_PY[[#This Row],[TOTAL Truncated Unadjusted Claims Expenses (A21 -A19)]]+AN_TME_PY[[#This Row],[TOTAL Non-Claims Expenses]]</f>
        <v>0</v>
      </c>
      <c r="AA93" s="415">
        <f>IFERROR(AN_TME_PY[[#This Row],[TOTAL Non-Truncated Unadjusted Expenses (A21 + A23)]]/AN_TME_PY[[#This Row],[Member Months]],0)</f>
        <v>0</v>
      </c>
      <c r="AB93" s="415">
        <f>IFERROR(AN_TME_PY[[#This Row],[TOTAL Truncated Unadjusted Expenses (A22 + A23)]]/AN_TME_PY[[#This Row],[Member Months]],0)</f>
        <v>0</v>
      </c>
      <c r="AC93" s="385">
        <f>IFERROR(AN_TME_PY[[#This Row],[Total Claims Excluded because of Truncation]]/AN_TME_PY[[#This Row],[Count of Members with Claims Truncated]], 0)</f>
        <v>0</v>
      </c>
      <c r="AD93" s="417">
        <f>IFERROR(AN_TME_PY[[#This Row],[Total Claims Excluded because of Truncation]]/AN_TME_PY[[#This Row],[TOTAL Non-Truncated Unadjusted Claims Expenses]], 0)</f>
        <v>0</v>
      </c>
    </row>
    <row r="94" spans="1:30" x14ac:dyDescent="0.25">
      <c r="A94" s="370"/>
      <c r="B94" s="371"/>
      <c r="C94" s="371"/>
      <c r="D94" s="372"/>
      <c r="E94" s="373"/>
      <c r="F94" s="373"/>
      <c r="G94" s="373"/>
      <c r="H94" s="373"/>
      <c r="I94" s="373"/>
      <c r="J94" s="373"/>
      <c r="K94" s="373"/>
      <c r="L94" s="373"/>
      <c r="M94" s="373"/>
      <c r="N94" s="373"/>
      <c r="O94" s="373"/>
      <c r="P94" s="373"/>
      <c r="Q94" s="373"/>
      <c r="R94" s="373"/>
      <c r="S94" s="373"/>
      <c r="T94" s="373"/>
      <c r="U94" s="380"/>
      <c r="V94" s="375">
        <f t="shared" si="4"/>
        <v>0</v>
      </c>
      <c r="W94" s="375">
        <f>AN_TME_PY[[#This Row],[TOTAL Non-Truncated Unadjusted Claims Expenses]]-AN_TME_PY[[#This Row],[Total Claims Excluded because of Truncation]]</f>
        <v>0</v>
      </c>
      <c r="X94" s="375">
        <f t="shared" si="5"/>
        <v>0</v>
      </c>
      <c r="Y94" s="375">
        <f>AN_TME_PY[[#This Row],[TOTAL Non-Truncated Unadjusted Claims Expenses]]+AN_TME_PY[[#This Row],[TOTAL Non-Claims Expenses]]</f>
        <v>0</v>
      </c>
      <c r="Z94" s="375">
        <f>AN_TME_PY[[#This Row],[TOTAL Truncated Unadjusted Claims Expenses (A21 -A19)]]+AN_TME_PY[[#This Row],[TOTAL Non-Claims Expenses]]</f>
        <v>0</v>
      </c>
      <c r="AA94" s="416">
        <f>IFERROR(AN_TME_PY[[#This Row],[TOTAL Non-Truncated Unadjusted Expenses (A21 + A23)]]/AN_TME_PY[[#This Row],[Member Months]],0)</f>
        <v>0</v>
      </c>
      <c r="AB94" s="416">
        <f>IFERROR(AN_TME_PY[[#This Row],[TOTAL Truncated Unadjusted Expenses (A22 + A23)]]/AN_TME_PY[[#This Row],[Member Months]],0)</f>
        <v>0</v>
      </c>
      <c r="AC94" s="385">
        <f>IFERROR(AN_TME_PY[[#This Row],[Total Claims Excluded because of Truncation]]/AN_TME_PY[[#This Row],[Count of Members with Claims Truncated]], 0)</f>
        <v>0</v>
      </c>
      <c r="AD94" s="417">
        <f>IFERROR(AN_TME_PY[[#This Row],[Total Claims Excluded because of Truncation]]/AN_TME_PY[[#This Row],[TOTAL Non-Truncated Unadjusted Claims Expenses]], 0)</f>
        <v>0</v>
      </c>
    </row>
    <row r="95" spans="1:30" x14ac:dyDescent="0.25">
      <c r="A95" s="364"/>
      <c r="B95" s="365"/>
      <c r="C95" s="365"/>
      <c r="D95" s="366"/>
      <c r="E95" s="367"/>
      <c r="F95" s="367"/>
      <c r="G95" s="367"/>
      <c r="H95" s="367"/>
      <c r="I95" s="367"/>
      <c r="J95" s="367"/>
      <c r="K95" s="367"/>
      <c r="L95" s="367"/>
      <c r="M95" s="367"/>
      <c r="N95" s="367"/>
      <c r="O95" s="367"/>
      <c r="P95" s="367"/>
      <c r="Q95" s="367"/>
      <c r="R95" s="367"/>
      <c r="S95" s="367"/>
      <c r="T95" s="367"/>
      <c r="U95" s="379"/>
      <c r="V95" s="369">
        <f t="shared" si="4"/>
        <v>0</v>
      </c>
      <c r="W95" s="369">
        <f>AN_TME_PY[[#This Row],[TOTAL Non-Truncated Unadjusted Claims Expenses]]-AN_TME_PY[[#This Row],[Total Claims Excluded because of Truncation]]</f>
        <v>0</v>
      </c>
      <c r="X95" s="369">
        <f t="shared" si="5"/>
        <v>0</v>
      </c>
      <c r="Y95" s="369">
        <f>AN_TME_PY[[#This Row],[TOTAL Non-Truncated Unadjusted Claims Expenses]]+AN_TME_PY[[#This Row],[TOTAL Non-Claims Expenses]]</f>
        <v>0</v>
      </c>
      <c r="Z95" s="369">
        <f>AN_TME_PY[[#This Row],[TOTAL Truncated Unadjusted Claims Expenses (A21 -A19)]]+AN_TME_PY[[#This Row],[TOTAL Non-Claims Expenses]]</f>
        <v>0</v>
      </c>
      <c r="AA95" s="415">
        <f>IFERROR(AN_TME_PY[[#This Row],[TOTAL Non-Truncated Unadjusted Expenses (A21 + A23)]]/AN_TME_PY[[#This Row],[Member Months]],0)</f>
        <v>0</v>
      </c>
      <c r="AB95" s="415">
        <f>IFERROR(AN_TME_PY[[#This Row],[TOTAL Truncated Unadjusted Expenses (A22 + A23)]]/AN_TME_PY[[#This Row],[Member Months]],0)</f>
        <v>0</v>
      </c>
      <c r="AC95" s="385">
        <f>IFERROR(AN_TME_PY[[#This Row],[Total Claims Excluded because of Truncation]]/AN_TME_PY[[#This Row],[Count of Members with Claims Truncated]], 0)</f>
        <v>0</v>
      </c>
      <c r="AD95" s="417">
        <f>IFERROR(AN_TME_PY[[#This Row],[Total Claims Excluded because of Truncation]]/AN_TME_PY[[#This Row],[TOTAL Non-Truncated Unadjusted Claims Expenses]], 0)</f>
        <v>0</v>
      </c>
    </row>
    <row r="96" spans="1:30" x14ac:dyDescent="0.25">
      <c r="A96" s="370"/>
      <c r="B96" s="371"/>
      <c r="C96" s="371"/>
      <c r="D96" s="372"/>
      <c r="E96" s="373"/>
      <c r="F96" s="373"/>
      <c r="G96" s="373"/>
      <c r="H96" s="373"/>
      <c r="I96" s="373"/>
      <c r="J96" s="373"/>
      <c r="K96" s="373"/>
      <c r="L96" s="373"/>
      <c r="M96" s="373"/>
      <c r="N96" s="373"/>
      <c r="O96" s="373"/>
      <c r="P96" s="373"/>
      <c r="Q96" s="373"/>
      <c r="R96" s="373"/>
      <c r="S96" s="373"/>
      <c r="T96" s="373"/>
      <c r="U96" s="380"/>
      <c r="V96" s="375">
        <f t="shared" si="4"/>
        <v>0</v>
      </c>
      <c r="W96" s="375">
        <f>AN_TME_PY[[#This Row],[TOTAL Non-Truncated Unadjusted Claims Expenses]]-AN_TME_PY[[#This Row],[Total Claims Excluded because of Truncation]]</f>
        <v>0</v>
      </c>
      <c r="X96" s="375">
        <f t="shared" si="5"/>
        <v>0</v>
      </c>
      <c r="Y96" s="375">
        <f>AN_TME_PY[[#This Row],[TOTAL Non-Truncated Unadjusted Claims Expenses]]+AN_TME_PY[[#This Row],[TOTAL Non-Claims Expenses]]</f>
        <v>0</v>
      </c>
      <c r="Z96" s="375">
        <f>AN_TME_PY[[#This Row],[TOTAL Truncated Unadjusted Claims Expenses (A21 -A19)]]+AN_TME_PY[[#This Row],[TOTAL Non-Claims Expenses]]</f>
        <v>0</v>
      </c>
      <c r="AA96" s="416">
        <f>IFERROR(AN_TME_PY[[#This Row],[TOTAL Non-Truncated Unadjusted Expenses (A21 + A23)]]/AN_TME_PY[[#This Row],[Member Months]],0)</f>
        <v>0</v>
      </c>
      <c r="AB96" s="416">
        <f>IFERROR(AN_TME_PY[[#This Row],[TOTAL Truncated Unadjusted Expenses (A22 + A23)]]/AN_TME_PY[[#This Row],[Member Months]],0)</f>
        <v>0</v>
      </c>
      <c r="AC96" s="385">
        <f>IFERROR(AN_TME_PY[[#This Row],[Total Claims Excluded because of Truncation]]/AN_TME_PY[[#This Row],[Count of Members with Claims Truncated]], 0)</f>
        <v>0</v>
      </c>
      <c r="AD96" s="417">
        <f>IFERROR(AN_TME_PY[[#This Row],[Total Claims Excluded because of Truncation]]/AN_TME_PY[[#This Row],[TOTAL Non-Truncated Unadjusted Claims Expenses]], 0)</f>
        <v>0</v>
      </c>
    </row>
    <row r="97" spans="1:30" x14ac:dyDescent="0.25">
      <c r="A97" s="364"/>
      <c r="B97" s="365"/>
      <c r="C97" s="365"/>
      <c r="D97" s="366"/>
      <c r="E97" s="367"/>
      <c r="F97" s="367"/>
      <c r="G97" s="367"/>
      <c r="H97" s="367"/>
      <c r="I97" s="367"/>
      <c r="J97" s="367"/>
      <c r="K97" s="367"/>
      <c r="L97" s="367"/>
      <c r="M97" s="367"/>
      <c r="N97" s="367"/>
      <c r="O97" s="367"/>
      <c r="P97" s="367"/>
      <c r="Q97" s="367"/>
      <c r="R97" s="367"/>
      <c r="S97" s="367"/>
      <c r="T97" s="367"/>
      <c r="U97" s="379"/>
      <c r="V97" s="369">
        <f t="shared" si="4"/>
        <v>0</v>
      </c>
      <c r="W97" s="369">
        <f>AN_TME_PY[[#This Row],[TOTAL Non-Truncated Unadjusted Claims Expenses]]-AN_TME_PY[[#This Row],[Total Claims Excluded because of Truncation]]</f>
        <v>0</v>
      </c>
      <c r="X97" s="369">
        <f t="shared" si="5"/>
        <v>0</v>
      </c>
      <c r="Y97" s="369">
        <f>AN_TME_PY[[#This Row],[TOTAL Non-Truncated Unadjusted Claims Expenses]]+AN_TME_PY[[#This Row],[TOTAL Non-Claims Expenses]]</f>
        <v>0</v>
      </c>
      <c r="Z97" s="369">
        <f>AN_TME_PY[[#This Row],[TOTAL Truncated Unadjusted Claims Expenses (A21 -A19)]]+AN_TME_PY[[#This Row],[TOTAL Non-Claims Expenses]]</f>
        <v>0</v>
      </c>
      <c r="AA97" s="415">
        <f>IFERROR(AN_TME_PY[[#This Row],[TOTAL Non-Truncated Unadjusted Expenses (A21 + A23)]]/AN_TME_PY[[#This Row],[Member Months]],0)</f>
        <v>0</v>
      </c>
      <c r="AB97" s="415">
        <f>IFERROR(AN_TME_PY[[#This Row],[TOTAL Truncated Unadjusted Expenses (A22 + A23)]]/AN_TME_PY[[#This Row],[Member Months]],0)</f>
        <v>0</v>
      </c>
      <c r="AC97" s="385">
        <f>IFERROR(AN_TME_PY[[#This Row],[Total Claims Excluded because of Truncation]]/AN_TME_PY[[#This Row],[Count of Members with Claims Truncated]], 0)</f>
        <v>0</v>
      </c>
      <c r="AD97" s="417">
        <f>IFERROR(AN_TME_PY[[#This Row],[Total Claims Excluded because of Truncation]]/AN_TME_PY[[#This Row],[TOTAL Non-Truncated Unadjusted Claims Expenses]], 0)</f>
        <v>0</v>
      </c>
    </row>
    <row r="98" spans="1:30" x14ac:dyDescent="0.25">
      <c r="A98" s="370"/>
      <c r="B98" s="371"/>
      <c r="C98" s="371"/>
      <c r="D98" s="372"/>
      <c r="E98" s="373"/>
      <c r="F98" s="373"/>
      <c r="G98" s="373"/>
      <c r="H98" s="373"/>
      <c r="I98" s="373"/>
      <c r="J98" s="373"/>
      <c r="K98" s="373"/>
      <c r="L98" s="373"/>
      <c r="M98" s="373"/>
      <c r="N98" s="373"/>
      <c r="O98" s="373"/>
      <c r="P98" s="373"/>
      <c r="Q98" s="373"/>
      <c r="R98" s="373"/>
      <c r="S98" s="373"/>
      <c r="T98" s="373"/>
      <c r="U98" s="380"/>
      <c r="V98" s="375">
        <f t="shared" si="4"/>
        <v>0</v>
      </c>
      <c r="W98" s="375">
        <f>AN_TME_PY[[#This Row],[TOTAL Non-Truncated Unadjusted Claims Expenses]]-AN_TME_PY[[#This Row],[Total Claims Excluded because of Truncation]]</f>
        <v>0</v>
      </c>
      <c r="X98" s="375">
        <f t="shared" si="5"/>
        <v>0</v>
      </c>
      <c r="Y98" s="375">
        <f>AN_TME_PY[[#This Row],[TOTAL Non-Truncated Unadjusted Claims Expenses]]+AN_TME_PY[[#This Row],[TOTAL Non-Claims Expenses]]</f>
        <v>0</v>
      </c>
      <c r="Z98" s="375">
        <f>AN_TME_PY[[#This Row],[TOTAL Truncated Unadjusted Claims Expenses (A21 -A19)]]+AN_TME_PY[[#This Row],[TOTAL Non-Claims Expenses]]</f>
        <v>0</v>
      </c>
      <c r="AA98" s="416">
        <f>IFERROR(AN_TME_PY[[#This Row],[TOTAL Non-Truncated Unadjusted Expenses (A21 + A23)]]/AN_TME_PY[[#This Row],[Member Months]],0)</f>
        <v>0</v>
      </c>
      <c r="AB98" s="416">
        <f>IFERROR(AN_TME_PY[[#This Row],[TOTAL Truncated Unadjusted Expenses (A22 + A23)]]/AN_TME_PY[[#This Row],[Member Months]],0)</f>
        <v>0</v>
      </c>
      <c r="AC98" s="385">
        <f>IFERROR(AN_TME_PY[[#This Row],[Total Claims Excluded because of Truncation]]/AN_TME_PY[[#This Row],[Count of Members with Claims Truncated]], 0)</f>
        <v>0</v>
      </c>
      <c r="AD98" s="417">
        <f>IFERROR(AN_TME_PY[[#This Row],[Total Claims Excluded because of Truncation]]/AN_TME_PY[[#This Row],[TOTAL Non-Truncated Unadjusted Claims Expenses]], 0)</f>
        <v>0</v>
      </c>
    </row>
    <row r="99" spans="1:30" x14ac:dyDescent="0.25">
      <c r="A99" s="364"/>
      <c r="B99" s="365"/>
      <c r="C99" s="365"/>
      <c r="D99" s="366"/>
      <c r="E99" s="367"/>
      <c r="F99" s="367"/>
      <c r="G99" s="367"/>
      <c r="H99" s="367"/>
      <c r="I99" s="367"/>
      <c r="J99" s="367"/>
      <c r="K99" s="367"/>
      <c r="L99" s="367"/>
      <c r="M99" s="367"/>
      <c r="N99" s="367"/>
      <c r="O99" s="367"/>
      <c r="P99" s="367"/>
      <c r="Q99" s="367"/>
      <c r="R99" s="367"/>
      <c r="S99" s="367"/>
      <c r="T99" s="367"/>
      <c r="U99" s="379"/>
      <c r="V99" s="369">
        <f t="shared" si="4"/>
        <v>0</v>
      </c>
      <c r="W99" s="369">
        <f>AN_TME_PY[[#This Row],[TOTAL Non-Truncated Unadjusted Claims Expenses]]-AN_TME_PY[[#This Row],[Total Claims Excluded because of Truncation]]</f>
        <v>0</v>
      </c>
      <c r="X99" s="369">
        <f t="shared" si="5"/>
        <v>0</v>
      </c>
      <c r="Y99" s="369">
        <f>AN_TME_PY[[#This Row],[TOTAL Non-Truncated Unadjusted Claims Expenses]]+AN_TME_PY[[#This Row],[TOTAL Non-Claims Expenses]]</f>
        <v>0</v>
      </c>
      <c r="Z99" s="369">
        <f>AN_TME_PY[[#This Row],[TOTAL Truncated Unadjusted Claims Expenses (A21 -A19)]]+AN_TME_PY[[#This Row],[TOTAL Non-Claims Expenses]]</f>
        <v>0</v>
      </c>
      <c r="AA99" s="415">
        <f>IFERROR(AN_TME_PY[[#This Row],[TOTAL Non-Truncated Unadjusted Expenses (A21 + A23)]]/AN_TME_PY[[#This Row],[Member Months]],0)</f>
        <v>0</v>
      </c>
      <c r="AB99" s="415">
        <f>IFERROR(AN_TME_PY[[#This Row],[TOTAL Truncated Unadjusted Expenses (A22 + A23)]]/AN_TME_PY[[#This Row],[Member Months]],0)</f>
        <v>0</v>
      </c>
      <c r="AC99" s="385">
        <f>IFERROR(AN_TME_PY[[#This Row],[Total Claims Excluded because of Truncation]]/AN_TME_PY[[#This Row],[Count of Members with Claims Truncated]], 0)</f>
        <v>0</v>
      </c>
      <c r="AD99" s="417">
        <f>IFERROR(AN_TME_PY[[#This Row],[Total Claims Excluded because of Truncation]]/AN_TME_PY[[#This Row],[TOTAL Non-Truncated Unadjusted Claims Expenses]], 0)</f>
        <v>0</v>
      </c>
    </row>
    <row r="100" spans="1:30" x14ac:dyDescent="0.25">
      <c r="A100" s="370"/>
      <c r="B100" s="371"/>
      <c r="C100" s="371"/>
      <c r="D100" s="372"/>
      <c r="E100" s="373"/>
      <c r="F100" s="373"/>
      <c r="G100" s="373"/>
      <c r="H100" s="373"/>
      <c r="I100" s="373"/>
      <c r="J100" s="373"/>
      <c r="K100" s="373"/>
      <c r="L100" s="373"/>
      <c r="M100" s="373"/>
      <c r="N100" s="373"/>
      <c r="O100" s="373"/>
      <c r="P100" s="373"/>
      <c r="Q100" s="373"/>
      <c r="R100" s="373"/>
      <c r="S100" s="373"/>
      <c r="T100" s="373"/>
      <c r="U100" s="380"/>
      <c r="V100" s="375">
        <f t="shared" si="4"/>
        <v>0</v>
      </c>
      <c r="W100" s="375">
        <f>AN_TME_PY[[#This Row],[TOTAL Non-Truncated Unadjusted Claims Expenses]]-AN_TME_PY[[#This Row],[Total Claims Excluded because of Truncation]]</f>
        <v>0</v>
      </c>
      <c r="X100" s="375">
        <f t="shared" si="5"/>
        <v>0</v>
      </c>
      <c r="Y100" s="375">
        <f>AN_TME_PY[[#This Row],[TOTAL Non-Truncated Unadjusted Claims Expenses]]+AN_TME_PY[[#This Row],[TOTAL Non-Claims Expenses]]</f>
        <v>0</v>
      </c>
      <c r="Z100" s="375">
        <f>AN_TME_PY[[#This Row],[TOTAL Truncated Unadjusted Claims Expenses (A21 -A19)]]+AN_TME_PY[[#This Row],[TOTAL Non-Claims Expenses]]</f>
        <v>0</v>
      </c>
      <c r="AA100" s="416">
        <f>IFERROR(AN_TME_PY[[#This Row],[TOTAL Non-Truncated Unadjusted Expenses (A21 + A23)]]/AN_TME_PY[[#This Row],[Member Months]],0)</f>
        <v>0</v>
      </c>
      <c r="AB100" s="416">
        <f>IFERROR(AN_TME_PY[[#This Row],[TOTAL Truncated Unadjusted Expenses (A22 + A23)]]/AN_TME_PY[[#This Row],[Member Months]],0)</f>
        <v>0</v>
      </c>
      <c r="AC100" s="385">
        <f>IFERROR(AN_TME_PY[[#This Row],[Total Claims Excluded because of Truncation]]/AN_TME_PY[[#This Row],[Count of Members with Claims Truncated]], 0)</f>
        <v>0</v>
      </c>
      <c r="AD100" s="417">
        <f>IFERROR(AN_TME_PY[[#This Row],[Total Claims Excluded because of Truncation]]/AN_TME_PY[[#This Row],[TOTAL Non-Truncated Unadjusted Claims Expenses]], 0)</f>
        <v>0</v>
      </c>
    </row>
    <row r="101" spans="1:30" x14ac:dyDescent="0.25">
      <c r="A101" s="364"/>
      <c r="B101" s="365"/>
      <c r="C101" s="365"/>
      <c r="D101" s="366"/>
      <c r="E101" s="367"/>
      <c r="F101" s="367"/>
      <c r="G101" s="367"/>
      <c r="H101" s="367"/>
      <c r="I101" s="367"/>
      <c r="J101" s="367"/>
      <c r="K101" s="367"/>
      <c r="L101" s="367"/>
      <c r="M101" s="367"/>
      <c r="N101" s="367"/>
      <c r="O101" s="367"/>
      <c r="P101" s="367"/>
      <c r="Q101" s="367"/>
      <c r="R101" s="367"/>
      <c r="S101" s="367"/>
      <c r="T101" s="367"/>
      <c r="U101" s="379"/>
      <c r="V101" s="369">
        <f t="shared" si="4"/>
        <v>0</v>
      </c>
      <c r="W101" s="369">
        <f>AN_TME_PY[[#This Row],[TOTAL Non-Truncated Unadjusted Claims Expenses]]-AN_TME_PY[[#This Row],[Total Claims Excluded because of Truncation]]</f>
        <v>0</v>
      </c>
      <c r="X101" s="369">
        <f t="shared" si="5"/>
        <v>0</v>
      </c>
      <c r="Y101" s="369">
        <f>AN_TME_PY[[#This Row],[TOTAL Non-Truncated Unadjusted Claims Expenses]]+AN_TME_PY[[#This Row],[TOTAL Non-Claims Expenses]]</f>
        <v>0</v>
      </c>
      <c r="Z101" s="369">
        <f>AN_TME_PY[[#This Row],[TOTAL Truncated Unadjusted Claims Expenses (A21 -A19)]]+AN_TME_PY[[#This Row],[TOTAL Non-Claims Expenses]]</f>
        <v>0</v>
      </c>
      <c r="AA101" s="415">
        <f>IFERROR(AN_TME_PY[[#This Row],[TOTAL Non-Truncated Unadjusted Expenses (A21 + A23)]]/AN_TME_PY[[#This Row],[Member Months]],0)</f>
        <v>0</v>
      </c>
      <c r="AB101" s="415">
        <f>IFERROR(AN_TME_PY[[#This Row],[TOTAL Truncated Unadjusted Expenses (A22 + A23)]]/AN_TME_PY[[#This Row],[Member Months]],0)</f>
        <v>0</v>
      </c>
      <c r="AC101" s="385">
        <f>IFERROR(AN_TME_PY[[#This Row],[Total Claims Excluded because of Truncation]]/AN_TME_PY[[#This Row],[Count of Members with Claims Truncated]], 0)</f>
        <v>0</v>
      </c>
      <c r="AD101" s="417">
        <f>IFERROR(AN_TME_PY[[#This Row],[Total Claims Excluded because of Truncation]]/AN_TME_PY[[#This Row],[TOTAL Non-Truncated Unadjusted Claims Expenses]], 0)</f>
        <v>0</v>
      </c>
    </row>
    <row r="102" spans="1:30" x14ac:dyDescent="0.25">
      <c r="A102" s="370"/>
      <c r="B102" s="371"/>
      <c r="C102" s="371"/>
      <c r="D102" s="372"/>
      <c r="E102" s="373"/>
      <c r="F102" s="373"/>
      <c r="G102" s="373"/>
      <c r="H102" s="373"/>
      <c r="I102" s="373"/>
      <c r="J102" s="373"/>
      <c r="K102" s="373"/>
      <c r="L102" s="373"/>
      <c r="M102" s="373"/>
      <c r="N102" s="373"/>
      <c r="O102" s="373"/>
      <c r="P102" s="373"/>
      <c r="Q102" s="373"/>
      <c r="R102" s="373"/>
      <c r="S102" s="373"/>
      <c r="T102" s="373"/>
      <c r="U102" s="380"/>
      <c r="V102" s="375">
        <f t="shared" si="4"/>
        <v>0</v>
      </c>
      <c r="W102" s="375">
        <f>AN_TME_PY[[#This Row],[TOTAL Non-Truncated Unadjusted Claims Expenses]]-AN_TME_PY[[#This Row],[Total Claims Excluded because of Truncation]]</f>
        <v>0</v>
      </c>
      <c r="X102" s="375">
        <f t="shared" si="5"/>
        <v>0</v>
      </c>
      <c r="Y102" s="375">
        <f>AN_TME_PY[[#This Row],[TOTAL Non-Truncated Unadjusted Claims Expenses]]+AN_TME_PY[[#This Row],[TOTAL Non-Claims Expenses]]</f>
        <v>0</v>
      </c>
      <c r="Z102" s="375">
        <f>AN_TME_PY[[#This Row],[TOTAL Truncated Unadjusted Claims Expenses (A21 -A19)]]+AN_TME_PY[[#This Row],[TOTAL Non-Claims Expenses]]</f>
        <v>0</v>
      </c>
      <c r="AA102" s="416">
        <f>IFERROR(AN_TME_PY[[#This Row],[TOTAL Non-Truncated Unadjusted Expenses (A21 + A23)]]/AN_TME_PY[[#This Row],[Member Months]],0)</f>
        <v>0</v>
      </c>
      <c r="AB102" s="416">
        <f>IFERROR(AN_TME_PY[[#This Row],[TOTAL Truncated Unadjusted Expenses (A22 + A23)]]/AN_TME_PY[[#This Row],[Member Months]],0)</f>
        <v>0</v>
      </c>
      <c r="AC102" s="385">
        <f>IFERROR(AN_TME_PY[[#This Row],[Total Claims Excluded because of Truncation]]/AN_TME_PY[[#This Row],[Count of Members with Claims Truncated]], 0)</f>
        <v>0</v>
      </c>
      <c r="AD102" s="417">
        <f>IFERROR(AN_TME_PY[[#This Row],[Total Claims Excluded because of Truncation]]/AN_TME_PY[[#This Row],[TOTAL Non-Truncated Unadjusted Claims Expenses]], 0)</f>
        <v>0</v>
      </c>
    </row>
    <row r="103" spans="1:30" x14ac:dyDescent="0.25">
      <c r="A103" s="364"/>
      <c r="B103" s="365"/>
      <c r="C103" s="365"/>
      <c r="D103" s="366"/>
      <c r="E103" s="367"/>
      <c r="F103" s="367"/>
      <c r="G103" s="367"/>
      <c r="H103" s="367"/>
      <c r="I103" s="367"/>
      <c r="J103" s="367"/>
      <c r="K103" s="367"/>
      <c r="L103" s="367"/>
      <c r="M103" s="367"/>
      <c r="N103" s="367"/>
      <c r="O103" s="367"/>
      <c r="P103" s="367"/>
      <c r="Q103" s="367"/>
      <c r="R103" s="367"/>
      <c r="S103" s="367"/>
      <c r="T103" s="367"/>
      <c r="U103" s="379"/>
      <c r="V103" s="369">
        <f t="shared" si="4"/>
        <v>0</v>
      </c>
      <c r="W103" s="369">
        <f>AN_TME_PY[[#This Row],[TOTAL Non-Truncated Unadjusted Claims Expenses]]-AN_TME_PY[[#This Row],[Total Claims Excluded because of Truncation]]</f>
        <v>0</v>
      </c>
      <c r="X103" s="369">
        <f t="shared" si="5"/>
        <v>0</v>
      </c>
      <c r="Y103" s="369">
        <f>AN_TME_PY[[#This Row],[TOTAL Non-Truncated Unadjusted Claims Expenses]]+AN_TME_PY[[#This Row],[TOTAL Non-Claims Expenses]]</f>
        <v>0</v>
      </c>
      <c r="Z103" s="369">
        <f>AN_TME_PY[[#This Row],[TOTAL Truncated Unadjusted Claims Expenses (A21 -A19)]]+AN_TME_PY[[#This Row],[TOTAL Non-Claims Expenses]]</f>
        <v>0</v>
      </c>
      <c r="AA103" s="415">
        <f>IFERROR(AN_TME_PY[[#This Row],[TOTAL Non-Truncated Unadjusted Expenses (A21 + A23)]]/AN_TME_PY[[#This Row],[Member Months]],0)</f>
        <v>0</v>
      </c>
      <c r="AB103" s="415">
        <f>IFERROR(AN_TME_PY[[#This Row],[TOTAL Truncated Unadjusted Expenses (A22 + A23)]]/AN_TME_PY[[#This Row],[Member Months]],0)</f>
        <v>0</v>
      </c>
      <c r="AC103" s="385">
        <f>IFERROR(AN_TME_PY[[#This Row],[Total Claims Excluded because of Truncation]]/AN_TME_PY[[#This Row],[Count of Members with Claims Truncated]], 0)</f>
        <v>0</v>
      </c>
      <c r="AD103" s="417">
        <f>IFERROR(AN_TME_PY[[#This Row],[Total Claims Excluded because of Truncation]]/AN_TME_PY[[#This Row],[TOTAL Non-Truncated Unadjusted Claims Expenses]], 0)</f>
        <v>0</v>
      </c>
    </row>
    <row r="104" spans="1:30" x14ac:dyDescent="0.25">
      <c r="A104" s="370"/>
      <c r="B104" s="371"/>
      <c r="C104" s="371"/>
      <c r="D104" s="372"/>
      <c r="E104" s="373"/>
      <c r="F104" s="373"/>
      <c r="G104" s="373"/>
      <c r="H104" s="373"/>
      <c r="I104" s="373"/>
      <c r="J104" s="373"/>
      <c r="K104" s="373"/>
      <c r="L104" s="373"/>
      <c r="M104" s="373"/>
      <c r="N104" s="373"/>
      <c r="O104" s="373"/>
      <c r="P104" s="373"/>
      <c r="Q104" s="373"/>
      <c r="R104" s="373"/>
      <c r="S104" s="373"/>
      <c r="T104" s="373"/>
      <c r="U104" s="380"/>
      <c r="V104" s="375">
        <f t="shared" si="4"/>
        <v>0</v>
      </c>
      <c r="W104" s="375">
        <f>AN_TME_PY[[#This Row],[TOTAL Non-Truncated Unadjusted Claims Expenses]]-AN_TME_PY[[#This Row],[Total Claims Excluded because of Truncation]]</f>
        <v>0</v>
      </c>
      <c r="X104" s="375">
        <f t="shared" si="5"/>
        <v>0</v>
      </c>
      <c r="Y104" s="375">
        <f>AN_TME_PY[[#This Row],[TOTAL Non-Truncated Unadjusted Claims Expenses]]+AN_TME_PY[[#This Row],[TOTAL Non-Claims Expenses]]</f>
        <v>0</v>
      </c>
      <c r="Z104" s="375">
        <f>AN_TME_PY[[#This Row],[TOTAL Truncated Unadjusted Claims Expenses (A21 -A19)]]+AN_TME_PY[[#This Row],[TOTAL Non-Claims Expenses]]</f>
        <v>0</v>
      </c>
      <c r="AA104" s="416">
        <f>IFERROR(AN_TME_PY[[#This Row],[TOTAL Non-Truncated Unadjusted Expenses (A21 + A23)]]/AN_TME_PY[[#This Row],[Member Months]],0)</f>
        <v>0</v>
      </c>
      <c r="AB104" s="416">
        <f>IFERROR(AN_TME_PY[[#This Row],[TOTAL Truncated Unadjusted Expenses (A22 + A23)]]/AN_TME_PY[[#This Row],[Member Months]],0)</f>
        <v>0</v>
      </c>
      <c r="AC104" s="385">
        <f>IFERROR(AN_TME_PY[[#This Row],[Total Claims Excluded because of Truncation]]/AN_TME_PY[[#This Row],[Count of Members with Claims Truncated]], 0)</f>
        <v>0</v>
      </c>
      <c r="AD104" s="417">
        <f>IFERROR(AN_TME_PY[[#This Row],[Total Claims Excluded because of Truncation]]/AN_TME_PY[[#This Row],[TOTAL Non-Truncated Unadjusted Claims Expenses]], 0)</f>
        <v>0</v>
      </c>
    </row>
    <row r="105" spans="1:30" x14ac:dyDescent="0.25">
      <c r="A105" s="364"/>
      <c r="B105" s="365"/>
      <c r="C105" s="365"/>
      <c r="D105" s="366"/>
      <c r="E105" s="367"/>
      <c r="F105" s="367"/>
      <c r="G105" s="367"/>
      <c r="H105" s="367"/>
      <c r="I105" s="367"/>
      <c r="J105" s="367"/>
      <c r="K105" s="367"/>
      <c r="L105" s="367"/>
      <c r="M105" s="367"/>
      <c r="N105" s="367"/>
      <c r="O105" s="367"/>
      <c r="P105" s="367"/>
      <c r="Q105" s="367"/>
      <c r="R105" s="367"/>
      <c r="S105" s="367"/>
      <c r="T105" s="367"/>
      <c r="U105" s="379"/>
      <c r="V105" s="369">
        <f t="shared" si="4"/>
        <v>0</v>
      </c>
      <c r="W105" s="369">
        <f>AN_TME_PY[[#This Row],[TOTAL Non-Truncated Unadjusted Claims Expenses]]-AN_TME_PY[[#This Row],[Total Claims Excluded because of Truncation]]</f>
        <v>0</v>
      </c>
      <c r="X105" s="369">
        <f t="shared" si="5"/>
        <v>0</v>
      </c>
      <c r="Y105" s="369">
        <f>AN_TME_PY[[#This Row],[TOTAL Non-Truncated Unadjusted Claims Expenses]]+AN_TME_PY[[#This Row],[TOTAL Non-Claims Expenses]]</f>
        <v>0</v>
      </c>
      <c r="Z105" s="369">
        <f>AN_TME_PY[[#This Row],[TOTAL Truncated Unadjusted Claims Expenses (A21 -A19)]]+AN_TME_PY[[#This Row],[TOTAL Non-Claims Expenses]]</f>
        <v>0</v>
      </c>
      <c r="AA105" s="415">
        <f>IFERROR(AN_TME_PY[[#This Row],[TOTAL Non-Truncated Unadjusted Expenses (A21 + A23)]]/AN_TME_PY[[#This Row],[Member Months]],0)</f>
        <v>0</v>
      </c>
      <c r="AB105" s="415">
        <f>IFERROR(AN_TME_PY[[#This Row],[TOTAL Truncated Unadjusted Expenses (A22 + A23)]]/AN_TME_PY[[#This Row],[Member Months]],0)</f>
        <v>0</v>
      </c>
      <c r="AC105" s="385">
        <f>IFERROR(AN_TME_PY[[#This Row],[Total Claims Excluded because of Truncation]]/AN_TME_PY[[#This Row],[Count of Members with Claims Truncated]], 0)</f>
        <v>0</v>
      </c>
      <c r="AD105" s="417">
        <f>IFERROR(AN_TME_PY[[#This Row],[Total Claims Excluded because of Truncation]]/AN_TME_PY[[#This Row],[TOTAL Non-Truncated Unadjusted Claims Expenses]], 0)</f>
        <v>0</v>
      </c>
    </row>
    <row r="106" spans="1:30" x14ac:dyDescent="0.25">
      <c r="A106" s="370"/>
      <c r="B106" s="371"/>
      <c r="C106" s="371"/>
      <c r="D106" s="372"/>
      <c r="E106" s="373"/>
      <c r="F106" s="373"/>
      <c r="G106" s="373"/>
      <c r="H106" s="373"/>
      <c r="I106" s="373"/>
      <c r="J106" s="373"/>
      <c r="K106" s="373"/>
      <c r="L106" s="373"/>
      <c r="M106" s="373"/>
      <c r="N106" s="373"/>
      <c r="O106" s="373"/>
      <c r="P106" s="373"/>
      <c r="Q106" s="373"/>
      <c r="R106" s="373"/>
      <c r="S106" s="373"/>
      <c r="T106" s="373"/>
      <c r="U106" s="380"/>
      <c r="V106" s="375">
        <f t="shared" si="4"/>
        <v>0</v>
      </c>
      <c r="W106" s="375">
        <f>AN_TME_PY[[#This Row],[TOTAL Non-Truncated Unadjusted Claims Expenses]]-AN_TME_PY[[#This Row],[Total Claims Excluded because of Truncation]]</f>
        <v>0</v>
      </c>
      <c r="X106" s="375">
        <f t="shared" si="5"/>
        <v>0</v>
      </c>
      <c r="Y106" s="375">
        <f>AN_TME_PY[[#This Row],[TOTAL Non-Truncated Unadjusted Claims Expenses]]+AN_TME_PY[[#This Row],[TOTAL Non-Claims Expenses]]</f>
        <v>0</v>
      </c>
      <c r="Z106" s="375">
        <f>AN_TME_PY[[#This Row],[TOTAL Truncated Unadjusted Claims Expenses (A21 -A19)]]+AN_TME_PY[[#This Row],[TOTAL Non-Claims Expenses]]</f>
        <v>0</v>
      </c>
      <c r="AA106" s="416">
        <f>IFERROR(AN_TME_PY[[#This Row],[TOTAL Non-Truncated Unadjusted Expenses (A21 + A23)]]/AN_TME_PY[[#This Row],[Member Months]],0)</f>
        <v>0</v>
      </c>
      <c r="AB106" s="416">
        <f>IFERROR(AN_TME_PY[[#This Row],[TOTAL Truncated Unadjusted Expenses (A22 + A23)]]/AN_TME_PY[[#This Row],[Member Months]],0)</f>
        <v>0</v>
      </c>
      <c r="AC106" s="385">
        <f>IFERROR(AN_TME_PY[[#This Row],[Total Claims Excluded because of Truncation]]/AN_TME_PY[[#This Row],[Count of Members with Claims Truncated]], 0)</f>
        <v>0</v>
      </c>
      <c r="AD106" s="417">
        <f>IFERROR(AN_TME_PY[[#This Row],[Total Claims Excluded because of Truncation]]/AN_TME_PY[[#This Row],[TOTAL Non-Truncated Unadjusted Claims Expenses]], 0)</f>
        <v>0</v>
      </c>
    </row>
    <row r="107" spans="1:30" x14ac:dyDescent="0.25">
      <c r="A107" s="364"/>
      <c r="B107" s="365"/>
      <c r="C107" s="365"/>
      <c r="D107" s="366"/>
      <c r="E107" s="367"/>
      <c r="F107" s="367"/>
      <c r="G107" s="367"/>
      <c r="H107" s="367"/>
      <c r="I107" s="367"/>
      <c r="J107" s="367"/>
      <c r="K107" s="367"/>
      <c r="L107" s="367"/>
      <c r="M107" s="367"/>
      <c r="N107" s="367"/>
      <c r="O107" s="367"/>
      <c r="P107" s="367"/>
      <c r="Q107" s="367"/>
      <c r="R107" s="367"/>
      <c r="S107" s="367"/>
      <c r="T107" s="367"/>
      <c r="U107" s="379"/>
      <c r="V107" s="369">
        <f t="shared" ref="V107:V138" si="6">SUM(E107:G107)+SUM(I107:M107)</f>
        <v>0</v>
      </c>
      <c r="W107" s="369">
        <f>AN_TME_PY[[#This Row],[TOTAL Non-Truncated Unadjusted Claims Expenses]]-AN_TME_PY[[#This Row],[Total Claims Excluded because of Truncation]]</f>
        <v>0</v>
      </c>
      <c r="X107" s="369">
        <f t="shared" ref="X107:X138" si="7">SUM(N107:R107)</f>
        <v>0</v>
      </c>
      <c r="Y107" s="369">
        <f>AN_TME_PY[[#This Row],[TOTAL Non-Truncated Unadjusted Claims Expenses]]+AN_TME_PY[[#This Row],[TOTAL Non-Claims Expenses]]</f>
        <v>0</v>
      </c>
      <c r="Z107" s="369">
        <f>AN_TME_PY[[#This Row],[TOTAL Truncated Unadjusted Claims Expenses (A21 -A19)]]+AN_TME_PY[[#This Row],[TOTAL Non-Claims Expenses]]</f>
        <v>0</v>
      </c>
      <c r="AA107" s="415">
        <f>IFERROR(AN_TME_PY[[#This Row],[TOTAL Non-Truncated Unadjusted Expenses (A21 + A23)]]/AN_TME_PY[[#This Row],[Member Months]],0)</f>
        <v>0</v>
      </c>
      <c r="AB107" s="415">
        <f>IFERROR(AN_TME_PY[[#This Row],[TOTAL Truncated Unadjusted Expenses (A22 + A23)]]/AN_TME_PY[[#This Row],[Member Months]],0)</f>
        <v>0</v>
      </c>
      <c r="AC107" s="385">
        <f>IFERROR(AN_TME_PY[[#This Row],[Total Claims Excluded because of Truncation]]/AN_TME_PY[[#This Row],[Count of Members with Claims Truncated]], 0)</f>
        <v>0</v>
      </c>
      <c r="AD107" s="417">
        <f>IFERROR(AN_TME_PY[[#This Row],[Total Claims Excluded because of Truncation]]/AN_TME_PY[[#This Row],[TOTAL Non-Truncated Unadjusted Claims Expenses]], 0)</f>
        <v>0</v>
      </c>
    </row>
    <row r="108" spans="1:30" x14ac:dyDescent="0.25">
      <c r="A108" s="370"/>
      <c r="B108" s="371"/>
      <c r="C108" s="371"/>
      <c r="D108" s="372"/>
      <c r="E108" s="373"/>
      <c r="F108" s="373"/>
      <c r="G108" s="373"/>
      <c r="H108" s="373"/>
      <c r="I108" s="373"/>
      <c r="J108" s="373"/>
      <c r="K108" s="373"/>
      <c r="L108" s="373"/>
      <c r="M108" s="373"/>
      <c r="N108" s="373"/>
      <c r="O108" s="373"/>
      <c r="P108" s="373"/>
      <c r="Q108" s="373"/>
      <c r="R108" s="373"/>
      <c r="S108" s="373"/>
      <c r="T108" s="373"/>
      <c r="U108" s="380"/>
      <c r="V108" s="375">
        <f t="shared" si="6"/>
        <v>0</v>
      </c>
      <c r="W108" s="375">
        <f>AN_TME_PY[[#This Row],[TOTAL Non-Truncated Unadjusted Claims Expenses]]-AN_TME_PY[[#This Row],[Total Claims Excluded because of Truncation]]</f>
        <v>0</v>
      </c>
      <c r="X108" s="375">
        <f t="shared" si="7"/>
        <v>0</v>
      </c>
      <c r="Y108" s="375">
        <f>AN_TME_PY[[#This Row],[TOTAL Non-Truncated Unadjusted Claims Expenses]]+AN_TME_PY[[#This Row],[TOTAL Non-Claims Expenses]]</f>
        <v>0</v>
      </c>
      <c r="Z108" s="375">
        <f>AN_TME_PY[[#This Row],[TOTAL Truncated Unadjusted Claims Expenses (A21 -A19)]]+AN_TME_PY[[#This Row],[TOTAL Non-Claims Expenses]]</f>
        <v>0</v>
      </c>
      <c r="AA108" s="416">
        <f>IFERROR(AN_TME_PY[[#This Row],[TOTAL Non-Truncated Unadjusted Expenses (A21 + A23)]]/AN_TME_PY[[#This Row],[Member Months]],0)</f>
        <v>0</v>
      </c>
      <c r="AB108" s="416">
        <f>IFERROR(AN_TME_PY[[#This Row],[TOTAL Truncated Unadjusted Expenses (A22 + A23)]]/AN_TME_PY[[#This Row],[Member Months]],0)</f>
        <v>0</v>
      </c>
      <c r="AC108" s="385">
        <f>IFERROR(AN_TME_PY[[#This Row],[Total Claims Excluded because of Truncation]]/AN_TME_PY[[#This Row],[Count of Members with Claims Truncated]], 0)</f>
        <v>0</v>
      </c>
      <c r="AD108" s="417">
        <f>IFERROR(AN_TME_PY[[#This Row],[Total Claims Excluded because of Truncation]]/AN_TME_PY[[#This Row],[TOTAL Non-Truncated Unadjusted Claims Expenses]], 0)</f>
        <v>0</v>
      </c>
    </row>
    <row r="109" spans="1:30" x14ac:dyDescent="0.25">
      <c r="A109" s="364"/>
      <c r="B109" s="365"/>
      <c r="C109" s="365"/>
      <c r="D109" s="366"/>
      <c r="E109" s="367"/>
      <c r="F109" s="367"/>
      <c r="G109" s="367"/>
      <c r="H109" s="367"/>
      <c r="I109" s="367"/>
      <c r="J109" s="367"/>
      <c r="K109" s="367"/>
      <c r="L109" s="367"/>
      <c r="M109" s="367"/>
      <c r="N109" s="367"/>
      <c r="O109" s="367"/>
      <c r="P109" s="367"/>
      <c r="Q109" s="367"/>
      <c r="R109" s="367"/>
      <c r="S109" s="367"/>
      <c r="T109" s="367"/>
      <c r="U109" s="379"/>
      <c r="V109" s="369">
        <f t="shared" si="6"/>
        <v>0</v>
      </c>
      <c r="W109" s="369">
        <f>AN_TME_PY[[#This Row],[TOTAL Non-Truncated Unadjusted Claims Expenses]]-AN_TME_PY[[#This Row],[Total Claims Excluded because of Truncation]]</f>
        <v>0</v>
      </c>
      <c r="X109" s="369">
        <f t="shared" si="7"/>
        <v>0</v>
      </c>
      <c r="Y109" s="369">
        <f>AN_TME_PY[[#This Row],[TOTAL Non-Truncated Unadjusted Claims Expenses]]+AN_TME_PY[[#This Row],[TOTAL Non-Claims Expenses]]</f>
        <v>0</v>
      </c>
      <c r="Z109" s="369">
        <f>AN_TME_PY[[#This Row],[TOTAL Truncated Unadjusted Claims Expenses (A21 -A19)]]+AN_TME_PY[[#This Row],[TOTAL Non-Claims Expenses]]</f>
        <v>0</v>
      </c>
      <c r="AA109" s="415">
        <f>IFERROR(AN_TME_PY[[#This Row],[TOTAL Non-Truncated Unadjusted Expenses (A21 + A23)]]/AN_TME_PY[[#This Row],[Member Months]],0)</f>
        <v>0</v>
      </c>
      <c r="AB109" s="415">
        <f>IFERROR(AN_TME_PY[[#This Row],[TOTAL Truncated Unadjusted Expenses (A22 + A23)]]/AN_TME_PY[[#This Row],[Member Months]],0)</f>
        <v>0</v>
      </c>
      <c r="AC109" s="385">
        <f>IFERROR(AN_TME_PY[[#This Row],[Total Claims Excluded because of Truncation]]/AN_TME_PY[[#This Row],[Count of Members with Claims Truncated]], 0)</f>
        <v>0</v>
      </c>
      <c r="AD109" s="417">
        <f>IFERROR(AN_TME_PY[[#This Row],[Total Claims Excluded because of Truncation]]/AN_TME_PY[[#This Row],[TOTAL Non-Truncated Unadjusted Claims Expenses]], 0)</f>
        <v>0</v>
      </c>
    </row>
    <row r="110" spans="1:30" x14ac:dyDescent="0.25">
      <c r="A110" s="370"/>
      <c r="B110" s="371"/>
      <c r="C110" s="371"/>
      <c r="D110" s="372"/>
      <c r="E110" s="373"/>
      <c r="F110" s="373"/>
      <c r="G110" s="373"/>
      <c r="H110" s="373"/>
      <c r="I110" s="373"/>
      <c r="J110" s="373"/>
      <c r="K110" s="373"/>
      <c r="L110" s="373"/>
      <c r="M110" s="373"/>
      <c r="N110" s="373"/>
      <c r="O110" s="373"/>
      <c r="P110" s="373"/>
      <c r="Q110" s="373"/>
      <c r="R110" s="373"/>
      <c r="S110" s="373"/>
      <c r="T110" s="373"/>
      <c r="U110" s="380"/>
      <c r="V110" s="375">
        <f t="shared" si="6"/>
        <v>0</v>
      </c>
      <c r="W110" s="375">
        <f>AN_TME_PY[[#This Row],[TOTAL Non-Truncated Unadjusted Claims Expenses]]-AN_TME_PY[[#This Row],[Total Claims Excluded because of Truncation]]</f>
        <v>0</v>
      </c>
      <c r="X110" s="375">
        <f t="shared" si="7"/>
        <v>0</v>
      </c>
      <c r="Y110" s="375">
        <f>AN_TME_PY[[#This Row],[TOTAL Non-Truncated Unadjusted Claims Expenses]]+AN_TME_PY[[#This Row],[TOTAL Non-Claims Expenses]]</f>
        <v>0</v>
      </c>
      <c r="Z110" s="375">
        <f>AN_TME_PY[[#This Row],[TOTAL Truncated Unadjusted Claims Expenses (A21 -A19)]]+AN_TME_PY[[#This Row],[TOTAL Non-Claims Expenses]]</f>
        <v>0</v>
      </c>
      <c r="AA110" s="416">
        <f>IFERROR(AN_TME_PY[[#This Row],[TOTAL Non-Truncated Unadjusted Expenses (A21 + A23)]]/AN_TME_PY[[#This Row],[Member Months]],0)</f>
        <v>0</v>
      </c>
      <c r="AB110" s="416">
        <f>IFERROR(AN_TME_PY[[#This Row],[TOTAL Truncated Unadjusted Expenses (A22 + A23)]]/AN_TME_PY[[#This Row],[Member Months]],0)</f>
        <v>0</v>
      </c>
      <c r="AC110" s="385">
        <f>IFERROR(AN_TME_PY[[#This Row],[Total Claims Excluded because of Truncation]]/AN_TME_PY[[#This Row],[Count of Members with Claims Truncated]], 0)</f>
        <v>0</v>
      </c>
      <c r="AD110" s="417">
        <f>IFERROR(AN_TME_PY[[#This Row],[Total Claims Excluded because of Truncation]]/AN_TME_PY[[#This Row],[TOTAL Non-Truncated Unadjusted Claims Expenses]], 0)</f>
        <v>0</v>
      </c>
    </row>
    <row r="111" spans="1:30" x14ac:dyDescent="0.25">
      <c r="A111" s="364"/>
      <c r="B111" s="365"/>
      <c r="C111" s="365"/>
      <c r="D111" s="366"/>
      <c r="E111" s="367"/>
      <c r="F111" s="367"/>
      <c r="G111" s="367"/>
      <c r="H111" s="367"/>
      <c r="I111" s="367"/>
      <c r="J111" s="367"/>
      <c r="K111" s="367"/>
      <c r="L111" s="367"/>
      <c r="M111" s="367"/>
      <c r="N111" s="367"/>
      <c r="O111" s="367"/>
      <c r="P111" s="367"/>
      <c r="Q111" s="367"/>
      <c r="R111" s="367"/>
      <c r="S111" s="367"/>
      <c r="T111" s="367"/>
      <c r="U111" s="379"/>
      <c r="V111" s="369">
        <f t="shared" si="6"/>
        <v>0</v>
      </c>
      <c r="W111" s="369">
        <f>AN_TME_PY[[#This Row],[TOTAL Non-Truncated Unadjusted Claims Expenses]]-AN_TME_PY[[#This Row],[Total Claims Excluded because of Truncation]]</f>
        <v>0</v>
      </c>
      <c r="X111" s="369">
        <f t="shared" si="7"/>
        <v>0</v>
      </c>
      <c r="Y111" s="369">
        <f>AN_TME_PY[[#This Row],[TOTAL Non-Truncated Unadjusted Claims Expenses]]+AN_TME_PY[[#This Row],[TOTAL Non-Claims Expenses]]</f>
        <v>0</v>
      </c>
      <c r="Z111" s="369">
        <f>AN_TME_PY[[#This Row],[TOTAL Truncated Unadjusted Claims Expenses (A21 -A19)]]+AN_TME_PY[[#This Row],[TOTAL Non-Claims Expenses]]</f>
        <v>0</v>
      </c>
      <c r="AA111" s="415">
        <f>IFERROR(AN_TME_PY[[#This Row],[TOTAL Non-Truncated Unadjusted Expenses (A21 + A23)]]/AN_TME_PY[[#This Row],[Member Months]],0)</f>
        <v>0</v>
      </c>
      <c r="AB111" s="415">
        <f>IFERROR(AN_TME_PY[[#This Row],[TOTAL Truncated Unadjusted Expenses (A22 + A23)]]/AN_TME_PY[[#This Row],[Member Months]],0)</f>
        <v>0</v>
      </c>
      <c r="AC111" s="385">
        <f>IFERROR(AN_TME_PY[[#This Row],[Total Claims Excluded because of Truncation]]/AN_TME_PY[[#This Row],[Count of Members with Claims Truncated]], 0)</f>
        <v>0</v>
      </c>
      <c r="AD111" s="417">
        <f>IFERROR(AN_TME_PY[[#This Row],[Total Claims Excluded because of Truncation]]/AN_TME_PY[[#This Row],[TOTAL Non-Truncated Unadjusted Claims Expenses]], 0)</f>
        <v>0</v>
      </c>
    </row>
    <row r="112" spans="1:30" x14ac:dyDescent="0.25">
      <c r="A112" s="370"/>
      <c r="B112" s="371"/>
      <c r="C112" s="371"/>
      <c r="D112" s="372"/>
      <c r="E112" s="373"/>
      <c r="F112" s="373"/>
      <c r="G112" s="373"/>
      <c r="H112" s="373"/>
      <c r="I112" s="373"/>
      <c r="J112" s="373"/>
      <c r="K112" s="373"/>
      <c r="L112" s="373"/>
      <c r="M112" s="373"/>
      <c r="N112" s="373"/>
      <c r="O112" s="373"/>
      <c r="P112" s="373"/>
      <c r="Q112" s="373"/>
      <c r="R112" s="373"/>
      <c r="S112" s="373"/>
      <c r="T112" s="373"/>
      <c r="U112" s="380"/>
      <c r="V112" s="375">
        <f t="shared" si="6"/>
        <v>0</v>
      </c>
      <c r="W112" s="375">
        <f>AN_TME_PY[[#This Row],[TOTAL Non-Truncated Unadjusted Claims Expenses]]-AN_TME_PY[[#This Row],[Total Claims Excluded because of Truncation]]</f>
        <v>0</v>
      </c>
      <c r="X112" s="375">
        <f t="shared" si="7"/>
        <v>0</v>
      </c>
      <c r="Y112" s="375">
        <f>AN_TME_PY[[#This Row],[TOTAL Non-Truncated Unadjusted Claims Expenses]]+AN_TME_PY[[#This Row],[TOTAL Non-Claims Expenses]]</f>
        <v>0</v>
      </c>
      <c r="Z112" s="375">
        <f>AN_TME_PY[[#This Row],[TOTAL Truncated Unadjusted Claims Expenses (A21 -A19)]]+AN_TME_PY[[#This Row],[TOTAL Non-Claims Expenses]]</f>
        <v>0</v>
      </c>
      <c r="AA112" s="416">
        <f>IFERROR(AN_TME_PY[[#This Row],[TOTAL Non-Truncated Unadjusted Expenses (A21 + A23)]]/AN_TME_PY[[#This Row],[Member Months]],0)</f>
        <v>0</v>
      </c>
      <c r="AB112" s="416">
        <f>IFERROR(AN_TME_PY[[#This Row],[TOTAL Truncated Unadjusted Expenses (A22 + A23)]]/AN_TME_PY[[#This Row],[Member Months]],0)</f>
        <v>0</v>
      </c>
      <c r="AC112" s="385">
        <f>IFERROR(AN_TME_PY[[#This Row],[Total Claims Excluded because of Truncation]]/AN_TME_PY[[#This Row],[Count of Members with Claims Truncated]], 0)</f>
        <v>0</v>
      </c>
      <c r="AD112" s="417">
        <f>IFERROR(AN_TME_PY[[#This Row],[Total Claims Excluded because of Truncation]]/AN_TME_PY[[#This Row],[TOTAL Non-Truncated Unadjusted Claims Expenses]], 0)</f>
        <v>0</v>
      </c>
    </row>
    <row r="113" spans="1:30" x14ac:dyDescent="0.25">
      <c r="A113" s="364"/>
      <c r="B113" s="365"/>
      <c r="C113" s="365"/>
      <c r="D113" s="366"/>
      <c r="E113" s="367"/>
      <c r="F113" s="367"/>
      <c r="G113" s="367"/>
      <c r="H113" s="367"/>
      <c r="I113" s="367"/>
      <c r="J113" s="367"/>
      <c r="K113" s="367"/>
      <c r="L113" s="367"/>
      <c r="M113" s="367"/>
      <c r="N113" s="367"/>
      <c r="O113" s="367"/>
      <c r="P113" s="367"/>
      <c r="Q113" s="367"/>
      <c r="R113" s="367"/>
      <c r="S113" s="367"/>
      <c r="T113" s="367"/>
      <c r="U113" s="379"/>
      <c r="V113" s="369">
        <f t="shared" si="6"/>
        <v>0</v>
      </c>
      <c r="W113" s="369">
        <f>AN_TME_PY[[#This Row],[TOTAL Non-Truncated Unadjusted Claims Expenses]]-AN_TME_PY[[#This Row],[Total Claims Excluded because of Truncation]]</f>
        <v>0</v>
      </c>
      <c r="X113" s="369">
        <f t="shared" si="7"/>
        <v>0</v>
      </c>
      <c r="Y113" s="369">
        <f>AN_TME_PY[[#This Row],[TOTAL Non-Truncated Unadjusted Claims Expenses]]+AN_TME_PY[[#This Row],[TOTAL Non-Claims Expenses]]</f>
        <v>0</v>
      </c>
      <c r="Z113" s="369">
        <f>AN_TME_PY[[#This Row],[TOTAL Truncated Unadjusted Claims Expenses (A21 -A19)]]+AN_TME_PY[[#This Row],[TOTAL Non-Claims Expenses]]</f>
        <v>0</v>
      </c>
      <c r="AA113" s="415">
        <f>IFERROR(AN_TME_PY[[#This Row],[TOTAL Non-Truncated Unadjusted Expenses (A21 + A23)]]/AN_TME_PY[[#This Row],[Member Months]],0)</f>
        <v>0</v>
      </c>
      <c r="AB113" s="415">
        <f>IFERROR(AN_TME_PY[[#This Row],[TOTAL Truncated Unadjusted Expenses (A22 + A23)]]/AN_TME_PY[[#This Row],[Member Months]],0)</f>
        <v>0</v>
      </c>
      <c r="AC113" s="385">
        <f>IFERROR(AN_TME_PY[[#This Row],[Total Claims Excluded because of Truncation]]/AN_TME_PY[[#This Row],[Count of Members with Claims Truncated]], 0)</f>
        <v>0</v>
      </c>
      <c r="AD113" s="417">
        <f>IFERROR(AN_TME_PY[[#This Row],[Total Claims Excluded because of Truncation]]/AN_TME_PY[[#This Row],[TOTAL Non-Truncated Unadjusted Claims Expenses]], 0)</f>
        <v>0</v>
      </c>
    </row>
    <row r="114" spans="1:30" x14ac:dyDescent="0.25">
      <c r="A114" s="370"/>
      <c r="B114" s="371"/>
      <c r="C114" s="371"/>
      <c r="D114" s="372"/>
      <c r="E114" s="373"/>
      <c r="F114" s="373"/>
      <c r="G114" s="373"/>
      <c r="H114" s="373"/>
      <c r="I114" s="373"/>
      <c r="J114" s="373"/>
      <c r="K114" s="373"/>
      <c r="L114" s="373"/>
      <c r="M114" s="373"/>
      <c r="N114" s="373"/>
      <c r="O114" s="373"/>
      <c r="P114" s="373"/>
      <c r="Q114" s="373"/>
      <c r="R114" s="373"/>
      <c r="S114" s="373"/>
      <c r="T114" s="373"/>
      <c r="U114" s="380"/>
      <c r="V114" s="375">
        <f t="shared" si="6"/>
        <v>0</v>
      </c>
      <c r="W114" s="375">
        <f>AN_TME_PY[[#This Row],[TOTAL Non-Truncated Unadjusted Claims Expenses]]-AN_TME_PY[[#This Row],[Total Claims Excluded because of Truncation]]</f>
        <v>0</v>
      </c>
      <c r="X114" s="375">
        <f t="shared" si="7"/>
        <v>0</v>
      </c>
      <c r="Y114" s="375">
        <f>AN_TME_PY[[#This Row],[TOTAL Non-Truncated Unadjusted Claims Expenses]]+AN_TME_PY[[#This Row],[TOTAL Non-Claims Expenses]]</f>
        <v>0</v>
      </c>
      <c r="Z114" s="375">
        <f>AN_TME_PY[[#This Row],[TOTAL Truncated Unadjusted Claims Expenses (A21 -A19)]]+AN_TME_PY[[#This Row],[TOTAL Non-Claims Expenses]]</f>
        <v>0</v>
      </c>
      <c r="AA114" s="416">
        <f>IFERROR(AN_TME_PY[[#This Row],[TOTAL Non-Truncated Unadjusted Expenses (A21 + A23)]]/AN_TME_PY[[#This Row],[Member Months]],0)</f>
        <v>0</v>
      </c>
      <c r="AB114" s="416">
        <f>IFERROR(AN_TME_PY[[#This Row],[TOTAL Truncated Unadjusted Expenses (A22 + A23)]]/AN_TME_PY[[#This Row],[Member Months]],0)</f>
        <v>0</v>
      </c>
      <c r="AC114" s="385">
        <f>IFERROR(AN_TME_PY[[#This Row],[Total Claims Excluded because of Truncation]]/AN_TME_PY[[#This Row],[Count of Members with Claims Truncated]], 0)</f>
        <v>0</v>
      </c>
      <c r="AD114" s="417">
        <f>IFERROR(AN_TME_PY[[#This Row],[Total Claims Excluded because of Truncation]]/AN_TME_PY[[#This Row],[TOTAL Non-Truncated Unadjusted Claims Expenses]], 0)</f>
        <v>0</v>
      </c>
    </row>
    <row r="115" spans="1:30" x14ac:dyDescent="0.25">
      <c r="A115" s="364"/>
      <c r="B115" s="365"/>
      <c r="C115" s="365"/>
      <c r="D115" s="366"/>
      <c r="E115" s="367"/>
      <c r="F115" s="367"/>
      <c r="G115" s="367"/>
      <c r="H115" s="367"/>
      <c r="I115" s="367"/>
      <c r="J115" s="367"/>
      <c r="K115" s="367"/>
      <c r="L115" s="367"/>
      <c r="M115" s="367"/>
      <c r="N115" s="367"/>
      <c r="O115" s="367"/>
      <c r="P115" s="367"/>
      <c r="Q115" s="367"/>
      <c r="R115" s="367"/>
      <c r="S115" s="367"/>
      <c r="T115" s="367"/>
      <c r="U115" s="379"/>
      <c r="V115" s="369">
        <f t="shared" si="6"/>
        <v>0</v>
      </c>
      <c r="W115" s="369">
        <f>AN_TME_PY[[#This Row],[TOTAL Non-Truncated Unadjusted Claims Expenses]]-AN_TME_PY[[#This Row],[Total Claims Excluded because of Truncation]]</f>
        <v>0</v>
      </c>
      <c r="X115" s="369">
        <f t="shared" si="7"/>
        <v>0</v>
      </c>
      <c r="Y115" s="369">
        <f>AN_TME_PY[[#This Row],[TOTAL Non-Truncated Unadjusted Claims Expenses]]+AN_TME_PY[[#This Row],[TOTAL Non-Claims Expenses]]</f>
        <v>0</v>
      </c>
      <c r="Z115" s="369">
        <f>AN_TME_PY[[#This Row],[TOTAL Truncated Unadjusted Claims Expenses (A21 -A19)]]+AN_TME_PY[[#This Row],[TOTAL Non-Claims Expenses]]</f>
        <v>0</v>
      </c>
      <c r="AA115" s="415">
        <f>IFERROR(AN_TME_PY[[#This Row],[TOTAL Non-Truncated Unadjusted Expenses (A21 + A23)]]/AN_TME_PY[[#This Row],[Member Months]],0)</f>
        <v>0</v>
      </c>
      <c r="AB115" s="415">
        <f>IFERROR(AN_TME_PY[[#This Row],[TOTAL Truncated Unadjusted Expenses (A22 + A23)]]/AN_TME_PY[[#This Row],[Member Months]],0)</f>
        <v>0</v>
      </c>
      <c r="AC115" s="385">
        <f>IFERROR(AN_TME_PY[[#This Row],[Total Claims Excluded because of Truncation]]/AN_TME_PY[[#This Row],[Count of Members with Claims Truncated]], 0)</f>
        <v>0</v>
      </c>
      <c r="AD115" s="417">
        <f>IFERROR(AN_TME_PY[[#This Row],[Total Claims Excluded because of Truncation]]/AN_TME_PY[[#This Row],[TOTAL Non-Truncated Unadjusted Claims Expenses]], 0)</f>
        <v>0</v>
      </c>
    </row>
    <row r="116" spans="1:30" x14ac:dyDescent="0.25">
      <c r="A116" s="370"/>
      <c r="B116" s="371"/>
      <c r="C116" s="371"/>
      <c r="D116" s="372"/>
      <c r="E116" s="373"/>
      <c r="F116" s="373"/>
      <c r="G116" s="373"/>
      <c r="H116" s="373"/>
      <c r="I116" s="373"/>
      <c r="J116" s="373"/>
      <c r="K116" s="373"/>
      <c r="L116" s="373"/>
      <c r="M116" s="373"/>
      <c r="N116" s="373"/>
      <c r="O116" s="373"/>
      <c r="P116" s="373"/>
      <c r="Q116" s="373"/>
      <c r="R116" s="373"/>
      <c r="S116" s="373"/>
      <c r="T116" s="373"/>
      <c r="U116" s="380"/>
      <c r="V116" s="375">
        <f t="shared" si="6"/>
        <v>0</v>
      </c>
      <c r="W116" s="375">
        <f>AN_TME_PY[[#This Row],[TOTAL Non-Truncated Unadjusted Claims Expenses]]-AN_TME_PY[[#This Row],[Total Claims Excluded because of Truncation]]</f>
        <v>0</v>
      </c>
      <c r="X116" s="375">
        <f t="shared" si="7"/>
        <v>0</v>
      </c>
      <c r="Y116" s="375">
        <f>AN_TME_PY[[#This Row],[TOTAL Non-Truncated Unadjusted Claims Expenses]]+AN_TME_PY[[#This Row],[TOTAL Non-Claims Expenses]]</f>
        <v>0</v>
      </c>
      <c r="Z116" s="375">
        <f>AN_TME_PY[[#This Row],[TOTAL Truncated Unadjusted Claims Expenses (A21 -A19)]]+AN_TME_PY[[#This Row],[TOTAL Non-Claims Expenses]]</f>
        <v>0</v>
      </c>
      <c r="AA116" s="416">
        <f>IFERROR(AN_TME_PY[[#This Row],[TOTAL Non-Truncated Unadjusted Expenses (A21 + A23)]]/AN_TME_PY[[#This Row],[Member Months]],0)</f>
        <v>0</v>
      </c>
      <c r="AB116" s="416">
        <f>IFERROR(AN_TME_PY[[#This Row],[TOTAL Truncated Unadjusted Expenses (A22 + A23)]]/AN_TME_PY[[#This Row],[Member Months]],0)</f>
        <v>0</v>
      </c>
      <c r="AC116" s="385">
        <f>IFERROR(AN_TME_PY[[#This Row],[Total Claims Excluded because of Truncation]]/AN_TME_PY[[#This Row],[Count of Members with Claims Truncated]], 0)</f>
        <v>0</v>
      </c>
      <c r="AD116" s="417">
        <f>IFERROR(AN_TME_PY[[#This Row],[Total Claims Excluded because of Truncation]]/AN_TME_PY[[#This Row],[TOTAL Non-Truncated Unadjusted Claims Expenses]], 0)</f>
        <v>0</v>
      </c>
    </row>
    <row r="117" spans="1:30" x14ac:dyDescent="0.25">
      <c r="A117" s="364"/>
      <c r="B117" s="365"/>
      <c r="C117" s="365"/>
      <c r="D117" s="366"/>
      <c r="E117" s="367"/>
      <c r="F117" s="367"/>
      <c r="G117" s="367"/>
      <c r="H117" s="367"/>
      <c r="I117" s="367"/>
      <c r="J117" s="367"/>
      <c r="K117" s="367"/>
      <c r="L117" s="367"/>
      <c r="M117" s="367"/>
      <c r="N117" s="367"/>
      <c r="O117" s="367"/>
      <c r="P117" s="367"/>
      <c r="Q117" s="367"/>
      <c r="R117" s="367"/>
      <c r="S117" s="367"/>
      <c r="T117" s="367"/>
      <c r="U117" s="379"/>
      <c r="V117" s="369">
        <f t="shared" si="6"/>
        <v>0</v>
      </c>
      <c r="W117" s="369">
        <f>AN_TME_PY[[#This Row],[TOTAL Non-Truncated Unadjusted Claims Expenses]]-AN_TME_PY[[#This Row],[Total Claims Excluded because of Truncation]]</f>
        <v>0</v>
      </c>
      <c r="X117" s="369">
        <f t="shared" si="7"/>
        <v>0</v>
      </c>
      <c r="Y117" s="369">
        <f>AN_TME_PY[[#This Row],[TOTAL Non-Truncated Unadjusted Claims Expenses]]+AN_TME_PY[[#This Row],[TOTAL Non-Claims Expenses]]</f>
        <v>0</v>
      </c>
      <c r="Z117" s="369">
        <f>AN_TME_PY[[#This Row],[TOTAL Truncated Unadjusted Claims Expenses (A21 -A19)]]+AN_TME_PY[[#This Row],[TOTAL Non-Claims Expenses]]</f>
        <v>0</v>
      </c>
      <c r="AA117" s="415">
        <f>IFERROR(AN_TME_PY[[#This Row],[TOTAL Non-Truncated Unadjusted Expenses (A21 + A23)]]/AN_TME_PY[[#This Row],[Member Months]],0)</f>
        <v>0</v>
      </c>
      <c r="AB117" s="415">
        <f>IFERROR(AN_TME_PY[[#This Row],[TOTAL Truncated Unadjusted Expenses (A22 + A23)]]/AN_TME_PY[[#This Row],[Member Months]],0)</f>
        <v>0</v>
      </c>
      <c r="AC117" s="385">
        <f>IFERROR(AN_TME_PY[[#This Row],[Total Claims Excluded because of Truncation]]/AN_TME_PY[[#This Row],[Count of Members with Claims Truncated]], 0)</f>
        <v>0</v>
      </c>
      <c r="AD117" s="417">
        <f>IFERROR(AN_TME_PY[[#This Row],[Total Claims Excluded because of Truncation]]/AN_TME_PY[[#This Row],[TOTAL Non-Truncated Unadjusted Claims Expenses]], 0)</f>
        <v>0</v>
      </c>
    </row>
    <row r="118" spans="1:30" x14ac:dyDescent="0.25">
      <c r="A118" s="370"/>
      <c r="B118" s="371"/>
      <c r="C118" s="371"/>
      <c r="D118" s="372"/>
      <c r="E118" s="373"/>
      <c r="F118" s="373"/>
      <c r="G118" s="373"/>
      <c r="H118" s="373"/>
      <c r="I118" s="373"/>
      <c r="J118" s="373"/>
      <c r="K118" s="373"/>
      <c r="L118" s="373"/>
      <c r="M118" s="373"/>
      <c r="N118" s="373"/>
      <c r="O118" s="373"/>
      <c r="P118" s="373"/>
      <c r="Q118" s="373"/>
      <c r="R118" s="373"/>
      <c r="S118" s="373"/>
      <c r="T118" s="373"/>
      <c r="U118" s="380"/>
      <c r="V118" s="375">
        <f t="shared" si="6"/>
        <v>0</v>
      </c>
      <c r="W118" s="375">
        <f>AN_TME_PY[[#This Row],[TOTAL Non-Truncated Unadjusted Claims Expenses]]-AN_TME_PY[[#This Row],[Total Claims Excluded because of Truncation]]</f>
        <v>0</v>
      </c>
      <c r="X118" s="375">
        <f t="shared" si="7"/>
        <v>0</v>
      </c>
      <c r="Y118" s="375">
        <f>AN_TME_PY[[#This Row],[TOTAL Non-Truncated Unadjusted Claims Expenses]]+AN_TME_PY[[#This Row],[TOTAL Non-Claims Expenses]]</f>
        <v>0</v>
      </c>
      <c r="Z118" s="375">
        <f>AN_TME_PY[[#This Row],[TOTAL Truncated Unadjusted Claims Expenses (A21 -A19)]]+AN_TME_PY[[#This Row],[TOTAL Non-Claims Expenses]]</f>
        <v>0</v>
      </c>
      <c r="AA118" s="416">
        <f>IFERROR(AN_TME_PY[[#This Row],[TOTAL Non-Truncated Unadjusted Expenses (A21 + A23)]]/AN_TME_PY[[#This Row],[Member Months]],0)</f>
        <v>0</v>
      </c>
      <c r="AB118" s="416">
        <f>IFERROR(AN_TME_PY[[#This Row],[TOTAL Truncated Unadjusted Expenses (A22 + A23)]]/AN_TME_PY[[#This Row],[Member Months]],0)</f>
        <v>0</v>
      </c>
      <c r="AC118" s="385">
        <f>IFERROR(AN_TME_PY[[#This Row],[Total Claims Excluded because of Truncation]]/AN_TME_PY[[#This Row],[Count of Members with Claims Truncated]], 0)</f>
        <v>0</v>
      </c>
      <c r="AD118" s="417">
        <f>IFERROR(AN_TME_PY[[#This Row],[Total Claims Excluded because of Truncation]]/AN_TME_PY[[#This Row],[TOTAL Non-Truncated Unadjusted Claims Expenses]], 0)</f>
        <v>0</v>
      </c>
    </row>
    <row r="119" spans="1:30" x14ac:dyDescent="0.25">
      <c r="A119" s="364"/>
      <c r="B119" s="365"/>
      <c r="C119" s="365"/>
      <c r="D119" s="366"/>
      <c r="E119" s="367"/>
      <c r="F119" s="367"/>
      <c r="G119" s="367"/>
      <c r="H119" s="367"/>
      <c r="I119" s="367"/>
      <c r="J119" s="367"/>
      <c r="K119" s="367"/>
      <c r="L119" s="367"/>
      <c r="M119" s="367"/>
      <c r="N119" s="367"/>
      <c r="O119" s="367"/>
      <c r="P119" s="367"/>
      <c r="Q119" s="367"/>
      <c r="R119" s="367"/>
      <c r="S119" s="367"/>
      <c r="T119" s="367"/>
      <c r="U119" s="379"/>
      <c r="V119" s="369">
        <f t="shared" si="6"/>
        <v>0</v>
      </c>
      <c r="W119" s="369">
        <f>AN_TME_PY[[#This Row],[TOTAL Non-Truncated Unadjusted Claims Expenses]]-AN_TME_PY[[#This Row],[Total Claims Excluded because of Truncation]]</f>
        <v>0</v>
      </c>
      <c r="X119" s="369">
        <f t="shared" si="7"/>
        <v>0</v>
      </c>
      <c r="Y119" s="369">
        <f>AN_TME_PY[[#This Row],[TOTAL Non-Truncated Unadjusted Claims Expenses]]+AN_TME_PY[[#This Row],[TOTAL Non-Claims Expenses]]</f>
        <v>0</v>
      </c>
      <c r="Z119" s="369">
        <f>AN_TME_PY[[#This Row],[TOTAL Truncated Unadjusted Claims Expenses (A21 -A19)]]+AN_TME_PY[[#This Row],[TOTAL Non-Claims Expenses]]</f>
        <v>0</v>
      </c>
      <c r="AA119" s="415">
        <f>IFERROR(AN_TME_PY[[#This Row],[TOTAL Non-Truncated Unadjusted Expenses (A21 + A23)]]/AN_TME_PY[[#This Row],[Member Months]],0)</f>
        <v>0</v>
      </c>
      <c r="AB119" s="415">
        <f>IFERROR(AN_TME_PY[[#This Row],[TOTAL Truncated Unadjusted Expenses (A22 + A23)]]/AN_TME_PY[[#This Row],[Member Months]],0)</f>
        <v>0</v>
      </c>
      <c r="AC119" s="385">
        <f>IFERROR(AN_TME_PY[[#This Row],[Total Claims Excluded because of Truncation]]/AN_TME_PY[[#This Row],[Count of Members with Claims Truncated]], 0)</f>
        <v>0</v>
      </c>
      <c r="AD119" s="417">
        <f>IFERROR(AN_TME_PY[[#This Row],[Total Claims Excluded because of Truncation]]/AN_TME_PY[[#This Row],[TOTAL Non-Truncated Unadjusted Claims Expenses]], 0)</f>
        <v>0</v>
      </c>
    </row>
    <row r="120" spans="1:30" x14ac:dyDescent="0.25">
      <c r="A120" s="370"/>
      <c r="B120" s="371"/>
      <c r="C120" s="371"/>
      <c r="D120" s="372"/>
      <c r="E120" s="373"/>
      <c r="F120" s="373"/>
      <c r="G120" s="373"/>
      <c r="H120" s="373"/>
      <c r="I120" s="373"/>
      <c r="J120" s="373"/>
      <c r="K120" s="373"/>
      <c r="L120" s="373"/>
      <c r="M120" s="373"/>
      <c r="N120" s="373"/>
      <c r="O120" s="373"/>
      <c r="P120" s="373"/>
      <c r="Q120" s="373"/>
      <c r="R120" s="373"/>
      <c r="S120" s="373"/>
      <c r="T120" s="373"/>
      <c r="U120" s="380"/>
      <c r="V120" s="375">
        <f t="shared" si="6"/>
        <v>0</v>
      </c>
      <c r="W120" s="375">
        <f>AN_TME_PY[[#This Row],[TOTAL Non-Truncated Unadjusted Claims Expenses]]-AN_TME_PY[[#This Row],[Total Claims Excluded because of Truncation]]</f>
        <v>0</v>
      </c>
      <c r="X120" s="375">
        <f t="shared" si="7"/>
        <v>0</v>
      </c>
      <c r="Y120" s="375">
        <f>AN_TME_PY[[#This Row],[TOTAL Non-Truncated Unadjusted Claims Expenses]]+AN_TME_PY[[#This Row],[TOTAL Non-Claims Expenses]]</f>
        <v>0</v>
      </c>
      <c r="Z120" s="375">
        <f>AN_TME_PY[[#This Row],[TOTAL Truncated Unadjusted Claims Expenses (A21 -A19)]]+AN_TME_PY[[#This Row],[TOTAL Non-Claims Expenses]]</f>
        <v>0</v>
      </c>
      <c r="AA120" s="416">
        <f>IFERROR(AN_TME_PY[[#This Row],[TOTAL Non-Truncated Unadjusted Expenses (A21 + A23)]]/AN_TME_PY[[#This Row],[Member Months]],0)</f>
        <v>0</v>
      </c>
      <c r="AB120" s="416">
        <f>IFERROR(AN_TME_PY[[#This Row],[TOTAL Truncated Unadjusted Expenses (A22 + A23)]]/AN_TME_PY[[#This Row],[Member Months]],0)</f>
        <v>0</v>
      </c>
      <c r="AC120" s="385">
        <f>IFERROR(AN_TME_PY[[#This Row],[Total Claims Excluded because of Truncation]]/AN_TME_PY[[#This Row],[Count of Members with Claims Truncated]], 0)</f>
        <v>0</v>
      </c>
      <c r="AD120" s="417">
        <f>IFERROR(AN_TME_PY[[#This Row],[Total Claims Excluded because of Truncation]]/AN_TME_PY[[#This Row],[TOTAL Non-Truncated Unadjusted Claims Expenses]], 0)</f>
        <v>0</v>
      </c>
    </row>
    <row r="121" spans="1:30" x14ac:dyDescent="0.25">
      <c r="A121" s="364"/>
      <c r="B121" s="365"/>
      <c r="C121" s="365"/>
      <c r="D121" s="366"/>
      <c r="E121" s="367"/>
      <c r="F121" s="367"/>
      <c r="G121" s="367"/>
      <c r="H121" s="367"/>
      <c r="I121" s="367"/>
      <c r="J121" s="367"/>
      <c r="K121" s="367"/>
      <c r="L121" s="367"/>
      <c r="M121" s="367"/>
      <c r="N121" s="367"/>
      <c r="O121" s="367"/>
      <c r="P121" s="367"/>
      <c r="Q121" s="367"/>
      <c r="R121" s="367"/>
      <c r="S121" s="367"/>
      <c r="T121" s="367"/>
      <c r="U121" s="379"/>
      <c r="V121" s="369">
        <f t="shared" si="6"/>
        <v>0</v>
      </c>
      <c r="W121" s="369">
        <f>AN_TME_PY[[#This Row],[TOTAL Non-Truncated Unadjusted Claims Expenses]]-AN_TME_PY[[#This Row],[Total Claims Excluded because of Truncation]]</f>
        <v>0</v>
      </c>
      <c r="X121" s="369">
        <f t="shared" si="7"/>
        <v>0</v>
      </c>
      <c r="Y121" s="369">
        <f>AN_TME_PY[[#This Row],[TOTAL Non-Truncated Unadjusted Claims Expenses]]+AN_TME_PY[[#This Row],[TOTAL Non-Claims Expenses]]</f>
        <v>0</v>
      </c>
      <c r="Z121" s="369">
        <f>AN_TME_PY[[#This Row],[TOTAL Truncated Unadjusted Claims Expenses (A21 -A19)]]+AN_TME_PY[[#This Row],[TOTAL Non-Claims Expenses]]</f>
        <v>0</v>
      </c>
      <c r="AA121" s="415">
        <f>IFERROR(AN_TME_PY[[#This Row],[TOTAL Non-Truncated Unadjusted Expenses (A21 + A23)]]/AN_TME_PY[[#This Row],[Member Months]],0)</f>
        <v>0</v>
      </c>
      <c r="AB121" s="415">
        <f>IFERROR(AN_TME_PY[[#This Row],[TOTAL Truncated Unadjusted Expenses (A22 + A23)]]/AN_TME_PY[[#This Row],[Member Months]],0)</f>
        <v>0</v>
      </c>
      <c r="AC121" s="385">
        <f>IFERROR(AN_TME_PY[[#This Row],[Total Claims Excluded because of Truncation]]/AN_TME_PY[[#This Row],[Count of Members with Claims Truncated]], 0)</f>
        <v>0</v>
      </c>
      <c r="AD121" s="417">
        <f>IFERROR(AN_TME_PY[[#This Row],[Total Claims Excluded because of Truncation]]/AN_TME_PY[[#This Row],[TOTAL Non-Truncated Unadjusted Claims Expenses]], 0)</f>
        <v>0</v>
      </c>
    </row>
    <row r="122" spans="1:30" x14ac:dyDescent="0.25">
      <c r="A122" s="370"/>
      <c r="B122" s="371"/>
      <c r="C122" s="371"/>
      <c r="D122" s="372"/>
      <c r="E122" s="373"/>
      <c r="F122" s="373"/>
      <c r="G122" s="373"/>
      <c r="H122" s="373"/>
      <c r="I122" s="373"/>
      <c r="J122" s="373"/>
      <c r="K122" s="373"/>
      <c r="L122" s="373"/>
      <c r="M122" s="373"/>
      <c r="N122" s="373"/>
      <c r="O122" s="373"/>
      <c r="P122" s="373"/>
      <c r="Q122" s="373"/>
      <c r="R122" s="373"/>
      <c r="S122" s="373"/>
      <c r="T122" s="373"/>
      <c r="U122" s="380"/>
      <c r="V122" s="375">
        <f t="shared" si="6"/>
        <v>0</v>
      </c>
      <c r="W122" s="375">
        <f>AN_TME_PY[[#This Row],[TOTAL Non-Truncated Unadjusted Claims Expenses]]-AN_TME_PY[[#This Row],[Total Claims Excluded because of Truncation]]</f>
        <v>0</v>
      </c>
      <c r="X122" s="375">
        <f t="shared" si="7"/>
        <v>0</v>
      </c>
      <c r="Y122" s="375">
        <f>AN_TME_PY[[#This Row],[TOTAL Non-Truncated Unadjusted Claims Expenses]]+AN_TME_PY[[#This Row],[TOTAL Non-Claims Expenses]]</f>
        <v>0</v>
      </c>
      <c r="Z122" s="375">
        <f>AN_TME_PY[[#This Row],[TOTAL Truncated Unadjusted Claims Expenses (A21 -A19)]]+AN_TME_PY[[#This Row],[TOTAL Non-Claims Expenses]]</f>
        <v>0</v>
      </c>
      <c r="AA122" s="416">
        <f>IFERROR(AN_TME_PY[[#This Row],[TOTAL Non-Truncated Unadjusted Expenses (A21 + A23)]]/AN_TME_PY[[#This Row],[Member Months]],0)</f>
        <v>0</v>
      </c>
      <c r="AB122" s="416">
        <f>IFERROR(AN_TME_PY[[#This Row],[TOTAL Truncated Unadjusted Expenses (A22 + A23)]]/AN_TME_PY[[#This Row],[Member Months]],0)</f>
        <v>0</v>
      </c>
      <c r="AC122" s="385">
        <f>IFERROR(AN_TME_PY[[#This Row],[Total Claims Excluded because of Truncation]]/AN_TME_PY[[#This Row],[Count of Members with Claims Truncated]], 0)</f>
        <v>0</v>
      </c>
      <c r="AD122" s="417">
        <f>IFERROR(AN_TME_PY[[#This Row],[Total Claims Excluded because of Truncation]]/AN_TME_PY[[#This Row],[TOTAL Non-Truncated Unadjusted Claims Expenses]], 0)</f>
        <v>0</v>
      </c>
    </row>
    <row r="123" spans="1:30" x14ac:dyDescent="0.25">
      <c r="A123" s="364"/>
      <c r="B123" s="365"/>
      <c r="C123" s="365"/>
      <c r="D123" s="366"/>
      <c r="E123" s="367"/>
      <c r="F123" s="367"/>
      <c r="G123" s="367"/>
      <c r="H123" s="367"/>
      <c r="I123" s="367"/>
      <c r="J123" s="367"/>
      <c r="K123" s="367"/>
      <c r="L123" s="367"/>
      <c r="M123" s="367"/>
      <c r="N123" s="367"/>
      <c r="O123" s="367"/>
      <c r="P123" s="367"/>
      <c r="Q123" s="367"/>
      <c r="R123" s="367"/>
      <c r="S123" s="367"/>
      <c r="T123" s="367"/>
      <c r="U123" s="379"/>
      <c r="V123" s="369">
        <f t="shared" si="6"/>
        <v>0</v>
      </c>
      <c r="W123" s="369">
        <f>AN_TME_PY[[#This Row],[TOTAL Non-Truncated Unadjusted Claims Expenses]]-AN_TME_PY[[#This Row],[Total Claims Excluded because of Truncation]]</f>
        <v>0</v>
      </c>
      <c r="X123" s="369">
        <f t="shared" si="7"/>
        <v>0</v>
      </c>
      <c r="Y123" s="369">
        <f>AN_TME_PY[[#This Row],[TOTAL Non-Truncated Unadjusted Claims Expenses]]+AN_TME_PY[[#This Row],[TOTAL Non-Claims Expenses]]</f>
        <v>0</v>
      </c>
      <c r="Z123" s="369">
        <f>AN_TME_PY[[#This Row],[TOTAL Truncated Unadjusted Claims Expenses (A21 -A19)]]+AN_TME_PY[[#This Row],[TOTAL Non-Claims Expenses]]</f>
        <v>0</v>
      </c>
      <c r="AA123" s="415">
        <f>IFERROR(AN_TME_PY[[#This Row],[TOTAL Non-Truncated Unadjusted Expenses (A21 + A23)]]/AN_TME_PY[[#This Row],[Member Months]],0)</f>
        <v>0</v>
      </c>
      <c r="AB123" s="415">
        <f>IFERROR(AN_TME_PY[[#This Row],[TOTAL Truncated Unadjusted Expenses (A22 + A23)]]/AN_TME_PY[[#This Row],[Member Months]],0)</f>
        <v>0</v>
      </c>
      <c r="AC123" s="385">
        <f>IFERROR(AN_TME_PY[[#This Row],[Total Claims Excluded because of Truncation]]/AN_TME_PY[[#This Row],[Count of Members with Claims Truncated]], 0)</f>
        <v>0</v>
      </c>
      <c r="AD123" s="417">
        <f>IFERROR(AN_TME_PY[[#This Row],[Total Claims Excluded because of Truncation]]/AN_TME_PY[[#This Row],[TOTAL Non-Truncated Unadjusted Claims Expenses]], 0)</f>
        <v>0</v>
      </c>
    </row>
    <row r="124" spans="1:30" x14ac:dyDescent="0.25">
      <c r="A124" s="370"/>
      <c r="B124" s="371"/>
      <c r="C124" s="371"/>
      <c r="D124" s="372"/>
      <c r="E124" s="373"/>
      <c r="F124" s="373"/>
      <c r="G124" s="373"/>
      <c r="H124" s="373"/>
      <c r="I124" s="373"/>
      <c r="J124" s="373"/>
      <c r="K124" s="373"/>
      <c r="L124" s="373"/>
      <c r="M124" s="373"/>
      <c r="N124" s="373"/>
      <c r="O124" s="373"/>
      <c r="P124" s="373"/>
      <c r="Q124" s="373"/>
      <c r="R124" s="373"/>
      <c r="S124" s="373"/>
      <c r="T124" s="373"/>
      <c r="U124" s="380"/>
      <c r="V124" s="375">
        <f t="shared" si="6"/>
        <v>0</v>
      </c>
      <c r="W124" s="375">
        <f>AN_TME_PY[[#This Row],[TOTAL Non-Truncated Unadjusted Claims Expenses]]-AN_TME_PY[[#This Row],[Total Claims Excluded because of Truncation]]</f>
        <v>0</v>
      </c>
      <c r="X124" s="375">
        <f t="shared" si="7"/>
        <v>0</v>
      </c>
      <c r="Y124" s="375">
        <f>AN_TME_PY[[#This Row],[TOTAL Non-Truncated Unadjusted Claims Expenses]]+AN_TME_PY[[#This Row],[TOTAL Non-Claims Expenses]]</f>
        <v>0</v>
      </c>
      <c r="Z124" s="375">
        <f>AN_TME_PY[[#This Row],[TOTAL Truncated Unadjusted Claims Expenses (A21 -A19)]]+AN_TME_PY[[#This Row],[TOTAL Non-Claims Expenses]]</f>
        <v>0</v>
      </c>
      <c r="AA124" s="416">
        <f>IFERROR(AN_TME_PY[[#This Row],[TOTAL Non-Truncated Unadjusted Expenses (A21 + A23)]]/AN_TME_PY[[#This Row],[Member Months]],0)</f>
        <v>0</v>
      </c>
      <c r="AB124" s="416">
        <f>IFERROR(AN_TME_PY[[#This Row],[TOTAL Truncated Unadjusted Expenses (A22 + A23)]]/AN_TME_PY[[#This Row],[Member Months]],0)</f>
        <v>0</v>
      </c>
      <c r="AC124" s="385">
        <f>IFERROR(AN_TME_PY[[#This Row],[Total Claims Excluded because of Truncation]]/AN_TME_PY[[#This Row],[Count of Members with Claims Truncated]], 0)</f>
        <v>0</v>
      </c>
      <c r="AD124" s="417">
        <f>IFERROR(AN_TME_PY[[#This Row],[Total Claims Excluded because of Truncation]]/AN_TME_PY[[#This Row],[TOTAL Non-Truncated Unadjusted Claims Expenses]], 0)</f>
        <v>0</v>
      </c>
    </row>
    <row r="125" spans="1:30" x14ac:dyDescent="0.25">
      <c r="A125" s="364"/>
      <c r="B125" s="365"/>
      <c r="C125" s="365"/>
      <c r="D125" s="366"/>
      <c r="E125" s="367"/>
      <c r="F125" s="367"/>
      <c r="G125" s="367"/>
      <c r="H125" s="367"/>
      <c r="I125" s="367"/>
      <c r="J125" s="367"/>
      <c r="K125" s="367"/>
      <c r="L125" s="367"/>
      <c r="M125" s="367"/>
      <c r="N125" s="367"/>
      <c r="O125" s="367"/>
      <c r="P125" s="367"/>
      <c r="Q125" s="367"/>
      <c r="R125" s="367"/>
      <c r="S125" s="367"/>
      <c r="T125" s="367"/>
      <c r="U125" s="379"/>
      <c r="V125" s="369">
        <f t="shared" si="6"/>
        <v>0</v>
      </c>
      <c r="W125" s="369">
        <f>AN_TME_PY[[#This Row],[TOTAL Non-Truncated Unadjusted Claims Expenses]]-AN_TME_PY[[#This Row],[Total Claims Excluded because of Truncation]]</f>
        <v>0</v>
      </c>
      <c r="X125" s="369">
        <f t="shared" si="7"/>
        <v>0</v>
      </c>
      <c r="Y125" s="369">
        <f>AN_TME_PY[[#This Row],[TOTAL Non-Truncated Unadjusted Claims Expenses]]+AN_TME_PY[[#This Row],[TOTAL Non-Claims Expenses]]</f>
        <v>0</v>
      </c>
      <c r="Z125" s="369">
        <f>AN_TME_PY[[#This Row],[TOTAL Truncated Unadjusted Claims Expenses (A21 -A19)]]+AN_TME_PY[[#This Row],[TOTAL Non-Claims Expenses]]</f>
        <v>0</v>
      </c>
      <c r="AA125" s="415">
        <f>IFERROR(AN_TME_PY[[#This Row],[TOTAL Non-Truncated Unadjusted Expenses (A21 + A23)]]/AN_TME_PY[[#This Row],[Member Months]],0)</f>
        <v>0</v>
      </c>
      <c r="AB125" s="415">
        <f>IFERROR(AN_TME_PY[[#This Row],[TOTAL Truncated Unadjusted Expenses (A22 + A23)]]/AN_TME_PY[[#This Row],[Member Months]],0)</f>
        <v>0</v>
      </c>
      <c r="AC125" s="385">
        <f>IFERROR(AN_TME_PY[[#This Row],[Total Claims Excluded because of Truncation]]/AN_TME_PY[[#This Row],[Count of Members with Claims Truncated]], 0)</f>
        <v>0</v>
      </c>
      <c r="AD125" s="417">
        <f>IFERROR(AN_TME_PY[[#This Row],[Total Claims Excluded because of Truncation]]/AN_TME_PY[[#This Row],[TOTAL Non-Truncated Unadjusted Claims Expenses]], 0)</f>
        <v>0</v>
      </c>
    </row>
    <row r="126" spans="1:30" x14ac:dyDescent="0.25">
      <c r="A126" s="370"/>
      <c r="B126" s="371"/>
      <c r="C126" s="371"/>
      <c r="D126" s="372"/>
      <c r="E126" s="373"/>
      <c r="F126" s="373"/>
      <c r="G126" s="373"/>
      <c r="H126" s="373"/>
      <c r="I126" s="373"/>
      <c r="J126" s="373"/>
      <c r="K126" s="373"/>
      <c r="L126" s="373"/>
      <c r="M126" s="373"/>
      <c r="N126" s="373"/>
      <c r="O126" s="373"/>
      <c r="P126" s="373"/>
      <c r="Q126" s="373"/>
      <c r="R126" s="373"/>
      <c r="S126" s="373"/>
      <c r="T126" s="373"/>
      <c r="U126" s="380"/>
      <c r="V126" s="375">
        <f t="shared" si="6"/>
        <v>0</v>
      </c>
      <c r="W126" s="375">
        <f>AN_TME_PY[[#This Row],[TOTAL Non-Truncated Unadjusted Claims Expenses]]-AN_TME_PY[[#This Row],[Total Claims Excluded because of Truncation]]</f>
        <v>0</v>
      </c>
      <c r="X126" s="375">
        <f t="shared" si="7"/>
        <v>0</v>
      </c>
      <c r="Y126" s="375">
        <f>AN_TME_PY[[#This Row],[TOTAL Non-Truncated Unadjusted Claims Expenses]]+AN_TME_PY[[#This Row],[TOTAL Non-Claims Expenses]]</f>
        <v>0</v>
      </c>
      <c r="Z126" s="375">
        <f>AN_TME_PY[[#This Row],[TOTAL Truncated Unadjusted Claims Expenses (A21 -A19)]]+AN_TME_PY[[#This Row],[TOTAL Non-Claims Expenses]]</f>
        <v>0</v>
      </c>
      <c r="AA126" s="416">
        <f>IFERROR(AN_TME_PY[[#This Row],[TOTAL Non-Truncated Unadjusted Expenses (A21 + A23)]]/AN_TME_PY[[#This Row],[Member Months]],0)</f>
        <v>0</v>
      </c>
      <c r="AB126" s="416">
        <f>IFERROR(AN_TME_PY[[#This Row],[TOTAL Truncated Unadjusted Expenses (A22 + A23)]]/AN_TME_PY[[#This Row],[Member Months]],0)</f>
        <v>0</v>
      </c>
      <c r="AC126" s="385">
        <f>IFERROR(AN_TME_PY[[#This Row],[Total Claims Excluded because of Truncation]]/AN_TME_PY[[#This Row],[Count of Members with Claims Truncated]], 0)</f>
        <v>0</v>
      </c>
      <c r="AD126" s="417">
        <f>IFERROR(AN_TME_PY[[#This Row],[Total Claims Excluded because of Truncation]]/AN_TME_PY[[#This Row],[TOTAL Non-Truncated Unadjusted Claims Expenses]], 0)</f>
        <v>0</v>
      </c>
    </row>
    <row r="127" spans="1:30" x14ac:dyDescent="0.25">
      <c r="A127" s="364"/>
      <c r="B127" s="365"/>
      <c r="C127" s="365"/>
      <c r="D127" s="366"/>
      <c r="E127" s="367"/>
      <c r="F127" s="367"/>
      <c r="G127" s="367"/>
      <c r="H127" s="367"/>
      <c r="I127" s="367"/>
      <c r="J127" s="367"/>
      <c r="K127" s="367"/>
      <c r="L127" s="367"/>
      <c r="M127" s="367"/>
      <c r="N127" s="367"/>
      <c r="O127" s="367"/>
      <c r="P127" s="367"/>
      <c r="Q127" s="367"/>
      <c r="R127" s="367"/>
      <c r="S127" s="367"/>
      <c r="T127" s="367"/>
      <c r="U127" s="379"/>
      <c r="V127" s="369">
        <f t="shared" si="6"/>
        <v>0</v>
      </c>
      <c r="W127" s="369">
        <f>AN_TME_PY[[#This Row],[TOTAL Non-Truncated Unadjusted Claims Expenses]]-AN_TME_PY[[#This Row],[Total Claims Excluded because of Truncation]]</f>
        <v>0</v>
      </c>
      <c r="X127" s="369">
        <f t="shared" si="7"/>
        <v>0</v>
      </c>
      <c r="Y127" s="369">
        <f>AN_TME_PY[[#This Row],[TOTAL Non-Truncated Unadjusted Claims Expenses]]+AN_TME_PY[[#This Row],[TOTAL Non-Claims Expenses]]</f>
        <v>0</v>
      </c>
      <c r="Z127" s="369">
        <f>AN_TME_PY[[#This Row],[TOTAL Truncated Unadjusted Claims Expenses (A21 -A19)]]+AN_TME_PY[[#This Row],[TOTAL Non-Claims Expenses]]</f>
        <v>0</v>
      </c>
      <c r="AA127" s="415">
        <f>IFERROR(AN_TME_PY[[#This Row],[TOTAL Non-Truncated Unadjusted Expenses (A21 + A23)]]/AN_TME_PY[[#This Row],[Member Months]],0)</f>
        <v>0</v>
      </c>
      <c r="AB127" s="415">
        <f>IFERROR(AN_TME_PY[[#This Row],[TOTAL Truncated Unadjusted Expenses (A22 + A23)]]/AN_TME_PY[[#This Row],[Member Months]],0)</f>
        <v>0</v>
      </c>
      <c r="AC127" s="385">
        <f>IFERROR(AN_TME_PY[[#This Row],[Total Claims Excluded because of Truncation]]/AN_TME_PY[[#This Row],[Count of Members with Claims Truncated]], 0)</f>
        <v>0</v>
      </c>
      <c r="AD127" s="417">
        <f>IFERROR(AN_TME_PY[[#This Row],[Total Claims Excluded because of Truncation]]/AN_TME_PY[[#This Row],[TOTAL Non-Truncated Unadjusted Claims Expenses]], 0)</f>
        <v>0</v>
      </c>
    </row>
    <row r="128" spans="1:30" x14ac:dyDescent="0.25">
      <c r="A128" s="370"/>
      <c r="B128" s="371"/>
      <c r="C128" s="371"/>
      <c r="D128" s="372"/>
      <c r="E128" s="373"/>
      <c r="F128" s="373"/>
      <c r="G128" s="373"/>
      <c r="H128" s="373"/>
      <c r="I128" s="373"/>
      <c r="J128" s="373"/>
      <c r="K128" s="373"/>
      <c r="L128" s="373"/>
      <c r="M128" s="373"/>
      <c r="N128" s="373"/>
      <c r="O128" s="373"/>
      <c r="P128" s="373"/>
      <c r="Q128" s="373"/>
      <c r="R128" s="373"/>
      <c r="S128" s="373"/>
      <c r="T128" s="373"/>
      <c r="U128" s="380"/>
      <c r="V128" s="375">
        <f t="shared" si="6"/>
        <v>0</v>
      </c>
      <c r="W128" s="375">
        <f>AN_TME_PY[[#This Row],[TOTAL Non-Truncated Unadjusted Claims Expenses]]-AN_TME_PY[[#This Row],[Total Claims Excluded because of Truncation]]</f>
        <v>0</v>
      </c>
      <c r="X128" s="375">
        <f t="shared" si="7"/>
        <v>0</v>
      </c>
      <c r="Y128" s="375">
        <f>AN_TME_PY[[#This Row],[TOTAL Non-Truncated Unadjusted Claims Expenses]]+AN_TME_PY[[#This Row],[TOTAL Non-Claims Expenses]]</f>
        <v>0</v>
      </c>
      <c r="Z128" s="375">
        <f>AN_TME_PY[[#This Row],[TOTAL Truncated Unadjusted Claims Expenses (A21 -A19)]]+AN_TME_PY[[#This Row],[TOTAL Non-Claims Expenses]]</f>
        <v>0</v>
      </c>
      <c r="AA128" s="416">
        <f>IFERROR(AN_TME_PY[[#This Row],[TOTAL Non-Truncated Unadjusted Expenses (A21 + A23)]]/AN_TME_PY[[#This Row],[Member Months]],0)</f>
        <v>0</v>
      </c>
      <c r="AB128" s="416">
        <f>IFERROR(AN_TME_PY[[#This Row],[TOTAL Truncated Unadjusted Expenses (A22 + A23)]]/AN_TME_PY[[#This Row],[Member Months]],0)</f>
        <v>0</v>
      </c>
      <c r="AC128" s="385">
        <f>IFERROR(AN_TME_PY[[#This Row],[Total Claims Excluded because of Truncation]]/AN_TME_PY[[#This Row],[Count of Members with Claims Truncated]], 0)</f>
        <v>0</v>
      </c>
      <c r="AD128" s="417">
        <f>IFERROR(AN_TME_PY[[#This Row],[Total Claims Excluded because of Truncation]]/AN_TME_PY[[#This Row],[TOTAL Non-Truncated Unadjusted Claims Expenses]], 0)</f>
        <v>0</v>
      </c>
    </row>
    <row r="129" spans="1:30" x14ac:dyDescent="0.25">
      <c r="A129" s="364"/>
      <c r="B129" s="365"/>
      <c r="C129" s="365"/>
      <c r="D129" s="366"/>
      <c r="E129" s="367"/>
      <c r="F129" s="367"/>
      <c r="G129" s="367"/>
      <c r="H129" s="367"/>
      <c r="I129" s="367"/>
      <c r="J129" s="367"/>
      <c r="K129" s="367"/>
      <c r="L129" s="367"/>
      <c r="M129" s="367"/>
      <c r="N129" s="367"/>
      <c r="O129" s="367"/>
      <c r="P129" s="367"/>
      <c r="Q129" s="367"/>
      <c r="R129" s="367"/>
      <c r="S129" s="367"/>
      <c r="T129" s="367"/>
      <c r="U129" s="379"/>
      <c r="V129" s="369">
        <f t="shared" si="6"/>
        <v>0</v>
      </c>
      <c r="W129" s="369">
        <f>AN_TME_PY[[#This Row],[TOTAL Non-Truncated Unadjusted Claims Expenses]]-AN_TME_PY[[#This Row],[Total Claims Excluded because of Truncation]]</f>
        <v>0</v>
      </c>
      <c r="X129" s="369">
        <f t="shared" si="7"/>
        <v>0</v>
      </c>
      <c r="Y129" s="369">
        <f>AN_TME_PY[[#This Row],[TOTAL Non-Truncated Unadjusted Claims Expenses]]+AN_TME_PY[[#This Row],[TOTAL Non-Claims Expenses]]</f>
        <v>0</v>
      </c>
      <c r="Z129" s="369">
        <f>AN_TME_PY[[#This Row],[TOTAL Truncated Unadjusted Claims Expenses (A21 -A19)]]+AN_TME_PY[[#This Row],[TOTAL Non-Claims Expenses]]</f>
        <v>0</v>
      </c>
      <c r="AA129" s="415">
        <f>IFERROR(AN_TME_PY[[#This Row],[TOTAL Non-Truncated Unadjusted Expenses (A21 + A23)]]/AN_TME_PY[[#This Row],[Member Months]],0)</f>
        <v>0</v>
      </c>
      <c r="AB129" s="415">
        <f>IFERROR(AN_TME_PY[[#This Row],[TOTAL Truncated Unadjusted Expenses (A22 + A23)]]/AN_TME_PY[[#This Row],[Member Months]],0)</f>
        <v>0</v>
      </c>
      <c r="AC129" s="385">
        <f>IFERROR(AN_TME_PY[[#This Row],[Total Claims Excluded because of Truncation]]/AN_TME_PY[[#This Row],[Count of Members with Claims Truncated]], 0)</f>
        <v>0</v>
      </c>
      <c r="AD129" s="417">
        <f>IFERROR(AN_TME_PY[[#This Row],[Total Claims Excluded because of Truncation]]/AN_TME_PY[[#This Row],[TOTAL Non-Truncated Unadjusted Claims Expenses]], 0)</f>
        <v>0</v>
      </c>
    </row>
    <row r="130" spans="1:30" x14ac:dyDescent="0.25">
      <c r="A130" s="370"/>
      <c r="B130" s="371"/>
      <c r="C130" s="371"/>
      <c r="D130" s="372"/>
      <c r="E130" s="373"/>
      <c r="F130" s="373"/>
      <c r="G130" s="373"/>
      <c r="H130" s="373"/>
      <c r="I130" s="373"/>
      <c r="J130" s="373"/>
      <c r="K130" s="373"/>
      <c r="L130" s="373"/>
      <c r="M130" s="373"/>
      <c r="N130" s="373"/>
      <c r="O130" s="373"/>
      <c r="P130" s="373"/>
      <c r="Q130" s="373"/>
      <c r="R130" s="373"/>
      <c r="S130" s="373"/>
      <c r="T130" s="373"/>
      <c r="U130" s="380"/>
      <c r="V130" s="375">
        <f t="shared" si="6"/>
        <v>0</v>
      </c>
      <c r="W130" s="375">
        <f>AN_TME_PY[[#This Row],[TOTAL Non-Truncated Unadjusted Claims Expenses]]-AN_TME_PY[[#This Row],[Total Claims Excluded because of Truncation]]</f>
        <v>0</v>
      </c>
      <c r="X130" s="375">
        <f t="shared" si="7"/>
        <v>0</v>
      </c>
      <c r="Y130" s="375">
        <f>AN_TME_PY[[#This Row],[TOTAL Non-Truncated Unadjusted Claims Expenses]]+AN_TME_PY[[#This Row],[TOTAL Non-Claims Expenses]]</f>
        <v>0</v>
      </c>
      <c r="Z130" s="375">
        <f>AN_TME_PY[[#This Row],[TOTAL Truncated Unadjusted Claims Expenses (A21 -A19)]]+AN_TME_PY[[#This Row],[TOTAL Non-Claims Expenses]]</f>
        <v>0</v>
      </c>
      <c r="AA130" s="416">
        <f>IFERROR(AN_TME_PY[[#This Row],[TOTAL Non-Truncated Unadjusted Expenses (A21 + A23)]]/AN_TME_PY[[#This Row],[Member Months]],0)</f>
        <v>0</v>
      </c>
      <c r="AB130" s="416">
        <f>IFERROR(AN_TME_PY[[#This Row],[TOTAL Truncated Unadjusted Expenses (A22 + A23)]]/AN_TME_PY[[#This Row],[Member Months]],0)</f>
        <v>0</v>
      </c>
      <c r="AC130" s="385">
        <f>IFERROR(AN_TME_PY[[#This Row],[Total Claims Excluded because of Truncation]]/AN_TME_PY[[#This Row],[Count of Members with Claims Truncated]], 0)</f>
        <v>0</v>
      </c>
      <c r="AD130" s="417">
        <f>IFERROR(AN_TME_PY[[#This Row],[Total Claims Excluded because of Truncation]]/AN_TME_PY[[#This Row],[TOTAL Non-Truncated Unadjusted Claims Expenses]], 0)</f>
        <v>0</v>
      </c>
    </row>
    <row r="131" spans="1:30" x14ac:dyDescent="0.25">
      <c r="A131" s="364"/>
      <c r="B131" s="365"/>
      <c r="C131" s="365"/>
      <c r="D131" s="366"/>
      <c r="E131" s="367"/>
      <c r="F131" s="367"/>
      <c r="G131" s="367"/>
      <c r="H131" s="367"/>
      <c r="I131" s="367"/>
      <c r="J131" s="367"/>
      <c r="K131" s="367"/>
      <c r="L131" s="367"/>
      <c r="M131" s="367"/>
      <c r="N131" s="367"/>
      <c r="O131" s="367"/>
      <c r="P131" s="367"/>
      <c r="Q131" s="367"/>
      <c r="R131" s="367"/>
      <c r="S131" s="367"/>
      <c r="T131" s="367"/>
      <c r="U131" s="379"/>
      <c r="V131" s="369">
        <f t="shared" si="6"/>
        <v>0</v>
      </c>
      <c r="W131" s="369">
        <f>AN_TME_PY[[#This Row],[TOTAL Non-Truncated Unadjusted Claims Expenses]]-AN_TME_PY[[#This Row],[Total Claims Excluded because of Truncation]]</f>
        <v>0</v>
      </c>
      <c r="X131" s="369">
        <f t="shared" si="7"/>
        <v>0</v>
      </c>
      <c r="Y131" s="369">
        <f>AN_TME_PY[[#This Row],[TOTAL Non-Truncated Unadjusted Claims Expenses]]+AN_TME_PY[[#This Row],[TOTAL Non-Claims Expenses]]</f>
        <v>0</v>
      </c>
      <c r="Z131" s="369">
        <f>AN_TME_PY[[#This Row],[TOTAL Truncated Unadjusted Claims Expenses (A21 -A19)]]+AN_TME_PY[[#This Row],[TOTAL Non-Claims Expenses]]</f>
        <v>0</v>
      </c>
      <c r="AA131" s="415">
        <f>IFERROR(AN_TME_PY[[#This Row],[TOTAL Non-Truncated Unadjusted Expenses (A21 + A23)]]/AN_TME_PY[[#This Row],[Member Months]],0)</f>
        <v>0</v>
      </c>
      <c r="AB131" s="415">
        <f>IFERROR(AN_TME_PY[[#This Row],[TOTAL Truncated Unadjusted Expenses (A22 + A23)]]/AN_TME_PY[[#This Row],[Member Months]],0)</f>
        <v>0</v>
      </c>
      <c r="AC131" s="385">
        <f>IFERROR(AN_TME_PY[[#This Row],[Total Claims Excluded because of Truncation]]/AN_TME_PY[[#This Row],[Count of Members with Claims Truncated]], 0)</f>
        <v>0</v>
      </c>
      <c r="AD131" s="417">
        <f>IFERROR(AN_TME_PY[[#This Row],[Total Claims Excluded because of Truncation]]/AN_TME_PY[[#This Row],[TOTAL Non-Truncated Unadjusted Claims Expenses]], 0)</f>
        <v>0</v>
      </c>
    </row>
    <row r="132" spans="1:30" x14ac:dyDescent="0.25">
      <c r="A132" s="370"/>
      <c r="B132" s="371"/>
      <c r="C132" s="371"/>
      <c r="D132" s="372"/>
      <c r="E132" s="373"/>
      <c r="F132" s="373"/>
      <c r="G132" s="373"/>
      <c r="H132" s="373"/>
      <c r="I132" s="373"/>
      <c r="J132" s="373"/>
      <c r="K132" s="373"/>
      <c r="L132" s="373"/>
      <c r="M132" s="373"/>
      <c r="N132" s="373"/>
      <c r="O132" s="373"/>
      <c r="P132" s="373"/>
      <c r="Q132" s="373"/>
      <c r="R132" s="373"/>
      <c r="S132" s="373"/>
      <c r="T132" s="373"/>
      <c r="U132" s="380"/>
      <c r="V132" s="375">
        <f t="shared" si="6"/>
        <v>0</v>
      </c>
      <c r="W132" s="375">
        <f>AN_TME_PY[[#This Row],[TOTAL Non-Truncated Unadjusted Claims Expenses]]-AN_TME_PY[[#This Row],[Total Claims Excluded because of Truncation]]</f>
        <v>0</v>
      </c>
      <c r="X132" s="375">
        <f t="shared" si="7"/>
        <v>0</v>
      </c>
      <c r="Y132" s="375">
        <f>AN_TME_PY[[#This Row],[TOTAL Non-Truncated Unadjusted Claims Expenses]]+AN_TME_PY[[#This Row],[TOTAL Non-Claims Expenses]]</f>
        <v>0</v>
      </c>
      <c r="Z132" s="375">
        <f>AN_TME_PY[[#This Row],[TOTAL Truncated Unadjusted Claims Expenses (A21 -A19)]]+AN_TME_PY[[#This Row],[TOTAL Non-Claims Expenses]]</f>
        <v>0</v>
      </c>
      <c r="AA132" s="416">
        <f>IFERROR(AN_TME_PY[[#This Row],[TOTAL Non-Truncated Unadjusted Expenses (A21 + A23)]]/AN_TME_PY[[#This Row],[Member Months]],0)</f>
        <v>0</v>
      </c>
      <c r="AB132" s="416">
        <f>IFERROR(AN_TME_PY[[#This Row],[TOTAL Truncated Unadjusted Expenses (A22 + A23)]]/AN_TME_PY[[#This Row],[Member Months]],0)</f>
        <v>0</v>
      </c>
      <c r="AC132" s="385">
        <f>IFERROR(AN_TME_PY[[#This Row],[Total Claims Excluded because of Truncation]]/AN_TME_PY[[#This Row],[Count of Members with Claims Truncated]], 0)</f>
        <v>0</v>
      </c>
      <c r="AD132" s="417">
        <f>IFERROR(AN_TME_PY[[#This Row],[Total Claims Excluded because of Truncation]]/AN_TME_PY[[#This Row],[TOTAL Non-Truncated Unadjusted Claims Expenses]], 0)</f>
        <v>0</v>
      </c>
    </row>
    <row r="133" spans="1:30" x14ac:dyDescent="0.25">
      <c r="A133" s="364"/>
      <c r="B133" s="365"/>
      <c r="C133" s="365"/>
      <c r="D133" s="366"/>
      <c r="E133" s="367"/>
      <c r="F133" s="367"/>
      <c r="G133" s="367"/>
      <c r="H133" s="367"/>
      <c r="I133" s="367"/>
      <c r="J133" s="367"/>
      <c r="K133" s="367"/>
      <c r="L133" s="367"/>
      <c r="M133" s="367"/>
      <c r="N133" s="367"/>
      <c r="O133" s="367"/>
      <c r="P133" s="367"/>
      <c r="Q133" s="367"/>
      <c r="R133" s="367"/>
      <c r="S133" s="367"/>
      <c r="T133" s="367"/>
      <c r="U133" s="379"/>
      <c r="V133" s="369">
        <f t="shared" si="6"/>
        <v>0</v>
      </c>
      <c r="W133" s="369">
        <f>AN_TME_PY[[#This Row],[TOTAL Non-Truncated Unadjusted Claims Expenses]]-AN_TME_PY[[#This Row],[Total Claims Excluded because of Truncation]]</f>
        <v>0</v>
      </c>
      <c r="X133" s="369">
        <f t="shared" si="7"/>
        <v>0</v>
      </c>
      <c r="Y133" s="369">
        <f>AN_TME_PY[[#This Row],[TOTAL Non-Truncated Unadjusted Claims Expenses]]+AN_TME_PY[[#This Row],[TOTAL Non-Claims Expenses]]</f>
        <v>0</v>
      </c>
      <c r="Z133" s="369">
        <f>AN_TME_PY[[#This Row],[TOTAL Truncated Unadjusted Claims Expenses (A21 -A19)]]+AN_TME_PY[[#This Row],[TOTAL Non-Claims Expenses]]</f>
        <v>0</v>
      </c>
      <c r="AA133" s="415">
        <f>IFERROR(AN_TME_PY[[#This Row],[TOTAL Non-Truncated Unadjusted Expenses (A21 + A23)]]/AN_TME_PY[[#This Row],[Member Months]],0)</f>
        <v>0</v>
      </c>
      <c r="AB133" s="415">
        <f>IFERROR(AN_TME_PY[[#This Row],[TOTAL Truncated Unadjusted Expenses (A22 + A23)]]/AN_TME_PY[[#This Row],[Member Months]],0)</f>
        <v>0</v>
      </c>
      <c r="AC133" s="385">
        <f>IFERROR(AN_TME_PY[[#This Row],[Total Claims Excluded because of Truncation]]/AN_TME_PY[[#This Row],[Count of Members with Claims Truncated]], 0)</f>
        <v>0</v>
      </c>
      <c r="AD133" s="417">
        <f>IFERROR(AN_TME_PY[[#This Row],[Total Claims Excluded because of Truncation]]/AN_TME_PY[[#This Row],[TOTAL Non-Truncated Unadjusted Claims Expenses]], 0)</f>
        <v>0</v>
      </c>
    </row>
    <row r="134" spans="1:30" x14ac:dyDescent="0.25">
      <c r="A134" s="370"/>
      <c r="B134" s="371"/>
      <c r="C134" s="371"/>
      <c r="D134" s="372"/>
      <c r="E134" s="373"/>
      <c r="F134" s="373"/>
      <c r="G134" s="373"/>
      <c r="H134" s="373"/>
      <c r="I134" s="373"/>
      <c r="J134" s="373"/>
      <c r="K134" s="373"/>
      <c r="L134" s="373"/>
      <c r="M134" s="373"/>
      <c r="N134" s="373"/>
      <c r="O134" s="373"/>
      <c r="P134" s="373"/>
      <c r="Q134" s="373"/>
      <c r="R134" s="373"/>
      <c r="S134" s="373"/>
      <c r="T134" s="373"/>
      <c r="U134" s="380"/>
      <c r="V134" s="375">
        <f t="shared" si="6"/>
        <v>0</v>
      </c>
      <c r="W134" s="375">
        <f>AN_TME_PY[[#This Row],[TOTAL Non-Truncated Unadjusted Claims Expenses]]-AN_TME_PY[[#This Row],[Total Claims Excluded because of Truncation]]</f>
        <v>0</v>
      </c>
      <c r="X134" s="375">
        <f t="shared" si="7"/>
        <v>0</v>
      </c>
      <c r="Y134" s="375">
        <f>AN_TME_PY[[#This Row],[TOTAL Non-Truncated Unadjusted Claims Expenses]]+AN_TME_PY[[#This Row],[TOTAL Non-Claims Expenses]]</f>
        <v>0</v>
      </c>
      <c r="Z134" s="375">
        <f>AN_TME_PY[[#This Row],[TOTAL Truncated Unadjusted Claims Expenses (A21 -A19)]]+AN_TME_PY[[#This Row],[TOTAL Non-Claims Expenses]]</f>
        <v>0</v>
      </c>
      <c r="AA134" s="416">
        <f>IFERROR(AN_TME_PY[[#This Row],[TOTAL Non-Truncated Unadjusted Expenses (A21 + A23)]]/AN_TME_PY[[#This Row],[Member Months]],0)</f>
        <v>0</v>
      </c>
      <c r="AB134" s="416">
        <f>IFERROR(AN_TME_PY[[#This Row],[TOTAL Truncated Unadjusted Expenses (A22 + A23)]]/AN_TME_PY[[#This Row],[Member Months]],0)</f>
        <v>0</v>
      </c>
      <c r="AC134" s="385">
        <f>IFERROR(AN_TME_PY[[#This Row],[Total Claims Excluded because of Truncation]]/AN_TME_PY[[#This Row],[Count of Members with Claims Truncated]], 0)</f>
        <v>0</v>
      </c>
      <c r="AD134" s="417">
        <f>IFERROR(AN_TME_PY[[#This Row],[Total Claims Excluded because of Truncation]]/AN_TME_PY[[#This Row],[TOTAL Non-Truncated Unadjusted Claims Expenses]], 0)</f>
        <v>0</v>
      </c>
    </row>
    <row r="135" spans="1:30" x14ac:dyDescent="0.25">
      <c r="A135" s="364"/>
      <c r="B135" s="365"/>
      <c r="C135" s="365"/>
      <c r="D135" s="366"/>
      <c r="E135" s="367"/>
      <c r="F135" s="367"/>
      <c r="G135" s="367"/>
      <c r="H135" s="367"/>
      <c r="I135" s="367"/>
      <c r="J135" s="367"/>
      <c r="K135" s="367"/>
      <c r="L135" s="367"/>
      <c r="M135" s="367"/>
      <c r="N135" s="367"/>
      <c r="O135" s="367"/>
      <c r="P135" s="367"/>
      <c r="Q135" s="367"/>
      <c r="R135" s="367"/>
      <c r="S135" s="367"/>
      <c r="T135" s="367"/>
      <c r="U135" s="379"/>
      <c r="V135" s="369">
        <f t="shared" si="6"/>
        <v>0</v>
      </c>
      <c r="W135" s="369">
        <f>AN_TME_PY[[#This Row],[TOTAL Non-Truncated Unadjusted Claims Expenses]]-AN_TME_PY[[#This Row],[Total Claims Excluded because of Truncation]]</f>
        <v>0</v>
      </c>
      <c r="X135" s="369">
        <f t="shared" si="7"/>
        <v>0</v>
      </c>
      <c r="Y135" s="369">
        <f>AN_TME_PY[[#This Row],[TOTAL Non-Truncated Unadjusted Claims Expenses]]+AN_TME_PY[[#This Row],[TOTAL Non-Claims Expenses]]</f>
        <v>0</v>
      </c>
      <c r="Z135" s="369">
        <f>AN_TME_PY[[#This Row],[TOTAL Truncated Unadjusted Claims Expenses (A21 -A19)]]+AN_TME_PY[[#This Row],[TOTAL Non-Claims Expenses]]</f>
        <v>0</v>
      </c>
      <c r="AA135" s="415">
        <f>IFERROR(AN_TME_PY[[#This Row],[TOTAL Non-Truncated Unadjusted Expenses (A21 + A23)]]/AN_TME_PY[[#This Row],[Member Months]],0)</f>
        <v>0</v>
      </c>
      <c r="AB135" s="415">
        <f>IFERROR(AN_TME_PY[[#This Row],[TOTAL Truncated Unadjusted Expenses (A22 + A23)]]/AN_TME_PY[[#This Row],[Member Months]],0)</f>
        <v>0</v>
      </c>
      <c r="AC135" s="385">
        <f>IFERROR(AN_TME_PY[[#This Row],[Total Claims Excluded because of Truncation]]/AN_TME_PY[[#This Row],[Count of Members with Claims Truncated]], 0)</f>
        <v>0</v>
      </c>
      <c r="AD135" s="417">
        <f>IFERROR(AN_TME_PY[[#This Row],[Total Claims Excluded because of Truncation]]/AN_TME_PY[[#This Row],[TOTAL Non-Truncated Unadjusted Claims Expenses]], 0)</f>
        <v>0</v>
      </c>
    </row>
    <row r="136" spans="1:30" x14ac:dyDescent="0.25">
      <c r="A136" s="370"/>
      <c r="B136" s="371"/>
      <c r="C136" s="371"/>
      <c r="D136" s="372"/>
      <c r="E136" s="373"/>
      <c r="F136" s="373"/>
      <c r="G136" s="373"/>
      <c r="H136" s="373"/>
      <c r="I136" s="373"/>
      <c r="J136" s="373"/>
      <c r="K136" s="373"/>
      <c r="L136" s="373"/>
      <c r="M136" s="373"/>
      <c r="N136" s="373"/>
      <c r="O136" s="373"/>
      <c r="P136" s="373"/>
      <c r="Q136" s="373"/>
      <c r="R136" s="373"/>
      <c r="S136" s="373"/>
      <c r="T136" s="373"/>
      <c r="U136" s="380"/>
      <c r="V136" s="375">
        <f t="shared" si="6"/>
        <v>0</v>
      </c>
      <c r="W136" s="375">
        <f>AN_TME_PY[[#This Row],[TOTAL Non-Truncated Unadjusted Claims Expenses]]-AN_TME_PY[[#This Row],[Total Claims Excluded because of Truncation]]</f>
        <v>0</v>
      </c>
      <c r="X136" s="375">
        <f t="shared" si="7"/>
        <v>0</v>
      </c>
      <c r="Y136" s="375">
        <f>AN_TME_PY[[#This Row],[TOTAL Non-Truncated Unadjusted Claims Expenses]]+AN_TME_PY[[#This Row],[TOTAL Non-Claims Expenses]]</f>
        <v>0</v>
      </c>
      <c r="Z136" s="375">
        <f>AN_TME_PY[[#This Row],[TOTAL Truncated Unadjusted Claims Expenses (A21 -A19)]]+AN_TME_PY[[#This Row],[TOTAL Non-Claims Expenses]]</f>
        <v>0</v>
      </c>
      <c r="AA136" s="416">
        <f>IFERROR(AN_TME_PY[[#This Row],[TOTAL Non-Truncated Unadjusted Expenses (A21 + A23)]]/AN_TME_PY[[#This Row],[Member Months]],0)</f>
        <v>0</v>
      </c>
      <c r="AB136" s="416">
        <f>IFERROR(AN_TME_PY[[#This Row],[TOTAL Truncated Unadjusted Expenses (A22 + A23)]]/AN_TME_PY[[#This Row],[Member Months]],0)</f>
        <v>0</v>
      </c>
      <c r="AC136" s="385">
        <f>IFERROR(AN_TME_PY[[#This Row],[Total Claims Excluded because of Truncation]]/AN_TME_PY[[#This Row],[Count of Members with Claims Truncated]], 0)</f>
        <v>0</v>
      </c>
      <c r="AD136" s="417">
        <f>IFERROR(AN_TME_PY[[#This Row],[Total Claims Excluded because of Truncation]]/AN_TME_PY[[#This Row],[TOTAL Non-Truncated Unadjusted Claims Expenses]], 0)</f>
        <v>0</v>
      </c>
    </row>
    <row r="137" spans="1:30" x14ac:dyDescent="0.25">
      <c r="A137" s="364"/>
      <c r="B137" s="365"/>
      <c r="C137" s="365"/>
      <c r="D137" s="366"/>
      <c r="E137" s="367"/>
      <c r="F137" s="367"/>
      <c r="G137" s="367"/>
      <c r="H137" s="367"/>
      <c r="I137" s="367"/>
      <c r="J137" s="367"/>
      <c r="K137" s="367"/>
      <c r="L137" s="367"/>
      <c r="M137" s="367"/>
      <c r="N137" s="367"/>
      <c r="O137" s="367"/>
      <c r="P137" s="367"/>
      <c r="Q137" s="367"/>
      <c r="R137" s="367"/>
      <c r="S137" s="367"/>
      <c r="T137" s="367"/>
      <c r="U137" s="379"/>
      <c r="V137" s="369">
        <f t="shared" si="6"/>
        <v>0</v>
      </c>
      <c r="W137" s="369">
        <f>AN_TME_PY[[#This Row],[TOTAL Non-Truncated Unadjusted Claims Expenses]]-AN_TME_PY[[#This Row],[Total Claims Excluded because of Truncation]]</f>
        <v>0</v>
      </c>
      <c r="X137" s="369">
        <f t="shared" si="7"/>
        <v>0</v>
      </c>
      <c r="Y137" s="369">
        <f>AN_TME_PY[[#This Row],[TOTAL Non-Truncated Unadjusted Claims Expenses]]+AN_TME_PY[[#This Row],[TOTAL Non-Claims Expenses]]</f>
        <v>0</v>
      </c>
      <c r="Z137" s="369">
        <f>AN_TME_PY[[#This Row],[TOTAL Truncated Unadjusted Claims Expenses (A21 -A19)]]+AN_TME_PY[[#This Row],[TOTAL Non-Claims Expenses]]</f>
        <v>0</v>
      </c>
      <c r="AA137" s="415">
        <f>IFERROR(AN_TME_PY[[#This Row],[TOTAL Non-Truncated Unadjusted Expenses (A21 + A23)]]/AN_TME_PY[[#This Row],[Member Months]],0)</f>
        <v>0</v>
      </c>
      <c r="AB137" s="415">
        <f>IFERROR(AN_TME_PY[[#This Row],[TOTAL Truncated Unadjusted Expenses (A22 + A23)]]/AN_TME_PY[[#This Row],[Member Months]],0)</f>
        <v>0</v>
      </c>
      <c r="AC137" s="385">
        <f>IFERROR(AN_TME_PY[[#This Row],[Total Claims Excluded because of Truncation]]/AN_TME_PY[[#This Row],[Count of Members with Claims Truncated]], 0)</f>
        <v>0</v>
      </c>
      <c r="AD137" s="417">
        <f>IFERROR(AN_TME_PY[[#This Row],[Total Claims Excluded because of Truncation]]/AN_TME_PY[[#This Row],[TOTAL Non-Truncated Unadjusted Claims Expenses]], 0)</f>
        <v>0</v>
      </c>
    </row>
    <row r="138" spans="1:30" x14ac:dyDescent="0.25">
      <c r="A138" s="370"/>
      <c r="B138" s="371"/>
      <c r="C138" s="371"/>
      <c r="D138" s="372"/>
      <c r="E138" s="373"/>
      <c r="F138" s="373"/>
      <c r="G138" s="373"/>
      <c r="H138" s="373"/>
      <c r="I138" s="373"/>
      <c r="J138" s="373"/>
      <c r="K138" s="373"/>
      <c r="L138" s="373"/>
      <c r="M138" s="373"/>
      <c r="N138" s="373"/>
      <c r="O138" s="373"/>
      <c r="P138" s="373"/>
      <c r="Q138" s="373"/>
      <c r="R138" s="373"/>
      <c r="S138" s="373"/>
      <c r="T138" s="373"/>
      <c r="U138" s="380"/>
      <c r="V138" s="375">
        <f t="shared" si="6"/>
        <v>0</v>
      </c>
      <c r="W138" s="375">
        <f>AN_TME_PY[[#This Row],[TOTAL Non-Truncated Unadjusted Claims Expenses]]-AN_TME_PY[[#This Row],[Total Claims Excluded because of Truncation]]</f>
        <v>0</v>
      </c>
      <c r="X138" s="375">
        <f t="shared" si="7"/>
        <v>0</v>
      </c>
      <c r="Y138" s="375">
        <f>AN_TME_PY[[#This Row],[TOTAL Non-Truncated Unadjusted Claims Expenses]]+AN_TME_PY[[#This Row],[TOTAL Non-Claims Expenses]]</f>
        <v>0</v>
      </c>
      <c r="Z138" s="375">
        <f>AN_TME_PY[[#This Row],[TOTAL Truncated Unadjusted Claims Expenses (A21 -A19)]]+AN_TME_PY[[#This Row],[TOTAL Non-Claims Expenses]]</f>
        <v>0</v>
      </c>
      <c r="AA138" s="416">
        <f>IFERROR(AN_TME_PY[[#This Row],[TOTAL Non-Truncated Unadjusted Expenses (A21 + A23)]]/AN_TME_PY[[#This Row],[Member Months]],0)</f>
        <v>0</v>
      </c>
      <c r="AB138" s="416">
        <f>IFERROR(AN_TME_PY[[#This Row],[TOTAL Truncated Unadjusted Expenses (A22 + A23)]]/AN_TME_PY[[#This Row],[Member Months]],0)</f>
        <v>0</v>
      </c>
      <c r="AC138" s="385">
        <f>IFERROR(AN_TME_PY[[#This Row],[Total Claims Excluded because of Truncation]]/AN_TME_PY[[#This Row],[Count of Members with Claims Truncated]], 0)</f>
        <v>0</v>
      </c>
      <c r="AD138" s="417">
        <f>IFERROR(AN_TME_PY[[#This Row],[Total Claims Excluded because of Truncation]]/AN_TME_PY[[#This Row],[TOTAL Non-Truncated Unadjusted Claims Expenses]], 0)</f>
        <v>0</v>
      </c>
    </row>
    <row r="139" spans="1:30" x14ac:dyDescent="0.25">
      <c r="A139" s="364"/>
      <c r="B139" s="365"/>
      <c r="C139" s="365"/>
      <c r="D139" s="366"/>
      <c r="E139" s="367"/>
      <c r="F139" s="367"/>
      <c r="G139" s="367"/>
      <c r="H139" s="367"/>
      <c r="I139" s="367"/>
      <c r="J139" s="367"/>
      <c r="K139" s="367"/>
      <c r="L139" s="367"/>
      <c r="M139" s="367"/>
      <c r="N139" s="367"/>
      <c r="O139" s="367"/>
      <c r="P139" s="367"/>
      <c r="Q139" s="367"/>
      <c r="R139" s="367"/>
      <c r="S139" s="367"/>
      <c r="T139" s="367"/>
      <c r="U139" s="379"/>
      <c r="V139" s="369">
        <f t="shared" ref="V139:V170" si="8">SUM(E139:G139)+SUM(I139:M139)</f>
        <v>0</v>
      </c>
      <c r="W139" s="369">
        <f>AN_TME_PY[[#This Row],[TOTAL Non-Truncated Unadjusted Claims Expenses]]-AN_TME_PY[[#This Row],[Total Claims Excluded because of Truncation]]</f>
        <v>0</v>
      </c>
      <c r="X139" s="369">
        <f t="shared" ref="X139:X170" si="9">SUM(N139:R139)</f>
        <v>0</v>
      </c>
      <c r="Y139" s="369">
        <f>AN_TME_PY[[#This Row],[TOTAL Non-Truncated Unadjusted Claims Expenses]]+AN_TME_PY[[#This Row],[TOTAL Non-Claims Expenses]]</f>
        <v>0</v>
      </c>
      <c r="Z139" s="369">
        <f>AN_TME_PY[[#This Row],[TOTAL Truncated Unadjusted Claims Expenses (A21 -A19)]]+AN_TME_PY[[#This Row],[TOTAL Non-Claims Expenses]]</f>
        <v>0</v>
      </c>
      <c r="AA139" s="415">
        <f>IFERROR(AN_TME_PY[[#This Row],[TOTAL Non-Truncated Unadjusted Expenses (A21 + A23)]]/AN_TME_PY[[#This Row],[Member Months]],0)</f>
        <v>0</v>
      </c>
      <c r="AB139" s="415">
        <f>IFERROR(AN_TME_PY[[#This Row],[TOTAL Truncated Unadjusted Expenses (A22 + A23)]]/AN_TME_PY[[#This Row],[Member Months]],0)</f>
        <v>0</v>
      </c>
      <c r="AC139" s="385">
        <f>IFERROR(AN_TME_PY[[#This Row],[Total Claims Excluded because of Truncation]]/AN_TME_PY[[#This Row],[Count of Members with Claims Truncated]], 0)</f>
        <v>0</v>
      </c>
      <c r="AD139" s="417">
        <f>IFERROR(AN_TME_PY[[#This Row],[Total Claims Excluded because of Truncation]]/AN_TME_PY[[#This Row],[TOTAL Non-Truncated Unadjusted Claims Expenses]], 0)</f>
        <v>0</v>
      </c>
    </row>
    <row r="140" spans="1:30" x14ac:dyDescent="0.25">
      <c r="A140" s="370"/>
      <c r="B140" s="371"/>
      <c r="C140" s="371"/>
      <c r="D140" s="372"/>
      <c r="E140" s="373"/>
      <c r="F140" s="373"/>
      <c r="G140" s="373"/>
      <c r="H140" s="373"/>
      <c r="I140" s="373"/>
      <c r="J140" s="373"/>
      <c r="K140" s="373"/>
      <c r="L140" s="373"/>
      <c r="M140" s="373"/>
      <c r="N140" s="373"/>
      <c r="O140" s="373"/>
      <c r="P140" s="373"/>
      <c r="Q140" s="373"/>
      <c r="R140" s="373"/>
      <c r="S140" s="373"/>
      <c r="T140" s="373"/>
      <c r="U140" s="380"/>
      <c r="V140" s="375">
        <f t="shared" si="8"/>
        <v>0</v>
      </c>
      <c r="W140" s="375">
        <f>AN_TME_PY[[#This Row],[TOTAL Non-Truncated Unadjusted Claims Expenses]]-AN_TME_PY[[#This Row],[Total Claims Excluded because of Truncation]]</f>
        <v>0</v>
      </c>
      <c r="X140" s="375">
        <f t="shared" si="9"/>
        <v>0</v>
      </c>
      <c r="Y140" s="375">
        <f>AN_TME_PY[[#This Row],[TOTAL Non-Truncated Unadjusted Claims Expenses]]+AN_TME_PY[[#This Row],[TOTAL Non-Claims Expenses]]</f>
        <v>0</v>
      </c>
      <c r="Z140" s="375">
        <f>AN_TME_PY[[#This Row],[TOTAL Truncated Unadjusted Claims Expenses (A21 -A19)]]+AN_TME_PY[[#This Row],[TOTAL Non-Claims Expenses]]</f>
        <v>0</v>
      </c>
      <c r="AA140" s="416">
        <f>IFERROR(AN_TME_PY[[#This Row],[TOTAL Non-Truncated Unadjusted Expenses (A21 + A23)]]/AN_TME_PY[[#This Row],[Member Months]],0)</f>
        <v>0</v>
      </c>
      <c r="AB140" s="416">
        <f>IFERROR(AN_TME_PY[[#This Row],[TOTAL Truncated Unadjusted Expenses (A22 + A23)]]/AN_TME_PY[[#This Row],[Member Months]],0)</f>
        <v>0</v>
      </c>
      <c r="AC140" s="385">
        <f>IFERROR(AN_TME_PY[[#This Row],[Total Claims Excluded because of Truncation]]/AN_TME_PY[[#This Row],[Count of Members with Claims Truncated]], 0)</f>
        <v>0</v>
      </c>
      <c r="AD140" s="417">
        <f>IFERROR(AN_TME_PY[[#This Row],[Total Claims Excluded because of Truncation]]/AN_TME_PY[[#This Row],[TOTAL Non-Truncated Unadjusted Claims Expenses]], 0)</f>
        <v>0</v>
      </c>
    </row>
    <row r="141" spans="1:30" x14ac:dyDescent="0.25">
      <c r="A141" s="364"/>
      <c r="B141" s="365"/>
      <c r="C141" s="365"/>
      <c r="D141" s="366"/>
      <c r="E141" s="367"/>
      <c r="F141" s="367"/>
      <c r="G141" s="367"/>
      <c r="H141" s="367"/>
      <c r="I141" s="367"/>
      <c r="J141" s="367"/>
      <c r="K141" s="367"/>
      <c r="L141" s="367"/>
      <c r="M141" s="367"/>
      <c r="N141" s="367"/>
      <c r="O141" s="367"/>
      <c r="P141" s="367"/>
      <c r="Q141" s="367"/>
      <c r="R141" s="367"/>
      <c r="S141" s="367"/>
      <c r="T141" s="367"/>
      <c r="U141" s="379"/>
      <c r="V141" s="369">
        <f t="shared" si="8"/>
        <v>0</v>
      </c>
      <c r="W141" s="369">
        <f>AN_TME_PY[[#This Row],[TOTAL Non-Truncated Unadjusted Claims Expenses]]-AN_TME_PY[[#This Row],[Total Claims Excluded because of Truncation]]</f>
        <v>0</v>
      </c>
      <c r="X141" s="369">
        <f t="shared" si="9"/>
        <v>0</v>
      </c>
      <c r="Y141" s="369">
        <f>AN_TME_PY[[#This Row],[TOTAL Non-Truncated Unadjusted Claims Expenses]]+AN_TME_PY[[#This Row],[TOTAL Non-Claims Expenses]]</f>
        <v>0</v>
      </c>
      <c r="Z141" s="369">
        <f>AN_TME_PY[[#This Row],[TOTAL Truncated Unadjusted Claims Expenses (A21 -A19)]]+AN_TME_PY[[#This Row],[TOTAL Non-Claims Expenses]]</f>
        <v>0</v>
      </c>
      <c r="AA141" s="415">
        <f>IFERROR(AN_TME_PY[[#This Row],[TOTAL Non-Truncated Unadjusted Expenses (A21 + A23)]]/AN_TME_PY[[#This Row],[Member Months]],0)</f>
        <v>0</v>
      </c>
      <c r="AB141" s="415">
        <f>IFERROR(AN_TME_PY[[#This Row],[TOTAL Truncated Unadjusted Expenses (A22 + A23)]]/AN_TME_PY[[#This Row],[Member Months]],0)</f>
        <v>0</v>
      </c>
      <c r="AC141" s="385">
        <f>IFERROR(AN_TME_PY[[#This Row],[Total Claims Excluded because of Truncation]]/AN_TME_PY[[#This Row],[Count of Members with Claims Truncated]], 0)</f>
        <v>0</v>
      </c>
      <c r="AD141" s="417">
        <f>IFERROR(AN_TME_PY[[#This Row],[Total Claims Excluded because of Truncation]]/AN_TME_PY[[#This Row],[TOTAL Non-Truncated Unadjusted Claims Expenses]], 0)</f>
        <v>0</v>
      </c>
    </row>
    <row r="142" spans="1:30" x14ac:dyDescent="0.25">
      <c r="A142" s="370"/>
      <c r="B142" s="371"/>
      <c r="C142" s="371"/>
      <c r="D142" s="372"/>
      <c r="E142" s="373"/>
      <c r="F142" s="373"/>
      <c r="G142" s="373"/>
      <c r="H142" s="373"/>
      <c r="I142" s="373"/>
      <c r="J142" s="373"/>
      <c r="K142" s="373"/>
      <c r="L142" s="373"/>
      <c r="M142" s="373"/>
      <c r="N142" s="373"/>
      <c r="O142" s="373"/>
      <c r="P142" s="373"/>
      <c r="Q142" s="373"/>
      <c r="R142" s="373"/>
      <c r="S142" s="373"/>
      <c r="T142" s="373"/>
      <c r="U142" s="380"/>
      <c r="V142" s="375">
        <f t="shared" si="8"/>
        <v>0</v>
      </c>
      <c r="W142" s="375">
        <f>AN_TME_PY[[#This Row],[TOTAL Non-Truncated Unadjusted Claims Expenses]]-AN_TME_PY[[#This Row],[Total Claims Excluded because of Truncation]]</f>
        <v>0</v>
      </c>
      <c r="X142" s="375">
        <f t="shared" si="9"/>
        <v>0</v>
      </c>
      <c r="Y142" s="375">
        <f>AN_TME_PY[[#This Row],[TOTAL Non-Truncated Unadjusted Claims Expenses]]+AN_TME_PY[[#This Row],[TOTAL Non-Claims Expenses]]</f>
        <v>0</v>
      </c>
      <c r="Z142" s="375">
        <f>AN_TME_PY[[#This Row],[TOTAL Truncated Unadjusted Claims Expenses (A21 -A19)]]+AN_TME_PY[[#This Row],[TOTAL Non-Claims Expenses]]</f>
        <v>0</v>
      </c>
      <c r="AA142" s="416">
        <f>IFERROR(AN_TME_PY[[#This Row],[TOTAL Non-Truncated Unadjusted Expenses (A21 + A23)]]/AN_TME_PY[[#This Row],[Member Months]],0)</f>
        <v>0</v>
      </c>
      <c r="AB142" s="416">
        <f>IFERROR(AN_TME_PY[[#This Row],[TOTAL Truncated Unadjusted Expenses (A22 + A23)]]/AN_TME_PY[[#This Row],[Member Months]],0)</f>
        <v>0</v>
      </c>
      <c r="AC142" s="385">
        <f>IFERROR(AN_TME_PY[[#This Row],[Total Claims Excluded because of Truncation]]/AN_TME_PY[[#This Row],[Count of Members with Claims Truncated]], 0)</f>
        <v>0</v>
      </c>
      <c r="AD142" s="417">
        <f>IFERROR(AN_TME_PY[[#This Row],[Total Claims Excluded because of Truncation]]/AN_TME_PY[[#This Row],[TOTAL Non-Truncated Unadjusted Claims Expenses]], 0)</f>
        <v>0</v>
      </c>
    </row>
    <row r="143" spans="1:30" x14ac:dyDescent="0.25">
      <c r="A143" s="364"/>
      <c r="B143" s="365"/>
      <c r="C143" s="365"/>
      <c r="D143" s="366"/>
      <c r="E143" s="367"/>
      <c r="F143" s="367"/>
      <c r="G143" s="367"/>
      <c r="H143" s="367"/>
      <c r="I143" s="367"/>
      <c r="J143" s="367"/>
      <c r="K143" s="367"/>
      <c r="L143" s="367"/>
      <c r="M143" s="367"/>
      <c r="N143" s="367"/>
      <c r="O143" s="367"/>
      <c r="P143" s="367"/>
      <c r="Q143" s="367"/>
      <c r="R143" s="367"/>
      <c r="S143" s="367"/>
      <c r="T143" s="367"/>
      <c r="U143" s="379"/>
      <c r="V143" s="369">
        <f t="shared" si="8"/>
        <v>0</v>
      </c>
      <c r="W143" s="369">
        <f>AN_TME_PY[[#This Row],[TOTAL Non-Truncated Unadjusted Claims Expenses]]-AN_TME_PY[[#This Row],[Total Claims Excluded because of Truncation]]</f>
        <v>0</v>
      </c>
      <c r="X143" s="369">
        <f t="shared" si="9"/>
        <v>0</v>
      </c>
      <c r="Y143" s="369">
        <f>AN_TME_PY[[#This Row],[TOTAL Non-Truncated Unadjusted Claims Expenses]]+AN_TME_PY[[#This Row],[TOTAL Non-Claims Expenses]]</f>
        <v>0</v>
      </c>
      <c r="Z143" s="369">
        <f>AN_TME_PY[[#This Row],[TOTAL Truncated Unadjusted Claims Expenses (A21 -A19)]]+AN_TME_PY[[#This Row],[TOTAL Non-Claims Expenses]]</f>
        <v>0</v>
      </c>
      <c r="AA143" s="415">
        <f>IFERROR(AN_TME_PY[[#This Row],[TOTAL Non-Truncated Unadjusted Expenses (A21 + A23)]]/AN_TME_PY[[#This Row],[Member Months]],0)</f>
        <v>0</v>
      </c>
      <c r="AB143" s="415">
        <f>IFERROR(AN_TME_PY[[#This Row],[TOTAL Truncated Unadjusted Expenses (A22 + A23)]]/AN_TME_PY[[#This Row],[Member Months]],0)</f>
        <v>0</v>
      </c>
      <c r="AC143" s="385">
        <f>IFERROR(AN_TME_PY[[#This Row],[Total Claims Excluded because of Truncation]]/AN_TME_PY[[#This Row],[Count of Members with Claims Truncated]], 0)</f>
        <v>0</v>
      </c>
      <c r="AD143" s="417">
        <f>IFERROR(AN_TME_PY[[#This Row],[Total Claims Excluded because of Truncation]]/AN_TME_PY[[#This Row],[TOTAL Non-Truncated Unadjusted Claims Expenses]], 0)</f>
        <v>0</v>
      </c>
    </row>
    <row r="144" spans="1:30" x14ac:dyDescent="0.25">
      <c r="A144" s="370"/>
      <c r="B144" s="371"/>
      <c r="C144" s="371"/>
      <c r="D144" s="372"/>
      <c r="E144" s="373"/>
      <c r="F144" s="373"/>
      <c r="G144" s="373"/>
      <c r="H144" s="373"/>
      <c r="I144" s="373"/>
      <c r="J144" s="373"/>
      <c r="K144" s="373"/>
      <c r="L144" s="373"/>
      <c r="M144" s="373"/>
      <c r="N144" s="373"/>
      <c r="O144" s="373"/>
      <c r="P144" s="373"/>
      <c r="Q144" s="373"/>
      <c r="R144" s="373"/>
      <c r="S144" s="373"/>
      <c r="T144" s="373"/>
      <c r="U144" s="380"/>
      <c r="V144" s="375">
        <f t="shared" si="8"/>
        <v>0</v>
      </c>
      <c r="W144" s="375">
        <f>AN_TME_PY[[#This Row],[TOTAL Non-Truncated Unadjusted Claims Expenses]]-AN_TME_PY[[#This Row],[Total Claims Excluded because of Truncation]]</f>
        <v>0</v>
      </c>
      <c r="X144" s="375">
        <f t="shared" si="9"/>
        <v>0</v>
      </c>
      <c r="Y144" s="375">
        <f>AN_TME_PY[[#This Row],[TOTAL Non-Truncated Unadjusted Claims Expenses]]+AN_TME_PY[[#This Row],[TOTAL Non-Claims Expenses]]</f>
        <v>0</v>
      </c>
      <c r="Z144" s="375">
        <f>AN_TME_PY[[#This Row],[TOTAL Truncated Unadjusted Claims Expenses (A21 -A19)]]+AN_TME_PY[[#This Row],[TOTAL Non-Claims Expenses]]</f>
        <v>0</v>
      </c>
      <c r="AA144" s="416">
        <f>IFERROR(AN_TME_PY[[#This Row],[TOTAL Non-Truncated Unadjusted Expenses (A21 + A23)]]/AN_TME_PY[[#This Row],[Member Months]],0)</f>
        <v>0</v>
      </c>
      <c r="AB144" s="416">
        <f>IFERROR(AN_TME_PY[[#This Row],[TOTAL Truncated Unadjusted Expenses (A22 + A23)]]/AN_TME_PY[[#This Row],[Member Months]],0)</f>
        <v>0</v>
      </c>
      <c r="AC144" s="385">
        <f>IFERROR(AN_TME_PY[[#This Row],[Total Claims Excluded because of Truncation]]/AN_TME_PY[[#This Row],[Count of Members with Claims Truncated]], 0)</f>
        <v>0</v>
      </c>
      <c r="AD144" s="417">
        <f>IFERROR(AN_TME_PY[[#This Row],[Total Claims Excluded because of Truncation]]/AN_TME_PY[[#This Row],[TOTAL Non-Truncated Unadjusted Claims Expenses]], 0)</f>
        <v>0</v>
      </c>
    </row>
    <row r="145" spans="1:30" x14ac:dyDescent="0.25">
      <c r="A145" s="364"/>
      <c r="B145" s="365"/>
      <c r="C145" s="365"/>
      <c r="D145" s="366"/>
      <c r="E145" s="367"/>
      <c r="F145" s="367"/>
      <c r="G145" s="367"/>
      <c r="H145" s="367"/>
      <c r="I145" s="367"/>
      <c r="J145" s="367"/>
      <c r="K145" s="367"/>
      <c r="L145" s="367"/>
      <c r="M145" s="367"/>
      <c r="N145" s="367"/>
      <c r="O145" s="367"/>
      <c r="P145" s="367"/>
      <c r="Q145" s="367"/>
      <c r="R145" s="367"/>
      <c r="S145" s="367"/>
      <c r="T145" s="367"/>
      <c r="U145" s="379"/>
      <c r="V145" s="369">
        <f t="shared" si="8"/>
        <v>0</v>
      </c>
      <c r="W145" s="369">
        <f>AN_TME_PY[[#This Row],[TOTAL Non-Truncated Unadjusted Claims Expenses]]-AN_TME_PY[[#This Row],[Total Claims Excluded because of Truncation]]</f>
        <v>0</v>
      </c>
      <c r="X145" s="369">
        <f t="shared" si="9"/>
        <v>0</v>
      </c>
      <c r="Y145" s="369">
        <f>AN_TME_PY[[#This Row],[TOTAL Non-Truncated Unadjusted Claims Expenses]]+AN_TME_PY[[#This Row],[TOTAL Non-Claims Expenses]]</f>
        <v>0</v>
      </c>
      <c r="Z145" s="369">
        <f>AN_TME_PY[[#This Row],[TOTAL Truncated Unadjusted Claims Expenses (A21 -A19)]]+AN_TME_PY[[#This Row],[TOTAL Non-Claims Expenses]]</f>
        <v>0</v>
      </c>
      <c r="AA145" s="415">
        <f>IFERROR(AN_TME_PY[[#This Row],[TOTAL Non-Truncated Unadjusted Expenses (A21 + A23)]]/AN_TME_PY[[#This Row],[Member Months]],0)</f>
        <v>0</v>
      </c>
      <c r="AB145" s="415">
        <f>IFERROR(AN_TME_PY[[#This Row],[TOTAL Truncated Unadjusted Expenses (A22 + A23)]]/AN_TME_PY[[#This Row],[Member Months]],0)</f>
        <v>0</v>
      </c>
      <c r="AC145" s="385">
        <f>IFERROR(AN_TME_PY[[#This Row],[Total Claims Excluded because of Truncation]]/AN_TME_PY[[#This Row],[Count of Members with Claims Truncated]], 0)</f>
        <v>0</v>
      </c>
      <c r="AD145" s="417">
        <f>IFERROR(AN_TME_PY[[#This Row],[Total Claims Excluded because of Truncation]]/AN_TME_PY[[#This Row],[TOTAL Non-Truncated Unadjusted Claims Expenses]], 0)</f>
        <v>0</v>
      </c>
    </row>
    <row r="146" spans="1:30" x14ac:dyDescent="0.25">
      <c r="A146" s="370"/>
      <c r="B146" s="371"/>
      <c r="C146" s="371"/>
      <c r="D146" s="372"/>
      <c r="E146" s="373"/>
      <c r="F146" s="373"/>
      <c r="G146" s="373"/>
      <c r="H146" s="373"/>
      <c r="I146" s="373"/>
      <c r="J146" s="373"/>
      <c r="K146" s="373"/>
      <c r="L146" s="373"/>
      <c r="M146" s="373"/>
      <c r="N146" s="373"/>
      <c r="O146" s="373"/>
      <c r="P146" s="373"/>
      <c r="Q146" s="373"/>
      <c r="R146" s="373"/>
      <c r="S146" s="373"/>
      <c r="T146" s="373"/>
      <c r="U146" s="380"/>
      <c r="V146" s="375">
        <f t="shared" si="8"/>
        <v>0</v>
      </c>
      <c r="W146" s="375">
        <f>AN_TME_PY[[#This Row],[TOTAL Non-Truncated Unadjusted Claims Expenses]]-AN_TME_PY[[#This Row],[Total Claims Excluded because of Truncation]]</f>
        <v>0</v>
      </c>
      <c r="X146" s="375">
        <f t="shared" si="9"/>
        <v>0</v>
      </c>
      <c r="Y146" s="375">
        <f>AN_TME_PY[[#This Row],[TOTAL Non-Truncated Unadjusted Claims Expenses]]+AN_TME_PY[[#This Row],[TOTAL Non-Claims Expenses]]</f>
        <v>0</v>
      </c>
      <c r="Z146" s="375">
        <f>AN_TME_PY[[#This Row],[TOTAL Truncated Unadjusted Claims Expenses (A21 -A19)]]+AN_TME_PY[[#This Row],[TOTAL Non-Claims Expenses]]</f>
        <v>0</v>
      </c>
      <c r="AA146" s="416">
        <f>IFERROR(AN_TME_PY[[#This Row],[TOTAL Non-Truncated Unadjusted Expenses (A21 + A23)]]/AN_TME_PY[[#This Row],[Member Months]],0)</f>
        <v>0</v>
      </c>
      <c r="AB146" s="416">
        <f>IFERROR(AN_TME_PY[[#This Row],[TOTAL Truncated Unadjusted Expenses (A22 + A23)]]/AN_TME_PY[[#This Row],[Member Months]],0)</f>
        <v>0</v>
      </c>
      <c r="AC146" s="385">
        <f>IFERROR(AN_TME_PY[[#This Row],[Total Claims Excluded because of Truncation]]/AN_TME_PY[[#This Row],[Count of Members with Claims Truncated]], 0)</f>
        <v>0</v>
      </c>
      <c r="AD146" s="417">
        <f>IFERROR(AN_TME_PY[[#This Row],[Total Claims Excluded because of Truncation]]/AN_TME_PY[[#This Row],[TOTAL Non-Truncated Unadjusted Claims Expenses]], 0)</f>
        <v>0</v>
      </c>
    </row>
    <row r="147" spans="1:30" x14ac:dyDescent="0.25">
      <c r="A147" s="364"/>
      <c r="B147" s="365"/>
      <c r="C147" s="365"/>
      <c r="D147" s="366"/>
      <c r="E147" s="367"/>
      <c r="F147" s="367"/>
      <c r="G147" s="367"/>
      <c r="H147" s="367"/>
      <c r="I147" s="367"/>
      <c r="J147" s="367"/>
      <c r="K147" s="367"/>
      <c r="L147" s="367"/>
      <c r="M147" s="367"/>
      <c r="N147" s="367"/>
      <c r="O147" s="367"/>
      <c r="P147" s="367"/>
      <c r="Q147" s="367"/>
      <c r="R147" s="367"/>
      <c r="S147" s="367"/>
      <c r="T147" s="367"/>
      <c r="U147" s="379"/>
      <c r="V147" s="369">
        <f t="shared" si="8"/>
        <v>0</v>
      </c>
      <c r="W147" s="369">
        <f>AN_TME_PY[[#This Row],[TOTAL Non-Truncated Unadjusted Claims Expenses]]-AN_TME_PY[[#This Row],[Total Claims Excluded because of Truncation]]</f>
        <v>0</v>
      </c>
      <c r="X147" s="369">
        <f t="shared" si="9"/>
        <v>0</v>
      </c>
      <c r="Y147" s="369">
        <f>AN_TME_PY[[#This Row],[TOTAL Non-Truncated Unadjusted Claims Expenses]]+AN_TME_PY[[#This Row],[TOTAL Non-Claims Expenses]]</f>
        <v>0</v>
      </c>
      <c r="Z147" s="369">
        <f>AN_TME_PY[[#This Row],[TOTAL Truncated Unadjusted Claims Expenses (A21 -A19)]]+AN_TME_PY[[#This Row],[TOTAL Non-Claims Expenses]]</f>
        <v>0</v>
      </c>
      <c r="AA147" s="415">
        <f>IFERROR(AN_TME_PY[[#This Row],[TOTAL Non-Truncated Unadjusted Expenses (A21 + A23)]]/AN_TME_PY[[#This Row],[Member Months]],0)</f>
        <v>0</v>
      </c>
      <c r="AB147" s="415">
        <f>IFERROR(AN_TME_PY[[#This Row],[TOTAL Truncated Unadjusted Expenses (A22 + A23)]]/AN_TME_PY[[#This Row],[Member Months]],0)</f>
        <v>0</v>
      </c>
      <c r="AC147" s="385">
        <f>IFERROR(AN_TME_PY[[#This Row],[Total Claims Excluded because of Truncation]]/AN_TME_PY[[#This Row],[Count of Members with Claims Truncated]], 0)</f>
        <v>0</v>
      </c>
      <c r="AD147" s="417">
        <f>IFERROR(AN_TME_PY[[#This Row],[Total Claims Excluded because of Truncation]]/AN_TME_PY[[#This Row],[TOTAL Non-Truncated Unadjusted Claims Expenses]], 0)</f>
        <v>0</v>
      </c>
    </row>
    <row r="148" spans="1:30" x14ac:dyDescent="0.25">
      <c r="A148" s="370"/>
      <c r="B148" s="371"/>
      <c r="C148" s="371"/>
      <c r="D148" s="372"/>
      <c r="E148" s="373"/>
      <c r="F148" s="373"/>
      <c r="G148" s="373"/>
      <c r="H148" s="373"/>
      <c r="I148" s="373"/>
      <c r="J148" s="373"/>
      <c r="K148" s="373"/>
      <c r="L148" s="373"/>
      <c r="M148" s="373"/>
      <c r="N148" s="373"/>
      <c r="O148" s="373"/>
      <c r="P148" s="373"/>
      <c r="Q148" s="373"/>
      <c r="R148" s="373"/>
      <c r="S148" s="373"/>
      <c r="T148" s="373"/>
      <c r="U148" s="380"/>
      <c r="V148" s="375">
        <f t="shared" si="8"/>
        <v>0</v>
      </c>
      <c r="W148" s="375">
        <f>AN_TME_PY[[#This Row],[TOTAL Non-Truncated Unadjusted Claims Expenses]]-AN_TME_PY[[#This Row],[Total Claims Excluded because of Truncation]]</f>
        <v>0</v>
      </c>
      <c r="X148" s="375">
        <f t="shared" si="9"/>
        <v>0</v>
      </c>
      <c r="Y148" s="375">
        <f>AN_TME_PY[[#This Row],[TOTAL Non-Truncated Unadjusted Claims Expenses]]+AN_TME_PY[[#This Row],[TOTAL Non-Claims Expenses]]</f>
        <v>0</v>
      </c>
      <c r="Z148" s="375">
        <f>AN_TME_PY[[#This Row],[TOTAL Truncated Unadjusted Claims Expenses (A21 -A19)]]+AN_TME_PY[[#This Row],[TOTAL Non-Claims Expenses]]</f>
        <v>0</v>
      </c>
      <c r="AA148" s="416">
        <f>IFERROR(AN_TME_PY[[#This Row],[TOTAL Non-Truncated Unadjusted Expenses (A21 + A23)]]/AN_TME_PY[[#This Row],[Member Months]],0)</f>
        <v>0</v>
      </c>
      <c r="AB148" s="416">
        <f>IFERROR(AN_TME_PY[[#This Row],[TOTAL Truncated Unadjusted Expenses (A22 + A23)]]/AN_TME_PY[[#This Row],[Member Months]],0)</f>
        <v>0</v>
      </c>
      <c r="AC148" s="385">
        <f>IFERROR(AN_TME_PY[[#This Row],[Total Claims Excluded because of Truncation]]/AN_TME_PY[[#This Row],[Count of Members with Claims Truncated]], 0)</f>
        <v>0</v>
      </c>
      <c r="AD148" s="417">
        <f>IFERROR(AN_TME_PY[[#This Row],[Total Claims Excluded because of Truncation]]/AN_TME_PY[[#This Row],[TOTAL Non-Truncated Unadjusted Claims Expenses]], 0)</f>
        <v>0</v>
      </c>
    </row>
    <row r="149" spans="1:30" x14ac:dyDescent="0.25">
      <c r="A149" s="364"/>
      <c r="B149" s="365"/>
      <c r="C149" s="365"/>
      <c r="D149" s="366"/>
      <c r="E149" s="367"/>
      <c r="F149" s="367"/>
      <c r="G149" s="367"/>
      <c r="H149" s="367"/>
      <c r="I149" s="367"/>
      <c r="J149" s="367"/>
      <c r="K149" s="367"/>
      <c r="L149" s="367"/>
      <c r="M149" s="367"/>
      <c r="N149" s="367"/>
      <c r="O149" s="367"/>
      <c r="P149" s="367"/>
      <c r="Q149" s="367"/>
      <c r="R149" s="367"/>
      <c r="S149" s="367"/>
      <c r="T149" s="367"/>
      <c r="U149" s="379"/>
      <c r="V149" s="369">
        <f t="shared" si="8"/>
        <v>0</v>
      </c>
      <c r="W149" s="369">
        <f>AN_TME_PY[[#This Row],[TOTAL Non-Truncated Unadjusted Claims Expenses]]-AN_TME_PY[[#This Row],[Total Claims Excluded because of Truncation]]</f>
        <v>0</v>
      </c>
      <c r="X149" s="369">
        <f t="shared" si="9"/>
        <v>0</v>
      </c>
      <c r="Y149" s="369">
        <f>AN_TME_PY[[#This Row],[TOTAL Non-Truncated Unadjusted Claims Expenses]]+AN_TME_PY[[#This Row],[TOTAL Non-Claims Expenses]]</f>
        <v>0</v>
      </c>
      <c r="Z149" s="369">
        <f>AN_TME_PY[[#This Row],[TOTAL Truncated Unadjusted Claims Expenses (A21 -A19)]]+AN_TME_PY[[#This Row],[TOTAL Non-Claims Expenses]]</f>
        <v>0</v>
      </c>
      <c r="AA149" s="415">
        <f>IFERROR(AN_TME_PY[[#This Row],[TOTAL Non-Truncated Unadjusted Expenses (A21 + A23)]]/AN_TME_PY[[#This Row],[Member Months]],0)</f>
        <v>0</v>
      </c>
      <c r="AB149" s="415">
        <f>IFERROR(AN_TME_PY[[#This Row],[TOTAL Truncated Unadjusted Expenses (A22 + A23)]]/AN_TME_PY[[#This Row],[Member Months]],0)</f>
        <v>0</v>
      </c>
      <c r="AC149" s="385">
        <f>IFERROR(AN_TME_PY[[#This Row],[Total Claims Excluded because of Truncation]]/AN_TME_PY[[#This Row],[Count of Members with Claims Truncated]], 0)</f>
        <v>0</v>
      </c>
      <c r="AD149" s="417">
        <f>IFERROR(AN_TME_PY[[#This Row],[Total Claims Excluded because of Truncation]]/AN_TME_PY[[#This Row],[TOTAL Non-Truncated Unadjusted Claims Expenses]], 0)</f>
        <v>0</v>
      </c>
    </row>
    <row r="150" spans="1:30" x14ac:dyDescent="0.25">
      <c r="A150" s="370"/>
      <c r="B150" s="371"/>
      <c r="C150" s="371"/>
      <c r="D150" s="372"/>
      <c r="E150" s="373"/>
      <c r="F150" s="373"/>
      <c r="G150" s="373"/>
      <c r="H150" s="373"/>
      <c r="I150" s="373"/>
      <c r="J150" s="373"/>
      <c r="K150" s="373"/>
      <c r="L150" s="373"/>
      <c r="M150" s="373"/>
      <c r="N150" s="373"/>
      <c r="O150" s="373"/>
      <c r="P150" s="373"/>
      <c r="Q150" s="373"/>
      <c r="R150" s="373"/>
      <c r="S150" s="373"/>
      <c r="T150" s="373"/>
      <c r="U150" s="380"/>
      <c r="V150" s="375">
        <f t="shared" si="8"/>
        <v>0</v>
      </c>
      <c r="W150" s="375">
        <f>AN_TME_PY[[#This Row],[TOTAL Non-Truncated Unadjusted Claims Expenses]]-AN_TME_PY[[#This Row],[Total Claims Excluded because of Truncation]]</f>
        <v>0</v>
      </c>
      <c r="X150" s="375">
        <f t="shared" si="9"/>
        <v>0</v>
      </c>
      <c r="Y150" s="375">
        <f>AN_TME_PY[[#This Row],[TOTAL Non-Truncated Unadjusted Claims Expenses]]+AN_TME_PY[[#This Row],[TOTAL Non-Claims Expenses]]</f>
        <v>0</v>
      </c>
      <c r="Z150" s="375">
        <f>AN_TME_PY[[#This Row],[TOTAL Truncated Unadjusted Claims Expenses (A21 -A19)]]+AN_TME_PY[[#This Row],[TOTAL Non-Claims Expenses]]</f>
        <v>0</v>
      </c>
      <c r="AA150" s="416">
        <f>IFERROR(AN_TME_PY[[#This Row],[TOTAL Non-Truncated Unadjusted Expenses (A21 + A23)]]/AN_TME_PY[[#This Row],[Member Months]],0)</f>
        <v>0</v>
      </c>
      <c r="AB150" s="416">
        <f>IFERROR(AN_TME_PY[[#This Row],[TOTAL Truncated Unadjusted Expenses (A22 + A23)]]/AN_TME_PY[[#This Row],[Member Months]],0)</f>
        <v>0</v>
      </c>
      <c r="AC150" s="385">
        <f>IFERROR(AN_TME_PY[[#This Row],[Total Claims Excluded because of Truncation]]/AN_TME_PY[[#This Row],[Count of Members with Claims Truncated]], 0)</f>
        <v>0</v>
      </c>
      <c r="AD150" s="417">
        <f>IFERROR(AN_TME_PY[[#This Row],[Total Claims Excluded because of Truncation]]/AN_TME_PY[[#This Row],[TOTAL Non-Truncated Unadjusted Claims Expenses]], 0)</f>
        <v>0</v>
      </c>
    </row>
    <row r="151" spans="1:30" x14ac:dyDescent="0.25">
      <c r="A151" s="364"/>
      <c r="B151" s="365"/>
      <c r="C151" s="365"/>
      <c r="D151" s="366"/>
      <c r="E151" s="367"/>
      <c r="F151" s="367"/>
      <c r="G151" s="367"/>
      <c r="H151" s="367"/>
      <c r="I151" s="367"/>
      <c r="J151" s="367"/>
      <c r="K151" s="367"/>
      <c r="L151" s="367"/>
      <c r="M151" s="367"/>
      <c r="N151" s="367"/>
      <c r="O151" s="367"/>
      <c r="P151" s="367"/>
      <c r="Q151" s="367"/>
      <c r="R151" s="367"/>
      <c r="S151" s="367"/>
      <c r="T151" s="367"/>
      <c r="U151" s="379"/>
      <c r="V151" s="369">
        <f t="shared" si="8"/>
        <v>0</v>
      </c>
      <c r="W151" s="369">
        <f>AN_TME_PY[[#This Row],[TOTAL Non-Truncated Unadjusted Claims Expenses]]-AN_TME_PY[[#This Row],[Total Claims Excluded because of Truncation]]</f>
        <v>0</v>
      </c>
      <c r="X151" s="369">
        <f t="shared" si="9"/>
        <v>0</v>
      </c>
      <c r="Y151" s="369">
        <f>AN_TME_PY[[#This Row],[TOTAL Non-Truncated Unadjusted Claims Expenses]]+AN_TME_PY[[#This Row],[TOTAL Non-Claims Expenses]]</f>
        <v>0</v>
      </c>
      <c r="Z151" s="369">
        <f>AN_TME_PY[[#This Row],[TOTAL Truncated Unadjusted Claims Expenses (A21 -A19)]]+AN_TME_PY[[#This Row],[TOTAL Non-Claims Expenses]]</f>
        <v>0</v>
      </c>
      <c r="AA151" s="415">
        <f>IFERROR(AN_TME_PY[[#This Row],[TOTAL Non-Truncated Unadjusted Expenses (A21 + A23)]]/AN_TME_PY[[#This Row],[Member Months]],0)</f>
        <v>0</v>
      </c>
      <c r="AB151" s="415">
        <f>IFERROR(AN_TME_PY[[#This Row],[TOTAL Truncated Unadjusted Expenses (A22 + A23)]]/AN_TME_PY[[#This Row],[Member Months]],0)</f>
        <v>0</v>
      </c>
      <c r="AC151" s="385">
        <f>IFERROR(AN_TME_PY[[#This Row],[Total Claims Excluded because of Truncation]]/AN_TME_PY[[#This Row],[Count of Members with Claims Truncated]], 0)</f>
        <v>0</v>
      </c>
      <c r="AD151" s="417">
        <f>IFERROR(AN_TME_PY[[#This Row],[Total Claims Excluded because of Truncation]]/AN_TME_PY[[#This Row],[TOTAL Non-Truncated Unadjusted Claims Expenses]], 0)</f>
        <v>0</v>
      </c>
    </row>
    <row r="152" spans="1:30" x14ac:dyDescent="0.25">
      <c r="A152" s="370"/>
      <c r="B152" s="371"/>
      <c r="C152" s="371"/>
      <c r="D152" s="372"/>
      <c r="E152" s="373"/>
      <c r="F152" s="373"/>
      <c r="G152" s="373"/>
      <c r="H152" s="373"/>
      <c r="I152" s="373"/>
      <c r="J152" s="373"/>
      <c r="K152" s="373"/>
      <c r="L152" s="373"/>
      <c r="M152" s="373"/>
      <c r="N152" s="373"/>
      <c r="O152" s="373"/>
      <c r="P152" s="373"/>
      <c r="Q152" s="373"/>
      <c r="R152" s="373"/>
      <c r="S152" s="373"/>
      <c r="T152" s="373"/>
      <c r="U152" s="380"/>
      <c r="V152" s="375">
        <f t="shared" si="8"/>
        <v>0</v>
      </c>
      <c r="W152" s="375">
        <f>AN_TME_PY[[#This Row],[TOTAL Non-Truncated Unadjusted Claims Expenses]]-AN_TME_PY[[#This Row],[Total Claims Excluded because of Truncation]]</f>
        <v>0</v>
      </c>
      <c r="X152" s="375">
        <f t="shared" si="9"/>
        <v>0</v>
      </c>
      <c r="Y152" s="375">
        <f>AN_TME_PY[[#This Row],[TOTAL Non-Truncated Unadjusted Claims Expenses]]+AN_TME_PY[[#This Row],[TOTAL Non-Claims Expenses]]</f>
        <v>0</v>
      </c>
      <c r="Z152" s="375">
        <f>AN_TME_PY[[#This Row],[TOTAL Truncated Unadjusted Claims Expenses (A21 -A19)]]+AN_TME_PY[[#This Row],[TOTAL Non-Claims Expenses]]</f>
        <v>0</v>
      </c>
      <c r="AA152" s="416">
        <f>IFERROR(AN_TME_PY[[#This Row],[TOTAL Non-Truncated Unadjusted Expenses (A21 + A23)]]/AN_TME_PY[[#This Row],[Member Months]],0)</f>
        <v>0</v>
      </c>
      <c r="AB152" s="416">
        <f>IFERROR(AN_TME_PY[[#This Row],[TOTAL Truncated Unadjusted Expenses (A22 + A23)]]/AN_TME_PY[[#This Row],[Member Months]],0)</f>
        <v>0</v>
      </c>
      <c r="AC152" s="385">
        <f>IFERROR(AN_TME_PY[[#This Row],[Total Claims Excluded because of Truncation]]/AN_TME_PY[[#This Row],[Count of Members with Claims Truncated]], 0)</f>
        <v>0</v>
      </c>
      <c r="AD152" s="417">
        <f>IFERROR(AN_TME_PY[[#This Row],[Total Claims Excluded because of Truncation]]/AN_TME_PY[[#This Row],[TOTAL Non-Truncated Unadjusted Claims Expenses]], 0)</f>
        <v>0</v>
      </c>
    </row>
    <row r="153" spans="1:30" x14ac:dyDescent="0.25">
      <c r="A153" s="364"/>
      <c r="B153" s="365"/>
      <c r="C153" s="365"/>
      <c r="D153" s="366"/>
      <c r="E153" s="367"/>
      <c r="F153" s="367"/>
      <c r="G153" s="367"/>
      <c r="H153" s="367"/>
      <c r="I153" s="367"/>
      <c r="J153" s="367"/>
      <c r="K153" s="367"/>
      <c r="L153" s="367"/>
      <c r="M153" s="367"/>
      <c r="N153" s="367"/>
      <c r="O153" s="367"/>
      <c r="P153" s="367"/>
      <c r="Q153" s="367"/>
      <c r="R153" s="367"/>
      <c r="S153" s="367"/>
      <c r="T153" s="367"/>
      <c r="U153" s="379"/>
      <c r="V153" s="369">
        <f t="shared" si="8"/>
        <v>0</v>
      </c>
      <c r="W153" s="369">
        <f>AN_TME_PY[[#This Row],[TOTAL Non-Truncated Unadjusted Claims Expenses]]-AN_TME_PY[[#This Row],[Total Claims Excluded because of Truncation]]</f>
        <v>0</v>
      </c>
      <c r="X153" s="369">
        <f t="shared" si="9"/>
        <v>0</v>
      </c>
      <c r="Y153" s="369">
        <f>AN_TME_PY[[#This Row],[TOTAL Non-Truncated Unadjusted Claims Expenses]]+AN_TME_PY[[#This Row],[TOTAL Non-Claims Expenses]]</f>
        <v>0</v>
      </c>
      <c r="Z153" s="369">
        <f>AN_TME_PY[[#This Row],[TOTAL Truncated Unadjusted Claims Expenses (A21 -A19)]]+AN_TME_PY[[#This Row],[TOTAL Non-Claims Expenses]]</f>
        <v>0</v>
      </c>
      <c r="AA153" s="415">
        <f>IFERROR(AN_TME_PY[[#This Row],[TOTAL Non-Truncated Unadjusted Expenses (A21 + A23)]]/AN_TME_PY[[#This Row],[Member Months]],0)</f>
        <v>0</v>
      </c>
      <c r="AB153" s="415">
        <f>IFERROR(AN_TME_PY[[#This Row],[TOTAL Truncated Unadjusted Expenses (A22 + A23)]]/AN_TME_PY[[#This Row],[Member Months]],0)</f>
        <v>0</v>
      </c>
      <c r="AC153" s="385">
        <f>IFERROR(AN_TME_PY[[#This Row],[Total Claims Excluded because of Truncation]]/AN_TME_PY[[#This Row],[Count of Members with Claims Truncated]], 0)</f>
        <v>0</v>
      </c>
      <c r="AD153" s="417">
        <f>IFERROR(AN_TME_PY[[#This Row],[Total Claims Excluded because of Truncation]]/AN_TME_PY[[#This Row],[TOTAL Non-Truncated Unadjusted Claims Expenses]], 0)</f>
        <v>0</v>
      </c>
    </row>
    <row r="154" spans="1:30" x14ac:dyDescent="0.25">
      <c r="A154" s="370"/>
      <c r="B154" s="371"/>
      <c r="C154" s="371"/>
      <c r="D154" s="372"/>
      <c r="E154" s="373"/>
      <c r="F154" s="373"/>
      <c r="G154" s="373"/>
      <c r="H154" s="373"/>
      <c r="I154" s="373"/>
      <c r="J154" s="373"/>
      <c r="K154" s="373"/>
      <c r="L154" s="373"/>
      <c r="M154" s="373"/>
      <c r="N154" s="373"/>
      <c r="O154" s="373"/>
      <c r="P154" s="373"/>
      <c r="Q154" s="373"/>
      <c r="R154" s="373"/>
      <c r="S154" s="373"/>
      <c r="T154" s="373"/>
      <c r="U154" s="380"/>
      <c r="V154" s="375">
        <f t="shared" si="8"/>
        <v>0</v>
      </c>
      <c r="W154" s="375">
        <f>AN_TME_PY[[#This Row],[TOTAL Non-Truncated Unadjusted Claims Expenses]]-AN_TME_PY[[#This Row],[Total Claims Excluded because of Truncation]]</f>
        <v>0</v>
      </c>
      <c r="X154" s="375">
        <f t="shared" si="9"/>
        <v>0</v>
      </c>
      <c r="Y154" s="375">
        <f>AN_TME_PY[[#This Row],[TOTAL Non-Truncated Unadjusted Claims Expenses]]+AN_TME_PY[[#This Row],[TOTAL Non-Claims Expenses]]</f>
        <v>0</v>
      </c>
      <c r="Z154" s="375">
        <f>AN_TME_PY[[#This Row],[TOTAL Truncated Unadjusted Claims Expenses (A21 -A19)]]+AN_TME_PY[[#This Row],[TOTAL Non-Claims Expenses]]</f>
        <v>0</v>
      </c>
      <c r="AA154" s="416">
        <f>IFERROR(AN_TME_PY[[#This Row],[TOTAL Non-Truncated Unadjusted Expenses (A21 + A23)]]/AN_TME_PY[[#This Row],[Member Months]],0)</f>
        <v>0</v>
      </c>
      <c r="AB154" s="416">
        <f>IFERROR(AN_TME_PY[[#This Row],[TOTAL Truncated Unadjusted Expenses (A22 + A23)]]/AN_TME_PY[[#This Row],[Member Months]],0)</f>
        <v>0</v>
      </c>
      <c r="AC154" s="385">
        <f>IFERROR(AN_TME_PY[[#This Row],[Total Claims Excluded because of Truncation]]/AN_TME_PY[[#This Row],[Count of Members with Claims Truncated]], 0)</f>
        <v>0</v>
      </c>
      <c r="AD154" s="417">
        <f>IFERROR(AN_TME_PY[[#This Row],[Total Claims Excluded because of Truncation]]/AN_TME_PY[[#This Row],[TOTAL Non-Truncated Unadjusted Claims Expenses]], 0)</f>
        <v>0</v>
      </c>
    </row>
    <row r="155" spans="1:30" x14ac:dyDescent="0.25">
      <c r="A155" s="364"/>
      <c r="B155" s="365"/>
      <c r="C155" s="365"/>
      <c r="D155" s="366"/>
      <c r="E155" s="367"/>
      <c r="F155" s="367"/>
      <c r="G155" s="367"/>
      <c r="H155" s="367"/>
      <c r="I155" s="367"/>
      <c r="J155" s="367"/>
      <c r="K155" s="367"/>
      <c r="L155" s="367"/>
      <c r="M155" s="367"/>
      <c r="N155" s="367"/>
      <c r="O155" s="367"/>
      <c r="P155" s="367"/>
      <c r="Q155" s="367"/>
      <c r="R155" s="367"/>
      <c r="S155" s="367"/>
      <c r="T155" s="367"/>
      <c r="U155" s="379"/>
      <c r="V155" s="369">
        <f t="shared" si="8"/>
        <v>0</v>
      </c>
      <c r="W155" s="369">
        <f>AN_TME_PY[[#This Row],[TOTAL Non-Truncated Unadjusted Claims Expenses]]-AN_TME_PY[[#This Row],[Total Claims Excluded because of Truncation]]</f>
        <v>0</v>
      </c>
      <c r="X155" s="369">
        <f t="shared" si="9"/>
        <v>0</v>
      </c>
      <c r="Y155" s="369">
        <f>AN_TME_PY[[#This Row],[TOTAL Non-Truncated Unadjusted Claims Expenses]]+AN_TME_PY[[#This Row],[TOTAL Non-Claims Expenses]]</f>
        <v>0</v>
      </c>
      <c r="Z155" s="369">
        <f>AN_TME_PY[[#This Row],[TOTAL Truncated Unadjusted Claims Expenses (A21 -A19)]]+AN_TME_PY[[#This Row],[TOTAL Non-Claims Expenses]]</f>
        <v>0</v>
      </c>
      <c r="AA155" s="415">
        <f>IFERROR(AN_TME_PY[[#This Row],[TOTAL Non-Truncated Unadjusted Expenses (A21 + A23)]]/AN_TME_PY[[#This Row],[Member Months]],0)</f>
        <v>0</v>
      </c>
      <c r="AB155" s="415">
        <f>IFERROR(AN_TME_PY[[#This Row],[TOTAL Truncated Unadjusted Expenses (A22 + A23)]]/AN_TME_PY[[#This Row],[Member Months]],0)</f>
        <v>0</v>
      </c>
      <c r="AC155" s="385">
        <f>IFERROR(AN_TME_PY[[#This Row],[Total Claims Excluded because of Truncation]]/AN_TME_PY[[#This Row],[Count of Members with Claims Truncated]], 0)</f>
        <v>0</v>
      </c>
      <c r="AD155" s="417">
        <f>IFERROR(AN_TME_PY[[#This Row],[Total Claims Excluded because of Truncation]]/AN_TME_PY[[#This Row],[TOTAL Non-Truncated Unadjusted Claims Expenses]], 0)</f>
        <v>0</v>
      </c>
    </row>
    <row r="156" spans="1:30" x14ac:dyDescent="0.25">
      <c r="A156" s="370"/>
      <c r="B156" s="371"/>
      <c r="C156" s="371"/>
      <c r="D156" s="372"/>
      <c r="E156" s="373"/>
      <c r="F156" s="373"/>
      <c r="G156" s="373"/>
      <c r="H156" s="373"/>
      <c r="I156" s="373"/>
      <c r="J156" s="373"/>
      <c r="K156" s="373"/>
      <c r="L156" s="373"/>
      <c r="M156" s="373"/>
      <c r="N156" s="373"/>
      <c r="O156" s="373"/>
      <c r="P156" s="373"/>
      <c r="Q156" s="373"/>
      <c r="R156" s="373"/>
      <c r="S156" s="373"/>
      <c r="T156" s="373"/>
      <c r="U156" s="380"/>
      <c r="V156" s="375">
        <f t="shared" si="8"/>
        <v>0</v>
      </c>
      <c r="W156" s="375">
        <f>AN_TME_PY[[#This Row],[TOTAL Non-Truncated Unadjusted Claims Expenses]]-AN_TME_PY[[#This Row],[Total Claims Excluded because of Truncation]]</f>
        <v>0</v>
      </c>
      <c r="X156" s="375">
        <f t="shared" si="9"/>
        <v>0</v>
      </c>
      <c r="Y156" s="375">
        <f>AN_TME_PY[[#This Row],[TOTAL Non-Truncated Unadjusted Claims Expenses]]+AN_TME_PY[[#This Row],[TOTAL Non-Claims Expenses]]</f>
        <v>0</v>
      </c>
      <c r="Z156" s="375">
        <f>AN_TME_PY[[#This Row],[TOTAL Truncated Unadjusted Claims Expenses (A21 -A19)]]+AN_TME_PY[[#This Row],[TOTAL Non-Claims Expenses]]</f>
        <v>0</v>
      </c>
      <c r="AA156" s="416">
        <f>IFERROR(AN_TME_PY[[#This Row],[TOTAL Non-Truncated Unadjusted Expenses (A21 + A23)]]/AN_TME_PY[[#This Row],[Member Months]],0)</f>
        <v>0</v>
      </c>
      <c r="AB156" s="416">
        <f>IFERROR(AN_TME_PY[[#This Row],[TOTAL Truncated Unadjusted Expenses (A22 + A23)]]/AN_TME_PY[[#This Row],[Member Months]],0)</f>
        <v>0</v>
      </c>
      <c r="AC156" s="385">
        <f>IFERROR(AN_TME_PY[[#This Row],[Total Claims Excluded because of Truncation]]/AN_TME_PY[[#This Row],[Count of Members with Claims Truncated]], 0)</f>
        <v>0</v>
      </c>
      <c r="AD156" s="417">
        <f>IFERROR(AN_TME_PY[[#This Row],[Total Claims Excluded because of Truncation]]/AN_TME_PY[[#This Row],[TOTAL Non-Truncated Unadjusted Claims Expenses]], 0)</f>
        <v>0</v>
      </c>
    </row>
    <row r="157" spans="1:30" x14ac:dyDescent="0.25">
      <c r="A157" s="364"/>
      <c r="B157" s="365"/>
      <c r="C157" s="365"/>
      <c r="D157" s="366"/>
      <c r="E157" s="367"/>
      <c r="F157" s="367"/>
      <c r="G157" s="367"/>
      <c r="H157" s="367"/>
      <c r="I157" s="367"/>
      <c r="J157" s="367"/>
      <c r="K157" s="367"/>
      <c r="L157" s="367"/>
      <c r="M157" s="367"/>
      <c r="N157" s="367"/>
      <c r="O157" s="367"/>
      <c r="P157" s="367"/>
      <c r="Q157" s="367"/>
      <c r="R157" s="367"/>
      <c r="S157" s="367"/>
      <c r="T157" s="367"/>
      <c r="U157" s="379"/>
      <c r="V157" s="369">
        <f t="shared" si="8"/>
        <v>0</v>
      </c>
      <c r="W157" s="369">
        <f>AN_TME_PY[[#This Row],[TOTAL Non-Truncated Unadjusted Claims Expenses]]-AN_TME_PY[[#This Row],[Total Claims Excluded because of Truncation]]</f>
        <v>0</v>
      </c>
      <c r="X157" s="369">
        <f t="shared" si="9"/>
        <v>0</v>
      </c>
      <c r="Y157" s="369">
        <f>AN_TME_PY[[#This Row],[TOTAL Non-Truncated Unadjusted Claims Expenses]]+AN_TME_PY[[#This Row],[TOTAL Non-Claims Expenses]]</f>
        <v>0</v>
      </c>
      <c r="Z157" s="369">
        <f>AN_TME_PY[[#This Row],[TOTAL Truncated Unadjusted Claims Expenses (A21 -A19)]]+AN_TME_PY[[#This Row],[TOTAL Non-Claims Expenses]]</f>
        <v>0</v>
      </c>
      <c r="AA157" s="415">
        <f>IFERROR(AN_TME_PY[[#This Row],[TOTAL Non-Truncated Unadjusted Expenses (A21 + A23)]]/AN_TME_PY[[#This Row],[Member Months]],0)</f>
        <v>0</v>
      </c>
      <c r="AB157" s="415">
        <f>IFERROR(AN_TME_PY[[#This Row],[TOTAL Truncated Unadjusted Expenses (A22 + A23)]]/AN_TME_PY[[#This Row],[Member Months]],0)</f>
        <v>0</v>
      </c>
      <c r="AC157" s="385">
        <f>IFERROR(AN_TME_PY[[#This Row],[Total Claims Excluded because of Truncation]]/AN_TME_PY[[#This Row],[Count of Members with Claims Truncated]], 0)</f>
        <v>0</v>
      </c>
      <c r="AD157" s="417">
        <f>IFERROR(AN_TME_PY[[#This Row],[Total Claims Excluded because of Truncation]]/AN_TME_PY[[#This Row],[TOTAL Non-Truncated Unadjusted Claims Expenses]], 0)</f>
        <v>0</v>
      </c>
    </row>
    <row r="158" spans="1:30" x14ac:dyDescent="0.25">
      <c r="A158" s="370"/>
      <c r="B158" s="371"/>
      <c r="C158" s="371"/>
      <c r="D158" s="372"/>
      <c r="E158" s="373"/>
      <c r="F158" s="373"/>
      <c r="G158" s="373"/>
      <c r="H158" s="373"/>
      <c r="I158" s="373"/>
      <c r="J158" s="373"/>
      <c r="K158" s="373"/>
      <c r="L158" s="373"/>
      <c r="M158" s="373"/>
      <c r="N158" s="373"/>
      <c r="O158" s="373"/>
      <c r="P158" s="373"/>
      <c r="Q158" s="373"/>
      <c r="R158" s="373"/>
      <c r="S158" s="373"/>
      <c r="T158" s="373"/>
      <c r="U158" s="380"/>
      <c r="V158" s="375">
        <f t="shared" si="8"/>
        <v>0</v>
      </c>
      <c r="W158" s="375">
        <f>AN_TME_PY[[#This Row],[TOTAL Non-Truncated Unadjusted Claims Expenses]]-AN_TME_PY[[#This Row],[Total Claims Excluded because of Truncation]]</f>
        <v>0</v>
      </c>
      <c r="X158" s="375">
        <f t="shared" si="9"/>
        <v>0</v>
      </c>
      <c r="Y158" s="375">
        <f>AN_TME_PY[[#This Row],[TOTAL Non-Truncated Unadjusted Claims Expenses]]+AN_TME_PY[[#This Row],[TOTAL Non-Claims Expenses]]</f>
        <v>0</v>
      </c>
      <c r="Z158" s="375">
        <f>AN_TME_PY[[#This Row],[TOTAL Truncated Unadjusted Claims Expenses (A21 -A19)]]+AN_TME_PY[[#This Row],[TOTAL Non-Claims Expenses]]</f>
        <v>0</v>
      </c>
      <c r="AA158" s="416">
        <f>IFERROR(AN_TME_PY[[#This Row],[TOTAL Non-Truncated Unadjusted Expenses (A21 + A23)]]/AN_TME_PY[[#This Row],[Member Months]],0)</f>
        <v>0</v>
      </c>
      <c r="AB158" s="416">
        <f>IFERROR(AN_TME_PY[[#This Row],[TOTAL Truncated Unadjusted Expenses (A22 + A23)]]/AN_TME_PY[[#This Row],[Member Months]],0)</f>
        <v>0</v>
      </c>
      <c r="AC158" s="385">
        <f>IFERROR(AN_TME_PY[[#This Row],[Total Claims Excluded because of Truncation]]/AN_TME_PY[[#This Row],[Count of Members with Claims Truncated]], 0)</f>
        <v>0</v>
      </c>
      <c r="AD158" s="417">
        <f>IFERROR(AN_TME_PY[[#This Row],[Total Claims Excluded because of Truncation]]/AN_TME_PY[[#This Row],[TOTAL Non-Truncated Unadjusted Claims Expenses]], 0)</f>
        <v>0</v>
      </c>
    </row>
    <row r="159" spans="1:30" x14ac:dyDescent="0.25">
      <c r="A159" s="364"/>
      <c r="B159" s="365"/>
      <c r="C159" s="365"/>
      <c r="D159" s="366"/>
      <c r="E159" s="367"/>
      <c r="F159" s="367"/>
      <c r="G159" s="367"/>
      <c r="H159" s="367"/>
      <c r="I159" s="367"/>
      <c r="J159" s="367"/>
      <c r="K159" s="367"/>
      <c r="L159" s="367"/>
      <c r="M159" s="367"/>
      <c r="N159" s="367"/>
      <c r="O159" s="367"/>
      <c r="P159" s="367"/>
      <c r="Q159" s="367"/>
      <c r="R159" s="367"/>
      <c r="S159" s="367"/>
      <c r="T159" s="367"/>
      <c r="U159" s="379"/>
      <c r="V159" s="369">
        <f t="shared" si="8"/>
        <v>0</v>
      </c>
      <c r="W159" s="369">
        <f>AN_TME_PY[[#This Row],[TOTAL Non-Truncated Unadjusted Claims Expenses]]-AN_TME_PY[[#This Row],[Total Claims Excluded because of Truncation]]</f>
        <v>0</v>
      </c>
      <c r="X159" s="369">
        <f t="shared" si="9"/>
        <v>0</v>
      </c>
      <c r="Y159" s="369">
        <f>AN_TME_PY[[#This Row],[TOTAL Non-Truncated Unadjusted Claims Expenses]]+AN_TME_PY[[#This Row],[TOTAL Non-Claims Expenses]]</f>
        <v>0</v>
      </c>
      <c r="Z159" s="369">
        <f>AN_TME_PY[[#This Row],[TOTAL Truncated Unadjusted Claims Expenses (A21 -A19)]]+AN_TME_PY[[#This Row],[TOTAL Non-Claims Expenses]]</f>
        <v>0</v>
      </c>
      <c r="AA159" s="415">
        <f>IFERROR(AN_TME_PY[[#This Row],[TOTAL Non-Truncated Unadjusted Expenses (A21 + A23)]]/AN_TME_PY[[#This Row],[Member Months]],0)</f>
        <v>0</v>
      </c>
      <c r="AB159" s="415">
        <f>IFERROR(AN_TME_PY[[#This Row],[TOTAL Truncated Unadjusted Expenses (A22 + A23)]]/AN_TME_PY[[#This Row],[Member Months]],0)</f>
        <v>0</v>
      </c>
      <c r="AC159" s="385">
        <f>IFERROR(AN_TME_PY[[#This Row],[Total Claims Excluded because of Truncation]]/AN_TME_PY[[#This Row],[Count of Members with Claims Truncated]], 0)</f>
        <v>0</v>
      </c>
      <c r="AD159" s="417">
        <f>IFERROR(AN_TME_PY[[#This Row],[Total Claims Excluded because of Truncation]]/AN_TME_PY[[#This Row],[TOTAL Non-Truncated Unadjusted Claims Expenses]], 0)</f>
        <v>0</v>
      </c>
    </row>
    <row r="160" spans="1:30" x14ac:dyDescent="0.25">
      <c r="A160" s="370"/>
      <c r="B160" s="371"/>
      <c r="C160" s="371"/>
      <c r="D160" s="372"/>
      <c r="E160" s="373"/>
      <c r="F160" s="373"/>
      <c r="G160" s="373"/>
      <c r="H160" s="373"/>
      <c r="I160" s="373"/>
      <c r="J160" s="373"/>
      <c r="K160" s="373"/>
      <c r="L160" s="373"/>
      <c r="M160" s="373"/>
      <c r="N160" s="373"/>
      <c r="O160" s="373"/>
      <c r="P160" s="373"/>
      <c r="Q160" s="373"/>
      <c r="R160" s="373"/>
      <c r="S160" s="373"/>
      <c r="T160" s="373"/>
      <c r="U160" s="380"/>
      <c r="V160" s="375">
        <f t="shared" si="8"/>
        <v>0</v>
      </c>
      <c r="W160" s="375">
        <f>AN_TME_PY[[#This Row],[TOTAL Non-Truncated Unadjusted Claims Expenses]]-AN_TME_PY[[#This Row],[Total Claims Excluded because of Truncation]]</f>
        <v>0</v>
      </c>
      <c r="X160" s="375">
        <f t="shared" si="9"/>
        <v>0</v>
      </c>
      <c r="Y160" s="375">
        <f>AN_TME_PY[[#This Row],[TOTAL Non-Truncated Unadjusted Claims Expenses]]+AN_TME_PY[[#This Row],[TOTAL Non-Claims Expenses]]</f>
        <v>0</v>
      </c>
      <c r="Z160" s="375">
        <f>AN_TME_PY[[#This Row],[TOTAL Truncated Unadjusted Claims Expenses (A21 -A19)]]+AN_TME_PY[[#This Row],[TOTAL Non-Claims Expenses]]</f>
        <v>0</v>
      </c>
      <c r="AA160" s="416">
        <f>IFERROR(AN_TME_PY[[#This Row],[TOTAL Non-Truncated Unadjusted Expenses (A21 + A23)]]/AN_TME_PY[[#This Row],[Member Months]],0)</f>
        <v>0</v>
      </c>
      <c r="AB160" s="416">
        <f>IFERROR(AN_TME_PY[[#This Row],[TOTAL Truncated Unadjusted Expenses (A22 + A23)]]/AN_TME_PY[[#This Row],[Member Months]],0)</f>
        <v>0</v>
      </c>
      <c r="AC160" s="385">
        <f>IFERROR(AN_TME_PY[[#This Row],[Total Claims Excluded because of Truncation]]/AN_TME_PY[[#This Row],[Count of Members with Claims Truncated]], 0)</f>
        <v>0</v>
      </c>
      <c r="AD160" s="417">
        <f>IFERROR(AN_TME_PY[[#This Row],[Total Claims Excluded because of Truncation]]/AN_TME_PY[[#This Row],[TOTAL Non-Truncated Unadjusted Claims Expenses]], 0)</f>
        <v>0</v>
      </c>
    </row>
    <row r="161" spans="1:30" x14ac:dyDescent="0.25">
      <c r="A161" s="364"/>
      <c r="B161" s="365"/>
      <c r="C161" s="365"/>
      <c r="D161" s="366"/>
      <c r="E161" s="367"/>
      <c r="F161" s="367"/>
      <c r="G161" s="367"/>
      <c r="H161" s="367"/>
      <c r="I161" s="367"/>
      <c r="J161" s="367"/>
      <c r="K161" s="367"/>
      <c r="L161" s="367"/>
      <c r="M161" s="367"/>
      <c r="N161" s="367"/>
      <c r="O161" s="367"/>
      <c r="P161" s="367"/>
      <c r="Q161" s="367"/>
      <c r="R161" s="367"/>
      <c r="S161" s="367"/>
      <c r="T161" s="367"/>
      <c r="U161" s="379"/>
      <c r="V161" s="369">
        <f t="shared" si="8"/>
        <v>0</v>
      </c>
      <c r="W161" s="369">
        <f>AN_TME_PY[[#This Row],[TOTAL Non-Truncated Unadjusted Claims Expenses]]-AN_TME_PY[[#This Row],[Total Claims Excluded because of Truncation]]</f>
        <v>0</v>
      </c>
      <c r="X161" s="369">
        <f t="shared" si="9"/>
        <v>0</v>
      </c>
      <c r="Y161" s="369">
        <f>AN_TME_PY[[#This Row],[TOTAL Non-Truncated Unadjusted Claims Expenses]]+AN_TME_PY[[#This Row],[TOTAL Non-Claims Expenses]]</f>
        <v>0</v>
      </c>
      <c r="Z161" s="369">
        <f>AN_TME_PY[[#This Row],[TOTAL Truncated Unadjusted Claims Expenses (A21 -A19)]]+AN_TME_PY[[#This Row],[TOTAL Non-Claims Expenses]]</f>
        <v>0</v>
      </c>
      <c r="AA161" s="415">
        <f>IFERROR(AN_TME_PY[[#This Row],[TOTAL Non-Truncated Unadjusted Expenses (A21 + A23)]]/AN_TME_PY[[#This Row],[Member Months]],0)</f>
        <v>0</v>
      </c>
      <c r="AB161" s="415">
        <f>IFERROR(AN_TME_PY[[#This Row],[TOTAL Truncated Unadjusted Expenses (A22 + A23)]]/AN_TME_PY[[#This Row],[Member Months]],0)</f>
        <v>0</v>
      </c>
      <c r="AC161" s="385">
        <f>IFERROR(AN_TME_PY[[#This Row],[Total Claims Excluded because of Truncation]]/AN_TME_PY[[#This Row],[Count of Members with Claims Truncated]], 0)</f>
        <v>0</v>
      </c>
      <c r="AD161" s="417">
        <f>IFERROR(AN_TME_PY[[#This Row],[Total Claims Excluded because of Truncation]]/AN_TME_PY[[#This Row],[TOTAL Non-Truncated Unadjusted Claims Expenses]], 0)</f>
        <v>0</v>
      </c>
    </row>
    <row r="162" spans="1:30" x14ac:dyDescent="0.25">
      <c r="A162" s="370"/>
      <c r="B162" s="371"/>
      <c r="C162" s="371"/>
      <c r="D162" s="372"/>
      <c r="E162" s="373"/>
      <c r="F162" s="373"/>
      <c r="G162" s="373"/>
      <c r="H162" s="373"/>
      <c r="I162" s="373"/>
      <c r="J162" s="373"/>
      <c r="K162" s="373"/>
      <c r="L162" s="373"/>
      <c r="M162" s="373"/>
      <c r="N162" s="373"/>
      <c r="O162" s="373"/>
      <c r="P162" s="373"/>
      <c r="Q162" s="373"/>
      <c r="R162" s="373"/>
      <c r="S162" s="373"/>
      <c r="T162" s="373"/>
      <c r="U162" s="380"/>
      <c r="V162" s="375">
        <f t="shared" si="8"/>
        <v>0</v>
      </c>
      <c r="W162" s="375">
        <f>AN_TME_PY[[#This Row],[TOTAL Non-Truncated Unadjusted Claims Expenses]]-AN_TME_PY[[#This Row],[Total Claims Excluded because of Truncation]]</f>
        <v>0</v>
      </c>
      <c r="X162" s="375">
        <f t="shared" si="9"/>
        <v>0</v>
      </c>
      <c r="Y162" s="375">
        <f>AN_TME_PY[[#This Row],[TOTAL Non-Truncated Unadjusted Claims Expenses]]+AN_TME_PY[[#This Row],[TOTAL Non-Claims Expenses]]</f>
        <v>0</v>
      </c>
      <c r="Z162" s="375">
        <f>AN_TME_PY[[#This Row],[TOTAL Truncated Unadjusted Claims Expenses (A21 -A19)]]+AN_TME_PY[[#This Row],[TOTAL Non-Claims Expenses]]</f>
        <v>0</v>
      </c>
      <c r="AA162" s="416">
        <f>IFERROR(AN_TME_PY[[#This Row],[TOTAL Non-Truncated Unadjusted Expenses (A21 + A23)]]/AN_TME_PY[[#This Row],[Member Months]],0)</f>
        <v>0</v>
      </c>
      <c r="AB162" s="416">
        <f>IFERROR(AN_TME_PY[[#This Row],[TOTAL Truncated Unadjusted Expenses (A22 + A23)]]/AN_TME_PY[[#This Row],[Member Months]],0)</f>
        <v>0</v>
      </c>
      <c r="AC162" s="385">
        <f>IFERROR(AN_TME_PY[[#This Row],[Total Claims Excluded because of Truncation]]/AN_TME_PY[[#This Row],[Count of Members with Claims Truncated]], 0)</f>
        <v>0</v>
      </c>
      <c r="AD162" s="417">
        <f>IFERROR(AN_TME_PY[[#This Row],[Total Claims Excluded because of Truncation]]/AN_TME_PY[[#This Row],[TOTAL Non-Truncated Unadjusted Claims Expenses]], 0)</f>
        <v>0</v>
      </c>
    </row>
    <row r="163" spans="1:30" x14ac:dyDescent="0.25">
      <c r="A163" s="364"/>
      <c r="B163" s="365"/>
      <c r="C163" s="365"/>
      <c r="D163" s="366"/>
      <c r="E163" s="367"/>
      <c r="F163" s="367"/>
      <c r="G163" s="367"/>
      <c r="H163" s="367"/>
      <c r="I163" s="367"/>
      <c r="J163" s="367"/>
      <c r="K163" s="367"/>
      <c r="L163" s="367"/>
      <c r="M163" s="367"/>
      <c r="N163" s="367"/>
      <c r="O163" s="367"/>
      <c r="P163" s="367"/>
      <c r="Q163" s="367"/>
      <c r="R163" s="367"/>
      <c r="S163" s="367"/>
      <c r="T163" s="367"/>
      <c r="U163" s="379"/>
      <c r="V163" s="369">
        <f t="shared" si="8"/>
        <v>0</v>
      </c>
      <c r="W163" s="369">
        <f>AN_TME_PY[[#This Row],[TOTAL Non-Truncated Unadjusted Claims Expenses]]-AN_TME_PY[[#This Row],[Total Claims Excluded because of Truncation]]</f>
        <v>0</v>
      </c>
      <c r="X163" s="369">
        <f t="shared" si="9"/>
        <v>0</v>
      </c>
      <c r="Y163" s="369">
        <f>AN_TME_PY[[#This Row],[TOTAL Non-Truncated Unadjusted Claims Expenses]]+AN_TME_PY[[#This Row],[TOTAL Non-Claims Expenses]]</f>
        <v>0</v>
      </c>
      <c r="Z163" s="369">
        <f>AN_TME_PY[[#This Row],[TOTAL Truncated Unadjusted Claims Expenses (A21 -A19)]]+AN_TME_PY[[#This Row],[TOTAL Non-Claims Expenses]]</f>
        <v>0</v>
      </c>
      <c r="AA163" s="415">
        <f>IFERROR(AN_TME_PY[[#This Row],[TOTAL Non-Truncated Unadjusted Expenses (A21 + A23)]]/AN_TME_PY[[#This Row],[Member Months]],0)</f>
        <v>0</v>
      </c>
      <c r="AB163" s="415">
        <f>IFERROR(AN_TME_PY[[#This Row],[TOTAL Truncated Unadjusted Expenses (A22 + A23)]]/AN_TME_PY[[#This Row],[Member Months]],0)</f>
        <v>0</v>
      </c>
      <c r="AC163" s="385">
        <f>IFERROR(AN_TME_PY[[#This Row],[Total Claims Excluded because of Truncation]]/AN_TME_PY[[#This Row],[Count of Members with Claims Truncated]], 0)</f>
        <v>0</v>
      </c>
      <c r="AD163" s="417">
        <f>IFERROR(AN_TME_PY[[#This Row],[Total Claims Excluded because of Truncation]]/AN_TME_PY[[#This Row],[TOTAL Non-Truncated Unadjusted Claims Expenses]], 0)</f>
        <v>0</v>
      </c>
    </row>
    <row r="164" spans="1:30" x14ac:dyDescent="0.25">
      <c r="A164" s="370"/>
      <c r="B164" s="371"/>
      <c r="C164" s="371"/>
      <c r="D164" s="372"/>
      <c r="E164" s="373"/>
      <c r="F164" s="373"/>
      <c r="G164" s="373"/>
      <c r="H164" s="373"/>
      <c r="I164" s="373"/>
      <c r="J164" s="373"/>
      <c r="K164" s="373"/>
      <c r="L164" s="373"/>
      <c r="M164" s="373"/>
      <c r="N164" s="373"/>
      <c r="O164" s="373"/>
      <c r="P164" s="373"/>
      <c r="Q164" s="373"/>
      <c r="R164" s="373"/>
      <c r="S164" s="373"/>
      <c r="T164" s="373"/>
      <c r="U164" s="380"/>
      <c r="V164" s="375">
        <f t="shared" si="8"/>
        <v>0</v>
      </c>
      <c r="W164" s="375">
        <f>AN_TME_PY[[#This Row],[TOTAL Non-Truncated Unadjusted Claims Expenses]]-AN_TME_PY[[#This Row],[Total Claims Excluded because of Truncation]]</f>
        <v>0</v>
      </c>
      <c r="X164" s="375">
        <f t="shared" si="9"/>
        <v>0</v>
      </c>
      <c r="Y164" s="375">
        <f>AN_TME_PY[[#This Row],[TOTAL Non-Truncated Unadjusted Claims Expenses]]+AN_TME_PY[[#This Row],[TOTAL Non-Claims Expenses]]</f>
        <v>0</v>
      </c>
      <c r="Z164" s="375">
        <f>AN_TME_PY[[#This Row],[TOTAL Truncated Unadjusted Claims Expenses (A21 -A19)]]+AN_TME_PY[[#This Row],[TOTAL Non-Claims Expenses]]</f>
        <v>0</v>
      </c>
      <c r="AA164" s="416">
        <f>IFERROR(AN_TME_PY[[#This Row],[TOTAL Non-Truncated Unadjusted Expenses (A21 + A23)]]/AN_TME_PY[[#This Row],[Member Months]],0)</f>
        <v>0</v>
      </c>
      <c r="AB164" s="416">
        <f>IFERROR(AN_TME_PY[[#This Row],[TOTAL Truncated Unadjusted Expenses (A22 + A23)]]/AN_TME_PY[[#This Row],[Member Months]],0)</f>
        <v>0</v>
      </c>
      <c r="AC164" s="385">
        <f>IFERROR(AN_TME_PY[[#This Row],[Total Claims Excluded because of Truncation]]/AN_TME_PY[[#This Row],[Count of Members with Claims Truncated]], 0)</f>
        <v>0</v>
      </c>
      <c r="AD164" s="417">
        <f>IFERROR(AN_TME_PY[[#This Row],[Total Claims Excluded because of Truncation]]/AN_TME_PY[[#This Row],[TOTAL Non-Truncated Unadjusted Claims Expenses]], 0)</f>
        <v>0</v>
      </c>
    </row>
    <row r="165" spans="1:30" x14ac:dyDescent="0.25">
      <c r="A165" s="364"/>
      <c r="B165" s="365"/>
      <c r="C165" s="365"/>
      <c r="D165" s="366"/>
      <c r="E165" s="367"/>
      <c r="F165" s="367"/>
      <c r="G165" s="367"/>
      <c r="H165" s="367"/>
      <c r="I165" s="367"/>
      <c r="J165" s="367"/>
      <c r="K165" s="367"/>
      <c r="L165" s="367"/>
      <c r="M165" s="367"/>
      <c r="N165" s="367"/>
      <c r="O165" s="367"/>
      <c r="P165" s="367"/>
      <c r="Q165" s="367"/>
      <c r="R165" s="367"/>
      <c r="S165" s="367"/>
      <c r="T165" s="367"/>
      <c r="U165" s="379"/>
      <c r="V165" s="369">
        <f t="shared" si="8"/>
        <v>0</v>
      </c>
      <c r="W165" s="369">
        <f>AN_TME_PY[[#This Row],[TOTAL Non-Truncated Unadjusted Claims Expenses]]-AN_TME_PY[[#This Row],[Total Claims Excluded because of Truncation]]</f>
        <v>0</v>
      </c>
      <c r="X165" s="369">
        <f t="shared" si="9"/>
        <v>0</v>
      </c>
      <c r="Y165" s="369">
        <f>AN_TME_PY[[#This Row],[TOTAL Non-Truncated Unadjusted Claims Expenses]]+AN_TME_PY[[#This Row],[TOTAL Non-Claims Expenses]]</f>
        <v>0</v>
      </c>
      <c r="Z165" s="369">
        <f>AN_TME_PY[[#This Row],[TOTAL Truncated Unadjusted Claims Expenses (A21 -A19)]]+AN_TME_PY[[#This Row],[TOTAL Non-Claims Expenses]]</f>
        <v>0</v>
      </c>
      <c r="AA165" s="415">
        <f>IFERROR(AN_TME_PY[[#This Row],[TOTAL Non-Truncated Unadjusted Expenses (A21 + A23)]]/AN_TME_PY[[#This Row],[Member Months]],0)</f>
        <v>0</v>
      </c>
      <c r="AB165" s="415">
        <f>IFERROR(AN_TME_PY[[#This Row],[TOTAL Truncated Unadjusted Expenses (A22 + A23)]]/AN_TME_PY[[#This Row],[Member Months]],0)</f>
        <v>0</v>
      </c>
      <c r="AC165" s="385">
        <f>IFERROR(AN_TME_PY[[#This Row],[Total Claims Excluded because of Truncation]]/AN_TME_PY[[#This Row],[Count of Members with Claims Truncated]], 0)</f>
        <v>0</v>
      </c>
      <c r="AD165" s="417">
        <f>IFERROR(AN_TME_PY[[#This Row],[Total Claims Excluded because of Truncation]]/AN_TME_PY[[#This Row],[TOTAL Non-Truncated Unadjusted Claims Expenses]], 0)</f>
        <v>0</v>
      </c>
    </row>
    <row r="166" spans="1:30" x14ac:dyDescent="0.25">
      <c r="A166" s="370"/>
      <c r="B166" s="371"/>
      <c r="C166" s="371"/>
      <c r="D166" s="372"/>
      <c r="E166" s="373"/>
      <c r="F166" s="373"/>
      <c r="G166" s="373"/>
      <c r="H166" s="373"/>
      <c r="I166" s="373"/>
      <c r="J166" s="373"/>
      <c r="K166" s="373"/>
      <c r="L166" s="373"/>
      <c r="M166" s="373"/>
      <c r="N166" s="373"/>
      <c r="O166" s="373"/>
      <c r="P166" s="373"/>
      <c r="Q166" s="373"/>
      <c r="R166" s="373"/>
      <c r="S166" s="373"/>
      <c r="T166" s="373"/>
      <c r="U166" s="380"/>
      <c r="V166" s="375">
        <f t="shared" si="8"/>
        <v>0</v>
      </c>
      <c r="W166" s="375">
        <f>AN_TME_PY[[#This Row],[TOTAL Non-Truncated Unadjusted Claims Expenses]]-AN_TME_PY[[#This Row],[Total Claims Excluded because of Truncation]]</f>
        <v>0</v>
      </c>
      <c r="X166" s="375">
        <f t="shared" si="9"/>
        <v>0</v>
      </c>
      <c r="Y166" s="375">
        <f>AN_TME_PY[[#This Row],[TOTAL Non-Truncated Unadjusted Claims Expenses]]+AN_TME_PY[[#This Row],[TOTAL Non-Claims Expenses]]</f>
        <v>0</v>
      </c>
      <c r="Z166" s="375">
        <f>AN_TME_PY[[#This Row],[TOTAL Truncated Unadjusted Claims Expenses (A21 -A19)]]+AN_TME_PY[[#This Row],[TOTAL Non-Claims Expenses]]</f>
        <v>0</v>
      </c>
      <c r="AA166" s="416">
        <f>IFERROR(AN_TME_PY[[#This Row],[TOTAL Non-Truncated Unadjusted Expenses (A21 + A23)]]/AN_TME_PY[[#This Row],[Member Months]],0)</f>
        <v>0</v>
      </c>
      <c r="AB166" s="416">
        <f>IFERROR(AN_TME_PY[[#This Row],[TOTAL Truncated Unadjusted Expenses (A22 + A23)]]/AN_TME_PY[[#This Row],[Member Months]],0)</f>
        <v>0</v>
      </c>
      <c r="AC166" s="385">
        <f>IFERROR(AN_TME_PY[[#This Row],[Total Claims Excluded because of Truncation]]/AN_TME_PY[[#This Row],[Count of Members with Claims Truncated]], 0)</f>
        <v>0</v>
      </c>
      <c r="AD166" s="417">
        <f>IFERROR(AN_TME_PY[[#This Row],[Total Claims Excluded because of Truncation]]/AN_TME_PY[[#This Row],[TOTAL Non-Truncated Unadjusted Claims Expenses]], 0)</f>
        <v>0</v>
      </c>
    </row>
    <row r="167" spans="1:30" x14ac:dyDescent="0.25">
      <c r="A167" s="364"/>
      <c r="B167" s="365"/>
      <c r="C167" s="365"/>
      <c r="D167" s="366"/>
      <c r="E167" s="367"/>
      <c r="F167" s="367"/>
      <c r="G167" s="367"/>
      <c r="H167" s="367"/>
      <c r="I167" s="367"/>
      <c r="J167" s="367"/>
      <c r="K167" s="367"/>
      <c r="L167" s="367"/>
      <c r="M167" s="367"/>
      <c r="N167" s="367"/>
      <c r="O167" s="367"/>
      <c r="P167" s="367"/>
      <c r="Q167" s="367"/>
      <c r="R167" s="367"/>
      <c r="S167" s="367"/>
      <c r="T167" s="367"/>
      <c r="U167" s="379"/>
      <c r="V167" s="369">
        <f t="shared" si="8"/>
        <v>0</v>
      </c>
      <c r="W167" s="369">
        <f>AN_TME_PY[[#This Row],[TOTAL Non-Truncated Unadjusted Claims Expenses]]-AN_TME_PY[[#This Row],[Total Claims Excluded because of Truncation]]</f>
        <v>0</v>
      </c>
      <c r="X167" s="369">
        <f t="shared" si="9"/>
        <v>0</v>
      </c>
      <c r="Y167" s="369">
        <f>AN_TME_PY[[#This Row],[TOTAL Non-Truncated Unadjusted Claims Expenses]]+AN_TME_PY[[#This Row],[TOTAL Non-Claims Expenses]]</f>
        <v>0</v>
      </c>
      <c r="Z167" s="369">
        <f>AN_TME_PY[[#This Row],[TOTAL Truncated Unadjusted Claims Expenses (A21 -A19)]]+AN_TME_PY[[#This Row],[TOTAL Non-Claims Expenses]]</f>
        <v>0</v>
      </c>
      <c r="AA167" s="415">
        <f>IFERROR(AN_TME_PY[[#This Row],[TOTAL Non-Truncated Unadjusted Expenses (A21 + A23)]]/AN_TME_PY[[#This Row],[Member Months]],0)</f>
        <v>0</v>
      </c>
      <c r="AB167" s="415">
        <f>IFERROR(AN_TME_PY[[#This Row],[TOTAL Truncated Unadjusted Expenses (A22 + A23)]]/AN_TME_PY[[#This Row],[Member Months]],0)</f>
        <v>0</v>
      </c>
      <c r="AC167" s="385">
        <f>IFERROR(AN_TME_PY[[#This Row],[Total Claims Excluded because of Truncation]]/AN_TME_PY[[#This Row],[Count of Members with Claims Truncated]], 0)</f>
        <v>0</v>
      </c>
      <c r="AD167" s="417">
        <f>IFERROR(AN_TME_PY[[#This Row],[Total Claims Excluded because of Truncation]]/AN_TME_PY[[#This Row],[TOTAL Non-Truncated Unadjusted Claims Expenses]], 0)</f>
        <v>0</v>
      </c>
    </row>
    <row r="168" spans="1:30" x14ac:dyDescent="0.25">
      <c r="A168" s="370"/>
      <c r="B168" s="371"/>
      <c r="C168" s="371"/>
      <c r="D168" s="372"/>
      <c r="E168" s="373"/>
      <c r="F168" s="373"/>
      <c r="G168" s="373"/>
      <c r="H168" s="373"/>
      <c r="I168" s="373"/>
      <c r="J168" s="373"/>
      <c r="K168" s="373"/>
      <c r="L168" s="373"/>
      <c r="M168" s="373"/>
      <c r="N168" s="373"/>
      <c r="O168" s="373"/>
      <c r="P168" s="373"/>
      <c r="Q168" s="373"/>
      <c r="R168" s="373"/>
      <c r="S168" s="373"/>
      <c r="T168" s="373"/>
      <c r="U168" s="380"/>
      <c r="V168" s="375">
        <f t="shared" si="8"/>
        <v>0</v>
      </c>
      <c r="W168" s="375">
        <f>AN_TME_PY[[#This Row],[TOTAL Non-Truncated Unadjusted Claims Expenses]]-AN_TME_PY[[#This Row],[Total Claims Excluded because of Truncation]]</f>
        <v>0</v>
      </c>
      <c r="X168" s="375">
        <f t="shared" si="9"/>
        <v>0</v>
      </c>
      <c r="Y168" s="375">
        <f>AN_TME_PY[[#This Row],[TOTAL Non-Truncated Unadjusted Claims Expenses]]+AN_TME_PY[[#This Row],[TOTAL Non-Claims Expenses]]</f>
        <v>0</v>
      </c>
      <c r="Z168" s="375">
        <f>AN_TME_PY[[#This Row],[TOTAL Truncated Unadjusted Claims Expenses (A21 -A19)]]+AN_TME_PY[[#This Row],[TOTAL Non-Claims Expenses]]</f>
        <v>0</v>
      </c>
      <c r="AA168" s="416">
        <f>IFERROR(AN_TME_PY[[#This Row],[TOTAL Non-Truncated Unadjusted Expenses (A21 + A23)]]/AN_TME_PY[[#This Row],[Member Months]],0)</f>
        <v>0</v>
      </c>
      <c r="AB168" s="416">
        <f>IFERROR(AN_TME_PY[[#This Row],[TOTAL Truncated Unadjusted Expenses (A22 + A23)]]/AN_TME_PY[[#This Row],[Member Months]],0)</f>
        <v>0</v>
      </c>
      <c r="AC168" s="385">
        <f>IFERROR(AN_TME_PY[[#This Row],[Total Claims Excluded because of Truncation]]/AN_TME_PY[[#This Row],[Count of Members with Claims Truncated]], 0)</f>
        <v>0</v>
      </c>
      <c r="AD168" s="417">
        <f>IFERROR(AN_TME_PY[[#This Row],[Total Claims Excluded because of Truncation]]/AN_TME_PY[[#This Row],[TOTAL Non-Truncated Unadjusted Claims Expenses]], 0)</f>
        <v>0</v>
      </c>
    </row>
    <row r="169" spans="1:30" x14ac:dyDescent="0.25">
      <c r="A169" s="364"/>
      <c r="B169" s="365"/>
      <c r="C169" s="365"/>
      <c r="D169" s="366"/>
      <c r="E169" s="367"/>
      <c r="F169" s="367"/>
      <c r="G169" s="367"/>
      <c r="H169" s="367"/>
      <c r="I169" s="367"/>
      <c r="J169" s="367"/>
      <c r="K169" s="367"/>
      <c r="L169" s="367"/>
      <c r="M169" s="367"/>
      <c r="N169" s="367"/>
      <c r="O169" s="367"/>
      <c r="P169" s="367"/>
      <c r="Q169" s="367"/>
      <c r="R169" s="367"/>
      <c r="S169" s="367"/>
      <c r="T169" s="367"/>
      <c r="U169" s="379"/>
      <c r="V169" s="369">
        <f t="shared" si="8"/>
        <v>0</v>
      </c>
      <c r="W169" s="369">
        <f>AN_TME_PY[[#This Row],[TOTAL Non-Truncated Unadjusted Claims Expenses]]-AN_TME_PY[[#This Row],[Total Claims Excluded because of Truncation]]</f>
        <v>0</v>
      </c>
      <c r="X169" s="369">
        <f t="shared" si="9"/>
        <v>0</v>
      </c>
      <c r="Y169" s="369">
        <f>AN_TME_PY[[#This Row],[TOTAL Non-Truncated Unadjusted Claims Expenses]]+AN_TME_PY[[#This Row],[TOTAL Non-Claims Expenses]]</f>
        <v>0</v>
      </c>
      <c r="Z169" s="369">
        <f>AN_TME_PY[[#This Row],[TOTAL Truncated Unadjusted Claims Expenses (A21 -A19)]]+AN_TME_PY[[#This Row],[TOTAL Non-Claims Expenses]]</f>
        <v>0</v>
      </c>
      <c r="AA169" s="415">
        <f>IFERROR(AN_TME_PY[[#This Row],[TOTAL Non-Truncated Unadjusted Expenses (A21 + A23)]]/AN_TME_PY[[#This Row],[Member Months]],0)</f>
        <v>0</v>
      </c>
      <c r="AB169" s="415">
        <f>IFERROR(AN_TME_PY[[#This Row],[TOTAL Truncated Unadjusted Expenses (A22 + A23)]]/AN_TME_PY[[#This Row],[Member Months]],0)</f>
        <v>0</v>
      </c>
      <c r="AC169" s="385">
        <f>IFERROR(AN_TME_PY[[#This Row],[Total Claims Excluded because of Truncation]]/AN_TME_PY[[#This Row],[Count of Members with Claims Truncated]], 0)</f>
        <v>0</v>
      </c>
      <c r="AD169" s="417">
        <f>IFERROR(AN_TME_PY[[#This Row],[Total Claims Excluded because of Truncation]]/AN_TME_PY[[#This Row],[TOTAL Non-Truncated Unadjusted Claims Expenses]], 0)</f>
        <v>0</v>
      </c>
    </row>
    <row r="170" spans="1:30" x14ac:dyDescent="0.25">
      <c r="A170" s="370"/>
      <c r="B170" s="371"/>
      <c r="C170" s="371"/>
      <c r="D170" s="372"/>
      <c r="E170" s="373"/>
      <c r="F170" s="373"/>
      <c r="G170" s="373"/>
      <c r="H170" s="373"/>
      <c r="I170" s="373"/>
      <c r="J170" s="373"/>
      <c r="K170" s="373"/>
      <c r="L170" s="373"/>
      <c r="M170" s="373"/>
      <c r="N170" s="373"/>
      <c r="O170" s="373"/>
      <c r="P170" s="373"/>
      <c r="Q170" s="373"/>
      <c r="R170" s="373"/>
      <c r="S170" s="373"/>
      <c r="T170" s="373"/>
      <c r="U170" s="380"/>
      <c r="V170" s="375">
        <f t="shared" si="8"/>
        <v>0</v>
      </c>
      <c r="W170" s="375">
        <f>AN_TME_PY[[#This Row],[TOTAL Non-Truncated Unadjusted Claims Expenses]]-AN_TME_PY[[#This Row],[Total Claims Excluded because of Truncation]]</f>
        <v>0</v>
      </c>
      <c r="X170" s="375">
        <f t="shared" si="9"/>
        <v>0</v>
      </c>
      <c r="Y170" s="375">
        <f>AN_TME_PY[[#This Row],[TOTAL Non-Truncated Unadjusted Claims Expenses]]+AN_TME_PY[[#This Row],[TOTAL Non-Claims Expenses]]</f>
        <v>0</v>
      </c>
      <c r="Z170" s="375">
        <f>AN_TME_PY[[#This Row],[TOTAL Truncated Unadjusted Claims Expenses (A21 -A19)]]+AN_TME_PY[[#This Row],[TOTAL Non-Claims Expenses]]</f>
        <v>0</v>
      </c>
      <c r="AA170" s="416">
        <f>IFERROR(AN_TME_PY[[#This Row],[TOTAL Non-Truncated Unadjusted Expenses (A21 + A23)]]/AN_TME_PY[[#This Row],[Member Months]],0)</f>
        <v>0</v>
      </c>
      <c r="AB170" s="416">
        <f>IFERROR(AN_TME_PY[[#This Row],[TOTAL Truncated Unadjusted Expenses (A22 + A23)]]/AN_TME_PY[[#This Row],[Member Months]],0)</f>
        <v>0</v>
      </c>
      <c r="AC170" s="385">
        <f>IFERROR(AN_TME_PY[[#This Row],[Total Claims Excluded because of Truncation]]/AN_TME_PY[[#This Row],[Count of Members with Claims Truncated]], 0)</f>
        <v>0</v>
      </c>
      <c r="AD170" s="417">
        <f>IFERROR(AN_TME_PY[[#This Row],[Total Claims Excluded because of Truncation]]/AN_TME_PY[[#This Row],[TOTAL Non-Truncated Unadjusted Claims Expenses]], 0)</f>
        <v>0</v>
      </c>
    </row>
    <row r="171" spans="1:30" x14ac:dyDescent="0.25">
      <c r="A171" s="364"/>
      <c r="B171" s="365"/>
      <c r="C171" s="365"/>
      <c r="D171" s="366"/>
      <c r="E171" s="367"/>
      <c r="F171" s="367"/>
      <c r="G171" s="367"/>
      <c r="H171" s="367"/>
      <c r="I171" s="367"/>
      <c r="J171" s="367"/>
      <c r="K171" s="367"/>
      <c r="L171" s="367"/>
      <c r="M171" s="367"/>
      <c r="N171" s="367"/>
      <c r="O171" s="367"/>
      <c r="P171" s="367"/>
      <c r="Q171" s="367"/>
      <c r="R171" s="367"/>
      <c r="S171" s="367"/>
      <c r="T171" s="367"/>
      <c r="U171" s="379"/>
      <c r="V171" s="369">
        <f t="shared" ref="V171:V200" si="10">SUM(E171:G171)+SUM(I171:M171)</f>
        <v>0</v>
      </c>
      <c r="W171" s="369">
        <f>AN_TME_PY[[#This Row],[TOTAL Non-Truncated Unadjusted Claims Expenses]]-AN_TME_PY[[#This Row],[Total Claims Excluded because of Truncation]]</f>
        <v>0</v>
      </c>
      <c r="X171" s="369">
        <f t="shared" ref="X171:X200" si="11">SUM(N171:R171)</f>
        <v>0</v>
      </c>
      <c r="Y171" s="369">
        <f>AN_TME_PY[[#This Row],[TOTAL Non-Truncated Unadjusted Claims Expenses]]+AN_TME_PY[[#This Row],[TOTAL Non-Claims Expenses]]</f>
        <v>0</v>
      </c>
      <c r="Z171" s="369">
        <f>AN_TME_PY[[#This Row],[TOTAL Truncated Unadjusted Claims Expenses (A21 -A19)]]+AN_TME_PY[[#This Row],[TOTAL Non-Claims Expenses]]</f>
        <v>0</v>
      </c>
      <c r="AA171" s="415">
        <f>IFERROR(AN_TME_PY[[#This Row],[TOTAL Non-Truncated Unadjusted Expenses (A21 + A23)]]/AN_TME_PY[[#This Row],[Member Months]],0)</f>
        <v>0</v>
      </c>
      <c r="AB171" s="415">
        <f>IFERROR(AN_TME_PY[[#This Row],[TOTAL Truncated Unadjusted Expenses (A22 + A23)]]/AN_TME_PY[[#This Row],[Member Months]],0)</f>
        <v>0</v>
      </c>
      <c r="AC171" s="385">
        <f>IFERROR(AN_TME_PY[[#This Row],[Total Claims Excluded because of Truncation]]/AN_TME_PY[[#This Row],[Count of Members with Claims Truncated]], 0)</f>
        <v>0</v>
      </c>
      <c r="AD171" s="417">
        <f>IFERROR(AN_TME_PY[[#This Row],[Total Claims Excluded because of Truncation]]/AN_TME_PY[[#This Row],[TOTAL Non-Truncated Unadjusted Claims Expenses]], 0)</f>
        <v>0</v>
      </c>
    </row>
    <row r="172" spans="1:30" x14ac:dyDescent="0.25">
      <c r="A172" s="370"/>
      <c r="B172" s="371"/>
      <c r="C172" s="371"/>
      <c r="D172" s="372"/>
      <c r="E172" s="373"/>
      <c r="F172" s="373"/>
      <c r="G172" s="373"/>
      <c r="H172" s="373"/>
      <c r="I172" s="373"/>
      <c r="J172" s="373"/>
      <c r="K172" s="373"/>
      <c r="L172" s="373"/>
      <c r="M172" s="373"/>
      <c r="N172" s="373"/>
      <c r="O172" s="373"/>
      <c r="P172" s="373"/>
      <c r="Q172" s="373"/>
      <c r="R172" s="373"/>
      <c r="S172" s="373"/>
      <c r="T172" s="373"/>
      <c r="U172" s="380"/>
      <c r="V172" s="375">
        <f t="shared" si="10"/>
        <v>0</v>
      </c>
      <c r="W172" s="375">
        <f>AN_TME_PY[[#This Row],[TOTAL Non-Truncated Unadjusted Claims Expenses]]-AN_TME_PY[[#This Row],[Total Claims Excluded because of Truncation]]</f>
        <v>0</v>
      </c>
      <c r="X172" s="375">
        <f t="shared" si="11"/>
        <v>0</v>
      </c>
      <c r="Y172" s="375">
        <f>AN_TME_PY[[#This Row],[TOTAL Non-Truncated Unadjusted Claims Expenses]]+AN_TME_PY[[#This Row],[TOTAL Non-Claims Expenses]]</f>
        <v>0</v>
      </c>
      <c r="Z172" s="375">
        <f>AN_TME_PY[[#This Row],[TOTAL Truncated Unadjusted Claims Expenses (A21 -A19)]]+AN_TME_PY[[#This Row],[TOTAL Non-Claims Expenses]]</f>
        <v>0</v>
      </c>
      <c r="AA172" s="416">
        <f>IFERROR(AN_TME_PY[[#This Row],[TOTAL Non-Truncated Unadjusted Expenses (A21 + A23)]]/AN_TME_PY[[#This Row],[Member Months]],0)</f>
        <v>0</v>
      </c>
      <c r="AB172" s="416">
        <f>IFERROR(AN_TME_PY[[#This Row],[TOTAL Truncated Unadjusted Expenses (A22 + A23)]]/AN_TME_PY[[#This Row],[Member Months]],0)</f>
        <v>0</v>
      </c>
      <c r="AC172" s="385">
        <f>IFERROR(AN_TME_PY[[#This Row],[Total Claims Excluded because of Truncation]]/AN_TME_PY[[#This Row],[Count of Members with Claims Truncated]], 0)</f>
        <v>0</v>
      </c>
      <c r="AD172" s="417">
        <f>IFERROR(AN_TME_PY[[#This Row],[Total Claims Excluded because of Truncation]]/AN_TME_PY[[#This Row],[TOTAL Non-Truncated Unadjusted Claims Expenses]], 0)</f>
        <v>0</v>
      </c>
    </row>
    <row r="173" spans="1:30" x14ac:dyDescent="0.25">
      <c r="A173" s="364"/>
      <c r="B173" s="365"/>
      <c r="C173" s="365"/>
      <c r="D173" s="366"/>
      <c r="E173" s="367"/>
      <c r="F173" s="367"/>
      <c r="G173" s="367"/>
      <c r="H173" s="367"/>
      <c r="I173" s="367"/>
      <c r="J173" s="367"/>
      <c r="K173" s="367"/>
      <c r="L173" s="367"/>
      <c r="M173" s="367"/>
      <c r="N173" s="367"/>
      <c r="O173" s="367"/>
      <c r="P173" s="367"/>
      <c r="Q173" s="367"/>
      <c r="R173" s="367"/>
      <c r="S173" s="367"/>
      <c r="T173" s="367"/>
      <c r="U173" s="379"/>
      <c r="V173" s="369">
        <f t="shared" si="10"/>
        <v>0</v>
      </c>
      <c r="W173" s="369">
        <f>AN_TME_PY[[#This Row],[TOTAL Non-Truncated Unadjusted Claims Expenses]]-AN_TME_PY[[#This Row],[Total Claims Excluded because of Truncation]]</f>
        <v>0</v>
      </c>
      <c r="X173" s="369">
        <f t="shared" si="11"/>
        <v>0</v>
      </c>
      <c r="Y173" s="369">
        <f>AN_TME_PY[[#This Row],[TOTAL Non-Truncated Unadjusted Claims Expenses]]+AN_TME_PY[[#This Row],[TOTAL Non-Claims Expenses]]</f>
        <v>0</v>
      </c>
      <c r="Z173" s="369">
        <f>AN_TME_PY[[#This Row],[TOTAL Truncated Unadjusted Claims Expenses (A21 -A19)]]+AN_TME_PY[[#This Row],[TOTAL Non-Claims Expenses]]</f>
        <v>0</v>
      </c>
      <c r="AA173" s="415">
        <f>IFERROR(AN_TME_PY[[#This Row],[TOTAL Non-Truncated Unadjusted Expenses (A21 + A23)]]/AN_TME_PY[[#This Row],[Member Months]],0)</f>
        <v>0</v>
      </c>
      <c r="AB173" s="415">
        <f>IFERROR(AN_TME_PY[[#This Row],[TOTAL Truncated Unadjusted Expenses (A22 + A23)]]/AN_TME_PY[[#This Row],[Member Months]],0)</f>
        <v>0</v>
      </c>
      <c r="AC173" s="385">
        <f>IFERROR(AN_TME_PY[[#This Row],[Total Claims Excluded because of Truncation]]/AN_TME_PY[[#This Row],[Count of Members with Claims Truncated]], 0)</f>
        <v>0</v>
      </c>
      <c r="AD173" s="417">
        <f>IFERROR(AN_TME_PY[[#This Row],[Total Claims Excluded because of Truncation]]/AN_TME_PY[[#This Row],[TOTAL Non-Truncated Unadjusted Claims Expenses]], 0)</f>
        <v>0</v>
      </c>
    </row>
    <row r="174" spans="1:30" x14ac:dyDescent="0.25">
      <c r="A174" s="370"/>
      <c r="B174" s="371"/>
      <c r="C174" s="371"/>
      <c r="D174" s="372"/>
      <c r="E174" s="373"/>
      <c r="F174" s="373"/>
      <c r="G174" s="373"/>
      <c r="H174" s="373"/>
      <c r="I174" s="373"/>
      <c r="J174" s="373"/>
      <c r="K174" s="373"/>
      <c r="L174" s="373"/>
      <c r="M174" s="373"/>
      <c r="N174" s="373"/>
      <c r="O174" s="373"/>
      <c r="P174" s="373"/>
      <c r="Q174" s="373"/>
      <c r="R174" s="373"/>
      <c r="S174" s="373"/>
      <c r="T174" s="373"/>
      <c r="U174" s="380"/>
      <c r="V174" s="375">
        <f t="shared" si="10"/>
        <v>0</v>
      </c>
      <c r="W174" s="375">
        <f>AN_TME_PY[[#This Row],[TOTAL Non-Truncated Unadjusted Claims Expenses]]-AN_TME_PY[[#This Row],[Total Claims Excluded because of Truncation]]</f>
        <v>0</v>
      </c>
      <c r="X174" s="375">
        <f t="shared" si="11"/>
        <v>0</v>
      </c>
      <c r="Y174" s="375">
        <f>AN_TME_PY[[#This Row],[TOTAL Non-Truncated Unadjusted Claims Expenses]]+AN_TME_PY[[#This Row],[TOTAL Non-Claims Expenses]]</f>
        <v>0</v>
      </c>
      <c r="Z174" s="375">
        <f>AN_TME_PY[[#This Row],[TOTAL Truncated Unadjusted Claims Expenses (A21 -A19)]]+AN_TME_PY[[#This Row],[TOTAL Non-Claims Expenses]]</f>
        <v>0</v>
      </c>
      <c r="AA174" s="416">
        <f>IFERROR(AN_TME_PY[[#This Row],[TOTAL Non-Truncated Unadjusted Expenses (A21 + A23)]]/AN_TME_PY[[#This Row],[Member Months]],0)</f>
        <v>0</v>
      </c>
      <c r="AB174" s="416">
        <f>IFERROR(AN_TME_PY[[#This Row],[TOTAL Truncated Unadjusted Expenses (A22 + A23)]]/AN_TME_PY[[#This Row],[Member Months]],0)</f>
        <v>0</v>
      </c>
      <c r="AC174" s="385">
        <f>IFERROR(AN_TME_PY[[#This Row],[Total Claims Excluded because of Truncation]]/AN_TME_PY[[#This Row],[Count of Members with Claims Truncated]], 0)</f>
        <v>0</v>
      </c>
      <c r="AD174" s="417">
        <f>IFERROR(AN_TME_PY[[#This Row],[Total Claims Excluded because of Truncation]]/AN_TME_PY[[#This Row],[TOTAL Non-Truncated Unadjusted Claims Expenses]], 0)</f>
        <v>0</v>
      </c>
    </row>
    <row r="175" spans="1:30" x14ac:dyDescent="0.25">
      <c r="A175" s="364"/>
      <c r="B175" s="365"/>
      <c r="C175" s="365"/>
      <c r="D175" s="366"/>
      <c r="E175" s="367"/>
      <c r="F175" s="367"/>
      <c r="G175" s="367"/>
      <c r="H175" s="367"/>
      <c r="I175" s="367"/>
      <c r="J175" s="367"/>
      <c r="K175" s="367"/>
      <c r="L175" s="367"/>
      <c r="M175" s="367"/>
      <c r="N175" s="367"/>
      <c r="O175" s="367"/>
      <c r="P175" s="367"/>
      <c r="Q175" s="367"/>
      <c r="R175" s="367"/>
      <c r="S175" s="367"/>
      <c r="T175" s="367"/>
      <c r="U175" s="379"/>
      <c r="V175" s="369">
        <f t="shared" si="10"/>
        <v>0</v>
      </c>
      <c r="W175" s="369">
        <f>AN_TME_PY[[#This Row],[TOTAL Non-Truncated Unadjusted Claims Expenses]]-AN_TME_PY[[#This Row],[Total Claims Excluded because of Truncation]]</f>
        <v>0</v>
      </c>
      <c r="X175" s="369">
        <f t="shared" si="11"/>
        <v>0</v>
      </c>
      <c r="Y175" s="369">
        <f>AN_TME_PY[[#This Row],[TOTAL Non-Truncated Unadjusted Claims Expenses]]+AN_TME_PY[[#This Row],[TOTAL Non-Claims Expenses]]</f>
        <v>0</v>
      </c>
      <c r="Z175" s="369">
        <f>AN_TME_PY[[#This Row],[TOTAL Truncated Unadjusted Claims Expenses (A21 -A19)]]+AN_TME_PY[[#This Row],[TOTAL Non-Claims Expenses]]</f>
        <v>0</v>
      </c>
      <c r="AA175" s="415">
        <f>IFERROR(AN_TME_PY[[#This Row],[TOTAL Non-Truncated Unadjusted Expenses (A21 + A23)]]/AN_TME_PY[[#This Row],[Member Months]],0)</f>
        <v>0</v>
      </c>
      <c r="AB175" s="415">
        <f>IFERROR(AN_TME_PY[[#This Row],[TOTAL Truncated Unadjusted Expenses (A22 + A23)]]/AN_TME_PY[[#This Row],[Member Months]],0)</f>
        <v>0</v>
      </c>
      <c r="AC175" s="385">
        <f>IFERROR(AN_TME_PY[[#This Row],[Total Claims Excluded because of Truncation]]/AN_TME_PY[[#This Row],[Count of Members with Claims Truncated]], 0)</f>
        <v>0</v>
      </c>
      <c r="AD175" s="417">
        <f>IFERROR(AN_TME_PY[[#This Row],[Total Claims Excluded because of Truncation]]/AN_TME_PY[[#This Row],[TOTAL Non-Truncated Unadjusted Claims Expenses]], 0)</f>
        <v>0</v>
      </c>
    </row>
    <row r="176" spans="1:30" x14ac:dyDescent="0.25">
      <c r="A176" s="370"/>
      <c r="B176" s="371"/>
      <c r="C176" s="371"/>
      <c r="D176" s="372"/>
      <c r="E176" s="373"/>
      <c r="F176" s="373"/>
      <c r="G176" s="373"/>
      <c r="H176" s="373"/>
      <c r="I176" s="373"/>
      <c r="J176" s="373"/>
      <c r="K176" s="373"/>
      <c r="L176" s="373"/>
      <c r="M176" s="373"/>
      <c r="N176" s="373"/>
      <c r="O176" s="373"/>
      <c r="P176" s="373"/>
      <c r="Q176" s="373"/>
      <c r="R176" s="373"/>
      <c r="S176" s="373"/>
      <c r="T176" s="373"/>
      <c r="U176" s="380"/>
      <c r="V176" s="375">
        <f t="shared" si="10"/>
        <v>0</v>
      </c>
      <c r="W176" s="375">
        <f>AN_TME_PY[[#This Row],[TOTAL Non-Truncated Unadjusted Claims Expenses]]-AN_TME_PY[[#This Row],[Total Claims Excluded because of Truncation]]</f>
        <v>0</v>
      </c>
      <c r="X176" s="375">
        <f t="shared" si="11"/>
        <v>0</v>
      </c>
      <c r="Y176" s="375">
        <f>AN_TME_PY[[#This Row],[TOTAL Non-Truncated Unadjusted Claims Expenses]]+AN_TME_PY[[#This Row],[TOTAL Non-Claims Expenses]]</f>
        <v>0</v>
      </c>
      <c r="Z176" s="375">
        <f>AN_TME_PY[[#This Row],[TOTAL Truncated Unadjusted Claims Expenses (A21 -A19)]]+AN_TME_PY[[#This Row],[TOTAL Non-Claims Expenses]]</f>
        <v>0</v>
      </c>
      <c r="AA176" s="416">
        <f>IFERROR(AN_TME_PY[[#This Row],[TOTAL Non-Truncated Unadjusted Expenses (A21 + A23)]]/AN_TME_PY[[#This Row],[Member Months]],0)</f>
        <v>0</v>
      </c>
      <c r="AB176" s="416">
        <f>IFERROR(AN_TME_PY[[#This Row],[TOTAL Truncated Unadjusted Expenses (A22 + A23)]]/AN_TME_PY[[#This Row],[Member Months]],0)</f>
        <v>0</v>
      </c>
      <c r="AC176" s="385">
        <f>IFERROR(AN_TME_PY[[#This Row],[Total Claims Excluded because of Truncation]]/AN_TME_PY[[#This Row],[Count of Members with Claims Truncated]], 0)</f>
        <v>0</v>
      </c>
      <c r="AD176" s="417">
        <f>IFERROR(AN_TME_PY[[#This Row],[Total Claims Excluded because of Truncation]]/AN_TME_PY[[#This Row],[TOTAL Non-Truncated Unadjusted Claims Expenses]], 0)</f>
        <v>0</v>
      </c>
    </row>
    <row r="177" spans="1:30" x14ac:dyDescent="0.25">
      <c r="A177" s="364"/>
      <c r="B177" s="365"/>
      <c r="C177" s="365"/>
      <c r="D177" s="366"/>
      <c r="E177" s="367"/>
      <c r="F177" s="367"/>
      <c r="G177" s="367"/>
      <c r="H177" s="367"/>
      <c r="I177" s="367"/>
      <c r="J177" s="367"/>
      <c r="K177" s="367"/>
      <c r="L177" s="367"/>
      <c r="M177" s="367"/>
      <c r="N177" s="367"/>
      <c r="O177" s="367"/>
      <c r="P177" s="367"/>
      <c r="Q177" s="367"/>
      <c r="R177" s="367"/>
      <c r="S177" s="367"/>
      <c r="T177" s="367"/>
      <c r="U177" s="379"/>
      <c r="V177" s="369">
        <f t="shared" si="10"/>
        <v>0</v>
      </c>
      <c r="W177" s="369">
        <f>AN_TME_PY[[#This Row],[TOTAL Non-Truncated Unadjusted Claims Expenses]]-AN_TME_PY[[#This Row],[Total Claims Excluded because of Truncation]]</f>
        <v>0</v>
      </c>
      <c r="X177" s="369">
        <f t="shared" si="11"/>
        <v>0</v>
      </c>
      <c r="Y177" s="369">
        <f>AN_TME_PY[[#This Row],[TOTAL Non-Truncated Unadjusted Claims Expenses]]+AN_TME_PY[[#This Row],[TOTAL Non-Claims Expenses]]</f>
        <v>0</v>
      </c>
      <c r="Z177" s="369">
        <f>AN_TME_PY[[#This Row],[TOTAL Truncated Unadjusted Claims Expenses (A21 -A19)]]+AN_TME_PY[[#This Row],[TOTAL Non-Claims Expenses]]</f>
        <v>0</v>
      </c>
      <c r="AA177" s="415">
        <f>IFERROR(AN_TME_PY[[#This Row],[TOTAL Non-Truncated Unadjusted Expenses (A21 + A23)]]/AN_TME_PY[[#This Row],[Member Months]],0)</f>
        <v>0</v>
      </c>
      <c r="AB177" s="415">
        <f>IFERROR(AN_TME_PY[[#This Row],[TOTAL Truncated Unadjusted Expenses (A22 + A23)]]/AN_TME_PY[[#This Row],[Member Months]],0)</f>
        <v>0</v>
      </c>
      <c r="AC177" s="385">
        <f>IFERROR(AN_TME_PY[[#This Row],[Total Claims Excluded because of Truncation]]/AN_TME_PY[[#This Row],[Count of Members with Claims Truncated]], 0)</f>
        <v>0</v>
      </c>
      <c r="AD177" s="417">
        <f>IFERROR(AN_TME_PY[[#This Row],[Total Claims Excluded because of Truncation]]/AN_TME_PY[[#This Row],[TOTAL Non-Truncated Unadjusted Claims Expenses]], 0)</f>
        <v>0</v>
      </c>
    </row>
    <row r="178" spans="1:30" x14ac:dyDescent="0.25">
      <c r="A178" s="370"/>
      <c r="B178" s="371"/>
      <c r="C178" s="371"/>
      <c r="D178" s="372"/>
      <c r="E178" s="373"/>
      <c r="F178" s="373"/>
      <c r="G178" s="373"/>
      <c r="H178" s="373"/>
      <c r="I178" s="373"/>
      <c r="J178" s="373"/>
      <c r="K178" s="373"/>
      <c r="L178" s="373"/>
      <c r="M178" s="373"/>
      <c r="N178" s="373"/>
      <c r="O178" s="373"/>
      <c r="P178" s="373"/>
      <c r="Q178" s="373"/>
      <c r="R178" s="373"/>
      <c r="S178" s="373"/>
      <c r="T178" s="373"/>
      <c r="U178" s="380"/>
      <c r="V178" s="375">
        <f t="shared" si="10"/>
        <v>0</v>
      </c>
      <c r="W178" s="375">
        <f>AN_TME_PY[[#This Row],[TOTAL Non-Truncated Unadjusted Claims Expenses]]-AN_TME_PY[[#This Row],[Total Claims Excluded because of Truncation]]</f>
        <v>0</v>
      </c>
      <c r="X178" s="375">
        <f t="shared" si="11"/>
        <v>0</v>
      </c>
      <c r="Y178" s="375">
        <f>AN_TME_PY[[#This Row],[TOTAL Non-Truncated Unadjusted Claims Expenses]]+AN_TME_PY[[#This Row],[TOTAL Non-Claims Expenses]]</f>
        <v>0</v>
      </c>
      <c r="Z178" s="375">
        <f>AN_TME_PY[[#This Row],[TOTAL Truncated Unadjusted Claims Expenses (A21 -A19)]]+AN_TME_PY[[#This Row],[TOTAL Non-Claims Expenses]]</f>
        <v>0</v>
      </c>
      <c r="AA178" s="416">
        <f>IFERROR(AN_TME_PY[[#This Row],[TOTAL Non-Truncated Unadjusted Expenses (A21 + A23)]]/AN_TME_PY[[#This Row],[Member Months]],0)</f>
        <v>0</v>
      </c>
      <c r="AB178" s="416">
        <f>IFERROR(AN_TME_PY[[#This Row],[TOTAL Truncated Unadjusted Expenses (A22 + A23)]]/AN_TME_PY[[#This Row],[Member Months]],0)</f>
        <v>0</v>
      </c>
      <c r="AC178" s="385">
        <f>IFERROR(AN_TME_PY[[#This Row],[Total Claims Excluded because of Truncation]]/AN_TME_PY[[#This Row],[Count of Members with Claims Truncated]], 0)</f>
        <v>0</v>
      </c>
      <c r="AD178" s="417">
        <f>IFERROR(AN_TME_PY[[#This Row],[Total Claims Excluded because of Truncation]]/AN_TME_PY[[#This Row],[TOTAL Non-Truncated Unadjusted Claims Expenses]], 0)</f>
        <v>0</v>
      </c>
    </row>
    <row r="179" spans="1:30" x14ac:dyDescent="0.25">
      <c r="A179" s="364"/>
      <c r="B179" s="365"/>
      <c r="C179" s="365"/>
      <c r="D179" s="366"/>
      <c r="E179" s="367"/>
      <c r="F179" s="367"/>
      <c r="G179" s="367"/>
      <c r="H179" s="367"/>
      <c r="I179" s="367"/>
      <c r="J179" s="367"/>
      <c r="K179" s="367"/>
      <c r="L179" s="367"/>
      <c r="M179" s="367"/>
      <c r="N179" s="367"/>
      <c r="O179" s="367"/>
      <c r="P179" s="367"/>
      <c r="Q179" s="367"/>
      <c r="R179" s="367"/>
      <c r="S179" s="367"/>
      <c r="T179" s="367"/>
      <c r="U179" s="379"/>
      <c r="V179" s="369">
        <f t="shared" si="10"/>
        <v>0</v>
      </c>
      <c r="W179" s="369">
        <f>AN_TME_PY[[#This Row],[TOTAL Non-Truncated Unadjusted Claims Expenses]]-AN_TME_PY[[#This Row],[Total Claims Excluded because of Truncation]]</f>
        <v>0</v>
      </c>
      <c r="X179" s="369">
        <f t="shared" si="11"/>
        <v>0</v>
      </c>
      <c r="Y179" s="369">
        <f>AN_TME_PY[[#This Row],[TOTAL Non-Truncated Unadjusted Claims Expenses]]+AN_TME_PY[[#This Row],[TOTAL Non-Claims Expenses]]</f>
        <v>0</v>
      </c>
      <c r="Z179" s="369">
        <f>AN_TME_PY[[#This Row],[TOTAL Truncated Unadjusted Claims Expenses (A21 -A19)]]+AN_TME_PY[[#This Row],[TOTAL Non-Claims Expenses]]</f>
        <v>0</v>
      </c>
      <c r="AA179" s="415">
        <f>IFERROR(AN_TME_PY[[#This Row],[TOTAL Non-Truncated Unadjusted Expenses (A21 + A23)]]/AN_TME_PY[[#This Row],[Member Months]],0)</f>
        <v>0</v>
      </c>
      <c r="AB179" s="415">
        <f>IFERROR(AN_TME_PY[[#This Row],[TOTAL Truncated Unadjusted Expenses (A22 + A23)]]/AN_TME_PY[[#This Row],[Member Months]],0)</f>
        <v>0</v>
      </c>
      <c r="AC179" s="385">
        <f>IFERROR(AN_TME_PY[[#This Row],[Total Claims Excluded because of Truncation]]/AN_TME_PY[[#This Row],[Count of Members with Claims Truncated]], 0)</f>
        <v>0</v>
      </c>
      <c r="AD179" s="417">
        <f>IFERROR(AN_TME_PY[[#This Row],[Total Claims Excluded because of Truncation]]/AN_TME_PY[[#This Row],[TOTAL Non-Truncated Unadjusted Claims Expenses]], 0)</f>
        <v>0</v>
      </c>
    </row>
    <row r="180" spans="1:30" x14ac:dyDescent="0.25">
      <c r="A180" s="370"/>
      <c r="B180" s="371"/>
      <c r="C180" s="371"/>
      <c r="D180" s="372"/>
      <c r="E180" s="373"/>
      <c r="F180" s="373"/>
      <c r="G180" s="373"/>
      <c r="H180" s="373"/>
      <c r="I180" s="373"/>
      <c r="J180" s="373"/>
      <c r="K180" s="373"/>
      <c r="L180" s="373"/>
      <c r="M180" s="373"/>
      <c r="N180" s="373"/>
      <c r="O180" s="373"/>
      <c r="P180" s="373"/>
      <c r="Q180" s="373"/>
      <c r="R180" s="373"/>
      <c r="S180" s="373"/>
      <c r="T180" s="373"/>
      <c r="U180" s="380"/>
      <c r="V180" s="375">
        <f t="shared" si="10"/>
        <v>0</v>
      </c>
      <c r="W180" s="375">
        <f>AN_TME_PY[[#This Row],[TOTAL Non-Truncated Unadjusted Claims Expenses]]-AN_TME_PY[[#This Row],[Total Claims Excluded because of Truncation]]</f>
        <v>0</v>
      </c>
      <c r="X180" s="375">
        <f t="shared" si="11"/>
        <v>0</v>
      </c>
      <c r="Y180" s="375">
        <f>AN_TME_PY[[#This Row],[TOTAL Non-Truncated Unadjusted Claims Expenses]]+AN_TME_PY[[#This Row],[TOTAL Non-Claims Expenses]]</f>
        <v>0</v>
      </c>
      <c r="Z180" s="375">
        <f>AN_TME_PY[[#This Row],[TOTAL Truncated Unadjusted Claims Expenses (A21 -A19)]]+AN_TME_PY[[#This Row],[TOTAL Non-Claims Expenses]]</f>
        <v>0</v>
      </c>
      <c r="AA180" s="416">
        <f>IFERROR(AN_TME_PY[[#This Row],[TOTAL Non-Truncated Unadjusted Expenses (A21 + A23)]]/AN_TME_PY[[#This Row],[Member Months]],0)</f>
        <v>0</v>
      </c>
      <c r="AB180" s="416">
        <f>IFERROR(AN_TME_PY[[#This Row],[TOTAL Truncated Unadjusted Expenses (A22 + A23)]]/AN_TME_PY[[#This Row],[Member Months]],0)</f>
        <v>0</v>
      </c>
      <c r="AC180" s="385">
        <f>IFERROR(AN_TME_PY[[#This Row],[Total Claims Excluded because of Truncation]]/AN_TME_PY[[#This Row],[Count of Members with Claims Truncated]], 0)</f>
        <v>0</v>
      </c>
      <c r="AD180" s="417">
        <f>IFERROR(AN_TME_PY[[#This Row],[Total Claims Excluded because of Truncation]]/AN_TME_PY[[#This Row],[TOTAL Non-Truncated Unadjusted Claims Expenses]], 0)</f>
        <v>0</v>
      </c>
    </row>
    <row r="181" spans="1:30" x14ac:dyDescent="0.25">
      <c r="A181" s="364"/>
      <c r="B181" s="365"/>
      <c r="C181" s="365"/>
      <c r="D181" s="366"/>
      <c r="E181" s="367"/>
      <c r="F181" s="367"/>
      <c r="G181" s="367"/>
      <c r="H181" s="367"/>
      <c r="I181" s="367"/>
      <c r="J181" s="367"/>
      <c r="K181" s="367"/>
      <c r="L181" s="367"/>
      <c r="M181" s="367"/>
      <c r="N181" s="367"/>
      <c r="O181" s="367"/>
      <c r="P181" s="367"/>
      <c r="Q181" s="367"/>
      <c r="R181" s="367"/>
      <c r="S181" s="367"/>
      <c r="T181" s="367"/>
      <c r="U181" s="379"/>
      <c r="V181" s="369">
        <f t="shared" si="10"/>
        <v>0</v>
      </c>
      <c r="W181" s="369">
        <f>AN_TME_PY[[#This Row],[TOTAL Non-Truncated Unadjusted Claims Expenses]]-AN_TME_PY[[#This Row],[Total Claims Excluded because of Truncation]]</f>
        <v>0</v>
      </c>
      <c r="X181" s="369">
        <f t="shared" si="11"/>
        <v>0</v>
      </c>
      <c r="Y181" s="369">
        <f>AN_TME_PY[[#This Row],[TOTAL Non-Truncated Unadjusted Claims Expenses]]+AN_TME_PY[[#This Row],[TOTAL Non-Claims Expenses]]</f>
        <v>0</v>
      </c>
      <c r="Z181" s="369">
        <f>AN_TME_PY[[#This Row],[TOTAL Truncated Unadjusted Claims Expenses (A21 -A19)]]+AN_TME_PY[[#This Row],[TOTAL Non-Claims Expenses]]</f>
        <v>0</v>
      </c>
      <c r="AA181" s="415">
        <f>IFERROR(AN_TME_PY[[#This Row],[TOTAL Non-Truncated Unadjusted Expenses (A21 + A23)]]/AN_TME_PY[[#This Row],[Member Months]],0)</f>
        <v>0</v>
      </c>
      <c r="AB181" s="415">
        <f>IFERROR(AN_TME_PY[[#This Row],[TOTAL Truncated Unadjusted Expenses (A22 + A23)]]/AN_TME_PY[[#This Row],[Member Months]],0)</f>
        <v>0</v>
      </c>
      <c r="AC181" s="385">
        <f>IFERROR(AN_TME_PY[[#This Row],[Total Claims Excluded because of Truncation]]/AN_TME_PY[[#This Row],[Count of Members with Claims Truncated]], 0)</f>
        <v>0</v>
      </c>
      <c r="AD181" s="417">
        <f>IFERROR(AN_TME_PY[[#This Row],[Total Claims Excluded because of Truncation]]/AN_TME_PY[[#This Row],[TOTAL Non-Truncated Unadjusted Claims Expenses]], 0)</f>
        <v>0</v>
      </c>
    </row>
    <row r="182" spans="1:30" x14ac:dyDescent="0.25">
      <c r="A182" s="370"/>
      <c r="B182" s="371"/>
      <c r="C182" s="371"/>
      <c r="D182" s="372"/>
      <c r="E182" s="373"/>
      <c r="F182" s="373"/>
      <c r="G182" s="373"/>
      <c r="H182" s="373"/>
      <c r="I182" s="373"/>
      <c r="J182" s="373"/>
      <c r="K182" s="373"/>
      <c r="L182" s="373"/>
      <c r="M182" s="373"/>
      <c r="N182" s="373"/>
      <c r="O182" s="373"/>
      <c r="P182" s="373"/>
      <c r="Q182" s="373"/>
      <c r="R182" s="373"/>
      <c r="S182" s="373"/>
      <c r="T182" s="373"/>
      <c r="U182" s="380"/>
      <c r="V182" s="375">
        <f t="shared" si="10"/>
        <v>0</v>
      </c>
      <c r="W182" s="375">
        <f>AN_TME_PY[[#This Row],[TOTAL Non-Truncated Unadjusted Claims Expenses]]-AN_TME_PY[[#This Row],[Total Claims Excluded because of Truncation]]</f>
        <v>0</v>
      </c>
      <c r="X182" s="375">
        <f t="shared" si="11"/>
        <v>0</v>
      </c>
      <c r="Y182" s="375">
        <f>AN_TME_PY[[#This Row],[TOTAL Non-Truncated Unadjusted Claims Expenses]]+AN_TME_PY[[#This Row],[TOTAL Non-Claims Expenses]]</f>
        <v>0</v>
      </c>
      <c r="Z182" s="375">
        <f>AN_TME_PY[[#This Row],[TOTAL Truncated Unadjusted Claims Expenses (A21 -A19)]]+AN_TME_PY[[#This Row],[TOTAL Non-Claims Expenses]]</f>
        <v>0</v>
      </c>
      <c r="AA182" s="416">
        <f>IFERROR(AN_TME_PY[[#This Row],[TOTAL Non-Truncated Unadjusted Expenses (A21 + A23)]]/AN_TME_PY[[#This Row],[Member Months]],0)</f>
        <v>0</v>
      </c>
      <c r="AB182" s="416">
        <f>IFERROR(AN_TME_PY[[#This Row],[TOTAL Truncated Unadjusted Expenses (A22 + A23)]]/AN_TME_PY[[#This Row],[Member Months]],0)</f>
        <v>0</v>
      </c>
      <c r="AC182" s="385">
        <f>IFERROR(AN_TME_PY[[#This Row],[Total Claims Excluded because of Truncation]]/AN_TME_PY[[#This Row],[Count of Members with Claims Truncated]], 0)</f>
        <v>0</v>
      </c>
      <c r="AD182" s="417">
        <f>IFERROR(AN_TME_PY[[#This Row],[Total Claims Excluded because of Truncation]]/AN_TME_PY[[#This Row],[TOTAL Non-Truncated Unadjusted Claims Expenses]], 0)</f>
        <v>0</v>
      </c>
    </row>
    <row r="183" spans="1:30" x14ac:dyDescent="0.25">
      <c r="A183" s="364"/>
      <c r="B183" s="365"/>
      <c r="C183" s="365"/>
      <c r="D183" s="366"/>
      <c r="E183" s="367"/>
      <c r="F183" s="367"/>
      <c r="G183" s="367"/>
      <c r="H183" s="367"/>
      <c r="I183" s="367"/>
      <c r="J183" s="367"/>
      <c r="K183" s="367"/>
      <c r="L183" s="367"/>
      <c r="M183" s="367"/>
      <c r="N183" s="367"/>
      <c r="O183" s="367"/>
      <c r="P183" s="367"/>
      <c r="Q183" s="367"/>
      <c r="R183" s="367"/>
      <c r="S183" s="367"/>
      <c r="T183" s="367"/>
      <c r="U183" s="379"/>
      <c r="V183" s="369">
        <f t="shared" si="10"/>
        <v>0</v>
      </c>
      <c r="W183" s="369">
        <f>AN_TME_PY[[#This Row],[TOTAL Non-Truncated Unadjusted Claims Expenses]]-AN_TME_PY[[#This Row],[Total Claims Excluded because of Truncation]]</f>
        <v>0</v>
      </c>
      <c r="X183" s="369">
        <f t="shared" si="11"/>
        <v>0</v>
      </c>
      <c r="Y183" s="369">
        <f>AN_TME_PY[[#This Row],[TOTAL Non-Truncated Unadjusted Claims Expenses]]+AN_TME_PY[[#This Row],[TOTAL Non-Claims Expenses]]</f>
        <v>0</v>
      </c>
      <c r="Z183" s="369">
        <f>AN_TME_PY[[#This Row],[TOTAL Truncated Unadjusted Claims Expenses (A21 -A19)]]+AN_TME_PY[[#This Row],[TOTAL Non-Claims Expenses]]</f>
        <v>0</v>
      </c>
      <c r="AA183" s="415">
        <f>IFERROR(AN_TME_PY[[#This Row],[TOTAL Non-Truncated Unadjusted Expenses (A21 + A23)]]/AN_TME_PY[[#This Row],[Member Months]],0)</f>
        <v>0</v>
      </c>
      <c r="AB183" s="415">
        <f>IFERROR(AN_TME_PY[[#This Row],[TOTAL Truncated Unadjusted Expenses (A22 + A23)]]/AN_TME_PY[[#This Row],[Member Months]],0)</f>
        <v>0</v>
      </c>
      <c r="AC183" s="385">
        <f>IFERROR(AN_TME_PY[[#This Row],[Total Claims Excluded because of Truncation]]/AN_TME_PY[[#This Row],[Count of Members with Claims Truncated]], 0)</f>
        <v>0</v>
      </c>
      <c r="AD183" s="417">
        <f>IFERROR(AN_TME_PY[[#This Row],[Total Claims Excluded because of Truncation]]/AN_TME_PY[[#This Row],[TOTAL Non-Truncated Unadjusted Claims Expenses]], 0)</f>
        <v>0</v>
      </c>
    </row>
    <row r="184" spans="1:30" x14ac:dyDescent="0.25">
      <c r="A184" s="370"/>
      <c r="B184" s="371"/>
      <c r="C184" s="371"/>
      <c r="D184" s="372"/>
      <c r="E184" s="373"/>
      <c r="F184" s="373"/>
      <c r="G184" s="373"/>
      <c r="H184" s="373"/>
      <c r="I184" s="373"/>
      <c r="J184" s="373"/>
      <c r="K184" s="373"/>
      <c r="L184" s="373"/>
      <c r="M184" s="373"/>
      <c r="N184" s="373"/>
      <c r="O184" s="373"/>
      <c r="P184" s="373"/>
      <c r="Q184" s="373"/>
      <c r="R184" s="373"/>
      <c r="S184" s="373"/>
      <c r="T184" s="373"/>
      <c r="U184" s="380"/>
      <c r="V184" s="375">
        <f t="shared" si="10"/>
        <v>0</v>
      </c>
      <c r="W184" s="375">
        <f>AN_TME_PY[[#This Row],[TOTAL Non-Truncated Unadjusted Claims Expenses]]-AN_TME_PY[[#This Row],[Total Claims Excluded because of Truncation]]</f>
        <v>0</v>
      </c>
      <c r="X184" s="375">
        <f t="shared" si="11"/>
        <v>0</v>
      </c>
      <c r="Y184" s="375">
        <f>AN_TME_PY[[#This Row],[TOTAL Non-Truncated Unadjusted Claims Expenses]]+AN_TME_PY[[#This Row],[TOTAL Non-Claims Expenses]]</f>
        <v>0</v>
      </c>
      <c r="Z184" s="375">
        <f>AN_TME_PY[[#This Row],[TOTAL Truncated Unadjusted Claims Expenses (A21 -A19)]]+AN_TME_PY[[#This Row],[TOTAL Non-Claims Expenses]]</f>
        <v>0</v>
      </c>
      <c r="AA184" s="416">
        <f>IFERROR(AN_TME_PY[[#This Row],[TOTAL Non-Truncated Unadjusted Expenses (A21 + A23)]]/AN_TME_PY[[#This Row],[Member Months]],0)</f>
        <v>0</v>
      </c>
      <c r="AB184" s="416">
        <f>IFERROR(AN_TME_PY[[#This Row],[TOTAL Truncated Unadjusted Expenses (A22 + A23)]]/AN_TME_PY[[#This Row],[Member Months]],0)</f>
        <v>0</v>
      </c>
      <c r="AC184" s="385">
        <f>IFERROR(AN_TME_PY[[#This Row],[Total Claims Excluded because of Truncation]]/AN_TME_PY[[#This Row],[Count of Members with Claims Truncated]], 0)</f>
        <v>0</v>
      </c>
      <c r="AD184" s="417">
        <f>IFERROR(AN_TME_PY[[#This Row],[Total Claims Excluded because of Truncation]]/AN_TME_PY[[#This Row],[TOTAL Non-Truncated Unadjusted Claims Expenses]], 0)</f>
        <v>0</v>
      </c>
    </row>
    <row r="185" spans="1:30" x14ac:dyDescent="0.25">
      <c r="A185" s="364"/>
      <c r="B185" s="365"/>
      <c r="C185" s="365"/>
      <c r="D185" s="366"/>
      <c r="E185" s="367"/>
      <c r="F185" s="367"/>
      <c r="G185" s="367"/>
      <c r="H185" s="367"/>
      <c r="I185" s="367"/>
      <c r="J185" s="367"/>
      <c r="K185" s="367"/>
      <c r="L185" s="367"/>
      <c r="M185" s="367"/>
      <c r="N185" s="367"/>
      <c r="O185" s="367"/>
      <c r="P185" s="367"/>
      <c r="Q185" s="367"/>
      <c r="R185" s="367"/>
      <c r="S185" s="367"/>
      <c r="T185" s="367"/>
      <c r="U185" s="379"/>
      <c r="V185" s="369">
        <f t="shared" si="10"/>
        <v>0</v>
      </c>
      <c r="W185" s="369">
        <f>AN_TME_PY[[#This Row],[TOTAL Non-Truncated Unadjusted Claims Expenses]]-AN_TME_PY[[#This Row],[Total Claims Excluded because of Truncation]]</f>
        <v>0</v>
      </c>
      <c r="X185" s="369">
        <f t="shared" si="11"/>
        <v>0</v>
      </c>
      <c r="Y185" s="369">
        <f>AN_TME_PY[[#This Row],[TOTAL Non-Truncated Unadjusted Claims Expenses]]+AN_TME_PY[[#This Row],[TOTAL Non-Claims Expenses]]</f>
        <v>0</v>
      </c>
      <c r="Z185" s="369">
        <f>AN_TME_PY[[#This Row],[TOTAL Truncated Unadjusted Claims Expenses (A21 -A19)]]+AN_TME_PY[[#This Row],[TOTAL Non-Claims Expenses]]</f>
        <v>0</v>
      </c>
      <c r="AA185" s="415">
        <f>IFERROR(AN_TME_PY[[#This Row],[TOTAL Non-Truncated Unadjusted Expenses (A21 + A23)]]/AN_TME_PY[[#This Row],[Member Months]],0)</f>
        <v>0</v>
      </c>
      <c r="AB185" s="415">
        <f>IFERROR(AN_TME_PY[[#This Row],[TOTAL Truncated Unadjusted Expenses (A22 + A23)]]/AN_TME_PY[[#This Row],[Member Months]],0)</f>
        <v>0</v>
      </c>
      <c r="AC185" s="385">
        <f>IFERROR(AN_TME_PY[[#This Row],[Total Claims Excluded because of Truncation]]/AN_TME_PY[[#This Row],[Count of Members with Claims Truncated]], 0)</f>
        <v>0</v>
      </c>
      <c r="AD185" s="417">
        <f>IFERROR(AN_TME_PY[[#This Row],[Total Claims Excluded because of Truncation]]/AN_TME_PY[[#This Row],[TOTAL Non-Truncated Unadjusted Claims Expenses]], 0)</f>
        <v>0</v>
      </c>
    </row>
    <row r="186" spans="1:30" x14ac:dyDescent="0.25">
      <c r="A186" s="370"/>
      <c r="B186" s="371"/>
      <c r="C186" s="371"/>
      <c r="D186" s="372"/>
      <c r="E186" s="373"/>
      <c r="F186" s="373"/>
      <c r="G186" s="373"/>
      <c r="H186" s="373"/>
      <c r="I186" s="373"/>
      <c r="J186" s="373"/>
      <c r="K186" s="373"/>
      <c r="L186" s="373"/>
      <c r="M186" s="373"/>
      <c r="N186" s="373"/>
      <c r="O186" s="373"/>
      <c r="P186" s="373"/>
      <c r="Q186" s="373"/>
      <c r="R186" s="373"/>
      <c r="S186" s="373"/>
      <c r="T186" s="373"/>
      <c r="U186" s="380"/>
      <c r="V186" s="375">
        <f t="shared" si="10"/>
        <v>0</v>
      </c>
      <c r="W186" s="375">
        <f>AN_TME_PY[[#This Row],[TOTAL Non-Truncated Unadjusted Claims Expenses]]-AN_TME_PY[[#This Row],[Total Claims Excluded because of Truncation]]</f>
        <v>0</v>
      </c>
      <c r="X186" s="375">
        <f t="shared" si="11"/>
        <v>0</v>
      </c>
      <c r="Y186" s="375">
        <f>AN_TME_PY[[#This Row],[TOTAL Non-Truncated Unadjusted Claims Expenses]]+AN_TME_PY[[#This Row],[TOTAL Non-Claims Expenses]]</f>
        <v>0</v>
      </c>
      <c r="Z186" s="375">
        <f>AN_TME_PY[[#This Row],[TOTAL Truncated Unadjusted Claims Expenses (A21 -A19)]]+AN_TME_PY[[#This Row],[TOTAL Non-Claims Expenses]]</f>
        <v>0</v>
      </c>
      <c r="AA186" s="416">
        <f>IFERROR(AN_TME_PY[[#This Row],[TOTAL Non-Truncated Unadjusted Expenses (A21 + A23)]]/AN_TME_PY[[#This Row],[Member Months]],0)</f>
        <v>0</v>
      </c>
      <c r="AB186" s="416">
        <f>IFERROR(AN_TME_PY[[#This Row],[TOTAL Truncated Unadjusted Expenses (A22 + A23)]]/AN_TME_PY[[#This Row],[Member Months]],0)</f>
        <v>0</v>
      </c>
      <c r="AC186" s="385">
        <f>IFERROR(AN_TME_PY[[#This Row],[Total Claims Excluded because of Truncation]]/AN_TME_PY[[#This Row],[Count of Members with Claims Truncated]], 0)</f>
        <v>0</v>
      </c>
      <c r="AD186" s="417">
        <f>IFERROR(AN_TME_PY[[#This Row],[Total Claims Excluded because of Truncation]]/AN_TME_PY[[#This Row],[TOTAL Non-Truncated Unadjusted Claims Expenses]], 0)</f>
        <v>0</v>
      </c>
    </row>
    <row r="187" spans="1:30" x14ac:dyDescent="0.25">
      <c r="A187" s="364"/>
      <c r="B187" s="365"/>
      <c r="C187" s="365"/>
      <c r="D187" s="366"/>
      <c r="E187" s="367"/>
      <c r="F187" s="367"/>
      <c r="G187" s="367"/>
      <c r="H187" s="367"/>
      <c r="I187" s="367"/>
      <c r="J187" s="367"/>
      <c r="K187" s="367"/>
      <c r="L187" s="367"/>
      <c r="M187" s="367"/>
      <c r="N187" s="367"/>
      <c r="O187" s="367"/>
      <c r="P187" s="367"/>
      <c r="Q187" s="367"/>
      <c r="R187" s="367"/>
      <c r="S187" s="367"/>
      <c r="T187" s="367"/>
      <c r="U187" s="379"/>
      <c r="V187" s="369">
        <f t="shared" si="10"/>
        <v>0</v>
      </c>
      <c r="W187" s="369">
        <f>AN_TME_PY[[#This Row],[TOTAL Non-Truncated Unadjusted Claims Expenses]]-AN_TME_PY[[#This Row],[Total Claims Excluded because of Truncation]]</f>
        <v>0</v>
      </c>
      <c r="X187" s="369">
        <f t="shared" si="11"/>
        <v>0</v>
      </c>
      <c r="Y187" s="369">
        <f>AN_TME_PY[[#This Row],[TOTAL Non-Truncated Unadjusted Claims Expenses]]+AN_TME_PY[[#This Row],[TOTAL Non-Claims Expenses]]</f>
        <v>0</v>
      </c>
      <c r="Z187" s="369">
        <f>AN_TME_PY[[#This Row],[TOTAL Truncated Unadjusted Claims Expenses (A21 -A19)]]+AN_TME_PY[[#This Row],[TOTAL Non-Claims Expenses]]</f>
        <v>0</v>
      </c>
      <c r="AA187" s="415">
        <f>IFERROR(AN_TME_PY[[#This Row],[TOTAL Non-Truncated Unadjusted Expenses (A21 + A23)]]/AN_TME_PY[[#This Row],[Member Months]],0)</f>
        <v>0</v>
      </c>
      <c r="AB187" s="415">
        <f>IFERROR(AN_TME_PY[[#This Row],[TOTAL Truncated Unadjusted Expenses (A22 + A23)]]/AN_TME_PY[[#This Row],[Member Months]],0)</f>
        <v>0</v>
      </c>
      <c r="AC187" s="385">
        <f>IFERROR(AN_TME_PY[[#This Row],[Total Claims Excluded because of Truncation]]/AN_TME_PY[[#This Row],[Count of Members with Claims Truncated]], 0)</f>
        <v>0</v>
      </c>
      <c r="AD187" s="417">
        <f>IFERROR(AN_TME_PY[[#This Row],[Total Claims Excluded because of Truncation]]/AN_TME_PY[[#This Row],[TOTAL Non-Truncated Unadjusted Claims Expenses]], 0)</f>
        <v>0</v>
      </c>
    </row>
    <row r="188" spans="1:30" x14ac:dyDescent="0.25">
      <c r="A188" s="370"/>
      <c r="B188" s="371"/>
      <c r="C188" s="371"/>
      <c r="D188" s="372"/>
      <c r="E188" s="373"/>
      <c r="F188" s="373"/>
      <c r="G188" s="373"/>
      <c r="H188" s="373"/>
      <c r="I188" s="373"/>
      <c r="J188" s="373"/>
      <c r="K188" s="373"/>
      <c r="L188" s="373"/>
      <c r="M188" s="373"/>
      <c r="N188" s="373"/>
      <c r="O188" s="373"/>
      <c r="P188" s="373"/>
      <c r="Q188" s="373"/>
      <c r="R188" s="373"/>
      <c r="S188" s="373"/>
      <c r="T188" s="373"/>
      <c r="U188" s="380"/>
      <c r="V188" s="375">
        <f t="shared" si="10"/>
        <v>0</v>
      </c>
      <c r="W188" s="375">
        <f>AN_TME_PY[[#This Row],[TOTAL Non-Truncated Unadjusted Claims Expenses]]-AN_TME_PY[[#This Row],[Total Claims Excluded because of Truncation]]</f>
        <v>0</v>
      </c>
      <c r="X188" s="375">
        <f t="shared" si="11"/>
        <v>0</v>
      </c>
      <c r="Y188" s="375">
        <f>AN_TME_PY[[#This Row],[TOTAL Non-Truncated Unadjusted Claims Expenses]]+AN_TME_PY[[#This Row],[TOTAL Non-Claims Expenses]]</f>
        <v>0</v>
      </c>
      <c r="Z188" s="375">
        <f>AN_TME_PY[[#This Row],[TOTAL Truncated Unadjusted Claims Expenses (A21 -A19)]]+AN_TME_PY[[#This Row],[TOTAL Non-Claims Expenses]]</f>
        <v>0</v>
      </c>
      <c r="AA188" s="416">
        <f>IFERROR(AN_TME_PY[[#This Row],[TOTAL Non-Truncated Unadjusted Expenses (A21 + A23)]]/AN_TME_PY[[#This Row],[Member Months]],0)</f>
        <v>0</v>
      </c>
      <c r="AB188" s="416">
        <f>IFERROR(AN_TME_PY[[#This Row],[TOTAL Truncated Unadjusted Expenses (A22 + A23)]]/AN_TME_PY[[#This Row],[Member Months]],0)</f>
        <v>0</v>
      </c>
      <c r="AC188" s="385">
        <f>IFERROR(AN_TME_PY[[#This Row],[Total Claims Excluded because of Truncation]]/AN_TME_PY[[#This Row],[Count of Members with Claims Truncated]], 0)</f>
        <v>0</v>
      </c>
      <c r="AD188" s="417">
        <f>IFERROR(AN_TME_PY[[#This Row],[Total Claims Excluded because of Truncation]]/AN_TME_PY[[#This Row],[TOTAL Non-Truncated Unadjusted Claims Expenses]], 0)</f>
        <v>0</v>
      </c>
    </row>
    <row r="189" spans="1:30" x14ac:dyDescent="0.25">
      <c r="A189" s="364"/>
      <c r="B189" s="365"/>
      <c r="C189" s="365"/>
      <c r="D189" s="366"/>
      <c r="E189" s="367"/>
      <c r="F189" s="367"/>
      <c r="G189" s="367"/>
      <c r="H189" s="367"/>
      <c r="I189" s="367"/>
      <c r="J189" s="367"/>
      <c r="K189" s="367"/>
      <c r="L189" s="367"/>
      <c r="M189" s="367"/>
      <c r="N189" s="367"/>
      <c r="O189" s="367"/>
      <c r="P189" s="367"/>
      <c r="Q189" s="367"/>
      <c r="R189" s="367"/>
      <c r="S189" s="367"/>
      <c r="T189" s="367"/>
      <c r="U189" s="379"/>
      <c r="V189" s="369">
        <f t="shared" si="10"/>
        <v>0</v>
      </c>
      <c r="W189" s="369">
        <f>AN_TME_PY[[#This Row],[TOTAL Non-Truncated Unadjusted Claims Expenses]]-AN_TME_PY[[#This Row],[Total Claims Excluded because of Truncation]]</f>
        <v>0</v>
      </c>
      <c r="X189" s="369">
        <f t="shared" si="11"/>
        <v>0</v>
      </c>
      <c r="Y189" s="369">
        <f>AN_TME_PY[[#This Row],[TOTAL Non-Truncated Unadjusted Claims Expenses]]+AN_TME_PY[[#This Row],[TOTAL Non-Claims Expenses]]</f>
        <v>0</v>
      </c>
      <c r="Z189" s="369">
        <f>AN_TME_PY[[#This Row],[TOTAL Truncated Unadjusted Claims Expenses (A21 -A19)]]+AN_TME_PY[[#This Row],[TOTAL Non-Claims Expenses]]</f>
        <v>0</v>
      </c>
      <c r="AA189" s="415">
        <f>IFERROR(AN_TME_PY[[#This Row],[TOTAL Non-Truncated Unadjusted Expenses (A21 + A23)]]/AN_TME_PY[[#This Row],[Member Months]],0)</f>
        <v>0</v>
      </c>
      <c r="AB189" s="415">
        <f>IFERROR(AN_TME_PY[[#This Row],[TOTAL Truncated Unadjusted Expenses (A22 + A23)]]/AN_TME_PY[[#This Row],[Member Months]],0)</f>
        <v>0</v>
      </c>
      <c r="AC189" s="385">
        <f>IFERROR(AN_TME_PY[[#This Row],[Total Claims Excluded because of Truncation]]/AN_TME_PY[[#This Row],[Count of Members with Claims Truncated]], 0)</f>
        <v>0</v>
      </c>
      <c r="AD189" s="417">
        <f>IFERROR(AN_TME_PY[[#This Row],[Total Claims Excluded because of Truncation]]/AN_TME_PY[[#This Row],[TOTAL Non-Truncated Unadjusted Claims Expenses]], 0)</f>
        <v>0</v>
      </c>
    </row>
    <row r="190" spans="1:30" x14ac:dyDescent="0.25">
      <c r="A190" s="370"/>
      <c r="B190" s="371"/>
      <c r="C190" s="371"/>
      <c r="D190" s="372"/>
      <c r="E190" s="373"/>
      <c r="F190" s="373"/>
      <c r="G190" s="373"/>
      <c r="H190" s="373"/>
      <c r="I190" s="373"/>
      <c r="J190" s="373"/>
      <c r="K190" s="373"/>
      <c r="L190" s="373"/>
      <c r="M190" s="373"/>
      <c r="N190" s="373"/>
      <c r="O190" s="373"/>
      <c r="P190" s="373"/>
      <c r="Q190" s="373"/>
      <c r="R190" s="373"/>
      <c r="S190" s="373"/>
      <c r="T190" s="373"/>
      <c r="U190" s="380"/>
      <c r="V190" s="375">
        <f t="shared" si="10"/>
        <v>0</v>
      </c>
      <c r="W190" s="375">
        <f>AN_TME_PY[[#This Row],[TOTAL Non-Truncated Unadjusted Claims Expenses]]-AN_TME_PY[[#This Row],[Total Claims Excluded because of Truncation]]</f>
        <v>0</v>
      </c>
      <c r="X190" s="375">
        <f t="shared" si="11"/>
        <v>0</v>
      </c>
      <c r="Y190" s="375">
        <f>AN_TME_PY[[#This Row],[TOTAL Non-Truncated Unadjusted Claims Expenses]]+AN_TME_PY[[#This Row],[TOTAL Non-Claims Expenses]]</f>
        <v>0</v>
      </c>
      <c r="Z190" s="375">
        <f>AN_TME_PY[[#This Row],[TOTAL Truncated Unadjusted Claims Expenses (A21 -A19)]]+AN_TME_PY[[#This Row],[TOTAL Non-Claims Expenses]]</f>
        <v>0</v>
      </c>
      <c r="AA190" s="416">
        <f>IFERROR(AN_TME_PY[[#This Row],[TOTAL Non-Truncated Unadjusted Expenses (A21 + A23)]]/AN_TME_PY[[#This Row],[Member Months]],0)</f>
        <v>0</v>
      </c>
      <c r="AB190" s="416">
        <f>IFERROR(AN_TME_PY[[#This Row],[TOTAL Truncated Unadjusted Expenses (A22 + A23)]]/AN_TME_PY[[#This Row],[Member Months]],0)</f>
        <v>0</v>
      </c>
      <c r="AC190" s="385">
        <f>IFERROR(AN_TME_PY[[#This Row],[Total Claims Excluded because of Truncation]]/AN_TME_PY[[#This Row],[Count of Members with Claims Truncated]], 0)</f>
        <v>0</v>
      </c>
      <c r="AD190" s="417">
        <f>IFERROR(AN_TME_PY[[#This Row],[Total Claims Excluded because of Truncation]]/AN_TME_PY[[#This Row],[TOTAL Non-Truncated Unadjusted Claims Expenses]], 0)</f>
        <v>0</v>
      </c>
    </row>
    <row r="191" spans="1:30" x14ac:dyDescent="0.25">
      <c r="A191" s="364"/>
      <c r="B191" s="365"/>
      <c r="C191" s="365"/>
      <c r="D191" s="366"/>
      <c r="E191" s="367"/>
      <c r="F191" s="367"/>
      <c r="G191" s="367"/>
      <c r="H191" s="367"/>
      <c r="I191" s="367"/>
      <c r="J191" s="367"/>
      <c r="K191" s="367"/>
      <c r="L191" s="367"/>
      <c r="M191" s="367"/>
      <c r="N191" s="367"/>
      <c r="O191" s="367"/>
      <c r="P191" s="367"/>
      <c r="Q191" s="367"/>
      <c r="R191" s="367"/>
      <c r="S191" s="367"/>
      <c r="T191" s="367"/>
      <c r="U191" s="379"/>
      <c r="V191" s="369">
        <f t="shared" si="10"/>
        <v>0</v>
      </c>
      <c r="W191" s="369">
        <f>AN_TME_PY[[#This Row],[TOTAL Non-Truncated Unadjusted Claims Expenses]]-AN_TME_PY[[#This Row],[Total Claims Excluded because of Truncation]]</f>
        <v>0</v>
      </c>
      <c r="X191" s="369">
        <f t="shared" si="11"/>
        <v>0</v>
      </c>
      <c r="Y191" s="369">
        <f>AN_TME_PY[[#This Row],[TOTAL Non-Truncated Unadjusted Claims Expenses]]+AN_TME_PY[[#This Row],[TOTAL Non-Claims Expenses]]</f>
        <v>0</v>
      </c>
      <c r="Z191" s="369">
        <f>AN_TME_PY[[#This Row],[TOTAL Truncated Unadjusted Claims Expenses (A21 -A19)]]+AN_TME_PY[[#This Row],[TOTAL Non-Claims Expenses]]</f>
        <v>0</v>
      </c>
      <c r="AA191" s="415">
        <f>IFERROR(AN_TME_PY[[#This Row],[TOTAL Non-Truncated Unadjusted Expenses (A21 + A23)]]/AN_TME_PY[[#This Row],[Member Months]],0)</f>
        <v>0</v>
      </c>
      <c r="AB191" s="415">
        <f>IFERROR(AN_TME_PY[[#This Row],[TOTAL Truncated Unadjusted Expenses (A22 + A23)]]/AN_TME_PY[[#This Row],[Member Months]],0)</f>
        <v>0</v>
      </c>
      <c r="AC191" s="385">
        <f>IFERROR(AN_TME_PY[[#This Row],[Total Claims Excluded because of Truncation]]/AN_TME_PY[[#This Row],[Count of Members with Claims Truncated]], 0)</f>
        <v>0</v>
      </c>
      <c r="AD191" s="417">
        <f>IFERROR(AN_TME_PY[[#This Row],[Total Claims Excluded because of Truncation]]/AN_TME_PY[[#This Row],[TOTAL Non-Truncated Unadjusted Claims Expenses]], 0)</f>
        <v>0</v>
      </c>
    </row>
    <row r="192" spans="1:30" x14ac:dyDescent="0.25">
      <c r="A192" s="370"/>
      <c r="B192" s="371"/>
      <c r="C192" s="371"/>
      <c r="D192" s="372"/>
      <c r="E192" s="373"/>
      <c r="F192" s="373"/>
      <c r="G192" s="373"/>
      <c r="H192" s="373"/>
      <c r="I192" s="373"/>
      <c r="J192" s="373"/>
      <c r="K192" s="373"/>
      <c r="L192" s="373"/>
      <c r="M192" s="373"/>
      <c r="N192" s="373"/>
      <c r="O192" s="373"/>
      <c r="P192" s="373"/>
      <c r="Q192" s="373"/>
      <c r="R192" s="373"/>
      <c r="S192" s="373"/>
      <c r="T192" s="373"/>
      <c r="U192" s="380"/>
      <c r="V192" s="375">
        <f t="shared" si="10"/>
        <v>0</v>
      </c>
      <c r="W192" s="375">
        <f>AN_TME_PY[[#This Row],[TOTAL Non-Truncated Unadjusted Claims Expenses]]-AN_TME_PY[[#This Row],[Total Claims Excluded because of Truncation]]</f>
        <v>0</v>
      </c>
      <c r="X192" s="375">
        <f t="shared" si="11"/>
        <v>0</v>
      </c>
      <c r="Y192" s="375">
        <f>AN_TME_PY[[#This Row],[TOTAL Non-Truncated Unadjusted Claims Expenses]]+AN_TME_PY[[#This Row],[TOTAL Non-Claims Expenses]]</f>
        <v>0</v>
      </c>
      <c r="Z192" s="375">
        <f>AN_TME_PY[[#This Row],[TOTAL Truncated Unadjusted Claims Expenses (A21 -A19)]]+AN_TME_PY[[#This Row],[TOTAL Non-Claims Expenses]]</f>
        <v>0</v>
      </c>
      <c r="AA192" s="416">
        <f>IFERROR(AN_TME_PY[[#This Row],[TOTAL Non-Truncated Unadjusted Expenses (A21 + A23)]]/AN_TME_PY[[#This Row],[Member Months]],0)</f>
        <v>0</v>
      </c>
      <c r="AB192" s="416">
        <f>IFERROR(AN_TME_PY[[#This Row],[TOTAL Truncated Unadjusted Expenses (A22 + A23)]]/AN_TME_PY[[#This Row],[Member Months]],0)</f>
        <v>0</v>
      </c>
      <c r="AC192" s="385">
        <f>IFERROR(AN_TME_PY[[#This Row],[Total Claims Excluded because of Truncation]]/AN_TME_PY[[#This Row],[Count of Members with Claims Truncated]], 0)</f>
        <v>0</v>
      </c>
      <c r="AD192" s="417">
        <f>IFERROR(AN_TME_PY[[#This Row],[Total Claims Excluded because of Truncation]]/AN_TME_PY[[#This Row],[TOTAL Non-Truncated Unadjusted Claims Expenses]], 0)</f>
        <v>0</v>
      </c>
    </row>
    <row r="193" spans="1:30" x14ac:dyDescent="0.25">
      <c r="A193" s="364"/>
      <c r="B193" s="365"/>
      <c r="C193" s="365"/>
      <c r="D193" s="366"/>
      <c r="E193" s="367"/>
      <c r="F193" s="367"/>
      <c r="G193" s="367"/>
      <c r="H193" s="367"/>
      <c r="I193" s="367"/>
      <c r="J193" s="367"/>
      <c r="K193" s="367"/>
      <c r="L193" s="367"/>
      <c r="M193" s="367"/>
      <c r="N193" s="367"/>
      <c r="O193" s="367"/>
      <c r="P193" s="367"/>
      <c r="Q193" s="367"/>
      <c r="R193" s="367"/>
      <c r="S193" s="367"/>
      <c r="T193" s="367"/>
      <c r="U193" s="379"/>
      <c r="V193" s="369">
        <f t="shared" si="10"/>
        <v>0</v>
      </c>
      <c r="W193" s="369">
        <f>AN_TME_PY[[#This Row],[TOTAL Non-Truncated Unadjusted Claims Expenses]]-AN_TME_PY[[#This Row],[Total Claims Excluded because of Truncation]]</f>
        <v>0</v>
      </c>
      <c r="X193" s="369">
        <f t="shared" si="11"/>
        <v>0</v>
      </c>
      <c r="Y193" s="369">
        <f>AN_TME_PY[[#This Row],[TOTAL Non-Truncated Unadjusted Claims Expenses]]+AN_TME_PY[[#This Row],[TOTAL Non-Claims Expenses]]</f>
        <v>0</v>
      </c>
      <c r="Z193" s="369">
        <f>AN_TME_PY[[#This Row],[TOTAL Truncated Unadjusted Claims Expenses (A21 -A19)]]+AN_TME_PY[[#This Row],[TOTAL Non-Claims Expenses]]</f>
        <v>0</v>
      </c>
      <c r="AA193" s="415">
        <f>IFERROR(AN_TME_PY[[#This Row],[TOTAL Non-Truncated Unadjusted Expenses (A21 + A23)]]/AN_TME_PY[[#This Row],[Member Months]],0)</f>
        <v>0</v>
      </c>
      <c r="AB193" s="415">
        <f>IFERROR(AN_TME_PY[[#This Row],[TOTAL Truncated Unadjusted Expenses (A22 + A23)]]/AN_TME_PY[[#This Row],[Member Months]],0)</f>
        <v>0</v>
      </c>
      <c r="AC193" s="385">
        <f>IFERROR(AN_TME_PY[[#This Row],[Total Claims Excluded because of Truncation]]/AN_TME_PY[[#This Row],[Count of Members with Claims Truncated]], 0)</f>
        <v>0</v>
      </c>
      <c r="AD193" s="417">
        <f>IFERROR(AN_TME_PY[[#This Row],[Total Claims Excluded because of Truncation]]/AN_TME_PY[[#This Row],[TOTAL Non-Truncated Unadjusted Claims Expenses]], 0)</f>
        <v>0</v>
      </c>
    </row>
    <row r="194" spans="1:30" x14ac:dyDescent="0.25">
      <c r="A194" s="370"/>
      <c r="B194" s="371"/>
      <c r="C194" s="371"/>
      <c r="D194" s="372"/>
      <c r="E194" s="373"/>
      <c r="F194" s="373"/>
      <c r="G194" s="373"/>
      <c r="H194" s="373"/>
      <c r="I194" s="373"/>
      <c r="J194" s="373"/>
      <c r="K194" s="373"/>
      <c r="L194" s="373"/>
      <c r="M194" s="373"/>
      <c r="N194" s="373"/>
      <c r="O194" s="373"/>
      <c r="P194" s="373"/>
      <c r="Q194" s="373"/>
      <c r="R194" s="373"/>
      <c r="S194" s="373"/>
      <c r="T194" s="373"/>
      <c r="U194" s="380"/>
      <c r="V194" s="375">
        <f t="shared" si="10"/>
        <v>0</v>
      </c>
      <c r="W194" s="375">
        <f>AN_TME_PY[[#This Row],[TOTAL Non-Truncated Unadjusted Claims Expenses]]-AN_TME_PY[[#This Row],[Total Claims Excluded because of Truncation]]</f>
        <v>0</v>
      </c>
      <c r="X194" s="375">
        <f t="shared" si="11"/>
        <v>0</v>
      </c>
      <c r="Y194" s="375">
        <f>AN_TME_PY[[#This Row],[TOTAL Non-Truncated Unadjusted Claims Expenses]]+AN_TME_PY[[#This Row],[TOTAL Non-Claims Expenses]]</f>
        <v>0</v>
      </c>
      <c r="Z194" s="375">
        <f>AN_TME_PY[[#This Row],[TOTAL Truncated Unadjusted Claims Expenses (A21 -A19)]]+AN_TME_PY[[#This Row],[TOTAL Non-Claims Expenses]]</f>
        <v>0</v>
      </c>
      <c r="AA194" s="416">
        <f>IFERROR(AN_TME_PY[[#This Row],[TOTAL Non-Truncated Unadjusted Expenses (A21 + A23)]]/AN_TME_PY[[#This Row],[Member Months]],0)</f>
        <v>0</v>
      </c>
      <c r="AB194" s="416">
        <f>IFERROR(AN_TME_PY[[#This Row],[TOTAL Truncated Unadjusted Expenses (A22 + A23)]]/AN_TME_PY[[#This Row],[Member Months]],0)</f>
        <v>0</v>
      </c>
      <c r="AC194" s="385">
        <f>IFERROR(AN_TME_PY[[#This Row],[Total Claims Excluded because of Truncation]]/AN_TME_PY[[#This Row],[Count of Members with Claims Truncated]], 0)</f>
        <v>0</v>
      </c>
      <c r="AD194" s="417">
        <f>IFERROR(AN_TME_PY[[#This Row],[Total Claims Excluded because of Truncation]]/AN_TME_PY[[#This Row],[TOTAL Non-Truncated Unadjusted Claims Expenses]], 0)</f>
        <v>0</v>
      </c>
    </row>
    <row r="195" spans="1:30" x14ac:dyDescent="0.25">
      <c r="A195" s="364"/>
      <c r="B195" s="365"/>
      <c r="C195" s="365"/>
      <c r="D195" s="366"/>
      <c r="E195" s="367"/>
      <c r="F195" s="367"/>
      <c r="G195" s="367"/>
      <c r="H195" s="367"/>
      <c r="I195" s="367"/>
      <c r="J195" s="367"/>
      <c r="K195" s="367"/>
      <c r="L195" s="367"/>
      <c r="M195" s="367"/>
      <c r="N195" s="367"/>
      <c r="O195" s="367"/>
      <c r="P195" s="367"/>
      <c r="Q195" s="367"/>
      <c r="R195" s="367"/>
      <c r="S195" s="367"/>
      <c r="T195" s="367"/>
      <c r="U195" s="379"/>
      <c r="V195" s="369">
        <f t="shared" si="10"/>
        <v>0</v>
      </c>
      <c r="W195" s="369">
        <f>AN_TME_PY[[#This Row],[TOTAL Non-Truncated Unadjusted Claims Expenses]]-AN_TME_PY[[#This Row],[Total Claims Excluded because of Truncation]]</f>
        <v>0</v>
      </c>
      <c r="X195" s="369">
        <f t="shared" si="11"/>
        <v>0</v>
      </c>
      <c r="Y195" s="369">
        <f>AN_TME_PY[[#This Row],[TOTAL Non-Truncated Unadjusted Claims Expenses]]+AN_TME_PY[[#This Row],[TOTAL Non-Claims Expenses]]</f>
        <v>0</v>
      </c>
      <c r="Z195" s="369">
        <f>AN_TME_PY[[#This Row],[TOTAL Truncated Unadjusted Claims Expenses (A21 -A19)]]+AN_TME_PY[[#This Row],[TOTAL Non-Claims Expenses]]</f>
        <v>0</v>
      </c>
      <c r="AA195" s="415">
        <f>IFERROR(AN_TME_PY[[#This Row],[TOTAL Non-Truncated Unadjusted Expenses (A21 + A23)]]/AN_TME_PY[[#This Row],[Member Months]],0)</f>
        <v>0</v>
      </c>
      <c r="AB195" s="415">
        <f>IFERROR(AN_TME_PY[[#This Row],[TOTAL Truncated Unadjusted Expenses (A22 + A23)]]/AN_TME_PY[[#This Row],[Member Months]],0)</f>
        <v>0</v>
      </c>
      <c r="AC195" s="385">
        <f>IFERROR(AN_TME_PY[[#This Row],[Total Claims Excluded because of Truncation]]/AN_TME_PY[[#This Row],[Count of Members with Claims Truncated]], 0)</f>
        <v>0</v>
      </c>
      <c r="AD195" s="417">
        <f>IFERROR(AN_TME_PY[[#This Row],[Total Claims Excluded because of Truncation]]/AN_TME_PY[[#This Row],[TOTAL Non-Truncated Unadjusted Claims Expenses]], 0)</f>
        <v>0</v>
      </c>
    </row>
    <row r="196" spans="1:30" x14ac:dyDescent="0.25">
      <c r="A196" s="370"/>
      <c r="B196" s="371"/>
      <c r="C196" s="371"/>
      <c r="D196" s="372"/>
      <c r="E196" s="373"/>
      <c r="F196" s="373"/>
      <c r="G196" s="373"/>
      <c r="H196" s="373"/>
      <c r="I196" s="373"/>
      <c r="J196" s="373"/>
      <c r="K196" s="373"/>
      <c r="L196" s="373"/>
      <c r="M196" s="373"/>
      <c r="N196" s="373"/>
      <c r="O196" s="373"/>
      <c r="P196" s="373"/>
      <c r="Q196" s="373"/>
      <c r="R196" s="373"/>
      <c r="S196" s="373"/>
      <c r="T196" s="373"/>
      <c r="U196" s="380"/>
      <c r="V196" s="375">
        <f t="shared" si="10"/>
        <v>0</v>
      </c>
      <c r="W196" s="375">
        <f>AN_TME_PY[[#This Row],[TOTAL Non-Truncated Unadjusted Claims Expenses]]-AN_TME_PY[[#This Row],[Total Claims Excluded because of Truncation]]</f>
        <v>0</v>
      </c>
      <c r="X196" s="375">
        <f t="shared" si="11"/>
        <v>0</v>
      </c>
      <c r="Y196" s="375">
        <f>AN_TME_PY[[#This Row],[TOTAL Non-Truncated Unadjusted Claims Expenses]]+AN_TME_PY[[#This Row],[TOTAL Non-Claims Expenses]]</f>
        <v>0</v>
      </c>
      <c r="Z196" s="375">
        <f>AN_TME_PY[[#This Row],[TOTAL Truncated Unadjusted Claims Expenses (A21 -A19)]]+AN_TME_PY[[#This Row],[TOTAL Non-Claims Expenses]]</f>
        <v>0</v>
      </c>
      <c r="AA196" s="416">
        <f>IFERROR(AN_TME_PY[[#This Row],[TOTAL Non-Truncated Unadjusted Expenses (A21 + A23)]]/AN_TME_PY[[#This Row],[Member Months]],0)</f>
        <v>0</v>
      </c>
      <c r="AB196" s="416">
        <f>IFERROR(AN_TME_PY[[#This Row],[TOTAL Truncated Unadjusted Expenses (A22 + A23)]]/AN_TME_PY[[#This Row],[Member Months]],0)</f>
        <v>0</v>
      </c>
      <c r="AC196" s="385">
        <f>IFERROR(AN_TME_PY[[#This Row],[Total Claims Excluded because of Truncation]]/AN_TME_PY[[#This Row],[Count of Members with Claims Truncated]], 0)</f>
        <v>0</v>
      </c>
      <c r="AD196" s="417">
        <f>IFERROR(AN_TME_PY[[#This Row],[Total Claims Excluded because of Truncation]]/AN_TME_PY[[#This Row],[TOTAL Non-Truncated Unadjusted Claims Expenses]], 0)</f>
        <v>0</v>
      </c>
    </row>
    <row r="197" spans="1:30" x14ac:dyDescent="0.25">
      <c r="A197" s="364"/>
      <c r="B197" s="365"/>
      <c r="C197" s="365"/>
      <c r="D197" s="366"/>
      <c r="E197" s="367"/>
      <c r="F197" s="367"/>
      <c r="G197" s="367"/>
      <c r="H197" s="367"/>
      <c r="I197" s="367"/>
      <c r="J197" s="367"/>
      <c r="K197" s="367"/>
      <c r="L197" s="367"/>
      <c r="M197" s="367"/>
      <c r="N197" s="367"/>
      <c r="O197" s="367"/>
      <c r="P197" s="367"/>
      <c r="Q197" s="367"/>
      <c r="R197" s="367"/>
      <c r="S197" s="367"/>
      <c r="T197" s="367"/>
      <c r="U197" s="379"/>
      <c r="V197" s="369">
        <f t="shared" si="10"/>
        <v>0</v>
      </c>
      <c r="W197" s="369">
        <f>AN_TME_PY[[#This Row],[TOTAL Non-Truncated Unadjusted Claims Expenses]]-AN_TME_PY[[#This Row],[Total Claims Excluded because of Truncation]]</f>
        <v>0</v>
      </c>
      <c r="X197" s="369">
        <f t="shared" si="11"/>
        <v>0</v>
      </c>
      <c r="Y197" s="369">
        <f>AN_TME_PY[[#This Row],[TOTAL Non-Truncated Unadjusted Claims Expenses]]+AN_TME_PY[[#This Row],[TOTAL Non-Claims Expenses]]</f>
        <v>0</v>
      </c>
      <c r="Z197" s="369">
        <f>AN_TME_PY[[#This Row],[TOTAL Truncated Unadjusted Claims Expenses (A21 -A19)]]+AN_TME_PY[[#This Row],[TOTAL Non-Claims Expenses]]</f>
        <v>0</v>
      </c>
      <c r="AA197" s="415">
        <f>IFERROR(AN_TME_PY[[#This Row],[TOTAL Non-Truncated Unadjusted Expenses (A21 + A23)]]/AN_TME_PY[[#This Row],[Member Months]],0)</f>
        <v>0</v>
      </c>
      <c r="AB197" s="415">
        <f>IFERROR(AN_TME_PY[[#This Row],[TOTAL Truncated Unadjusted Expenses (A22 + A23)]]/AN_TME_PY[[#This Row],[Member Months]],0)</f>
        <v>0</v>
      </c>
      <c r="AC197" s="385">
        <f>IFERROR(AN_TME_PY[[#This Row],[Total Claims Excluded because of Truncation]]/AN_TME_PY[[#This Row],[Count of Members with Claims Truncated]], 0)</f>
        <v>0</v>
      </c>
      <c r="AD197" s="417">
        <f>IFERROR(AN_TME_PY[[#This Row],[Total Claims Excluded because of Truncation]]/AN_TME_PY[[#This Row],[TOTAL Non-Truncated Unadjusted Claims Expenses]], 0)</f>
        <v>0</v>
      </c>
    </row>
    <row r="198" spans="1:30" x14ac:dyDescent="0.25">
      <c r="A198" s="370"/>
      <c r="B198" s="371"/>
      <c r="C198" s="371"/>
      <c r="D198" s="372"/>
      <c r="E198" s="373"/>
      <c r="F198" s="373"/>
      <c r="G198" s="373"/>
      <c r="H198" s="373"/>
      <c r="I198" s="373"/>
      <c r="J198" s="373"/>
      <c r="K198" s="373"/>
      <c r="L198" s="373"/>
      <c r="M198" s="373"/>
      <c r="N198" s="373"/>
      <c r="O198" s="373"/>
      <c r="P198" s="373"/>
      <c r="Q198" s="373"/>
      <c r="R198" s="373"/>
      <c r="S198" s="373"/>
      <c r="T198" s="373"/>
      <c r="U198" s="380"/>
      <c r="V198" s="375">
        <f t="shared" si="10"/>
        <v>0</v>
      </c>
      <c r="W198" s="375">
        <f>AN_TME_PY[[#This Row],[TOTAL Non-Truncated Unadjusted Claims Expenses]]-AN_TME_PY[[#This Row],[Total Claims Excluded because of Truncation]]</f>
        <v>0</v>
      </c>
      <c r="X198" s="375">
        <f t="shared" si="11"/>
        <v>0</v>
      </c>
      <c r="Y198" s="375">
        <f>AN_TME_PY[[#This Row],[TOTAL Non-Truncated Unadjusted Claims Expenses]]+AN_TME_PY[[#This Row],[TOTAL Non-Claims Expenses]]</f>
        <v>0</v>
      </c>
      <c r="Z198" s="375">
        <f>AN_TME_PY[[#This Row],[TOTAL Truncated Unadjusted Claims Expenses (A21 -A19)]]+AN_TME_PY[[#This Row],[TOTAL Non-Claims Expenses]]</f>
        <v>0</v>
      </c>
      <c r="AA198" s="416">
        <f>IFERROR(AN_TME_PY[[#This Row],[TOTAL Non-Truncated Unadjusted Expenses (A21 + A23)]]/AN_TME_PY[[#This Row],[Member Months]],0)</f>
        <v>0</v>
      </c>
      <c r="AB198" s="416">
        <f>IFERROR(AN_TME_PY[[#This Row],[TOTAL Truncated Unadjusted Expenses (A22 + A23)]]/AN_TME_PY[[#This Row],[Member Months]],0)</f>
        <v>0</v>
      </c>
      <c r="AC198" s="385">
        <f>IFERROR(AN_TME_PY[[#This Row],[Total Claims Excluded because of Truncation]]/AN_TME_PY[[#This Row],[Count of Members with Claims Truncated]], 0)</f>
        <v>0</v>
      </c>
      <c r="AD198" s="417">
        <f>IFERROR(AN_TME_PY[[#This Row],[Total Claims Excluded because of Truncation]]/AN_TME_PY[[#This Row],[TOTAL Non-Truncated Unadjusted Claims Expenses]], 0)</f>
        <v>0</v>
      </c>
    </row>
    <row r="199" spans="1:30" x14ac:dyDescent="0.25">
      <c r="A199" s="364"/>
      <c r="B199" s="365"/>
      <c r="C199" s="365"/>
      <c r="D199" s="366"/>
      <c r="E199" s="367"/>
      <c r="F199" s="367"/>
      <c r="G199" s="367"/>
      <c r="H199" s="367"/>
      <c r="I199" s="367"/>
      <c r="J199" s="367"/>
      <c r="K199" s="367"/>
      <c r="L199" s="367"/>
      <c r="M199" s="367"/>
      <c r="N199" s="367"/>
      <c r="O199" s="367"/>
      <c r="P199" s="367"/>
      <c r="Q199" s="367"/>
      <c r="R199" s="367"/>
      <c r="S199" s="367"/>
      <c r="T199" s="367"/>
      <c r="U199" s="379"/>
      <c r="V199" s="369">
        <f t="shared" si="10"/>
        <v>0</v>
      </c>
      <c r="W199" s="369">
        <f>AN_TME_PY[[#This Row],[TOTAL Non-Truncated Unadjusted Claims Expenses]]-AN_TME_PY[[#This Row],[Total Claims Excluded because of Truncation]]</f>
        <v>0</v>
      </c>
      <c r="X199" s="369">
        <f t="shared" si="11"/>
        <v>0</v>
      </c>
      <c r="Y199" s="369">
        <f>AN_TME_PY[[#This Row],[TOTAL Non-Truncated Unadjusted Claims Expenses]]+AN_TME_PY[[#This Row],[TOTAL Non-Claims Expenses]]</f>
        <v>0</v>
      </c>
      <c r="Z199" s="369">
        <f>AN_TME_PY[[#This Row],[TOTAL Truncated Unadjusted Claims Expenses (A21 -A19)]]+AN_TME_PY[[#This Row],[TOTAL Non-Claims Expenses]]</f>
        <v>0</v>
      </c>
      <c r="AA199" s="415">
        <f>IFERROR(AN_TME_PY[[#This Row],[TOTAL Non-Truncated Unadjusted Expenses (A21 + A23)]]/AN_TME_PY[[#This Row],[Member Months]],0)</f>
        <v>0</v>
      </c>
      <c r="AB199" s="415">
        <f>IFERROR(AN_TME_PY[[#This Row],[TOTAL Truncated Unadjusted Expenses (A22 + A23)]]/AN_TME_PY[[#This Row],[Member Months]],0)</f>
        <v>0</v>
      </c>
      <c r="AC199" s="385">
        <f>IFERROR(AN_TME_PY[[#This Row],[Total Claims Excluded because of Truncation]]/AN_TME_PY[[#This Row],[Count of Members with Claims Truncated]], 0)</f>
        <v>0</v>
      </c>
      <c r="AD199" s="417">
        <f>IFERROR(AN_TME_PY[[#This Row],[Total Claims Excluded because of Truncation]]/AN_TME_PY[[#This Row],[TOTAL Non-Truncated Unadjusted Claims Expenses]], 0)</f>
        <v>0</v>
      </c>
    </row>
    <row r="200" spans="1:30" x14ac:dyDescent="0.25">
      <c r="A200" s="370"/>
      <c r="B200" s="371"/>
      <c r="C200" s="371"/>
      <c r="D200" s="372"/>
      <c r="E200" s="373"/>
      <c r="F200" s="373"/>
      <c r="G200" s="373"/>
      <c r="H200" s="373"/>
      <c r="I200" s="373"/>
      <c r="J200" s="373"/>
      <c r="K200" s="373"/>
      <c r="L200" s="373"/>
      <c r="M200" s="373"/>
      <c r="N200" s="373"/>
      <c r="O200" s="373"/>
      <c r="P200" s="373"/>
      <c r="Q200" s="373"/>
      <c r="R200" s="373"/>
      <c r="S200" s="373"/>
      <c r="T200" s="373"/>
      <c r="U200" s="380"/>
      <c r="V200" s="375">
        <f t="shared" si="10"/>
        <v>0</v>
      </c>
      <c r="W200" s="375">
        <f>AN_TME_PY[[#This Row],[TOTAL Non-Truncated Unadjusted Claims Expenses]]-AN_TME_PY[[#This Row],[Total Claims Excluded because of Truncation]]</f>
        <v>0</v>
      </c>
      <c r="X200" s="375">
        <f t="shared" si="11"/>
        <v>0</v>
      </c>
      <c r="Y200" s="375">
        <f>AN_TME_PY[[#This Row],[TOTAL Non-Truncated Unadjusted Claims Expenses]]+AN_TME_PY[[#This Row],[TOTAL Non-Claims Expenses]]</f>
        <v>0</v>
      </c>
      <c r="Z200" s="375">
        <f>AN_TME_PY[[#This Row],[TOTAL Truncated Unadjusted Claims Expenses (A21 -A19)]]+AN_TME_PY[[#This Row],[TOTAL Non-Claims Expenses]]</f>
        <v>0</v>
      </c>
      <c r="AA200" s="416">
        <f>IFERROR(AN_TME_PY[[#This Row],[TOTAL Non-Truncated Unadjusted Expenses (A21 + A23)]]/AN_TME_PY[[#This Row],[Member Months]],0)</f>
        <v>0</v>
      </c>
      <c r="AB200" s="416">
        <f>IFERROR(AN_TME_PY[[#This Row],[TOTAL Truncated Unadjusted Expenses (A22 + A23)]]/AN_TME_PY[[#This Row],[Member Months]],0)</f>
        <v>0</v>
      </c>
      <c r="AC200" s="385">
        <f>IFERROR(AN_TME_PY[[#This Row],[Total Claims Excluded because of Truncation]]/AN_TME_PY[[#This Row],[Count of Members with Claims Truncated]], 0)</f>
        <v>0</v>
      </c>
      <c r="AD200" s="417">
        <f>IFERROR(AN_TME_PY[[#This Row],[Total Claims Excluded because of Truncation]]/AN_TME_PY[[#This Row],[TOTAL Non-Truncated Unadjusted Claims Expenses]], 0)</f>
        <v>0</v>
      </c>
    </row>
  </sheetData>
  <sheetProtection algorithmName="SHA-512" hashValue="YvGlIlx0w28Xj9v7XyVUy9zCZXrUoYs06cCQVhZ3Ho2irSWa9db/T9SjZPmFHrPQtGWl0XltnNzDbBjRtUl5Gw==" saltValue="KVZb86/PdEfe9WGN7FWODA==" spinCount="100000" sheet="1" insertRows="0" sort="0" autoFilter="0"/>
  <protectedRanges>
    <protectedRange sqref="A11:B200 D11:AD200" name="Range1"/>
    <protectedRange sqref="C11:C200" name="Range1_3"/>
  </protectedRanges>
  <mergeCells count="7">
    <mergeCell ref="P2:Q2"/>
    <mergeCell ref="P3:Q6"/>
    <mergeCell ref="C4:E5"/>
    <mergeCell ref="J2:K2"/>
    <mergeCell ref="J3:K6"/>
    <mergeCell ref="M2:N2"/>
    <mergeCell ref="M3:N6"/>
  </mergeCells>
  <conditionalFormatting sqref="H3:H6">
    <cfRule type="cellIs" dxfId="132" priority="1" operator="lessThanOrEqual">
      <formula>0</formula>
    </cfRule>
    <cfRule type="cellIs" dxfId="131" priority="2" operator="greaterThan">
      <formula>0</formula>
    </cfRule>
  </conditionalFormatting>
  <conditionalFormatting sqref="J3:K6">
    <cfRule type="containsText" dxfId="130" priority="9" operator="containsText" text="Good">
      <formula>NOT(ISERROR(SEARCH("Good",J3)))</formula>
    </cfRule>
    <cfRule type="notContainsText" dxfId="129" priority="10" operator="notContains" text="Good">
      <formula>ISERROR(SEARCH("Good",J3))</formula>
    </cfRule>
  </conditionalFormatting>
  <conditionalFormatting sqref="M3:N6">
    <cfRule type="containsText" dxfId="128" priority="7" operator="containsText" text="Good">
      <formula>NOT(ISERROR(SEARCH("Good",M3)))</formula>
    </cfRule>
    <cfRule type="notContainsText" dxfId="127" priority="8" operator="notContains" text="Good">
      <formula>ISERROR(SEARCH("Good",M3))</formula>
    </cfRule>
  </conditionalFormatting>
  <conditionalFormatting sqref="P3">
    <cfRule type="notContainsText" dxfId="126" priority="5" operator="notContains" text="Good">
      <formula>ISERROR(SEARCH("Good",P3))</formula>
    </cfRule>
    <cfRule type="containsText" dxfId="125" priority="6" operator="containsText" text="Good">
      <formula>NOT(ISERROR(SEARCH("Good",P3)))</formula>
    </cfRule>
  </conditionalFormatting>
  <conditionalFormatting sqref="AC11:AC200">
    <cfRule type="cellIs" dxfId="124" priority="3" operator="greaterThanOrEqual">
      <formula>250000</formula>
    </cfRule>
  </conditionalFormatting>
  <conditionalFormatting sqref="AD11:AD200">
    <cfRule type="cellIs" dxfId="123" priority="4" operator="greaterThan">
      <formula>0.1</formula>
    </cfRule>
  </conditionalFormatting>
  <dataValidations xWindow="378" yWindow="687" count="8">
    <dataValidation type="decimal" operator="greaterThan" allowBlank="1" showInputMessage="1" showErrorMessage="1" error="See Definitions tab._x000a_No negative values." prompt="See Definitions tab._x000a_No negative values." sqref="G14:H72 G76:H200" xr:uid="{2091D85B-1146-4019-936B-3B0D118664A0}">
      <formula1>0</formula1>
    </dataValidation>
    <dataValidation type="decimal" operator="greaterThanOrEqual" allowBlank="1" showInputMessage="1" showErrorMessage="1" error="See Definitions tab._x000a_No negative values." prompt="See Definitions tab._x000a_No negative values." sqref="Q48:Q72 I14:O47 F14:F72 Q73:Q109 Q110:Q200 I76:O109 F76:F200 S11:U200 I110:O200 I48:O72 Q11:Q47" xr:uid="{46150AD2-3AAE-45AC-ABE5-694C9FF4A045}">
      <formula1>0</formula1>
    </dataValidation>
    <dataValidation type="decimal" operator="greaterThanOrEqual" allowBlank="1" showInputMessage="1" showErrorMessage="1" error="See Definitions tab._x000a_No negative values." prompt="See Definitions tab._x000a_No negative values._x000a_" sqref="F11:O13 F73:O75 E11:E200" xr:uid="{413F3C7E-5C14-4A7B-95FE-FEFC2B979A5D}">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1F66E41A-DC7B-4CB8-B43C-3D7156771A44}">
      <formula1>1</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41DDC26E-B56E-4834-AEE1-53494C743C8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D11:D200" xr:uid="{92DA14CB-C985-42BC-BBB7-5C9AAF038FC0}">
      <formula1>0</formula1>
    </dataValidation>
    <dataValidation allowBlank="1" showInputMessage="1" showErrorMessage="1" prompt="See Definitions tab." sqref="R11:R200 P11:P200" xr:uid="{F122DE72-EECF-4418-A469-C484116F61F0}"/>
    <dataValidation type="list" operator="equal" allowBlank="1" showDropDown="1" showInputMessage="1" showErrorMessage="1" error="Please input the insurance category being reported." prompt="Hierarchy Field Codes:_x000a_1 = Member Selection_x000a_2 = Contract Arrangement_x000a_3 = Utilization_x000a_4 = Unattributed Member Months" sqref="C11:C200" xr:uid="{1892BCF7-1D9E-4762-8CE6-9922DAF7109B}">
      <formula1>"1, 2, 3, 4"</formula1>
    </dataValidation>
  </dataValidations>
  <hyperlinks>
    <hyperlink ref="J2:K2" location="'Data Validation'!B4:B20" display="Check" xr:uid="{A7B38BEB-2E4B-434C-B070-EE29234A2385}"/>
    <hyperlink ref="M2:N2" location="'Data Validation'!B4:B20" display="Check for Truncated and Non-Truncated Spending" xr:uid="{D82084EF-00EE-4177-9B0B-E1B7F59BBD84}"/>
    <hyperlink ref="P2:Q2" location="'Advanced Network - 2022'!AD10:AE10" display="Check for Average Truncated Claims Per Member" xr:uid="{9968F198-9D75-490F-9AAA-BCD5961049D1}"/>
    <hyperlink ref="G2:H2" location="'Data Validation'!A1" display="Insurance Category Code" xr:uid="{88070124-DAFB-49CE-9E0E-825C89AAE17C}"/>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BBA5-8C9E-49E0-B482-5D72AD4E923F}">
  <sheetPr codeName="Sheet10">
    <tabColor theme="4"/>
  </sheetPr>
  <dimension ref="A1:D23"/>
  <sheetViews>
    <sheetView zoomScaleNormal="100" workbookViewId="0"/>
  </sheetViews>
  <sheetFormatPr defaultColWidth="9.140625" defaultRowHeight="15" x14ac:dyDescent="0.25"/>
  <cols>
    <col min="1" max="1" width="25" customWidth="1"/>
    <col min="2" max="4" width="29" customWidth="1"/>
  </cols>
  <sheetData>
    <row r="1" spans="1:4" x14ac:dyDescent="0.25">
      <c r="A1" s="1" t="s">
        <v>162</v>
      </c>
    </row>
    <row r="2" spans="1:4" x14ac:dyDescent="0.25">
      <c r="A2" s="1" t="s">
        <v>227</v>
      </c>
    </row>
    <row r="4" spans="1:4" ht="15" customHeight="1" x14ac:dyDescent="0.25">
      <c r="A4" t="s">
        <v>164</v>
      </c>
      <c r="C4" s="546" t="s">
        <v>165</v>
      </c>
      <c r="D4" s="546"/>
    </row>
    <row r="5" spans="1:4" ht="15" customHeight="1" x14ac:dyDescent="0.25">
      <c r="A5" s="158" t="s">
        <v>183</v>
      </c>
      <c r="C5" s="546"/>
      <c r="D5" s="546"/>
    </row>
    <row r="6" spans="1:4" ht="15" customHeight="1" x14ac:dyDescent="0.25">
      <c r="A6" s="158"/>
    </row>
    <row r="7" spans="1:4" x14ac:dyDescent="0.25">
      <c r="A7" s="158"/>
    </row>
    <row r="8" spans="1:4" x14ac:dyDescent="0.25">
      <c r="A8" s="158"/>
    </row>
    <row r="9" spans="1:4" x14ac:dyDescent="0.25">
      <c r="B9" s="4" t="s">
        <v>184</v>
      </c>
      <c r="C9" s="4" t="s">
        <v>185</v>
      </c>
      <c r="D9" s="4" t="s">
        <v>186</v>
      </c>
    </row>
    <row r="10" spans="1:4" s="165" customFormat="1" x14ac:dyDescent="0.25">
      <c r="A10" s="163" t="s">
        <v>80</v>
      </c>
      <c r="B10" s="166" t="s">
        <v>142</v>
      </c>
      <c r="C10" s="166" t="s">
        <v>143</v>
      </c>
      <c r="D10" s="164" t="s">
        <v>228</v>
      </c>
    </row>
    <row r="11" spans="1:4" x14ac:dyDescent="0.25">
      <c r="A11" s="339"/>
      <c r="B11" s="340"/>
      <c r="C11" s="340"/>
      <c r="D11" s="382">
        <f>RX_REBATES_BY[[#This Row],[Retail Pharmacy Rebates]]+RX_REBATES_BY[[#This Row],[Medical Pharmacy Rebates]]</f>
        <v>0</v>
      </c>
    </row>
    <row r="12" spans="1:4" x14ac:dyDescent="0.25">
      <c r="A12" s="342"/>
      <c r="B12" s="343"/>
      <c r="C12" s="343"/>
      <c r="D12" s="383">
        <f>RX_REBATES_BY[[#This Row],[Retail Pharmacy Rebates]]+RX_REBATES_BY[[#This Row],[Medical Pharmacy Rebates]]</f>
        <v>0</v>
      </c>
    </row>
    <row r="13" spans="1:4" x14ac:dyDescent="0.25">
      <c r="A13" s="339"/>
      <c r="B13" s="340"/>
      <c r="C13" s="340"/>
      <c r="D13" s="382">
        <f>RX_REBATES_BY[[#This Row],[Retail Pharmacy Rebates]]+RX_REBATES_BY[[#This Row],[Medical Pharmacy Rebates]]</f>
        <v>0</v>
      </c>
    </row>
    <row r="14" spans="1:4" x14ac:dyDescent="0.25">
      <c r="A14" s="342"/>
      <c r="B14" s="343"/>
      <c r="C14" s="343"/>
      <c r="D14" s="344">
        <f>RX_REBATES_BY[[#This Row],[Retail Pharmacy Rebates]]+RX_REBATES_BY[[#This Row],[Medical Pharmacy Rebates]]</f>
        <v>0</v>
      </c>
    </row>
    <row r="15" spans="1:4" x14ac:dyDescent="0.25">
      <c r="A15" s="339"/>
      <c r="B15" s="340"/>
      <c r="C15" s="340"/>
      <c r="D15" s="341">
        <f>RX_REBATES_BY[[#This Row],[Retail Pharmacy Rebates]]+RX_REBATES_BY[[#This Row],[Medical Pharmacy Rebates]]</f>
        <v>0</v>
      </c>
    </row>
    <row r="16" spans="1:4" x14ac:dyDescent="0.25">
      <c r="A16" s="342"/>
      <c r="B16" s="343"/>
      <c r="C16" s="343"/>
      <c r="D16" s="344">
        <f>RX_REBATES_BY[[#This Row],[Retail Pharmacy Rebates]]+RX_REBATES_BY[[#This Row],[Medical Pharmacy Rebates]]</f>
        <v>0</v>
      </c>
    </row>
    <row r="17" spans="1:4" x14ac:dyDescent="0.25">
      <c r="A17" s="345"/>
      <c r="B17" s="346"/>
      <c r="C17" s="346"/>
      <c r="D17" s="347">
        <f>RX_REBATES_BY[[#This Row],[Retail Pharmacy Rebates]]+RX_REBATES_BY[[#This Row],[Medical Pharmacy Rebates]]</f>
        <v>0</v>
      </c>
    </row>
    <row r="23" spans="1:4" ht="12.75" customHeight="1" x14ac:dyDescent="0.25"/>
  </sheetData>
  <sheetProtection algorithmName="SHA-512" hashValue="76iIIytrZvlEbP61H7CtsxBwd0ZhqhYLaV3Ibw7Tr6CDCSK+diltUTRMGe6/igpeW0PmiUVPWyU2lYWPkqDOyw==" saltValue="jWL1Vh9pfnHEvc88rNQWaw==" spinCount="100000" sheet="1" objects="1" scenarios="1"/>
  <protectedRanges>
    <protectedRange sqref="A11:D17" name="Range1"/>
  </protectedRanges>
  <mergeCells count="1">
    <mergeCell ref="C4:D5"/>
  </mergeCells>
  <dataValidations count="3">
    <dataValidation type="decimal" operator="lessThanOrEqual" allowBlank="1" showInputMessage="1" showErrorMessage="1" error="See Definitions tab._x000a_Report as a negative value." prompt="See Definitions tab._x000a_Report as a negative value." sqref="D11:D17" xr:uid="{BFED2D3D-5485-4D22-9F32-AC6D92B50819}">
      <formula1>0</formula1>
    </dataValidation>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 = Commercial: Partial-Adjusted_x000a_5 = Medicare Expenditures for Duals_x000a_6 =  Medicaid Expenditures for Duals_x000a_7 = Other" sqref="A11:A17" xr:uid="{271D8AB2-C049-4089-A98F-5777FD606117}">
      <formula1>1</formula1>
    </dataValidation>
    <dataValidation type="decimal" operator="lessThanOrEqual" allowBlank="1" showInputMessage="1" showErrorMessage="1" error="See &quot;Definitions&quot; tab._x000a_Report as a negative value." prompt="See &quot;Definitions&quot; tab._x000a_Report as a negative value." sqref="B11:C17" xr:uid="{04E03ACF-4B47-4011-94FD-495B0B1DF051}">
      <formula1>0</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3E46-1F2F-4EAD-9886-8F2BDFCCF314}">
  <sheetPr codeName="Sheet11">
    <tabColor theme="3"/>
  </sheetPr>
  <dimension ref="A1:D23"/>
  <sheetViews>
    <sheetView zoomScaleNormal="100" workbookViewId="0"/>
  </sheetViews>
  <sheetFormatPr defaultColWidth="9.140625" defaultRowHeight="15" x14ac:dyDescent="0.25"/>
  <cols>
    <col min="1" max="1" width="25" customWidth="1"/>
    <col min="2" max="4" width="29" customWidth="1"/>
  </cols>
  <sheetData>
    <row r="1" spans="1:4" x14ac:dyDescent="0.25">
      <c r="A1" s="1" t="s">
        <v>162</v>
      </c>
    </row>
    <row r="2" spans="1:4" x14ac:dyDescent="0.25">
      <c r="A2" s="1" t="s">
        <v>229</v>
      </c>
    </row>
    <row r="4" spans="1:4" ht="15" customHeight="1" x14ac:dyDescent="0.25">
      <c r="A4" t="s">
        <v>164</v>
      </c>
      <c r="C4" s="548" t="s">
        <v>177</v>
      </c>
      <c r="D4" s="548"/>
    </row>
    <row r="5" spans="1:4" x14ac:dyDescent="0.25">
      <c r="A5" s="158" t="s">
        <v>183</v>
      </c>
      <c r="C5" s="548"/>
      <c r="D5" s="548"/>
    </row>
    <row r="6" spans="1:4" x14ac:dyDescent="0.25">
      <c r="A6" s="158"/>
    </row>
    <row r="7" spans="1:4" x14ac:dyDescent="0.25">
      <c r="A7" s="158"/>
    </row>
    <row r="8" spans="1:4" x14ac:dyDescent="0.25">
      <c r="A8" s="158"/>
    </row>
    <row r="9" spans="1:4" x14ac:dyDescent="0.25">
      <c r="B9" s="4" t="s">
        <v>184</v>
      </c>
      <c r="C9" s="4" t="s">
        <v>185</v>
      </c>
      <c r="D9" s="4" t="s">
        <v>186</v>
      </c>
    </row>
    <row r="10" spans="1:4" s="165" customFormat="1" x14ac:dyDescent="0.25">
      <c r="A10" s="163" t="s">
        <v>80</v>
      </c>
      <c r="B10" s="166" t="s">
        <v>142</v>
      </c>
      <c r="C10" s="166" t="s">
        <v>143</v>
      </c>
      <c r="D10" s="164" t="s">
        <v>228</v>
      </c>
    </row>
    <row r="11" spans="1:4" x14ac:dyDescent="0.25">
      <c r="A11" s="339"/>
      <c r="B11" s="340"/>
      <c r="C11" s="340"/>
      <c r="D11" s="341">
        <f>RX_REBATES_PY[[#This Row],[Retail Pharmacy Rebates]]+RX_REBATES_PY[[#This Row],[Medical Pharmacy Rebates]]</f>
        <v>0</v>
      </c>
    </row>
    <row r="12" spans="1:4" x14ac:dyDescent="0.25">
      <c r="A12" s="342"/>
      <c r="B12" s="343"/>
      <c r="C12" s="343"/>
      <c r="D12" s="344">
        <f>RX_REBATES_PY[[#This Row],[Retail Pharmacy Rebates]]+RX_REBATES_PY[[#This Row],[Medical Pharmacy Rebates]]</f>
        <v>0</v>
      </c>
    </row>
    <row r="13" spans="1:4" x14ac:dyDescent="0.25">
      <c r="A13" s="339"/>
      <c r="B13" s="340"/>
      <c r="C13" s="340"/>
      <c r="D13" s="341">
        <f>RX_REBATES_PY[[#This Row],[Retail Pharmacy Rebates]]+RX_REBATES_PY[[#This Row],[Medical Pharmacy Rebates]]</f>
        <v>0</v>
      </c>
    </row>
    <row r="14" spans="1:4" x14ac:dyDescent="0.25">
      <c r="A14" s="342"/>
      <c r="B14" s="343"/>
      <c r="C14" s="343"/>
      <c r="D14" s="344">
        <f>RX_REBATES_PY[[#This Row],[Retail Pharmacy Rebates]]+RX_REBATES_PY[[#This Row],[Medical Pharmacy Rebates]]</f>
        <v>0</v>
      </c>
    </row>
    <row r="15" spans="1:4" x14ac:dyDescent="0.25">
      <c r="A15" s="339"/>
      <c r="B15" s="340"/>
      <c r="C15" s="340"/>
      <c r="D15" s="341">
        <f>RX_REBATES_PY[[#This Row],[Retail Pharmacy Rebates]]+RX_REBATES_PY[[#This Row],[Medical Pharmacy Rebates]]</f>
        <v>0</v>
      </c>
    </row>
    <row r="16" spans="1:4" x14ac:dyDescent="0.25">
      <c r="A16" s="342"/>
      <c r="B16" s="343"/>
      <c r="C16" s="343"/>
      <c r="D16" s="344">
        <f>RX_REBATES_PY[[#This Row],[Retail Pharmacy Rebates]]+RX_REBATES_PY[[#This Row],[Medical Pharmacy Rebates]]</f>
        <v>0</v>
      </c>
    </row>
    <row r="17" spans="1:4" x14ac:dyDescent="0.25">
      <c r="A17" s="345"/>
      <c r="B17" s="346"/>
      <c r="C17" s="346"/>
      <c r="D17" s="347">
        <f>RX_REBATES_PY[[#This Row],[Retail Pharmacy Rebates]]+RX_REBATES_PY[[#This Row],[Medical Pharmacy Rebates]]</f>
        <v>0</v>
      </c>
    </row>
    <row r="23" spans="1:4" ht="12.75" customHeight="1" x14ac:dyDescent="0.25"/>
  </sheetData>
  <sheetProtection algorithmName="SHA-512" hashValue="9T9jYm1O5rtdsoQ0l1IZYVGvI3DEY675ghvCkN9RlRSzKAFnxeEI3QjA9SgiqxELYfQo9qf0hHj+mlrCpEb+1w==" saltValue="IMc2en7H3ep9p7V7UPPUmw==" spinCount="100000" sheet="1" objects="1" scenarios="1"/>
  <protectedRanges>
    <protectedRange sqref="A11:D17" name="Range1"/>
  </protectedRanges>
  <mergeCells count="1">
    <mergeCell ref="C4:D5"/>
  </mergeCells>
  <dataValidations count="3">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 = Commercial: Partial-Adjusted_x000a_5 = Medicare Expenditures for Duals_x000a_6 = Medicaid Expenditures for Duals_x000a_7 = Other" sqref="A11:A17" xr:uid="{9838E754-9421-4C75-861D-FD5CCD012A40}">
      <formula1>1</formula1>
    </dataValidation>
    <dataValidation type="decimal" operator="lessThanOrEqual" allowBlank="1" showInputMessage="1" showErrorMessage="1" error="See Definitions tab._x000a_Report as a negative value." prompt="See Definitions tab._x000a_Report as a negative value." sqref="D11:D17" xr:uid="{B9DEB5D9-15CC-47BE-817D-081CFEFD6975}">
      <formula1>0</formula1>
    </dataValidation>
    <dataValidation type="decimal" operator="lessThanOrEqual" allowBlank="1" showInputMessage="1" showErrorMessage="1" error="See &quot;Definitions&quot; tab._x000a_Report as a negative value." prompt="See &quot;Definitions&quot; tab._x000a_Report as a negative value." sqref="B11:C17" xr:uid="{CFC186DD-393A-44F0-A5CA-923280C2FDC2}">
      <formula1>0</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245194a285289a4ce3b897741a861f83">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5778dc79b8ea33854699f66598fdcf21"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2BC8B-BFF5-4C15-9C69-9329B096B366}">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customXml/itemProps2.xml><?xml version="1.0" encoding="utf-8"?>
<ds:datastoreItem xmlns:ds="http://schemas.openxmlformats.org/officeDocument/2006/customXml" ds:itemID="{0D49D23D-EC57-46D7-8CE4-B22D980F8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05D3B5-1811-4FE3-8AD6-B1E9EEA0A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Contents</vt:lpstr>
      <vt:lpstr>Reference Tables</vt:lpstr>
      <vt:lpstr>Definitions</vt:lpstr>
      <vt:lpstr>HD-TME - 2023</vt:lpstr>
      <vt:lpstr>HD-TME - 2024</vt:lpstr>
      <vt:lpstr>Advanced Network - 2023</vt:lpstr>
      <vt:lpstr>Advanced Network - 2024</vt:lpstr>
      <vt:lpstr>RX Rebates - 2023</vt:lpstr>
      <vt:lpstr>RX Rebates - 2024</vt:lpstr>
      <vt:lpstr>LOB Enrollment</vt:lpstr>
      <vt:lpstr>Standard Deviation - 2023</vt:lpstr>
      <vt:lpstr>Standard Deviation - 2024</vt:lpstr>
      <vt:lpstr>Age_Sex Factors - 2023</vt:lpstr>
      <vt:lpstr>Age_Sex Factors - 2024</vt:lpstr>
      <vt:lpstr>Mandatory Questions</vt:lpstr>
      <vt:lpstr>Validation by Market</vt:lpstr>
      <vt:lpstr>Validation by Provider</vt:lpstr>
      <vt:lpstr>Data Validation</vt:lpstr>
      <vt:lpstr>Data Validation Backup</vt:lpstr>
      <vt:lpstr>AdvNet_MMs</vt:lpstr>
      <vt:lpstr>Backtotop</vt:lpstr>
      <vt:lpstr>MMConsistencybyICC</vt:lpstr>
      <vt:lpstr>MMConsistencybyMkt</vt:lpstr>
      <vt:lpstr>ReasonablenessPMPMs</vt:lpstr>
      <vt:lpstr>TruncSpendingSDbyMkt</vt:lpstr>
      <vt:lpstr>TruncSpendMembersbyICC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Deepti</dc:creator>
  <cp:keywords/>
  <dc:description/>
  <cp:lastModifiedBy>Christopher Romero-Gutierrez</cp:lastModifiedBy>
  <cp:revision/>
  <dcterms:created xsi:type="dcterms:W3CDTF">2014-03-21T15:16:19Z</dcterms:created>
  <dcterms:modified xsi:type="dcterms:W3CDTF">2025-08-14T18:57:50Z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AuthorIds_UIVersion_1024">
    <vt:lpwstr>17</vt:lpwstr>
  </property>
  <property fmtid="{D5CDD505-2E9C-101B-9397-08002B2CF9AE}" pid="4" name="AuthorIds_UIVersion_2048">
    <vt:lpwstr>22</vt:lpwstr>
  </property>
  <property fmtid="{D5CDD505-2E9C-101B-9397-08002B2CF9AE}" pid="5" name="AuthorIds_UIVersion_512">
    <vt:lpwstr>17</vt:lpwstr>
  </property>
  <property fmtid="{D5CDD505-2E9C-101B-9397-08002B2CF9AE}" pid="6" name="MediaServiceImageTags">
    <vt:lpwstr/>
  </property>
</Properties>
</file>