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19020" windowHeight="11388"/>
  </bookViews>
  <sheets>
    <sheet name="Sheet1" sheetId="1" r:id="rId1"/>
    <sheet name="Sheet2" sheetId="2" r:id="rId2"/>
    <sheet name="Sheet3" sheetId="3" r:id="rId3"/>
  </sheets>
  <definedNames>
    <definedName name="_xlnm.Print_Titles" localSheetId="0">Sheet1!$1:$2</definedName>
  </definedNames>
  <calcPr calcId="145621"/>
</workbook>
</file>

<file path=xl/calcChain.xml><?xml version="1.0" encoding="utf-8"?>
<calcChain xmlns="http://schemas.openxmlformats.org/spreadsheetml/2006/main">
  <c r="M64" i="1" l="1"/>
  <c r="M99" i="1" l="1"/>
  <c r="M97" i="1"/>
  <c r="M95" i="1"/>
  <c r="M93" i="1"/>
  <c r="M91" i="1"/>
  <c r="M89" i="1"/>
  <c r="M77" i="1"/>
  <c r="M82" i="1"/>
  <c r="M75" i="1"/>
  <c r="M70" i="1"/>
  <c r="M66" i="1"/>
  <c r="M68" i="1"/>
  <c r="M62" i="1"/>
  <c r="M60" i="1"/>
  <c r="M56" i="1"/>
  <c r="M54" i="1"/>
  <c r="M52" i="1"/>
  <c r="M49" i="1"/>
  <c r="M47" i="1"/>
  <c r="M45" i="1"/>
  <c r="M43" i="1"/>
  <c r="M39" i="1"/>
  <c r="M37" i="1"/>
  <c r="M32" i="1"/>
  <c r="M30" i="1"/>
  <c r="M25" i="1"/>
  <c r="M19" i="1"/>
  <c r="M17" i="1"/>
  <c r="M15" i="1"/>
  <c r="M12" i="1"/>
  <c r="M9" i="1"/>
  <c r="M5" i="1"/>
  <c r="M7" i="1"/>
  <c r="M3" i="1"/>
  <c r="H44" i="1" l="1"/>
  <c r="G44" i="1"/>
  <c r="F44" i="1"/>
  <c r="H46" i="1"/>
  <c r="G46" i="1"/>
  <c r="F46" i="1"/>
  <c r="H48" i="1"/>
  <c r="G48" i="1"/>
  <c r="F48" i="1"/>
  <c r="H51" i="1"/>
  <c r="G51" i="1"/>
  <c r="F51" i="1"/>
  <c r="H55" i="1"/>
  <c r="G55" i="1"/>
  <c r="F55" i="1"/>
  <c r="H53" i="1"/>
  <c r="G53" i="1"/>
  <c r="F53" i="1"/>
  <c r="H42" i="1"/>
  <c r="F42" i="1"/>
  <c r="H59" i="1"/>
  <c r="F59" i="1"/>
  <c r="H67" i="1"/>
  <c r="F67" i="1"/>
  <c r="H63" i="1"/>
  <c r="F63" i="1"/>
  <c r="H61" i="1"/>
  <c r="G61" i="1"/>
  <c r="F61" i="1"/>
  <c r="H65" i="1"/>
  <c r="F65" i="1"/>
  <c r="H69" i="1"/>
  <c r="F69" i="1"/>
  <c r="H74" i="1"/>
  <c r="F74" i="1"/>
  <c r="H76" i="1"/>
  <c r="F76" i="1"/>
  <c r="H81" i="1"/>
  <c r="F81" i="1"/>
  <c r="H90" i="1"/>
  <c r="G90" i="1"/>
  <c r="G92" i="1"/>
  <c r="H94" i="1"/>
  <c r="F94" i="1"/>
  <c r="H96" i="1"/>
  <c r="F96" i="1"/>
  <c r="H98" i="1"/>
  <c r="F98" i="1"/>
  <c r="F38" i="1"/>
  <c r="H31" i="1"/>
  <c r="F31" i="1"/>
  <c r="H28" i="1"/>
  <c r="H24" i="1"/>
  <c r="F24" i="1"/>
  <c r="H18" i="1"/>
  <c r="F18" i="1"/>
  <c r="G16" i="1"/>
  <c r="H8" i="1"/>
  <c r="F8" i="1"/>
  <c r="H6" i="1"/>
  <c r="F6" i="1"/>
  <c r="H4" i="1"/>
  <c r="F4" i="1"/>
  <c r="H15" i="1"/>
  <c r="H16" i="1" s="1"/>
  <c r="H12" i="1"/>
  <c r="H14" i="1" s="1"/>
  <c r="H100" i="1"/>
  <c r="H91" i="1"/>
  <c r="H92" i="1" s="1"/>
  <c r="H89" i="1"/>
  <c r="H83" i="1"/>
  <c r="H60" i="1"/>
  <c r="H56" i="1"/>
  <c r="H52" i="1"/>
  <c r="H50" i="1"/>
  <c r="H41" i="1"/>
  <c r="G97" i="1"/>
  <c r="G98" i="1" s="1"/>
  <c r="G95" i="1"/>
  <c r="G96" i="1" s="1"/>
  <c r="G93" i="1"/>
  <c r="G94" i="1" s="1"/>
  <c r="G87" i="1"/>
  <c r="G82" i="1"/>
  <c r="G75" i="1"/>
  <c r="G76" i="1" s="1"/>
  <c r="G70" i="1"/>
  <c r="G68" i="1"/>
  <c r="G69" i="1" s="1"/>
  <c r="G66" i="1"/>
  <c r="G67" i="1" s="1"/>
  <c r="G64" i="1"/>
  <c r="G65" i="1" s="1"/>
  <c r="G62" i="1"/>
  <c r="G63" i="1" s="1"/>
  <c r="G49" i="1"/>
  <c r="G45" i="1"/>
  <c r="G43" i="1"/>
  <c r="G39" i="1"/>
  <c r="G35" i="1"/>
  <c r="G32" i="1"/>
  <c r="G30" i="1"/>
  <c r="G31" i="1" s="1"/>
  <c r="G26" i="1"/>
  <c r="G25" i="1"/>
  <c r="G23" i="1"/>
  <c r="G22" i="1"/>
  <c r="G21" i="1"/>
  <c r="G20" i="1"/>
  <c r="G19" i="1"/>
  <c r="G17" i="1"/>
  <c r="G18" i="1" s="1"/>
  <c r="G13" i="1"/>
  <c r="G14" i="1" s="1"/>
  <c r="G10" i="1"/>
  <c r="G9" i="1"/>
  <c r="G7" i="1"/>
  <c r="G8" i="1" s="1"/>
  <c r="G5" i="1"/>
  <c r="G6" i="1" s="1"/>
  <c r="G3" i="1"/>
  <c r="G4" i="1" s="1"/>
  <c r="G24" i="1" l="1"/>
  <c r="H11" i="1"/>
  <c r="F11" i="1"/>
  <c r="G11" i="1"/>
  <c r="H103" i="1"/>
  <c r="F103" i="1"/>
  <c r="H102" i="1"/>
  <c r="F102" i="1"/>
  <c r="H101" i="1"/>
  <c r="F101" i="1"/>
  <c r="H99" i="1"/>
  <c r="F99" i="1"/>
  <c r="F104" i="1" s="1"/>
  <c r="H86" i="1"/>
  <c r="F86" i="1"/>
  <c r="H85" i="1"/>
  <c r="F85" i="1"/>
  <c r="H84" i="1"/>
  <c r="H88" i="1" s="1"/>
  <c r="F84" i="1"/>
  <c r="H80" i="1"/>
  <c r="F80" i="1"/>
  <c r="H79" i="1"/>
  <c r="F79" i="1"/>
  <c r="H78" i="1"/>
  <c r="F78" i="1"/>
  <c r="H77" i="1"/>
  <c r="F77" i="1"/>
  <c r="H73" i="1"/>
  <c r="F73" i="1"/>
  <c r="H72" i="1"/>
  <c r="F72" i="1"/>
  <c r="H71" i="1"/>
  <c r="F71" i="1"/>
  <c r="H58" i="1"/>
  <c r="F58" i="1"/>
  <c r="H57" i="1"/>
  <c r="F57" i="1"/>
  <c r="H54" i="1"/>
  <c r="F54" i="1"/>
  <c r="H34" i="1"/>
  <c r="F34" i="1"/>
  <c r="H33" i="1"/>
  <c r="F33" i="1"/>
  <c r="F28" i="1"/>
  <c r="F91" i="1"/>
  <c r="F92" i="1" s="1"/>
  <c r="F52" i="1"/>
  <c r="F83" i="1"/>
  <c r="F100" i="1"/>
  <c r="F56" i="1"/>
  <c r="F50" i="1"/>
  <c r="F60" i="1"/>
  <c r="F89" i="1"/>
  <c r="F90" i="1" s="1"/>
  <c r="F15" i="1"/>
  <c r="F16" i="1" s="1"/>
  <c r="F41" i="1"/>
  <c r="F12" i="1"/>
  <c r="F14" i="1" s="1"/>
  <c r="H37" i="1"/>
  <c r="H47" i="1"/>
  <c r="G47" i="1" s="1"/>
  <c r="H40" i="1"/>
  <c r="G40" i="1" s="1"/>
  <c r="G42" i="1" s="1"/>
  <c r="H27" i="1"/>
  <c r="F27" i="1"/>
  <c r="F29" i="1" s="1"/>
  <c r="F88" i="1" l="1"/>
  <c r="H104" i="1"/>
  <c r="F36" i="1"/>
  <c r="G54" i="1"/>
  <c r="G72" i="1"/>
  <c r="G84" i="1"/>
  <c r="G101" i="1"/>
  <c r="G27" i="1"/>
  <c r="G29" i="1" s="1"/>
  <c r="H29" i="1"/>
  <c r="H36" i="1"/>
  <c r="G33" i="1"/>
  <c r="G58" i="1"/>
  <c r="G77" i="1"/>
  <c r="G79" i="1"/>
  <c r="G86" i="1"/>
  <c r="G103" i="1"/>
  <c r="H38" i="1"/>
  <c r="G37" i="1"/>
  <c r="G38" i="1" s="1"/>
  <c r="G34" i="1"/>
  <c r="G57" i="1"/>
  <c r="G59" i="1" s="1"/>
  <c r="G71" i="1"/>
  <c r="G73" i="1"/>
  <c r="G78" i="1"/>
  <c r="G80" i="1"/>
  <c r="G85" i="1"/>
  <c r="G99" i="1"/>
  <c r="G102" i="1"/>
  <c r="G74" i="1" l="1"/>
  <c r="G81" i="1"/>
  <c r="G88" i="1"/>
  <c r="G104" i="1"/>
  <c r="G36" i="1"/>
</calcChain>
</file>

<file path=xl/sharedStrings.xml><?xml version="1.0" encoding="utf-8"?>
<sst xmlns="http://schemas.openxmlformats.org/spreadsheetml/2006/main" count="442" uniqueCount="272">
  <si>
    <t>FTA BUS PROJECTS UNDERWAY - TITLE VI MAPPING INFORMATION</t>
  </si>
  <si>
    <t>Project Number</t>
  </si>
  <si>
    <t xml:space="preserve">Grant Number </t>
  </si>
  <si>
    <t>Project Description</t>
  </si>
  <si>
    <t>Transit System</t>
  </si>
  <si>
    <t>Location for Mapping</t>
  </si>
  <si>
    <t>Anticipated FTA Share of Project Cost</t>
  </si>
  <si>
    <t>Total Cost</t>
  </si>
  <si>
    <t>Project Description Detail</t>
  </si>
  <si>
    <t>DOT01710305PE, RW, CN</t>
  </si>
  <si>
    <t>CTfastrak</t>
  </si>
  <si>
    <t>NB, Nwngtn, WH, Htfd</t>
  </si>
  <si>
    <t xml:space="preserve">The condtruction of a dedicated Bus Rapid Transit guideway along a 9.4 mile corridor between New Britain  and downtown Hartford. Corridor follows an abondoned railroad right-of-way from New Brtain to Newington and from Newington to Hartford will run within  the Amtrak right-of-way.  Project includes 11 stations. </t>
  </si>
  <si>
    <t>DOT01710305RS</t>
  </si>
  <si>
    <t>CT-90-X519</t>
  </si>
  <si>
    <t>CTfastrak - Purchase Buses</t>
  </si>
  <si>
    <t>Purchse of buses for CTfastrak</t>
  </si>
  <si>
    <t>DOT04000048RS</t>
  </si>
  <si>
    <t>CT-90-X519, X510</t>
  </si>
  <si>
    <t>CTTransit Systemwide-Bus Replacement</t>
  </si>
  <si>
    <t>CTTransit Systemwide</t>
  </si>
  <si>
    <t>New Haven &amp; Stamford areas</t>
  </si>
  <si>
    <t>Replacement of 12 yr old buses that have reached the end of their useful life</t>
  </si>
  <si>
    <t>DOT01702890RS</t>
  </si>
  <si>
    <t>CT-95-X008</t>
  </si>
  <si>
    <t>CTTransit-Buy Replacement Artic. Buses</t>
  </si>
  <si>
    <t>Hartford area</t>
  </si>
  <si>
    <t>Purchase 43 60-ft bus to replace buses that have reached the end of their useful life</t>
  </si>
  <si>
    <t>DOT04010010CN</t>
  </si>
  <si>
    <t>CT-90-X510</t>
  </si>
  <si>
    <t>CTTransit Hartford Facility Improvements</t>
  </si>
  <si>
    <t xml:space="preserve">The CTTransit Harford facility located on Leibert Road is 21 yrs old.  This funding is for needed improvements to maintain the facility in a state of good repair as well as modifications and improvements needed for the new CTfastrak service. </t>
  </si>
  <si>
    <t>DOT04000047EQ</t>
  </si>
  <si>
    <t>CTTransit-Misc Support Equipment</t>
  </si>
  <si>
    <t>Htfd, NH, Stmfd, NB, Wtbry, Brstl, Merdn, Wllngfd areas</t>
  </si>
  <si>
    <t>Purchase and replace equipment used to support the CTTransit services systemwide</t>
  </si>
  <si>
    <t>DOT04000038EQ</t>
  </si>
  <si>
    <t>CT-90-X431</t>
  </si>
  <si>
    <t>DOT04000052EQ</t>
  </si>
  <si>
    <t>CT-90-X519, 04-0037</t>
  </si>
  <si>
    <t>CTTransit -Purchase Fare Collection System</t>
  </si>
  <si>
    <t xml:space="preserve">Purchse a new fare collection system, Puchase includes fareboxes, vaults, ticket vending machines and related euipment, processing equip., accounting systems, ticket validators, smart card and mobile card readers, testing and training, </t>
  </si>
  <si>
    <t>DOT04300022RS</t>
  </si>
  <si>
    <t>CTTransit Waterbury - Purchase Paratransit Vehicles</t>
  </si>
  <si>
    <t>CTTransit Waterbury</t>
  </si>
  <si>
    <t>Waterbury Area</t>
  </si>
  <si>
    <t xml:space="preserve">Replacement of 4-5 yr old paratransit vehicles that have reached the end of their useful life. </t>
  </si>
  <si>
    <t>DOT04020029EQ</t>
  </si>
  <si>
    <t>CT-88-0001</t>
  </si>
  <si>
    <t>CTTransit New Haven Stationary Fuel Cell</t>
  </si>
  <si>
    <t>CTTransit New Haven</t>
  </si>
  <si>
    <t>Hamden</t>
  </si>
  <si>
    <t xml:space="preserve">CTDOT, in its continuing objective to provide a safe, efficient, and cost-effective transportation system that meets the mobility needs of its users by investing in projects that maintain the existing transportation infrastructure, increasing the productivity of the transportation system, promoting economic development, providing necessary capacity enhancements, and enhancing the natural environment by the implementation of "green initiatives," will procure and install a single 400 kilowatt (kW) stationary hydrogen fuel cell power generation system at the new CTTRANSIT New Haven Division Bus Maintenance Facility located at 2061 State Street, Hamden, CT 06535.  In September, 2010, the CTTransit New Haven Division relocated its bus operations from the old site at James Street, New Haven to the present State Street facility which is larger, houses more equipment, and consumes much more electricity. To achieve the maximal benefit afforded from fuel cell technology to address power demands, it is CTDOT's intent to run the fuel cell power plant full time 24/7/365 which provides for better returns on the investment.  </t>
  </si>
  <si>
    <t>DOT04310006PE, RW, CN</t>
  </si>
  <si>
    <t xml:space="preserve">Waterbury Bus Facility </t>
  </si>
  <si>
    <t xml:space="preserve">This project is to construct a new CTTransit bus maintenance and storage facility to service the Waterbury area.  The facility will accommodate the storage and maintenance of a mixed fleet of 40 buses and 39 body-on-chassis vehicles.  Proper maintenance and storage of vehicles is paramount to the efficient operation of this bus system.  The new facility will provide interior storage for the entire fleet, a service lane with an automatic bus wash, indoor fueling, farebox retrieval, a vehicle maintenance area with lifts and component repair areas, administrative office area and employee welfare facilities for the drivers and maintainers.  The new facility will be located in Watertown, CT. on a 20 acre parcel.  </t>
  </si>
  <si>
    <t>DOT04720048PE, RW, CN</t>
  </si>
  <si>
    <t>Northwestern CT TD Bus Facility</t>
  </si>
  <si>
    <t>Northwestern CT TD</t>
  </si>
  <si>
    <t>Torrington</t>
  </si>
  <si>
    <t>The construction of a new bus maintenance, storage and administration facility within close proximity to downtown Torrington to house the Northwestern Connecticut Transit District, which provides fixed route and on-demand transit (paratransit) services to the north-west region of Connecticut. The facility will house a building of approximately 13,000 square feet for maintenance, daily servicing and administrative offices for NW CT Transit. Site work will include providing secure outdoor parking for up to 65 transit vehicles and parking for up to 54 employees and visitors (a total of 119 spaces).</t>
  </si>
  <si>
    <t>DOT01030245PE, RW</t>
  </si>
  <si>
    <t>Norwich Intermodal Transportation Center</t>
  </si>
  <si>
    <t>City of Norwich</t>
  </si>
  <si>
    <t>Norwich</t>
  </si>
  <si>
    <t>The project is for the construction of a modern regional intermodal transportation center in downtown Norwich, Connecticut on Hollyhock Island at West Main Street and a re-located Falls Avenue. The Norwich Intermodal Transportation Center (NITC) will replace an inadequate bus terminal and park and ride lot at Route 12 and serve as a hub for Southeast Area Transit District (SEAT) fixed route service, intercity bus, shuttle and limousine services, taxi and water transportation. The new facility will include a sheltered bus station with 1,250 square feet of enclosed passenger waiting area, restrooms, kiosks, ticketing and other amenities; eight (8) bus berths; a three-level, 259-car, 80,000 square foot garage for transit-supportive parking; accommodations for shuttle and limousine services to nearby attractions; bicycle facilities and linkages to water transportation services. As the result of a site selection study performed in 1999, the Norwich Intermodal Transportation Center will be built in the area of Falls Avenue and West Main Street (Rt. 82). The facade design will compliment the historic local architecture.</t>
  </si>
  <si>
    <t>DOT01703080OP, DOT01703158OP, DOT01703089OP, DOT01703159OP, DOT01703090OP, DOT01703160OP</t>
  </si>
  <si>
    <t>CT-95-X010</t>
  </si>
  <si>
    <t>Waterbury Evening Bus Service 3 yrs, Fixed &amp; ADA</t>
  </si>
  <si>
    <r>
      <t xml:space="preserve">This is a 3 year Waterbury Evening Bus Service demonstration project </t>
    </r>
    <r>
      <rPr>
        <sz val="10"/>
        <color indexed="8"/>
        <rFont val="Arial"/>
        <family val="2"/>
      </rPr>
      <t xml:space="preserve">for a period of 10/1/2011 - 9/30/2014.  This project will implement a skeleton bus service running hourly from 6:30pm to 12:30am Monday through Saturday connecting key locations in the City.  All operating costs would be included, labor, fuel, maintenance, and other related expenses.  </t>
    </r>
    <r>
      <rPr>
        <sz val="10"/>
        <rFont val="Arial"/>
        <family val="2"/>
      </rPr>
      <t>The total cost for the 3 year demonstration project is $2,537,219.  Federal participation will reduce each year as follows: 80% - 1</t>
    </r>
    <r>
      <rPr>
        <vertAlign val="superscript"/>
        <sz val="10"/>
        <rFont val="Arial"/>
        <family val="2"/>
      </rPr>
      <t>st</t>
    </r>
    <r>
      <rPr>
        <sz val="10"/>
        <rFont val="Arial"/>
        <family val="2"/>
      </rPr>
      <t xml:space="preserve"> yr; 60% - 2</t>
    </r>
    <r>
      <rPr>
        <vertAlign val="superscript"/>
        <sz val="10"/>
        <rFont val="Arial"/>
        <family val="2"/>
      </rPr>
      <t>nd</t>
    </r>
    <r>
      <rPr>
        <sz val="10"/>
        <rFont val="Arial"/>
        <family val="2"/>
      </rPr>
      <t xml:space="preserve"> yr; and 40% - 3</t>
    </r>
    <r>
      <rPr>
        <vertAlign val="superscript"/>
        <sz val="10"/>
        <rFont val="Arial"/>
        <family val="2"/>
      </rPr>
      <t>rd</t>
    </r>
    <r>
      <rPr>
        <sz val="10"/>
        <rFont val="Arial"/>
        <family val="2"/>
      </rPr>
      <t xml:space="preserve"> yr. </t>
    </r>
  </si>
  <si>
    <t>CT-57-X005</t>
  </si>
  <si>
    <t>DOT01703198OP</t>
  </si>
  <si>
    <t xml:space="preserve">New  Freedom - Mobility Ombudsman - Hartford </t>
  </si>
  <si>
    <t>N/A</t>
  </si>
  <si>
    <t>Hartford Urbanized Area</t>
  </si>
  <si>
    <t xml:space="preserve">Funding for a mobility ombudsman to coordinate mobility issues faced by people with disabilities in the Hartford region.  </t>
  </si>
  <si>
    <t>DOT01703199OP</t>
  </si>
  <si>
    <t>New  Freedom - Mobility Ombudsman - New Haven</t>
  </si>
  <si>
    <t>Funding for a mobility ombudsman for the New Haven/Middlesex Counties.</t>
  </si>
  <si>
    <t>New Freedom - Hartford Urbanized Area - Operating</t>
  </si>
  <si>
    <t>Various</t>
  </si>
  <si>
    <t>Enfield</t>
  </si>
  <si>
    <t xml:space="preserve">Town of Enfield - New Fixed-Route Bus Service – Provide local bus service targeting people with disabilities in Enfield, CT where there is no existing local bus service and therefore no ADA paratransit. Enfield is served by an Express bus route and a very small portion of a Pioneer Valley Transit Authority route. This proposal would provide service 6:00AM to 6:00PM, Monday through Saturday. ADA paratransit service will also be provided in service area, but funded 100% by CTDOT.  </t>
  </si>
  <si>
    <t>New Freedom - New Haven Urbanized Area - Operating</t>
  </si>
  <si>
    <t>Estuary TD</t>
  </si>
  <si>
    <t>Estuary Service Area</t>
  </si>
  <si>
    <t>Estuary Transit District - Extended hours of Riverside Shuttle Flex Route - Provide extended hours Monday through Friday from 6:00AM to 10:00AM and 5:30PM to 7:00PM to make connections with the Estuary Transit District Shoreline Shuttle, Shore Line East Commuter Rail Road, and New Haven S-Route. Administration costs are included in different section.  Estuary Transit District - Old Saybrook to Middletown Shuttle Fixed Route with Deviation (Mid-Shore Shuttle) Service Continuation - Provide mid-day public transportation service to connect the Estuary region towns and Haddam residents with Middletown. For people with disabilities living in these communities, the lack of service prevents their access to employment; hospital, mental health, and rehab facilities; district court; and further connections to Hartford services and government services. This is a continuation of a route initiated by the New Freedom Program. It operates through a service area currently served by commuter buses only and provides a connection to commuter rail in Old Saybrook and serves an eligible disabled population beyond the geographic limits of the ADA.</t>
  </si>
  <si>
    <t>New Freedom - Bridgeport/Stamford - Operating</t>
  </si>
  <si>
    <t>Ability Beyond Disability, Easton Senior Center</t>
  </si>
  <si>
    <t>Norwalk, Easton</t>
  </si>
  <si>
    <t xml:space="preserve">Ability Beyond Disability - New Demand Responsive Service - Provide new demand-responsive service in Norwalk and surrounding towns that goes beyond 3/4 mile ADA paratransit boundaries and provides door-through-door service upon request.   Easton Senior Center - Dial-A-Ride Expansion – Easton, CT has no fixed route bus service and therefore no ADA paratransit. The Easton Senior Center provides transportation service to people with disabilities. The expansion to DAR hours will provide service evenings Monday – Saturday and all day on Sunday. Town of Easton is providing $8,000 overmatch. 
</t>
  </si>
  <si>
    <t>New Freedom - Other Urban - Operating</t>
  </si>
  <si>
    <t>Eastern CT Transportation Consortium, Sphere, Inc., New Milford, New Milford Senior Citizens Advisory Board, Kennedy Center</t>
  </si>
  <si>
    <t xml:space="preserve">Eastern Connecticut Transportation Consortium - Accessible transportation voucher – Provide a voucher to use with participating taxi, livery, and lift-equipped providers in order to expand service availability beyond the hours and service area of ADA paratransit. Administration costs are listed separately.  Volunteer mileage reimbursement for transportation of veterans with disabilities. W/C accessible transportation is available through state-funded demand/response system in this service area. People using mobility-assisting devices will not be denied service. This project is part of a menu of services offered by the Eastern Connecticut Transportation Consortium brokerage which will assure that wheelchair accessible transportation is available through state-funded demand/response system in this service area.  
Sphere, Inc - Transportation services in Ridgefield, CT – Provide demand-response transportation to people with disabilities in Ridgefield, CT. There is no fixed route service in Ridgefield, CT and therefore no ADA paratransit available. Inter-town service will also be available throughout Fairfield County. 
Town of New Milford - Expanded Capacity on dial-a-ride program – Provide operating funds for an additional vehicle to meet the increasing demands on the dial-a-ride system and reduce denials. Local bus service (and corresponding ADA paratransit) in New Milford is limited to the Route 7 corridor. The Town of New Milford provides dial-a-ride services outside of the ADA paratransit corridor. 
New Milford Senior Citizens Advisory Board - `Wheels` Volunteer Driver Program – Provide funding for administration of volunteer recruitment, training, coordination, retention, and client/driver scheduling, insurance and mileage reimbursement. The Wheels program works in cooperation and coordination with the Town of New Milford dial-a-ride service thereby assuring that w/c accessible services are available when needed. 
The Kennedy Center - Conduct Public Transit 101 workshops in the northwest and eastern CT regions. PT 101 can be tailored to almost any target audience: human service workers, people with disabilities, students, economically disadvantaged, or staff that work with these populations. The workshops are conducted using the `Getting Board` guide for the region.
</t>
  </si>
  <si>
    <t>New Freedom - Rural  - Operating</t>
  </si>
  <si>
    <t>Northwestern CT TD, Sullivan Senior Center</t>
  </si>
  <si>
    <t xml:space="preserve">Northwestern CT TD Service Area, </t>
  </si>
  <si>
    <t xml:space="preserve">Northwest Connecticut Transit District - Expanded Winsted dial-a-ride - Provide service on Saturday and one evening of service per week with existing bus. This dial-a-ride is above and beyond the ADA services provided by the State and its contractors and serves an eligible disabled population beyond the geographic limits of the ADA. Winsted is served by flexible route service only, therefore there is no ADA service.  Winsted Sunday Service -Provide Sunday service to people with disabilities. This dial-a-ride is above and beyond the ADA services provided by the State and its contractors because there is currently no Sunday fixed route service in the area.   Public Awareness Campaign - Prepare transit newsletters, newspaper ads, promotional video, brochures and posters targeting people with disabilities. 
Sullivan Senior Center (Torrington, CT) - Rural Independent Transportation System (RITS) – Operation of 2 wheelchair accessible minivans targeting the transportation needs of people with disabilities in the Northwestern Connecticut region. The project budget also includes staff time for program coordination. This service will be provided in an area where there is no fixed route or ADA paratransit. The RITS program is a developing self-sustaining community based regional transportation systems using a combination of volunteer and paid drivers. 
</t>
  </si>
  <si>
    <t>DOT01703203RS</t>
  </si>
  <si>
    <t>New Freedom - Purchase Replacement Vans</t>
  </si>
  <si>
    <t>Gr. Hartford TD, Ability Beyond Disability</t>
  </si>
  <si>
    <t xml:space="preserve">Hartford TD Service Area, Middletown &amp; Norwalk </t>
  </si>
  <si>
    <t xml:space="preserve">GHTD will purchase 2 new wheelchair accessible vehicles and related equipment – To provide taxi service in Hartford UZA and Non-urbanized area near Middletown. This service will allow people with disabilities to access locations outside of the ADA paratransit service area and hours, or make same day trips.  Ability Beyond Disability purchase a new wheelchair accessible vehicle for use in a new demand-responsive service in Norwalk and surrounding towns that goes beyond 3/4 mile ADA paratransit boundaries and provides door-through-door service upon request.  </t>
  </si>
  <si>
    <t>DOT01703204RS</t>
  </si>
  <si>
    <t>New Freedom - Purchase &lt;30-ft Bus</t>
  </si>
  <si>
    <t>Town of Enfield, Sullivan Senior Center</t>
  </si>
  <si>
    <t xml:space="preserve">Purchase 2 replacement wheelchair accessible small buses and signage for use by the Town of Enfield to provide fixed route bus service where there is no existing local bus service and therefore no ADA paratransit.  Sullivan Senior Center will purchase a wheelchair accessible van for use by The Rural Independent Transportation System (RITS) that targets the transportation needs of people with disabilities in the Northwestern Connecticut region. This service will be provided in an area where there is no ADA paratransit. The RITS program is a developing self-sustaining community based regional transportation systems using a combination of volunteer and paid drivers.
 </t>
  </si>
  <si>
    <t>DOT01703205EQ</t>
  </si>
  <si>
    <t>New Freedom - Purchase Equipment</t>
  </si>
  <si>
    <t>North Central Regional Mental Health Board, Inc; Ability Beyond Disability</t>
  </si>
  <si>
    <t xml:space="preserve">North Central Regional Mental Health Board, Inc to purchase and install a touchscreen kiosks for trip planning. Ability Beyond Disability to purchase a GIS/GPS system that will provide actual vehicle location to assist with route planning and operating for 96 (w/c accessible) vehicle system in Danbury, CT and surrounding towns . Use of this system will allow the program to take on same day requests to fill in cancellations.
 </t>
  </si>
  <si>
    <t>DOT01703206EQ</t>
  </si>
  <si>
    <t>Gr. Bridgeport TA</t>
  </si>
  <si>
    <t>Bridgeport TA Service Area</t>
  </si>
  <si>
    <t xml:space="preserve">Funding for the purchase of integrated voice response software for the Greater Bridgeport Transit Authority.  This software will provide transit passengers with disabilities 24/7 access to make, inquire on, modify and cancel reservations at their convenience, outside of regular business hours. </t>
  </si>
  <si>
    <t>DOT01703207AD</t>
  </si>
  <si>
    <t>New Freedom - Administration</t>
  </si>
  <si>
    <t>Statewide</t>
  </si>
  <si>
    <t>Funding for program administration of services and activities related to the New Freedom program.</t>
  </si>
  <si>
    <t>CT-57-X006</t>
  </si>
  <si>
    <t>DOT01703284OP</t>
  </si>
  <si>
    <t>Mobility Management - New Freedom - Small Urban Areas</t>
  </si>
  <si>
    <t>New London &amp; Windham Counties</t>
  </si>
  <si>
    <t>Mobility Ombudsman to provide assistance to persons with disabilities in the small Urban area facing mobility issues, by providing outreach to prospective riders with disabilities, identifying barriers preventing them from using existing services, and assisting with development and planning of new services.</t>
  </si>
  <si>
    <t>DOT01703285OP</t>
  </si>
  <si>
    <t>Mobility Management - New Freedom - Urbanized Areas</t>
  </si>
  <si>
    <t>New Haven Urbanized Area, Bridgeport/Stamford Urbanized Area</t>
  </si>
  <si>
    <t xml:space="preserve">Mobility Ombudsman to provide assistance to persons with disabilities in the New Haven Urbanized area (New Haven and Middlesex Counties) facing mobility issues. This project will provide outreach to prospective riders with disabilities, identifying barriers preventing them from using existing services, and assisting with development and planning of new services.  In addition, funds will be used for a regional call center pilot program for trip planning for persons with disabilities across the multiple transit providers and service providers in the Bridgeport/ Stamford Urbanized Area.
</t>
  </si>
  <si>
    <t>DOT01703286OP</t>
  </si>
  <si>
    <t>New Freedom Program - Operating</t>
  </si>
  <si>
    <t>Trumbull, CT</t>
  </si>
  <si>
    <t>Provide dial-a-ride expansion services in Trumbull, CT to people with disabilities and older adults that is above and beyond the geographic limits and service hours of the ADA paratransit service.</t>
  </si>
  <si>
    <t>DOT01703287OP</t>
  </si>
  <si>
    <t xml:space="preserve"> New Freedom Program - Operating</t>
  </si>
  <si>
    <t>Gr. Hartford TD, Arc of Farmington Valley</t>
  </si>
  <si>
    <t>Provide an operating subsidy during the development of a financially self-sustaining community based regional volunteer transportation system, expand door–to-door service to the disable community in the Farmington Valley, CT area beyond the limits of ADA service, provide vouchers for taxi services for ADA eligible individuals in the Hartford area and provide vouchers for participating taxi, livery and lift-equipped providers to expand service availability beyond the hours and service areas of current ADA service in Eastern CT.</t>
  </si>
  <si>
    <t>DOT01703288OP</t>
  </si>
  <si>
    <t xml:space="preserve"> New Freedom Program - Operating </t>
  </si>
  <si>
    <t>Estuary TD, Gr. Northwestern CT TD, CTTransit Waterbury, Southwestern CT RPA</t>
  </si>
  <si>
    <t xml:space="preserve">Expanded hours of Old Saybrook to Middletown Shuttle Fixed Route with Deviation (Mid-Shore Shuttle) - Provide expanded hours to fill in the 4 hour mid-day gap on this service. Connects the Estuary region towns and Haddam residents with Middletown. For the elderly and persons with disabilities living in these communities the lack of service prevents their access to employment; hospital, mental health, and rehab facilities; district court; and further connections to Hartford services and government services. This is a continuation of a route initiated by the New Freedom Program. It operates through a service area currently served by commuter buses only and provides a connection to commuter rail in Old Saybrook and serves an eligible disabled population beyond the geographic limits of the ADA. Administration costs are included in different section.
Provide expanded dial-a-ride in the evening and on Sundays in the Waterbury service areas as well as expand dial-a-ride to reach medical offices in Southbury, CT and the Gaylord Rehabilitation facility in Wallingford.                                           Southwestern Regional Planning Agency - Regional Call Center Study to determine staffing, technology, and funding requirements for a regional call center for the Bridgeport/Stamford Urbanized Area.                                             </t>
  </si>
  <si>
    <t>DOT01703289RS</t>
  </si>
  <si>
    <t>New Freedom - Purchse &lt;30 ft Bus</t>
  </si>
  <si>
    <t>Arc of Farmington Valley</t>
  </si>
  <si>
    <t xml:space="preserve">Purchase 2 new wheelchair accessible vehicles to provide additional door-to-door transportation in the Farmington Valley (CT) region to serve people with disabilities with origins and destinations beyond ¾ mile of a fixed route bus service.  </t>
  </si>
  <si>
    <t>New Freedom - Purchase CNG Vans</t>
  </si>
  <si>
    <t>Gr. New Haven TD</t>
  </si>
  <si>
    <t>New Haven TD Service Area</t>
  </si>
  <si>
    <t>Purchase Two CNG Vehicles for use as Wheelchair Accessible Taxi – Additional funds required to complete the purchase of 2 CNG-powered wheelchair accessible taxis for use by Metro Taxi to allow people with disabilities to access locations outside of the ADA paratransit service area and hours, or make same day trips.</t>
  </si>
  <si>
    <t>Gr. Hartford TD</t>
  </si>
  <si>
    <t>Windham County and Hartford Urbanized Area</t>
  </si>
  <si>
    <t>Purchase of 5 new wheelchair accessible vehicles and related equipment – To provide taxi service in rural Windham County and Hartford UZA. This service will allow people with disabilities to access locations outside of the ADA paratransit service area and hours, or make same day trips.</t>
  </si>
  <si>
    <t>DOT01703290AD</t>
  </si>
  <si>
    <t xml:space="preserve">New Freedom - State Administration </t>
  </si>
  <si>
    <t xml:space="preserve">Funding for administrative costs associated with employees and contractors implementing the New Freedom programs.  </t>
  </si>
  <si>
    <t>DOT01703127OP, DOT01703265OP</t>
  </si>
  <si>
    <t>CT-37-X010</t>
  </si>
  <si>
    <t>Hartford UZA Job Access - CTTransit Hartford</t>
  </si>
  <si>
    <t>CTTransit - Hartford</t>
  </si>
  <si>
    <t>CTTransit Hartford Service Area</t>
  </si>
  <si>
    <t>Areas of Operation: L Route – Tower Avenue Crosstown Route. The service connects low-income residences in the north end of Hartford with Buckland Hills Mall in Manchester and Copaco Shopping Center in Bloomfield. Bradley Flyer – Fixed Route Transit Service from downtown and north Hartford quickly and directly to Bradley International Airport in Windsor Locks and to a limited number of job sites near the Airport and the surrounding area.    Bloomfield/Windsor Routes – add mid-day service and night service to meet the needs of second shift workers along Blue Hills Avenue and Day Hill Road.</t>
  </si>
  <si>
    <t>DOT01703127OP</t>
  </si>
  <si>
    <t>Bridgeport/Stamford UZA Job Access - Gr. Bridgeport Transit Authority</t>
  </si>
  <si>
    <t>Gr. Bridgeport TA Sevice Area</t>
  </si>
  <si>
    <t>Area of Operation: Expanded Weeknight/Weekend Service - Extend the evening hours of 12 Greater Bridgeport Transit District routes on weekdays, 7 routes on Saturdays and 9 routes on Sundays.  Route 15 service extension – extend the Route 15 service to access employment opportunities along the Bridgeport Avenue corridor in Shelton and connect with a CTTransit - New Haven division route at the Derby Railroad Station.</t>
  </si>
  <si>
    <t xml:space="preserve">Bridgeport/Stamford UZA Job Access - CTTransit Stamford </t>
  </si>
  <si>
    <t>CTTransit - Stamford</t>
  </si>
  <si>
    <t>CTTransit Stamford Service Area</t>
  </si>
  <si>
    <t xml:space="preserve">Area of Operation: Sunday Service and Saturday Evening Service in Stamford – Provide Sunday service in Stamford on seven routes to complete the link for accessing jobs along the Route 1 corridor of the entire region from Milford to Stamford (and beyond) including the Boston Post Road (U.S. Route 1) Between Norwalk and Port Chester, New York. Extend Saturday night hours of service to better serve employee shift times.  Expanded Weeknight – expand weeknight service hours to allow return of second shift and arrival of third shift workers throughout the Stamford system. </t>
  </si>
  <si>
    <t>Bridgeport/Stamford UZA Job Access - Norwalk Transit District</t>
  </si>
  <si>
    <t>Norwalk TD</t>
  </si>
  <si>
    <t>Norwalk TD Service Area</t>
  </si>
  <si>
    <t>Area of Operation: Coastal Link Route 1/Post Road seamless service) – Fixed Route Bus Service to access job sites and high-density commercial areas throughout the US/Route 1 corridor in SW CT from Milford Transit District, Bridgeport Transit Authority and Norwalk Transit District will pool their resources to provide service between the CT Post Mall in Milford and the Norwalk WHEELS hub. Transfers can be made to either CTTRANSIT New Haven or Stamford system at the route ends.</t>
  </si>
  <si>
    <t>New Haven UZA Job Access - Milford Transit District</t>
  </si>
  <si>
    <t>Milford TD</t>
  </si>
  <si>
    <t>Milford TD Service Area</t>
  </si>
  <si>
    <t>Area of Operation: Coastal Link (Route 1/Post Road seamless service) – Fixed Route Bus Service to access job sites and high-density commercial areas throughout the US/Route 1 corridor in SW CT from Milford Transit District, Bridgeport Transit Authority and Norwalk Transit District will pool their resources to provide service between the CT Post Mall in Milford and the Norwalk WHEELS hub. Transfers can be made to either CTTRANSIT New Haven or Stamford system at the route ends.</t>
  </si>
  <si>
    <t>New Haven UZA Job Access - Gr. New Haven Transit District</t>
  </si>
  <si>
    <t>Gr. New Haven TD Service Area</t>
  </si>
  <si>
    <t>Area of Operation: My Ride - scheduled van service to job sites in the New Haven area targeting individuals with disabilities seeking access to work.</t>
  </si>
  <si>
    <t>New Haven UZA Job Access - Middletown Transit District</t>
  </si>
  <si>
    <t>Middletown TD</t>
  </si>
  <si>
    <t>Middletown TD Service Area</t>
  </si>
  <si>
    <t>Middletown Night Owl Service – Two fixed routes, H &amp; I, in Middletown comprise the Night Owl routes that run after normal operating hours.  M-Link Service – Connection between the cities of Middletown and Meriden. Service operates from the Middletown hub to the train station in Meriden with service several times a day to Meriden Westfield Shoppingtown.</t>
  </si>
  <si>
    <t>Rural (Non-UZA) Job Access - Windham Region Transit District</t>
  </si>
  <si>
    <t>Windham Region TD</t>
  </si>
  <si>
    <t>Windham Region TD Service Area</t>
  </si>
  <si>
    <t>Areas of Operation: Route 32 Corridor Commuter Bus Service – The seven-day a week commuter bus service from Willimantic targets workers seeking access to jobs at Foxwoods Resort Casino, downtown Norwich, the Norwich Industrial Park and along the Route 32 corridor between the two cities.  Storrs-Willimantic Service – extend hours of service to meet shift times and allow connections to commuter service into Hartford.</t>
  </si>
  <si>
    <t>Rural (Non-UZA) Job Access - Northwestern CT Transit District</t>
  </si>
  <si>
    <t>Northwestern CT TD Service Area</t>
  </si>
  <si>
    <t>Areas of Operation: Torrington/Canaan – Provide service to remote employers in the rural areas that previously were unreachable. Service is proposed to meet the needs of all three shifts Monday through Friday and also on Saturday mornings to meet third shift needs.</t>
  </si>
  <si>
    <t xml:space="preserve">Urban Job Access - Housatonice Area Regional Transit District </t>
  </si>
  <si>
    <t xml:space="preserve">Housatonic Regional Area TD </t>
  </si>
  <si>
    <t>Housatonic Regional Area TD Service Area</t>
  </si>
  <si>
    <t xml:space="preserve">Areas of Operation: Mall/Hospital Loop – Expand HART Deviated Fixed Route Service to provide evening and weekend service within Danbury to facilitate access to jobs at a major retail mall and hospital.  Newtown Road/South Street Loop - Expand HART Deviated Fixed Route Service in Danbury and Bethel to provide evening and weekend service to access educational opportunities at a community college, as well as employment opportunities in retail.  New Milford Loop – Expand services to evening and weekends to improve access to employment along Federal Road in Danbury and the state Route 7 corridor from Danbury, through Brookfield, to New Milford. </t>
  </si>
  <si>
    <t>Urban Job Access - Southeast Area Transit District</t>
  </si>
  <si>
    <t>Southeast Area TD</t>
  </si>
  <si>
    <t>Southeast TD Service Area</t>
  </si>
  <si>
    <t>Areas of Operation: Run #9 - Expand fixed route hours of service between Norwich, Lisbon, and Jewett City on Saturday.  Run #7, Run #108 and Run #101 - expand service hours on weeknights and Saturday, and on Sunday for Run #108. 
Run #15 – provide evening service to the New London/Waterford area on weeknights and Saturdays.
Run #4 – expand service hours in Norwich to provide early morning and evening service on Saturday.
Run #11 – expand service hours in Groton 7 days a week.</t>
  </si>
  <si>
    <t>Urban Job Access - CTTransit Waterbury</t>
  </si>
  <si>
    <t>CTTransit Waterbury Service Area</t>
  </si>
  <si>
    <t>Areas of Operation: Southbury/Waterbury (Route 8) – Provide shuttle service for low-income workers from Waterbury to reach Southbury employers.  Beacon Falls/Ansonia - Provide service for 1st and 2nd shift to several employers in Beacon Falls and Ansonia from the Waterbury Green.  Watertown/Straits Turnpike – Extend the Waterbury area fixed route service to accommodate the relocation of a Watertown manufacturing employer with transit-dependent workers to a larger facility located beyond the current bus service area.  Naugatuck Industrial Park/Naugatuck Green – Serve first and second shift changes as well as evening service at the Naugatuck Industrial Park and the business in the Naugatuck Green vicinity.</t>
  </si>
  <si>
    <t>DOT04780062OP, DOT04780066OP, DOT04780069OP, DOT04780063OP, DOT04780067OP, DOT04780070OP</t>
  </si>
  <si>
    <t>CT-18-X031,    CT-18-X031,    CT-18-X033</t>
  </si>
  <si>
    <t>Operating Assistance - Shoreline Shuttle Bus Service &amp; Rural Bus Service</t>
  </si>
  <si>
    <t xml:space="preserve">Estuary TD Service Area </t>
  </si>
  <si>
    <t>Funding for transit operating services</t>
  </si>
  <si>
    <t>DOT04780064TR, DOT04780068TR</t>
  </si>
  <si>
    <t xml:space="preserve">Rural Transit Assistance Program (RTAP) - Training </t>
  </si>
  <si>
    <t xml:space="preserve">Funding to provide training to rural transit operator for approved training programs and  professioal staff development, as well as travel to and hosting of professional conferences and regional meetings geared toward training and coordination. </t>
  </si>
  <si>
    <t>DOT04780072RS, EQ</t>
  </si>
  <si>
    <t>Capital Assistance - Purchase Paratransit Vehicles; Miscellaneous Equipment</t>
  </si>
  <si>
    <t xml:space="preserve">Purchase of one (1) small bus.  Purchase of  miscellaneous equipment. </t>
  </si>
  <si>
    <t>DOT01702807OP, DOT01703036OP, DOT01703189OP</t>
  </si>
  <si>
    <t xml:space="preserve">Planning Assistance </t>
  </si>
  <si>
    <t>Litchfield Hills Council of Elected Officials</t>
  </si>
  <si>
    <t>Litchfield Hills - Litchfield County</t>
  </si>
  <si>
    <t>Funding for Litchfiels Hills Council of Elected Officials for general development and comprehensive planning related to Section 5311 Rural Transit program.</t>
  </si>
  <si>
    <t>DOT04800049OP, DOT04800051OP, DOT04800053OP</t>
  </si>
  <si>
    <t>Operating Assistance - Rural Bus Service</t>
  </si>
  <si>
    <t>Middletown TD Rural Service Area</t>
  </si>
  <si>
    <t>DOT04800050TR, DOT04800052TR</t>
  </si>
  <si>
    <t>Middletown TD Rural Area</t>
  </si>
  <si>
    <t>DOT01702825AD</t>
  </si>
  <si>
    <t>State Administration - Section 5311 Program</t>
  </si>
  <si>
    <t>Funding for ConnDOT staff for the administration of the Section 5311 program.</t>
  </si>
  <si>
    <t>DOT01702781TR, DOT01702848TR</t>
  </si>
  <si>
    <t>Rural Transit Assistance Program (RTAP) - Consortium</t>
  </si>
  <si>
    <t>DOT01702826TR, DOT01702848TR</t>
  </si>
  <si>
    <t>Rural Transit Assistance Program (RTAP) - Technical Assistance</t>
  </si>
  <si>
    <t xml:space="preserve">Funding for ConnDOT staff to attend professional conferences enabling staff to develop and improve skills in the area of rural and elderly and handicapped transportation. </t>
  </si>
  <si>
    <t>DOT01702805OP, DOT01703034OP, DOT01703187OP</t>
  </si>
  <si>
    <t>Planning Assistance</t>
  </si>
  <si>
    <t>Northeastern CT Council of Governments</t>
  </si>
  <si>
    <t>Northeastern CT - Windham County</t>
  </si>
  <si>
    <t>Funding for Northeastern CT Council of Governments for general development and comprehensive planning related to Section 5311 Rural Transit program.</t>
  </si>
  <si>
    <t>DOT04760057OP, DOT04760060OP, DOT04760062OP</t>
  </si>
  <si>
    <t>Northeastern CT TD</t>
  </si>
  <si>
    <t>Northeastern CT TD Service Area</t>
  </si>
  <si>
    <t>DOT04760063RS, DOT04760064EQ</t>
  </si>
  <si>
    <t>CT-18-X031,     CT-18-X033</t>
  </si>
  <si>
    <t>Capital Assistance - Purchase Paratransit Vehicle and Support Equip.</t>
  </si>
  <si>
    <t>Northeastern CT TD  Service Area</t>
  </si>
  <si>
    <t>Purchase of one (1) Paratransit vehicle and support equipment</t>
  </si>
  <si>
    <t>DOT04760058TR, DOT04760061TR</t>
  </si>
  <si>
    <t>DOT04720057OP, DOT04720061OP, DOT04720063OP</t>
  </si>
  <si>
    <t>DOT04720064RS, DOT04720064EQ</t>
  </si>
  <si>
    <t>CT-18-X031,    CT-18-X033</t>
  </si>
  <si>
    <t>Capital Assistance - Paratransit Vehicles &amp; Misc Support Equipment</t>
  </si>
  <si>
    <t xml:space="preserve">Purchase of support equipment. </t>
  </si>
  <si>
    <t>DOT04720058TR, DOT04720062TR</t>
  </si>
  <si>
    <t>DOT01702806OP, DOT01703035OP, DOT01703188OP</t>
  </si>
  <si>
    <t>Windham Region Council of Governments</t>
  </si>
  <si>
    <t>Windham Region - Windham County</t>
  </si>
  <si>
    <t>Funding for Windham Region Council of Governments for general development and comprehensive planning related to Section 5311 Rural Transit program.</t>
  </si>
  <si>
    <t>DOT04740075OP, DOT04740080OP, DOT04740082OP</t>
  </si>
  <si>
    <t>DOT04740083RS, DOT04740084RS, DOT04740084EQ</t>
  </si>
  <si>
    <t>Capital Assistance - Paratransit Vehicles and Support Equipment</t>
  </si>
  <si>
    <t>Purchase of eleven (11) Paratransit vehicles and support equipment.</t>
  </si>
  <si>
    <t>DOT04740077TR, DOT04740081TR</t>
  </si>
  <si>
    <t xml:space="preserve"> New Haven and Middlesex Counties</t>
  </si>
  <si>
    <t xml:space="preserve">Estuary TD Service Area, Northwestern Region, Waterbury Service Area, Bridgeport/ Stamford Urbanized Area                     </t>
  </si>
  <si>
    <t>Impacted Percent Minority</t>
  </si>
  <si>
    <t>Service Area Population</t>
  </si>
  <si>
    <t>State Share</t>
  </si>
  <si>
    <t>Totals:</t>
  </si>
  <si>
    <t>Farmington Valley CT (Farmington, Avon, Simsbury, Canton, Granby)</t>
  </si>
  <si>
    <t xml:space="preserve">Eastern CT (Bozrah, Canterbury, Colchester, East Lyme, Franklin, Griswold, Groton, Killingly, Lebanon, Ledyard, Lisbon, Lyme, Montville, New London, North Stonington, Norwich, Old Lyme, Plainfield, Preston, Salem, Sprague, Stonington, Voluntown, Waterford) Ridgefield, New Milford and Northwest CT (Canaan, Cornwall, Falls Village, Goshen, Kent, Lakeville, Norfolk, Salisbury, Sharon) 
</t>
  </si>
  <si>
    <r>
      <t xml:space="preserve">Hartford Urbanized Area, Farmington Valley CT (Farmington, Avon Simsbury, Canton, Granby), Eastern CT (Bozrah, Canterbury, Colchester, East Lyme, Franklin, Griswold, Groton, Killingly, Lebanon, Ledyard, Lisbon, Lyme, Montville, New London, North Stonington, Norwich, Old Lyme, Plainfield, Preston, Salem, Sprague, Stonington, Voluntown, Waterford) </t>
    </r>
    <r>
      <rPr>
        <sz val="16"/>
        <color theme="1"/>
        <rFont val="Arial"/>
        <family val="2"/>
      </rPr>
      <t xml:space="preserve">        </t>
    </r>
  </si>
  <si>
    <t xml:space="preserve">Enfield, Northwestern CT (Canaan, Cornwall, Falls Village, Goshen, Kent, Lakeville, Norfolk, Salisbury, Sharon)        </t>
  </si>
  <si>
    <t xml:space="preserve">Hartford Urbanized Area, Danbury Urbanized Area </t>
  </si>
  <si>
    <t>Service Area Designation</t>
  </si>
  <si>
    <t>Minority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</si>
</sst>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6" x14ac:knownFonts="1">
    <font>
      <sz val="11"/>
      <color theme="1"/>
      <name val="Calibri"/>
      <family val="2"/>
      <scheme val="minor"/>
    </font>
    <font>
      <b/>
      <sz val="12"/>
      <name val="Arial"/>
      <family val="2"/>
    </font>
    <font>
      <sz val="9"/>
      <name val="Arial"/>
      <family val="2"/>
    </font>
    <font>
      <sz val="10"/>
      <name val="Arial"/>
      <family val="2"/>
    </font>
    <font>
      <sz val="10"/>
      <color indexed="8"/>
      <name val="Arial"/>
      <family val="2"/>
    </font>
    <font>
      <vertAlign val="superscript"/>
      <sz val="10"/>
      <name val="Arial"/>
      <family val="2"/>
    </font>
    <font>
      <sz val="9"/>
      <color theme="1"/>
      <name val="Arial"/>
      <family val="2"/>
    </font>
    <font>
      <sz val="10"/>
      <color theme="1"/>
      <name val="Arial"/>
      <family val="2"/>
    </font>
    <font>
      <sz val="10"/>
      <color rgb="FF000000"/>
      <name val="Arial"/>
      <family val="2"/>
    </font>
    <font>
      <b/>
      <sz val="18"/>
      <color theme="1"/>
      <name val="Calibri"/>
      <family val="2"/>
      <scheme val="minor"/>
    </font>
    <font>
      <sz val="16"/>
      <color theme="1"/>
      <name val="Arial"/>
      <family val="2"/>
    </font>
    <font>
      <b/>
      <sz val="10"/>
      <name val="Arial"/>
      <family val="2"/>
    </font>
    <font>
      <b/>
      <sz val="10"/>
      <color theme="1"/>
      <name val="Arial"/>
      <family val="2"/>
    </font>
    <font>
      <b/>
      <sz val="12"/>
      <color theme="1"/>
      <name val="Arial"/>
      <family val="2"/>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1">
    <xf numFmtId="0" fontId="0" fillId="0" borderId="0"/>
  </cellStyleXfs>
  <cellXfs count="290">
    <xf numFmtId="0" fontId="0" fillId="0" borderId="0" xfId="0"/>
    <xf numFmtId="0" fontId="1"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vertical="top"/>
    </xf>
    <xf numFmtId="164" fontId="0" fillId="0" borderId="0" xfId="0" applyNumberFormat="1" applyFill="1" applyBorder="1" applyAlignment="1">
      <alignment horizontal="right"/>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0" fillId="0" borderId="1" xfId="0" applyNumberFormat="1" applyBorder="1" applyAlignment="1">
      <alignment vertical="top"/>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Border="1" applyAlignment="1">
      <alignment vertical="center" wrapText="1"/>
    </xf>
    <xf numFmtId="164" fontId="0" fillId="0" borderId="1" xfId="0" applyNumberFormat="1" applyBorder="1" applyAlignment="1">
      <alignment horizontal="righ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right" vertical="top"/>
    </xf>
    <xf numFmtId="0" fontId="7" fillId="0" borderId="1" xfId="0" applyFont="1" applyFill="1" applyBorder="1" applyAlignment="1">
      <alignment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7"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0" borderId="1" xfId="0" applyNumberFormat="1" applyFont="1" applyBorder="1" applyAlignment="1">
      <alignment horizontal="left" vertical="top" wrapText="1"/>
    </xf>
    <xf numFmtId="0" fontId="2" fillId="0" borderId="1" xfId="0" applyFont="1" applyFill="1" applyBorder="1" applyAlignment="1">
      <alignment horizontal="center"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horizontal="left" wrapText="1"/>
    </xf>
    <xf numFmtId="0" fontId="0" fillId="0" borderId="0" xfId="0" applyAlignment="1">
      <alignment horizontal="left"/>
    </xf>
    <xf numFmtId="0" fontId="0" fillId="0" borderId="0" xfId="0" applyAlignment="1">
      <alignment vertical="top"/>
    </xf>
    <xf numFmtId="164" fontId="0" fillId="0" borderId="0" xfId="0" applyNumberFormat="1" applyAlignment="1">
      <alignment horizontal="right"/>
    </xf>
    <xf numFmtId="0" fontId="9" fillId="0" borderId="0" xfId="0" applyFont="1" applyAlignment="1">
      <alignment horizontal="center" vertical="center"/>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right" vertical="top" wrapText="1"/>
    </xf>
    <xf numFmtId="164" fontId="6" fillId="3" borderId="1" xfId="0" applyNumberFormat="1" applyFont="1" applyFill="1" applyBorder="1" applyAlignment="1">
      <alignment horizontal="right" vertical="top"/>
    </xf>
    <xf numFmtId="164" fontId="3" fillId="3" borderId="1" xfId="0" applyNumberFormat="1" applyFont="1" applyFill="1" applyBorder="1" applyAlignment="1">
      <alignment vertical="top"/>
    </xf>
    <xf numFmtId="0" fontId="2" fillId="3" borderId="1" xfId="0" applyFont="1" applyFill="1" applyBorder="1" applyAlignment="1">
      <alignment vertical="top" wrapText="1"/>
    </xf>
    <xf numFmtId="0" fontId="6" fillId="3" borderId="1" xfId="0" applyFont="1" applyFill="1" applyBorder="1" applyAlignment="1">
      <alignment horizontal="left" vertical="top" wrapText="1"/>
    </xf>
    <xf numFmtId="164" fontId="0" fillId="3" borderId="1" xfId="0" applyNumberFormat="1" applyFill="1" applyBorder="1" applyAlignment="1">
      <alignment vertical="top"/>
    </xf>
    <xf numFmtId="164" fontId="1" fillId="3" borderId="3" xfId="0" applyNumberFormat="1" applyFont="1" applyFill="1" applyBorder="1" applyAlignment="1">
      <alignment horizontal="right" vertical="top" wrapText="1"/>
    </xf>
    <xf numFmtId="164" fontId="13" fillId="3" borderId="3" xfId="0" applyNumberFormat="1" applyFont="1" applyFill="1" applyBorder="1" applyAlignment="1">
      <alignment horizontal="right" vertical="top"/>
    </xf>
    <xf numFmtId="164" fontId="1" fillId="3" borderId="3" xfId="0" applyNumberFormat="1" applyFont="1" applyFill="1" applyBorder="1" applyAlignment="1">
      <alignment vertical="top"/>
    </xf>
    <xf numFmtId="0" fontId="3" fillId="3" borderId="3" xfId="0" applyFont="1" applyFill="1" applyBorder="1"/>
    <xf numFmtId="0" fontId="2" fillId="0" borderId="4" xfId="0" applyFont="1" applyFill="1" applyBorder="1" applyAlignment="1">
      <alignment horizontal="center" vertical="top" wrapText="1"/>
    </xf>
    <xf numFmtId="0" fontId="2" fillId="3" borderId="4" xfId="0" applyFont="1" applyFill="1" applyBorder="1" applyAlignment="1">
      <alignmen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top" wrapText="1"/>
    </xf>
    <xf numFmtId="164" fontId="0" fillId="3" borderId="4" xfId="0" applyNumberFormat="1" applyFill="1" applyBorder="1" applyAlignment="1">
      <alignment horizontal="right" vertical="top"/>
    </xf>
    <xf numFmtId="164" fontId="6" fillId="3" borderId="4" xfId="0" applyNumberFormat="1" applyFont="1" applyFill="1" applyBorder="1" applyAlignment="1">
      <alignment horizontal="right" vertical="top"/>
    </xf>
    <xf numFmtId="0" fontId="3" fillId="3" borderId="4" xfId="0" applyFont="1" applyFill="1" applyBorder="1" applyAlignment="1">
      <alignment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vertical="top" wrapText="1"/>
    </xf>
    <xf numFmtId="0" fontId="3" fillId="0" borderId="8" xfId="0" applyFont="1" applyBorder="1" applyAlignment="1">
      <alignment horizontal="left" vertical="top"/>
    </xf>
    <xf numFmtId="0" fontId="3" fillId="0" borderId="8" xfId="0" applyFont="1" applyBorder="1" applyAlignment="1">
      <alignment horizontal="left" vertical="top" wrapText="1"/>
    </xf>
    <xf numFmtId="164" fontId="0" fillId="0" borderId="8" xfId="0" applyNumberFormat="1" applyBorder="1" applyAlignment="1">
      <alignment horizontal="right" vertical="top"/>
    </xf>
    <xf numFmtId="164" fontId="6" fillId="0" borderId="8" xfId="0" applyNumberFormat="1" applyFont="1" applyFill="1" applyBorder="1" applyAlignment="1">
      <alignment horizontal="right" vertical="top"/>
    </xf>
    <xf numFmtId="0" fontId="3" fillId="0" borderId="8" xfId="0" applyFont="1" applyBorder="1" applyAlignment="1">
      <alignment wrapText="1"/>
    </xf>
    <xf numFmtId="0" fontId="2" fillId="0" borderId="11" xfId="0" applyFont="1" applyFill="1" applyBorder="1" applyAlignment="1">
      <alignment horizontal="left" vertical="top" wrapText="1"/>
    </xf>
    <xf numFmtId="164" fontId="1" fillId="0" borderId="16" xfId="0" applyNumberFormat="1" applyFont="1" applyFill="1" applyBorder="1" applyAlignment="1">
      <alignment horizontal="right" vertical="top" wrapText="1"/>
    </xf>
    <xf numFmtId="164" fontId="13" fillId="0" borderId="16" xfId="0" applyNumberFormat="1" applyFont="1" applyFill="1" applyBorder="1" applyAlignment="1">
      <alignment horizontal="right" vertical="top"/>
    </xf>
    <xf numFmtId="164" fontId="1" fillId="0" borderId="16" xfId="0" applyNumberFormat="1" applyFont="1" applyFill="1" applyBorder="1" applyAlignment="1">
      <alignment vertical="top"/>
    </xf>
    <xf numFmtId="0" fontId="3" fillId="0" borderId="16" xfId="0" applyFont="1" applyFill="1" applyBorder="1"/>
    <xf numFmtId="0" fontId="2" fillId="0" borderId="3" xfId="0" applyFont="1" applyFill="1" applyBorder="1" applyAlignment="1">
      <alignment horizontal="left" vertical="top" wrapText="1"/>
    </xf>
    <xf numFmtId="164" fontId="6" fillId="0" borderId="3" xfId="0" applyNumberFormat="1" applyFont="1" applyFill="1" applyBorder="1" applyAlignment="1">
      <alignment horizontal="right" vertical="top"/>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164" fontId="6" fillId="3" borderId="8" xfId="0" applyNumberFormat="1" applyFont="1" applyFill="1" applyBorder="1" applyAlignment="1">
      <alignment horizontal="right" vertical="top"/>
    </xf>
    <xf numFmtId="0" fontId="2" fillId="3" borderId="11" xfId="0" applyFont="1" applyFill="1" applyBorder="1" applyAlignment="1">
      <alignment horizontal="left" vertical="top" wrapText="1"/>
    </xf>
    <xf numFmtId="164" fontId="1" fillId="3" borderId="16" xfId="0" applyNumberFormat="1" applyFont="1" applyFill="1" applyBorder="1" applyAlignment="1">
      <alignment horizontal="right" vertical="top" wrapText="1"/>
    </xf>
    <xf numFmtId="164" fontId="13" fillId="3" borderId="16" xfId="0" applyNumberFormat="1" applyFont="1" applyFill="1" applyBorder="1" applyAlignment="1">
      <alignment horizontal="right" vertical="top"/>
    </xf>
    <xf numFmtId="164" fontId="1" fillId="3" borderId="16" xfId="0" applyNumberFormat="1" applyFont="1" applyFill="1" applyBorder="1" applyAlignment="1">
      <alignment vertical="top"/>
    </xf>
    <xf numFmtId="0" fontId="3" fillId="3" borderId="16" xfId="0" applyFont="1" applyFill="1" applyBorder="1"/>
    <xf numFmtId="0" fontId="2" fillId="3" borderId="1" xfId="0" applyFont="1" applyFill="1" applyBorder="1"/>
    <xf numFmtId="0" fontId="9" fillId="3" borderId="17" xfId="0" applyFont="1" applyFill="1" applyBorder="1" applyAlignment="1">
      <alignment horizontal="center" vertical="center"/>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8" xfId="0" applyFont="1" applyFill="1" applyBorder="1" applyAlignment="1">
      <alignment wrapText="1"/>
    </xf>
    <xf numFmtId="164" fontId="1" fillId="0" borderId="3" xfId="0" applyNumberFormat="1" applyFont="1" applyFill="1" applyBorder="1" applyAlignment="1">
      <alignment horizontal="right" vertical="top" wrapText="1"/>
    </xf>
    <xf numFmtId="164" fontId="13" fillId="0" borderId="3" xfId="0" applyNumberFormat="1" applyFont="1" applyFill="1" applyBorder="1" applyAlignment="1">
      <alignment horizontal="right" vertical="top"/>
    </xf>
    <xf numFmtId="164" fontId="1" fillId="0" borderId="3" xfId="0" applyNumberFormat="1" applyFont="1" applyFill="1" applyBorder="1" applyAlignment="1">
      <alignment vertical="top"/>
    </xf>
    <xf numFmtId="0" fontId="3" fillId="0" borderId="3" xfId="0" applyFont="1" applyFill="1" applyBorder="1"/>
    <xf numFmtId="0" fontId="6" fillId="3" borderId="8" xfId="0" applyFont="1" applyFill="1" applyBorder="1" applyAlignment="1">
      <alignment horizontal="left" vertical="top" wrapText="1"/>
    </xf>
    <xf numFmtId="0" fontId="8" fillId="3" borderId="8"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 xfId="0" applyFont="1" applyFill="1" applyBorder="1" applyAlignment="1">
      <alignment horizontal="left" vertical="top" wrapText="1"/>
    </xf>
    <xf numFmtId="164" fontId="6" fillId="0" borderId="2" xfId="0" applyNumberFormat="1" applyFont="1" applyFill="1" applyBorder="1" applyAlignment="1">
      <alignment horizontal="right" vertical="top"/>
    </xf>
    <xf numFmtId="0" fontId="2" fillId="3" borderId="25" xfId="0" applyFont="1" applyFill="1" applyBorder="1" applyAlignment="1">
      <alignment horizontal="left" vertical="top" wrapText="1"/>
    </xf>
    <xf numFmtId="0" fontId="2" fillId="3" borderId="4" xfId="0" applyFont="1" applyFill="1" applyBorder="1" applyAlignment="1">
      <alignment horizontal="left" vertical="top" wrapText="1"/>
    </xf>
    <xf numFmtId="164" fontId="2" fillId="3" borderId="4" xfId="0" applyNumberFormat="1" applyFont="1" applyFill="1" applyBorder="1" applyAlignment="1">
      <alignment horizontal="right" vertical="top" wrapText="1"/>
    </xf>
    <xf numFmtId="164" fontId="2" fillId="0" borderId="8" xfId="0" applyNumberFormat="1" applyFont="1" applyFill="1" applyBorder="1" applyAlignment="1">
      <alignment horizontal="right" vertical="top" wrapText="1"/>
    </xf>
    <xf numFmtId="164" fontId="0" fillId="0" borderId="8" xfId="0" applyNumberFormat="1" applyBorder="1" applyAlignment="1">
      <alignment vertical="top"/>
    </xf>
    <xf numFmtId="0" fontId="3" fillId="0" borderId="8" xfId="0" applyFont="1" applyBorder="1" applyAlignment="1">
      <alignment vertical="top" wrapText="1"/>
    </xf>
    <xf numFmtId="0" fontId="2" fillId="3" borderId="4" xfId="0" applyFont="1" applyFill="1" applyBorder="1" applyAlignment="1">
      <alignment horizontal="center" vertical="top" wrapText="1"/>
    </xf>
    <xf numFmtId="0" fontId="2" fillId="0" borderId="4" xfId="0" applyFont="1" applyFill="1" applyBorder="1" applyAlignment="1">
      <alignment horizontal="left" vertical="top" wrapText="1"/>
    </xf>
    <xf numFmtId="164" fontId="0" fillId="3" borderId="4" xfId="0" applyNumberFormat="1" applyFill="1" applyBorder="1" applyAlignment="1">
      <alignment vertical="top"/>
    </xf>
    <xf numFmtId="0" fontId="2" fillId="0" borderId="4" xfId="0" applyFont="1" applyFill="1" applyBorder="1" applyAlignment="1">
      <alignment vertical="top" wrapText="1"/>
    </xf>
    <xf numFmtId="164" fontId="2" fillId="0" borderId="4" xfId="0" applyNumberFormat="1" applyFont="1" applyFill="1" applyBorder="1" applyAlignment="1">
      <alignment horizontal="right" vertical="top" wrapText="1"/>
    </xf>
    <xf numFmtId="164" fontId="6" fillId="0" borderId="4" xfId="0" applyNumberFormat="1" applyFont="1" applyFill="1" applyBorder="1" applyAlignment="1">
      <alignment horizontal="right" vertical="top"/>
    </xf>
    <xf numFmtId="164" fontId="0" fillId="0" borderId="4" xfId="0" applyNumberFormat="1" applyBorder="1" applyAlignment="1">
      <alignment vertical="top"/>
    </xf>
    <xf numFmtId="0" fontId="3" fillId="0" borderId="4" xfId="0" applyFont="1" applyBorder="1" applyAlignment="1">
      <alignment wrapText="1"/>
    </xf>
    <xf numFmtId="0" fontId="2" fillId="3" borderId="8" xfId="0" applyFont="1" applyFill="1" applyBorder="1" applyAlignment="1">
      <alignment vertical="top" wrapText="1"/>
    </xf>
    <xf numFmtId="0" fontId="9" fillId="3" borderId="9" xfId="0" applyFont="1" applyFill="1" applyBorder="1" applyAlignment="1">
      <alignment horizontal="center" vertical="center"/>
    </xf>
    <xf numFmtId="0" fontId="3" fillId="3" borderId="1" xfId="0" applyFont="1" applyFill="1" applyBorder="1" applyAlignment="1">
      <alignment vertical="top" wrapText="1"/>
    </xf>
    <xf numFmtId="0" fontId="3" fillId="3" borderId="4" xfId="0" applyFont="1" applyFill="1" applyBorder="1" applyAlignment="1">
      <alignment vertical="top"/>
    </xf>
    <xf numFmtId="0" fontId="7" fillId="3" borderId="1" xfId="0" applyFont="1" applyFill="1" applyBorder="1" applyAlignment="1">
      <alignment vertical="top" wrapText="1"/>
    </xf>
    <xf numFmtId="0" fontId="6" fillId="0" borderId="4" xfId="0" applyFont="1" applyBorder="1" applyAlignment="1">
      <alignment horizontal="left" vertical="top"/>
    </xf>
    <xf numFmtId="0" fontId="6" fillId="0" borderId="4" xfId="0" applyFont="1" applyBorder="1" applyAlignment="1">
      <alignment horizontal="left" vertical="top" wrapText="1"/>
    </xf>
    <xf numFmtId="164" fontId="6" fillId="0" borderId="4" xfId="0" applyNumberFormat="1" applyFont="1" applyBorder="1" applyAlignment="1">
      <alignment horizontal="right" vertical="top"/>
    </xf>
    <xf numFmtId="0" fontId="7" fillId="0" borderId="4" xfId="0" applyFont="1" applyBorder="1" applyAlignment="1">
      <alignment wrapText="1"/>
    </xf>
    <xf numFmtId="0" fontId="7" fillId="3" borderId="8" xfId="0" applyFont="1" applyFill="1" applyBorder="1" applyAlignment="1">
      <alignment vertical="top" wrapText="1"/>
    </xf>
    <xf numFmtId="0" fontId="7" fillId="3" borderId="16" xfId="0" applyFont="1" applyFill="1" applyBorder="1" applyAlignment="1">
      <alignment vertical="top" wrapText="1"/>
    </xf>
    <xf numFmtId="0" fontId="6" fillId="3" borderId="1" xfId="0" applyFont="1" applyFill="1" applyBorder="1" applyAlignment="1">
      <alignment horizontal="left" vertical="top"/>
    </xf>
    <xf numFmtId="0" fontId="7" fillId="3" borderId="1" xfId="0" applyFont="1" applyFill="1" applyBorder="1" applyAlignment="1">
      <alignment horizontal="left" vertical="top" wrapText="1"/>
    </xf>
    <xf numFmtId="0" fontId="7" fillId="0" borderId="16" xfId="0" applyFont="1" applyFill="1" applyBorder="1" applyAlignment="1">
      <alignment vertical="top" wrapText="1"/>
    </xf>
    <xf numFmtId="0" fontId="2" fillId="3" borderId="1" xfId="0" applyFont="1" applyFill="1" applyBorder="1" applyAlignment="1">
      <alignment horizontal="center" vertical="top" wrapText="1"/>
    </xf>
    <xf numFmtId="164" fontId="7" fillId="3" borderId="1" xfId="0" applyNumberFormat="1" applyFont="1" applyFill="1" applyBorder="1" applyAlignment="1">
      <alignment horizontal="right" vertical="top"/>
    </xf>
    <xf numFmtId="164" fontId="7" fillId="3" borderId="1" xfId="0" applyNumberFormat="1" applyFont="1" applyFill="1" applyBorder="1" applyAlignment="1">
      <alignment vertical="top"/>
    </xf>
    <xf numFmtId="0" fontId="7" fillId="3" borderId="1" xfId="0" applyFont="1" applyFill="1" applyBorder="1" applyAlignment="1">
      <alignment horizontal="left" wrapText="1"/>
    </xf>
    <xf numFmtId="0" fontId="7" fillId="3" borderId="1" xfId="0" applyFont="1" applyFill="1" applyBorder="1" applyAlignment="1">
      <alignment wrapText="1"/>
    </xf>
    <xf numFmtId="0" fontId="2" fillId="3" borderId="1" xfId="0" applyFont="1" applyFill="1" applyBorder="1" applyAlignment="1">
      <alignment horizontal="left" vertical="top"/>
    </xf>
    <xf numFmtId="0" fontId="7" fillId="3" borderId="3" xfId="0" applyFont="1" applyFill="1" applyBorder="1" applyAlignment="1">
      <alignment vertical="top" wrapText="1"/>
    </xf>
    <xf numFmtId="0" fontId="6" fillId="0" borderId="8" xfId="0" applyFont="1" applyBorder="1" applyAlignment="1">
      <alignment horizontal="left"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center" wrapText="1"/>
    </xf>
    <xf numFmtId="0" fontId="7" fillId="0" borderId="16" xfId="0" applyFont="1" applyBorder="1" applyAlignment="1">
      <alignment vertical="top" wrapText="1"/>
    </xf>
    <xf numFmtId="164" fontId="13" fillId="0" borderId="16" xfId="0" applyNumberFormat="1" applyFont="1" applyBorder="1" applyAlignment="1">
      <alignment horizontal="right" vertical="top"/>
    </xf>
    <xf numFmtId="164" fontId="13" fillId="0" borderId="16" xfId="0" applyNumberFormat="1" applyFont="1" applyBorder="1" applyAlignment="1">
      <alignment vertical="top"/>
    </xf>
    <xf numFmtId="0" fontId="2" fillId="3" borderId="28"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top"/>
    </xf>
    <xf numFmtId="0" fontId="6" fillId="3" borderId="9" xfId="0" applyFont="1" applyFill="1" applyBorder="1" applyAlignment="1">
      <alignment horizontal="left" vertical="top" wrapText="1"/>
    </xf>
    <xf numFmtId="164" fontId="6" fillId="3" borderId="9" xfId="0" applyNumberFormat="1" applyFont="1" applyFill="1" applyBorder="1" applyAlignment="1">
      <alignment horizontal="right" vertical="top"/>
    </xf>
    <xf numFmtId="0" fontId="2" fillId="0" borderId="25" xfId="0" applyFont="1" applyFill="1" applyBorder="1" applyAlignment="1">
      <alignment horizontal="center" vertical="top" wrapText="1"/>
    </xf>
    <xf numFmtId="0" fontId="7" fillId="0" borderId="4" xfId="0" applyFont="1" applyBorder="1" applyAlignment="1">
      <alignment horizontal="left" wrapText="1"/>
    </xf>
    <xf numFmtId="0" fontId="7" fillId="0" borderId="4" xfId="0" applyFont="1" applyBorder="1" applyAlignment="1">
      <alignment horizontal="left" vertical="top" wrapText="1"/>
    </xf>
    <xf numFmtId="164" fontId="7" fillId="0" borderId="4" xfId="0" applyNumberFormat="1" applyFont="1" applyBorder="1" applyAlignment="1">
      <alignment horizontal="right" vertical="top"/>
    </xf>
    <xf numFmtId="164" fontId="7" fillId="0" borderId="4" xfId="0" applyNumberFormat="1" applyFont="1" applyBorder="1" applyAlignment="1">
      <alignment vertical="top"/>
    </xf>
    <xf numFmtId="0" fontId="7" fillId="0" borderId="4" xfId="0" applyFont="1" applyBorder="1" applyAlignment="1">
      <alignment vertical="top" wrapText="1"/>
    </xf>
    <xf numFmtId="0" fontId="6" fillId="3" borderId="8" xfId="0" applyFont="1" applyFill="1" applyBorder="1" applyAlignment="1">
      <alignment horizontal="left" vertical="top"/>
    </xf>
    <xf numFmtId="164" fontId="13" fillId="3" borderId="16" xfId="0" applyNumberFormat="1" applyFont="1" applyFill="1" applyBorder="1" applyAlignment="1">
      <alignment vertical="top"/>
    </xf>
    <xf numFmtId="0" fontId="6" fillId="0" borderId="2" xfId="0" applyFont="1" applyFill="1" applyBorder="1" applyAlignment="1">
      <alignment horizontal="left" vertical="top" wrapText="1"/>
    </xf>
    <xf numFmtId="0" fontId="7" fillId="0" borderId="2" xfId="0" applyFont="1" applyFill="1" applyBorder="1" applyAlignment="1">
      <alignment vertical="top" wrapText="1"/>
    </xf>
    <xf numFmtId="164" fontId="13" fillId="0" borderId="16" xfId="0" applyNumberFormat="1" applyFont="1" applyFill="1" applyBorder="1" applyAlignment="1">
      <alignment vertical="top"/>
    </xf>
    <xf numFmtId="0" fontId="7" fillId="3" borderId="8" xfId="0" applyFont="1" applyFill="1" applyBorder="1" applyAlignment="1">
      <alignment horizontal="left" wrapText="1"/>
    </xf>
    <xf numFmtId="164" fontId="13" fillId="3" borderId="3" xfId="0" applyNumberFormat="1" applyFont="1" applyFill="1" applyBorder="1" applyAlignment="1">
      <alignment vertical="top"/>
    </xf>
    <xf numFmtId="0" fontId="6" fillId="3" borderId="4" xfId="0" applyFont="1" applyFill="1" applyBorder="1" applyAlignment="1">
      <alignment horizontal="left" vertical="top"/>
    </xf>
    <xf numFmtId="0" fontId="6" fillId="3" borderId="4" xfId="0" applyFont="1" applyFill="1" applyBorder="1" applyAlignment="1">
      <alignment horizontal="left" vertical="top" wrapText="1"/>
    </xf>
    <xf numFmtId="0" fontId="7" fillId="3" borderId="4" xfId="0" applyFont="1" applyFill="1" applyBorder="1" applyAlignment="1">
      <alignment vertical="top" wrapText="1"/>
    </xf>
    <xf numFmtId="0" fontId="7" fillId="0" borderId="8" xfId="0" applyFont="1" applyFill="1" applyBorder="1" applyAlignment="1">
      <alignment vertical="top" wrapText="1"/>
    </xf>
    <xf numFmtId="0" fontId="6" fillId="0" borderId="3" xfId="0" applyFont="1" applyBorder="1" applyAlignment="1">
      <alignment horizontal="left" vertical="top" wrapText="1"/>
    </xf>
    <xf numFmtId="164" fontId="6" fillId="0" borderId="3" xfId="0" applyNumberFormat="1" applyFont="1" applyBorder="1" applyAlignment="1">
      <alignment horizontal="right" vertical="top"/>
    </xf>
    <xf numFmtId="0" fontId="7" fillId="0" borderId="3" xfId="0" applyFont="1" applyBorder="1" applyAlignment="1">
      <alignment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3" fillId="3" borderId="8" xfId="0" applyFont="1" applyFill="1" applyBorder="1" applyAlignment="1">
      <alignment horizontal="left" vertical="top"/>
    </xf>
    <xf numFmtId="0" fontId="3" fillId="3" borderId="8" xfId="0" applyFont="1" applyFill="1" applyBorder="1" applyAlignment="1">
      <alignment horizontal="left" vertical="top" wrapText="1"/>
    </xf>
    <xf numFmtId="164" fontId="0" fillId="3" borderId="8" xfId="0" applyNumberFormat="1" applyFill="1" applyBorder="1" applyAlignment="1">
      <alignment horizontal="right" vertical="top"/>
    </xf>
    <xf numFmtId="0" fontId="3" fillId="3" borderId="8" xfId="0" applyFont="1" applyFill="1" applyBorder="1" applyAlignment="1">
      <alignment vertical="top" wrapText="1"/>
    </xf>
    <xf numFmtId="0" fontId="2" fillId="0" borderId="23" xfId="0" applyFont="1" applyFill="1" applyBorder="1" applyAlignment="1">
      <alignment horizontal="left" vertical="top" wrapText="1"/>
    </xf>
    <xf numFmtId="0" fontId="2" fillId="0" borderId="25" xfId="0" applyFont="1" applyFill="1" applyBorder="1" applyAlignment="1">
      <alignment horizontal="left" vertical="top" wrapText="1"/>
    </xf>
    <xf numFmtId="0" fontId="3" fillId="0" borderId="4" xfId="0" applyFont="1" applyBorder="1" applyAlignment="1">
      <alignment vertical="top" wrapText="1"/>
    </xf>
    <xf numFmtId="0" fontId="7" fillId="3" borderId="8" xfId="0" applyFont="1" applyFill="1" applyBorder="1" applyAlignment="1">
      <alignment horizontal="left" vertical="top" wrapText="1"/>
    </xf>
    <xf numFmtId="164" fontId="7" fillId="3" borderId="8" xfId="0" applyNumberFormat="1" applyFont="1" applyFill="1" applyBorder="1" applyAlignment="1">
      <alignment horizontal="right" vertical="top"/>
    </xf>
    <xf numFmtId="164" fontId="7" fillId="3" borderId="8" xfId="0" applyNumberFormat="1" applyFont="1" applyFill="1" applyBorder="1" applyAlignment="1">
      <alignment vertical="top"/>
    </xf>
    <xf numFmtId="0" fontId="2" fillId="3" borderId="11" xfId="0" applyFont="1" applyFill="1" applyBorder="1" applyAlignment="1">
      <alignment horizontal="center" vertical="top" wrapText="1"/>
    </xf>
    <xf numFmtId="0" fontId="2" fillId="3" borderId="11" xfId="0" applyFont="1" applyFill="1" applyBorder="1" applyAlignment="1">
      <alignment horizontal="center" wrapText="1"/>
    </xf>
    <xf numFmtId="0" fontId="2" fillId="0" borderId="28" xfId="0" applyFont="1" applyFill="1" applyBorder="1" applyAlignment="1">
      <alignment horizontal="left" vertical="top" wrapText="1"/>
    </xf>
    <xf numFmtId="0" fontId="2" fillId="0" borderId="9" xfId="0" applyFont="1" applyFill="1" applyBorder="1" applyAlignment="1">
      <alignment horizontal="left" vertical="top" wrapText="1"/>
    </xf>
    <xf numFmtId="164" fontId="6" fillId="0" borderId="9" xfId="0" applyNumberFormat="1" applyFont="1" applyFill="1" applyBorder="1" applyAlignment="1">
      <alignment horizontal="right" vertical="top"/>
    </xf>
    <xf numFmtId="0" fontId="6" fillId="0" borderId="9" xfId="0" applyFont="1" applyBorder="1" applyAlignment="1">
      <alignment horizontal="left" vertical="top"/>
    </xf>
    <xf numFmtId="0" fontId="6" fillId="0" borderId="9" xfId="0" applyFont="1" applyBorder="1" applyAlignment="1">
      <alignment horizontal="left" vertical="top" wrapText="1"/>
    </xf>
    <xf numFmtId="164" fontId="6" fillId="0" borderId="9" xfId="0" applyNumberFormat="1" applyFont="1" applyBorder="1" applyAlignment="1">
      <alignment horizontal="right" vertical="top"/>
    </xf>
    <xf numFmtId="0" fontId="7" fillId="0" borderId="9" xfId="0" applyFont="1" applyBorder="1" applyAlignment="1">
      <alignment horizontal="left" vertical="top" wrapText="1"/>
    </xf>
    <xf numFmtId="0" fontId="7" fillId="3" borderId="4" xfId="0" applyFont="1" applyFill="1" applyBorder="1" applyAlignment="1">
      <alignment horizontal="left" wrapText="1"/>
    </xf>
    <xf numFmtId="0" fontId="6" fillId="0" borderId="8" xfId="0" applyFont="1" applyFill="1" applyBorder="1" applyAlignment="1">
      <alignment horizontal="left" vertical="top"/>
    </xf>
    <xf numFmtId="0" fontId="8" fillId="3" borderId="9" xfId="0" applyFont="1" applyFill="1" applyBorder="1" applyAlignment="1">
      <alignment horizontal="left" wrapText="1"/>
    </xf>
    <xf numFmtId="0" fontId="3" fillId="3" borderId="8" xfId="0" applyFont="1" applyFill="1" applyBorder="1" applyAlignment="1">
      <alignment wrapText="1"/>
    </xf>
    <xf numFmtId="0" fontId="2" fillId="0" borderId="28" xfId="0" applyFont="1" applyFill="1" applyBorder="1" applyAlignment="1">
      <alignment horizontal="center" vertical="top" wrapText="1"/>
    </xf>
    <xf numFmtId="0" fontId="2" fillId="0" borderId="9" xfId="0" applyFont="1" applyFill="1" applyBorder="1" applyAlignment="1">
      <alignment horizontal="center" vertical="top" wrapText="1"/>
    </xf>
    <xf numFmtId="164" fontId="7" fillId="0" borderId="9" xfId="0" applyNumberFormat="1" applyFont="1" applyBorder="1" applyAlignment="1">
      <alignment horizontal="right" vertical="top"/>
    </xf>
    <xf numFmtId="164" fontId="7" fillId="0" borderId="9" xfId="0" applyNumberFormat="1" applyFont="1" applyBorder="1" applyAlignment="1">
      <alignment vertical="top"/>
    </xf>
    <xf numFmtId="0" fontId="7" fillId="0" borderId="9" xfId="0" applyFont="1" applyBorder="1" applyAlignment="1">
      <alignment vertical="top" wrapText="1"/>
    </xf>
    <xf numFmtId="0" fontId="6" fillId="0" borderId="8" xfId="0" applyFont="1" applyBorder="1" applyAlignment="1">
      <alignment horizontal="left" vertical="top"/>
    </xf>
    <xf numFmtId="164" fontId="6" fillId="0" borderId="8" xfId="0" applyNumberFormat="1" applyFont="1" applyBorder="1" applyAlignment="1">
      <alignment horizontal="right" vertical="top"/>
    </xf>
    <xf numFmtId="0" fontId="7" fillId="0" borderId="8" xfId="0" applyFont="1" applyBorder="1" applyAlignment="1">
      <alignment wrapText="1"/>
    </xf>
    <xf numFmtId="0" fontId="11" fillId="2" borderId="3" xfId="0" applyFont="1" applyFill="1" applyBorder="1" applyAlignment="1">
      <alignment horizontal="center" vertical="center"/>
    </xf>
    <xf numFmtId="164"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2" fontId="12" fillId="2" borderId="3" xfId="0" applyNumberFormat="1" applyFont="1" applyFill="1" applyBorder="1" applyAlignment="1">
      <alignment horizontal="center" vertical="center" wrapText="1"/>
    </xf>
    <xf numFmtId="0" fontId="14" fillId="0" borderId="0" xfId="0" applyFont="1"/>
    <xf numFmtId="2" fontId="14" fillId="0" borderId="0" xfId="0" applyNumberFormat="1" applyFont="1"/>
    <xf numFmtId="164" fontId="2" fillId="3" borderId="8" xfId="0" applyNumberFormat="1" applyFont="1" applyFill="1" applyBorder="1" applyAlignment="1">
      <alignment horizontal="right" vertical="top" wrapText="1"/>
    </xf>
    <xf numFmtId="164" fontId="3" fillId="3" borderId="8" xfId="0" applyNumberFormat="1" applyFont="1" applyFill="1" applyBorder="1" applyAlignment="1">
      <alignment vertical="top"/>
    </xf>
    <xf numFmtId="0" fontId="2" fillId="3" borderId="8" xfId="0" applyFont="1" applyFill="1" applyBorder="1" applyAlignment="1">
      <alignment horizontal="left" wrapText="1"/>
    </xf>
    <xf numFmtId="0" fontId="15" fillId="3" borderId="9" xfId="0" applyFont="1" applyFill="1" applyBorder="1" applyAlignment="1">
      <alignment horizontal="center"/>
    </xf>
    <xf numFmtId="0" fontId="15" fillId="3" borderId="17" xfId="0" applyFont="1" applyFill="1" applyBorder="1" applyAlignment="1">
      <alignment horizontal="center"/>
    </xf>
    <xf numFmtId="0" fontId="15" fillId="0" borderId="9" xfId="0" applyFont="1" applyBorder="1" applyAlignment="1">
      <alignment horizontal="center"/>
    </xf>
    <xf numFmtId="0" fontId="15" fillId="0" borderId="2" xfId="0" applyFont="1" applyBorder="1" applyAlignment="1">
      <alignment horizontal="center"/>
    </xf>
    <xf numFmtId="0" fontId="15" fillId="0" borderId="17" xfId="0" applyFont="1" applyBorder="1" applyAlignment="1">
      <alignment horizontal="center"/>
    </xf>
    <xf numFmtId="2" fontId="15" fillId="3" borderId="19" xfId="0" applyNumberFormat="1" applyFont="1" applyFill="1" applyBorder="1" applyAlignment="1">
      <alignment horizontal="center"/>
    </xf>
    <xf numFmtId="2" fontId="15" fillId="3" borderId="21" xfId="0" applyNumberFormat="1" applyFont="1" applyFill="1" applyBorder="1" applyAlignment="1">
      <alignment horizontal="center"/>
    </xf>
    <xf numFmtId="0" fontId="15" fillId="3" borderId="2" xfId="0" applyFont="1" applyFill="1" applyBorder="1" applyAlignment="1">
      <alignment horizontal="center"/>
    </xf>
    <xf numFmtId="0" fontId="15" fillId="0" borderId="9" xfId="0" applyFont="1" applyFill="1" applyBorder="1" applyAlignment="1">
      <alignment horizontal="center"/>
    </xf>
    <xf numFmtId="0" fontId="15" fillId="0" borderId="17" xfId="0" applyFont="1" applyFill="1" applyBorder="1" applyAlignment="1">
      <alignment horizontal="center"/>
    </xf>
    <xf numFmtId="0" fontId="15" fillId="0" borderId="4" xfId="0" applyFont="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15" fillId="0" borderId="3" xfId="0" applyFont="1" applyBorder="1" applyAlignment="1">
      <alignment horizontal="center"/>
    </xf>
    <xf numFmtId="0" fontId="13" fillId="0" borderId="13" xfId="0" applyFont="1" applyFill="1" applyBorder="1" applyAlignment="1">
      <alignment horizontal="right" vertical="top" wrapText="1"/>
    </xf>
    <xf numFmtId="0" fontId="13" fillId="0" borderId="14" xfId="0" applyFont="1" applyFill="1" applyBorder="1" applyAlignment="1">
      <alignment horizontal="right" vertical="top" wrapText="1"/>
    </xf>
    <xf numFmtId="0" fontId="13" fillId="0" borderId="15" xfId="0" applyFont="1" applyFill="1" applyBorder="1" applyAlignment="1">
      <alignment horizontal="right" vertical="top" wrapText="1"/>
    </xf>
    <xf numFmtId="0" fontId="9" fillId="0" borderId="9" xfId="0" applyFont="1" applyBorder="1" applyAlignment="1">
      <alignment horizontal="center" vertical="center"/>
    </xf>
    <xf numFmtId="0" fontId="9" fillId="0" borderId="17" xfId="0" applyFont="1" applyBorder="1" applyAlignment="1">
      <alignment horizontal="center" vertical="center"/>
    </xf>
    <xf numFmtId="2" fontId="15" fillId="0" borderId="19" xfId="0" applyNumberFormat="1" applyFont="1" applyBorder="1" applyAlignment="1">
      <alignment horizontal="center"/>
    </xf>
    <xf numFmtId="2" fontId="15" fillId="0" borderId="21" xfId="0" applyNumberFormat="1" applyFont="1" applyBorder="1" applyAlignment="1">
      <alignment horizontal="center"/>
    </xf>
    <xf numFmtId="2" fontId="15" fillId="0" borderId="20" xfId="0" applyNumberFormat="1" applyFont="1" applyBorder="1" applyAlignment="1">
      <alignment horizont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2" fontId="15" fillId="0" borderId="3" xfId="0" applyNumberFormat="1" applyFont="1" applyBorder="1" applyAlignment="1">
      <alignment horizontal="center"/>
    </xf>
    <xf numFmtId="2" fontId="15" fillId="0" borderId="2" xfId="0" applyNumberFormat="1" applyFont="1" applyBorder="1" applyAlignment="1">
      <alignment horizontal="center"/>
    </xf>
    <xf numFmtId="2" fontId="15" fillId="0" borderId="4" xfId="0" applyNumberFormat="1" applyFont="1" applyBorder="1" applyAlignment="1">
      <alignment horizontal="center"/>
    </xf>
    <xf numFmtId="0" fontId="13" fillId="3" borderId="13" xfId="0" applyFont="1" applyFill="1" applyBorder="1" applyAlignment="1">
      <alignment horizontal="right" vertical="top" wrapText="1"/>
    </xf>
    <xf numFmtId="0" fontId="13" fillId="3" borderId="14" xfId="0" applyFont="1" applyFill="1" applyBorder="1" applyAlignment="1">
      <alignment horizontal="right" vertical="top" wrapText="1"/>
    </xf>
    <xf numFmtId="0" fontId="13" fillId="3" borderId="15" xfId="0" applyFont="1" applyFill="1" applyBorder="1" applyAlignment="1">
      <alignment horizontal="right" vertical="top" wrapText="1"/>
    </xf>
    <xf numFmtId="0" fontId="9" fillId="3" borderId="9"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3" xfId="0" applyFont="1" applyFill="1" applyBorder="1" applyAlignment="1">
      <alignment horizontal="center" vertical="center"/>
    </xf>
    <xf numFmtId="2" fontId="15" fillId="3" borderId="3" xfId="0" applyNumberFormat="1" applyFont="1" applyFill="1" applyBorder="1" applyAlignment="1">
      <alignment horizontal="center"/>
    </xf>
    <xf numFmtId="2" fontId="15" fillId="3" borderId="17" xfId="0" applyNumberFormat="1" applyFont="1" applyFill="1" applyBorder="1" applyAlignment="1">
      <alignment horizontal="center"/>
    </xf>
    <xf numFmtId="2" fontId="15" fillId="3" borderId="4" xfId="0" applyNumberFormat="1" applyFont="1" applyFill="1" applyBorder="1" applyAlignment="1">
      <alignment horizontal="center"/>
    </xf>
    <xf numFmtId="0" fontId="13" fillId="3" borderId="22" xfId="0" applyFont="1" applyFill="1" applyBorder="1" applyAlignment="1">
      <alignment horizontal="right" vertical="top" wrapText="1"/>
    </xf>
    <xf numFmtId="0" fontId="13" fillId="3" borderId="16" xfId="0" applyFont="1" applyFill="1" applyBorder="1" applyAlignment="1">
      <alignment horizontal="right" vertical="top" wrapText="1"/>
    </xf>
    <xf numFmtId="0" fontId="9" fillId="3" borderId="2" xfId="0" applyFont="1" applyFill="1" applyBorder="1" applyAlignment="1">
      <alignment horizontal="center" vertical="center"/>
    </xf>
    <xf numFmtId="2" fontId="15" fillId="3" borderId="20" xfId="0" applyNumberFormat="1" applyFont="1" applyFill="1" applyBorder="1" applyAlignment="1">
      <alignment horizontal="center"/>
    </xf>
    <xf numFmtId="2" fontId="15" fillId="3" borderId="9" xfId="0" applyNumberFormat="1" applyFont="1" applyFill="1" applyBorder="1" applyAlignment="1">
      <alignment horizontal="center"/>
    </xf>
    <xf numFmtId="0" fontId="15" fillId="3" borderId="8" xfId="0" applyFont="1" applyFill="1" applyBorder="1" applyAlignment="1">
      <alignment horizontal="center"/>
    </xf>
    <xf numFmtId="0" fontId="15" fillId="3" borderId="1" xfId="0" applyFont="1" applyFill="1" applyBorder="1" applyAlignment="1">
      <alignment horizontal="center"/>
    </xf>
    <xf numFmtId="0" fontId="15" fillId="3" borderId="16" xfId="0" applyFont="1" applyFill="1" applyBorder="1" applyAlignment="1">
      <alignment horizontal="center"/>
    </xf>
    <xf numFmtId="2" fontId="15" fillId="3" borderId="10" xfId="0" applyNumberFormat="1" applyFont="1" applyFill="1" applyBorder="1" applyAlignment="1">
      <alignment horizontal="center"/>
    </xf>
    <xf numFmtId="2" fontId="15" fillId="3" borderId="12" xfId="0" applyNumberFormat="1" applyFont="1" applyFill="1" applyBorder="1" applyAlignment="1">
      <alignment horizontal="center"/>
    </xf>
    <xf numFmtId="2" fontId="15" fillId="3" borderId="18" xfId="0" applyNumberFormat="1" applyFont="1" applyFill="1" applyBorder="1" applyAlignment="1">
      <alignment horizontal="center"/>
    </xf>
    <xf numFmtId="0" fontId="9" fillId="0" borderId="2" xfId="0" applyFont="1" applyFill="1" applyBorder="1" applyAlignment="1">
      <alignment horizontal="center" vertical="center"/>
    </xf>
    <xf numFmtId="0" fontId="9" fillId="0" borderId="17" xfId="0" applyFont="1" applyFill="1" applyBorder="1" applyAlignment="1">
      <alignment horizontal="center" vertical="center"/>
    </xf>
    <xf numFmtId="0" fontId="15" fillId="0" borderId="2" xfId="0" applyFont="1" applyFill="1" applyBorder="1" applyAlignment="1">
      <alignment horizontal="center"/>
    </xf>
    <xf numFmtId="2" fontId="15" fillId="0" borderId="20" xfId="0" applyNumberFormat="1" applyFont="1" applyFill="1" applyBorder="1" applyAlignment="1">
      <alignment horizontal="center"/>
    </xf>
    <xf numFmtId="2" fontId="15" fillId="0" borderId="21" xfId="0" applyNumberFormat="1" applyFont="1" applyFill="1" applyBorder="1" applyAlignment="1">
      <alignment horizont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6" xfId="0" applyFont="1" applyFill="1" applyBorder="1" applyAlignment="1">
      <alignment horizontal="center" vertical="center"/>
    </xf>
    <xf numFmtId="2" fontId="15" fillId="0" borderId="19" xfId="0" applyNumberFormat="1" applyFont="1" applyFill="1" applyBorder="1" applyAlignment="1">
      <alignment horizontal="center"/>
    </xf>
    <xf numFmtId="0" fontId="13" fillId="0" borderId="22" xfId="0" applyFont="1" applyFill="1" applyBorder="1" applyAlignment="1">
      <alignment horizontal="right" vertical="top" wrapText="1"/>
    </xf>
    <xf numFmtId="0" fontId="13" fillId="0" borderId="16" xfId="0" applyFont="1" applyFill="1" applyBorder="1" applyAlignment="1">
      <alignment horizontal="right" vertical="top" wrapText="1"/>
    </xf>
    <xf numFmtId="0" fontId="13" fillId="3" borderId="23" xfId="0" applyFont="1" applyFill="1" applyBorder="1" applyAlignment="1">
      <alignment horizontal="right" vertical="top" wrapText="1"/>
    </xf>
    <xf numFmtId="0" fontId="13" fillId="3" borderId="3" xfId="0" applyFont="1" applyFill="1" applyBorder="1" applyAlignment="1">
      <alignment horizontal="right" vertical="top" wrapText="1"/>
    </xf>
    <xf numFmtId="0" fontId="13" fillId="0" borderId="13" xfId="0" applyFont="1" applyBorder="1" applyAlignment="1">
      <alignment horizontal="right" vertical="top" wrapText="1"/>
    </xf>
    <xf numFmtId="0" fontId="13" fillId="0" borderId="14" xfId="0" applyFont="1" applyBorder="1" applyAlignment="1">
      <alignment horizontal="right" vertical="top" wrapText="1"/>
    </xf>
    <xf numFmtId="0" fontId="13" fillId="0" borderId="15" xfId="0" applyFont="1" applyBorder="1" applyAlignment="1">
      <alignment horizontal="right" vertical="top" wrapText="1"/>
    </xf>
    <xf numFmtId="0" fontId="1" fillId="0" borderId="22" xfId="0" applyFont="1" applyFill="1" applyBorder="1" applyAlignment="1">
      <alignment horizontal="right" vertical="top" wrapText="1"/>
    </xf>
    <xf numFmtId="0" fontId="1" fillId="0" borderId="16" xfId="0" applyFont="1" applyFill="1" applyBorder="1" applyAlignment="1">
      <alignment horizontal="right" vertical="top" wrapText="1"/>
    </xf>
    <xf numFmtId="2" fontId="15" fillId="0" borderId="9" xfId="0" applyNumberFormat="1" applyFont="1" applyBorder="1" applyAlignment="1">
      <alignment horizontal="center"/>
    </xf>
    <xf numFmtId="0" fontId="1" fillId="3" borderId="22" xfId="0" applyFont="1" applyFill="1" applyBorder="1" applyAlignment="1">
      <alignment horizontal="right" vertical="top" wrapText="1"/>
    </xf>
    <xf numFmtId="0" fontId="1" fillId="3" borderId="16" xfId="0" applyFont="1" applyFill="1" applyBorder="1" applyAlignment="1">
      <alignment horizontal="right" vertical="top" wrapText="1"/>
    </xf>
    <xf numFmtId="0" fontId="9" fillId="3" borderId="4" xfId="0" applyFont="1" applyFill="1" applyBorder="1" applyAlignment="1">
      <alignment horizontal="center" vertical="center"/>
    </xf>
    <xf numFmtId="2" fontId="15" fillId="3" borderId="27" xfId="0" applyNumberFormat="1" applyFont="1" applyFill="1" applyBorder="1" applyAlignment="1">
      <alignment horizontal="center"/>
    </xf>
    <xf numFmtId="0" fontId="9" fillId="0" borderId="9" xfId="0" applyFont="1" applyFill="1" applyBorder="1" applyAlignment="1">
      <alignment horizontal="center" vertical="center"/>
    </xf>
    <xf numFmtId="0" fontId="1" fillId="0" borderId="23" xfId="0" applyFont="1" applyFill="1" applyBorder="1" applyAlignment="1">
      <alignment horizontal="right" vertical="top" wrapText="1"/>
    </xf>
    <xf numFmtId="0" fontId="1" fillId="0" borderId="3" xfId="0" applyFont="1" applyFill="1" applyBorder="1" applyAlignment="1">
      <alignment horizontal="right" vertical="top" wrapText="1"/>
    </xf>
    <xf numFmtId="0" fontId="9" fillId="0" borderId="8" xfId="0" applyFont="1" applyBorder="1" applyAlignment="1">
      <alignment horizontal="center" vertical="center"/>
    </xf>
    <xf numFmtId="0" fontId="9" fillId="0" borderId="16" xfId="0" applyFont="1" applyBorder="1" applyAlignment="1">
      <alignment horizontal="center" vertical="center"/>
    </xf>
    <xf numFmtId="0" fontId="15" fillId="0" borderId="8" xfId="0" applyFont="1" applyBorder="1" applyAlignment="1">
      <alignment horizontal="center"/>
    </xf>
    <xf numFmtId="0" fontId="15" fillId="0" borderId="16" xfId="0" applyFont="1" applyBorder="1" applyAlignment="1">
      <alignment horizontal="center"/>
    </xf>
    <xf numFmtId="2" fontId="15" fillId="0" borderId="10" xfId="0" applyNumberFormat="1" applyFont="1" applyBorder="1" applyAlignment="1">
      <alignment horizontal="center"/>
    </xf>
    <xf numFmtId="2" fontId="15" fillId="0" borderId="18" xfId="0" applyNumberFormat="1" applyFont="1" applyBorder="1" applyAlignment="1">
      <alignment horizontal="center"/>
    </xf>
    <xf numFmtId="0" fontId="1" fillId="3" borderId="26" xfId="0" applyFont="1" applyFill="1" applyBorder="1" applyAlignment="1">
      <alignment horizontal="right" vertical="top" wrapText="1"/>
    </xf>
    <xf numFmtId="0" fontId="1" fillId="3" borderId="5" xfId="0" applyFont="1" applyFill="1" applyBorder="1" applyAlignment="1">
      <alignment horizontal="right" vertical="top" wrapText="1"/>
    </xf>
    <xf numFmtId="0" fontId="1" fillId="3" borderId="6" xfId="0" applyFont="1" applyFill="1" applyBorder="1" applyAlignment="1">
      <alignment horizontal="right" vertical="top" wrapText="1"/>
    </xf>
    <xf numFmtId="2" fontId="15" fillId="3" borderId="2" xfId="0" applyNumberFormat="1" applyFont="1" applyFill="1" applyBorder="1" applyAlignment="1">
      <alignment horizontal="center"/>
    </xf>
    <xf numFmtId="0" fontId="1" fillId="3" borderId="23" xfId="0" applyFont="1" applyFill="1" applyBorder="1" applyAlignment="1">
      <alignment horizontal="right" vertical="top" wrapText="1"/>
    </xf>
    <xf numFmtId="0" fontId="1" fillId="3" borderId="3" xfId="0" applyFont="1" applyFill="1" applyBorder="1" applyAlignment="1">
      <alignment horizontal="right" vertical="top" wrapText="1"/>
    </xf>
    <xf numFmtId="0" fontId="1" fillId="3" borderId="13" xfId="0" applyFont="1" applyFill="1" applyBorder="1" applyAlignment="1">
      <alignment horizontal="right" vertical="top" wrapText="1"/>
    </xf>
    <xf numFmtId="0" fontId="1" fillId="3" borderId="14" xfId="0" applyFont="1" applyFill="1" applyBorder="1" applyAlignment="1">
      <alignment horizontal="right" vertical="top" wrapText="1"/>
    </xf>
    <xf numFmtId="0" fontId="1" fillId="3" borderId="15" xfId="0" applyFont="1" applyFill="1" applyBorder="1" applyAlignment="1">
      <alignment horizontal="right" vertical="top" wrapText="1"/>
    </xf>
    <xf numFmtId="0" fontId="1" fillId="0" borderId="13" xfId="0" applyFont="1" applyFill="1" applyBorder="1" applyAlignment="1">
      <alignment horizontal="right" vertical="top" wrapText="1"/>
    </xf>
    <xf numFmtId="0" fontId="1" fillId="0" borderId="14" xfId="0" applyFont="1" applyFill="1" applyBorder="1" applyAlignment="1">
      <alignment horizontal="right" vertical="top" wrapText="1"/>
    </xf>
    <xf numFmtId="0" fontId="1" fillId="0" borderId="15" xfId="0" applyFont="1" applyFill="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tabSelected="1" topLeftCell="H92" zoomScale="91" zoomScaleNormal="91" workbookViewId="0">
      <selection activeCell="L105" sqref="L105"/>
    </sheetView>
  </sheetViews>
  <sheetFormatPr defaultRowHeight="23.4" x14ac:dyDescent="0.3"/>
  <cols>
    <col min="1" max="1" width="15.88671875" style="29" customWidth="1"/>
    <col min="2" max="2" width="14.44140625" style="29" bestFit="1" customWidth="1"/>
    <col min="3" max="3" width="59.109375" style="30" customWidth="1"/>
    <col min="4" max="4" width="20.109375" style="29" customWidth="1"/>
    <col min="5" max="5" width="25.109375" style="29" customWidth="1"/>
    <col min="6" max="7" width="17.5546875" style="31" customWidth="1"/>
    <col min="8" max="8" width="17.33203125" bestFit="1" customWidth="1"/>
    <col min="9" max="9" width="70.44140625" customWidth="1"/>
    <col min="10" max="10" width="12" style="32" customWidth="1"/>
    <col min="11" max="12" width="14.109375" style="193" customWidth="1"/>
    <col min="13" max="13" width="11.5546875" style="194" customWidth="1"/>
    <col min="259" max="259" width="15.88671875" customWidth="1"/>
    <col min="260" max="260" width="14.44140625" bestFit="1" customWidth="1"/>
    <col min="261" max="261" width="59.109375" customWidth="1"/>
    <col min="262" max="262" width="20.109375" customWidth="1"/>
    <col min="263" max="263" width="25.109375" customWidth="1"/>
    <col min="264" max="264" width="17.5546875" customWidth="1"/>
    <col min="265" max="265" width="14.88671875" customWidth="1"/>
    <col min="266" max="266" width="70.44140625" customWidth="1"/>
    <col min="515" max="515" width="15.88671875" customWidth="1"/>
    <col min="516" max="516" width="14.44140625" bestFit="1" customWidth="1"/>
    <col min="517" max="517" width="59.109375" customWidth="1"/>
    <col min="518" max="518" width="20.109375" customWidth="1"/>
    <col min="519" max="519" width="25.109375" customWidth="1"/>
    <col min="520" max="520" width="17.5546875" customWidth="1"/>
    <col min="521" max="521" width="14.88671875" customWidth="1"/>
    <col min="522" max="522" width="70.44140625" customWidth="1"/>
    <col min="771" max="771" width="15.88671875" customWidth="1"/>
    <col min="772" max="772" width="14.44140625" bestFit="1" customWidth="1"/>
    <col min="773" max="773" width="59.109375" customWidth="1"/>
    <col min="774" max="774" width="20.109375" customWidth="1"/>
    <col min="775" max="775" width="25.109375" customWidth="1"/>
    <col min="776" max="776" width="17.5546875" customWidth="1"/>
    <col min="777" max="777" width="14.88671875" customWidth="1"/>
    <col min="778" max="778" width="70.44140625" customWidth="1"/>
    <col min="1027" max="1027" width="15.88671875" customWidth="1"/>
    <col min="1028" max="1028" width="14.44140625" bestFit="1" customWidth="1"/>
    <col min="1029" max="1029" width="59.109375" customWidth="1"/>
    <col min="1030" max="1030" width="20.109375" customWidth="1"/>
    <col min="1031" max="1031" width="25.109375" customWidth="1"/>
    <col min="1032" max="1032" width="17.5546875" customWidth="1"/>
    <col min="1033" max="1033" width="14.88671875" customWidth="1"/>
    <col min="1034" max="1034" width="70.44140625" customWidth="1"/>
    <col min="1283" max="1283" width="15.88671875" customWidth="1"/>
    <col min="1284" max="1284" width="14.44140625" bestFit="1" customWidth="1"/>
    <col min="1285" max="1285" width="59.109375" customWidth="1"/>
    <col min="1286" max="1286" width="20.109375" customWidth="1"/>
    <col min="1287" max="1287" width="25.109375" customWidth="1"/>
    <col min="1288" max="1288" width="17.5546875" customWidth="1"/>
    <col min="1289" max="1289" width="14.88671875" customWidth="1"/>
    <col min="1290" max="1290" width="70.44140625" customWidth="1"/>
    <col min="1539" max="1539" width="15.88671875" customWidth="1"/>
    <col min="1540" max="1540" width="14.44140625" bestFit="1" customWidth="1"/>
    <col min="1541" max="1541" width="59.109375" customWidth="1"/>
    <col min="1542" max="1542" width="20.109375" customWidth="1"/>
    <col min="1543" max="1543" width="25.109375" customWidth="1"/>
    <col min="1544" max="1544" width="17.5546875" customWidth="1"/>
    <col min="1545" max="1545" width="14.88671875" customWidth="1"/>
    <col min="1546" max="1546" width="70.44140625" customWidth="1"/>
    <col min="1795" max="1795" width="15.88671875" customWidth="1"/>
    <col min="1796" max="1796" width="14.44140625" bestFit="1" customWidth="1"/>
    <col min="1797" max="1797" width="59.109375" customWidth="1"/>
    <col min="1798" max="1798" width="20.109375" customWidth="1"/>
    <col min="1799" max="1799" width="25.109375" customWidth="1"/>
    <col min="1800" max="1800" width="17.5546875" customWidth="1"/>
    <col min="1801" max="1801" width="14.88671875" customWidth="1"/>
    <col min="1802" max="1802" width="70.44140625" customWidth="1"/>
    <col min="2051" max="2051" width="15.88671875" customWidth="1"/>
    <col min="2052" max="2052" width="14.44140625" bestFit="1" customWidth="1"/>
    <col min="2053" max="2053" width="59.109375" customWidth="1"/>
    <col min="2054" max="2054" width="20.109375" customWidth="1"/>
    <col min="2055" max="2055" width="25.109375" customWidth="1"/>
    <col min="2056" max="2056" width="17.5546875" customWidth="1"/>
    <col min="2057" max="2057" width="14.88671875" customWidth="1"/>
    <col min="2058" max="2058" width="70.44140625" customWidth="1"/>
    <col min="2307" max="2307" width="15.88671875" customWidth="1"/>
    <col min="2308" max="2308" width="14.44140625" bestFit="1" customWidth="1"/>
    <col min="2309" max="2309" width="59.109375" customWidth="1"/>
    <col min="2310" max="2310" width="20.109375" customWidth="1"/>
    <col min="2311" max="2311" width="25.109375" customWidth="1"/>
    <col min="2312" max="2312" width="17.5546875" customWidth="1"/>
    <col min="2313" max="2313" width="14.88671875" customWidth="1"/>
    <col min="2314" max="2314" width="70.44140625" customWidth="1"/>
    <col min="2563" max="2563" width="15.88671875" customWidth="1"/>
    <col min="2564" max="2564" width="14.44140625" bestFit="1" customWidth="1"/>
    <col min="2565" max="2565" width="59.109375" customWidth="1"/>
    <col min="2566" max="2566" width="20.109375" customWidth="1"/>
    <col min="2567" max="2567" width="25.109375" customWidth="1"/>
    <col min="2568" max="2568" width="17.5546875" customWidth="1"/>
    <col min="2569" max="2569" width="14.88671875" customWidth="1"/>
    <col min="2570" max="2570" width="70.44140625" customWidth="1"/>
    <col min="2819" max="2819" width="15.88671875" customWidth="1"/>
    <col min="2820" max="2820" width="14.44140625" bestFit="1" customWidth="1"/>
    <col min="2821" max="2821" width="59.109375" customWidth="1"/>
    <col min="2822" max="2822" width="20.109375" customWidth="1"/>
    <col min="2823" max="2823" width="25.109375" customWidth="1"/>
    <col min="2824" max="2824" width="17.5546875" customWidth="1"/>
    <col min="2825" max="2825" width="14.88671875" customWidth="1"/>
    <col min="2826" max="2826" width="70.44140625" customWidth="1"/>
    <col min="3075" max="3075" width="15.88671875" customWidth="1"/>
    <col min="3076" max="3076" width="14.44140625" bestFit="1" customWidth="1"/>
    <col min="3077" max="3077" width="59.109375" customWidth="1"/>
    <col min="3078" max="3078" width="20.109375" customWidth="1"/>
    <col min="3079" max="3079" width="25.109375" customWidth="1"/>
    <col min="3080" max="3080" width="17.5546875" customWidth="1"/>
    <col min="3081" max="3081" width="14.88671875" customWidth="1"/>
    <col min="3082" max="3082" width="70.44140625" customWidth="1"/>
    <col min="3331" max="3331" width="15.88671875" customWidth="1"/>
    <col min="3332" max="3332" width="14.44140625" bestFit="1" customWidth="1"/>
    <col min="3333" max="3333" width="59.109375" customWidth="1"/>
    <col min="3334" max="3334" width="20.109375" customWidth="1"/>
    <col min="3335" max="3335" width="25.109375" customWidth="1"/>
    <col min="3336" max="3336" width="17.5546875" customWidth="1"/>
    <col min="3337" max="3337" width="14.88671875" customWidth="1"/>
    <col min="3338" max="3338" width="70.44140625" customWidth="1"/>
    <col min="3587" max="3587" width="15.88671875" customWidth="1"/>
    <col min="3588" max="3588" width="14.44140625" bestFit="1" customWidth="1"/>
    <col min="3589" max="3589" width="59.109375" customWidth="1"/>
    <col min="3590" max="3590" width="20.109375" customWidth="1"/>
    <col min="3591" max="3591" width="25.109375" customWidth="1"/>
    <col min="3592" max="3592" width="17.5546875" customWidth="1"/>
    <col min="3593" max="3593" width="14.88671875" customWidth="1"/>
    <col min="3594" max="3594" width="70.44140625" customWidth="1"/>
    <col min="3843" max="3843" width="15.88671875" customWidth="1"/>
    <col min="3844" max="3844" width="14.44140625" bestFit="1" customWidth="1"/>
    <col min="3845" max="3845" width="59.109375" customWidth="1"/>
    <col min="3846" max="3846" width="20.109375" customWidth="1"/>
    <col min="3847" max="3847" width="25.109375" customWidth="1"/>
    <col min="3848" max="3848" width="17.5546875" customWidth="1"/>
    <col min="3849" max="3849" width="14.88671875" customWidth="1"/>
    <col min="3850" max="3850" width="70.44140625" customWidth="1"/>
    <col min="4099" max="4099" width="15.88671875" customWidth="1"/>
    <col min="4100" max="4100" width="14.44140625" bestFit="1" customWidth="1"/>
    <col min="4101" max="4101" width="59.109375" customWidth="1"/>
    <col min="4102" max="4102" width="20.109375" customWidth="1"/>
    <col min="4103" max="4103" width="25.109375" customWidth="1"/>
    <col min="4104" max="4104" width="17.5546875" customWidth="1"/>
    <col min="4105" max="4105" width="14.88671875" customWidth="1"/>
    <col min="4106" max="4106" width="70.44140625" customWidth="1"/>
    <col min="4355" max="4355" width="15.88671875" customWidth="1"/>
    <col min="4356" max="4356" width="14.44140625" bestFit="1" customWidth="1"/>
    <col min="4357" max="4357" width="59.109375" customWidth="1"/>
    <col min="4358" max="4358" width="20.109375" customWidth="1"/>
    <col min="4359" max="4359" width="25.109375" customWidth="1"/>
    <col min="4360" max="4360" width="17.5546875" customWidth="1"/>
    <col min="4361" max="4361" width="14.88671875" customWidth="1"/>
    <col min="4362" max="4362" width="70.44140625" customWidth="1"/>
    <col min="4611" max="4611" width="15.88671875" customWidth="1"/>
    <col min="4612" max="4612" width="14.44140625" bestFit="1" customWidth="1"/>
    <col min="4613" max="4613" width="59.109375" customWidth="1"/>
    <col min="4614" max="4614" width="20.109375" customWidth="1"/>
    <col min="4615" max="4615" width="25.109375" customWidth="1"/>
    <col min="4616" max="4616" width="17.5546875" customWidth="1"/>
    <col min="4617" max="4617" width="14.88671875" customWidth="1"/>
    <col min="4618" max="4618" width="70.44140625" customWidth="1"/>
    <col min="4867" max="4867" width="15.88671875" customWidth="1"/>
    <col min="4868" max="4868" width="14.44140625" bestFit="1" customWidth="1"/>
    <col min="4869" max="4869" width="59.109375" customWidth="1"/>
    <col min="4870" max="4870" width="20.109375" customWidth="1"/>
    <col min="4871" max="4871" width="25.109375" customWidth="1"/>
    <col min="4872" max="4872" width="17.5546875" customWidth="1"/>
    <col min="4873" max="4873" width="14.88671875" customWidth="1"/>
    <col min="4874" max="4874" width="70.44140625" customWidth="1"/>
    <col min="5123" max="5123" width="15.88671875" customWidth="1"/>
    <col min="5124" max="5124" width="14.44140625" bestFit="1" customWidth="1"/>
    <col min="5125" max="5125" width="59.109375" customWidth="1"/>
    <col min="5126" max="5126" width="20.109375" customWidth="1"/>
    <col min="5127" max="5127" width="25.109375" customWidth="1"/>
    <col min="5128" max="5128" width="17.5546875" customWidth="1"/>
    <col min="5129" max="5129" width="14.88671875" customWidth="1"/>
    <col min="5130" max="5130" width="70.44140625" customWidth="1"/>
    <col min="5379" max="5379" width="15.88671875" customWidth="1"/>
    <col min="5380" max="5380" width="14.44140625" bestFit="1" customWidth="1"/>
    <col min="5381" max="5381" width="59.109375" customWidth="1"/>
    <col min="5382" max="5382" width="20.109375" customWidth="1"/>
    <col min="5383" max="5383" width="25.109375" customWidth="1"/>
    <col min="5384" max="5384" width="17.5546875" customWidth="1"/>
    <col min="5385" max="5385" width="14.88671875" customWidth="1"/>
    <col min="5386" max="5386" width="70.44140625" customWidth="1"/>
    <col min="5635" max="5635" width="15.88671875" customWidth="1"/>
    <col min="5636" max="5636" width="14.44140625" bestFit="1" customWidth="1"/>
    <col min="5637" max="5637" width="59.109375" customWidth="1"/>
    <col min="5638" max="5638" width="20.109375" customWidth="1"/>
    <col min="5639" max="5639" width="25.109375" customWidth="1"/>
    <col min="5640" max="5640" width="17.5546875" customWidth="1"/>
    <col min="5641" max="5641" width="14.88671875" customWidth="1"/>
    <col min="5642" max="5642" width="70.44140625" customWidth="1"/>
    <col min="5891" max="5891" width="15.88671875" customWidth="1"/>
    <col min="5892" max="5892" width="14.44140625" bestFit="1" customWidth="1"/>
    <col min="5893" max="5893" width="59.109375" customWidth="1"/>
    <col min="5894" max="5894" width="20.109375" customWidth="1"/>
    <col min="5895" max="5895" width="25.109375" customWidth="1"/>
    <col min="5896" max="5896" width="17.5546875" customWidth="1"/>
    <col min="5897" max="5897" width="14.88671875" customWidth="1"/>
    <col min="5898" max="5898" width="70.44140625" customWidth="1"/>
    <col min="6147" max="6147" width="15.88671875" customWidth="1"/>
    <col min="6148" max="6148" width="14.44140625" bestFit="1" customWidth="1"/>
    <col min="6149" max="6149" width="59.109375" customWidth="1"/>
    <col min="6150" max="6150" width="20.109375" customWidth="1"/>
    <col min="6151" max="6151" width="25.109375" customWidth="1"/>
    <col min="6152" max="6152" width="17.5546875" customWidth="1"/>
    <col min="6153" max="6153" width="14.88671875" customWidth="1"/>
    <col min="6154" max="6154" width="70.44140625" customWidth="1"/>
    <col min="6403" max="6403" width="15.88671875" customWidth="1"/>
    <col min="6404" max="6404" width="14.44140625" bestFit="1" customWidth="1"/>
    <col min="6405" max="6405" width="59.109375" customWidth="1"/>
    <col min="6406" max="6406" width="20.109375" customWidth="1"/>
    <col min="6407" max="6407" width="25.109375" customWidth="1"/>
    <col min="6408" max="6408" width="17.5546875" customWidth="1"/>
    <col min="6409" max="6409" width="14.88671875" customWidth="1"/>
    <col min="6410" max="6410" width="70.44140625" customWidth="1"/>
    <col min="6659" max="6659" width="15.88671875" customWidth="1"/>
    <col min="6660" max="6660" width="14.44140625" bestFit="1" customWidth="1"/>
    <col min="6661" max="6661" width="59.109375" customWidth="1"/>
    <col min="6662" max="6662" width="20.109375" customWidth="1"/>
    <col min="6663" max="6663" width="25.109375" customWidth="1"/>
    <col min="6664" max="6664" width="17.5546875" customWidth="1"/>
    <col min="6665" max="6665" width="14.88671875" customWidth="1"/>
    <col min="6666" max="6666" width="70.44140625" customWidth="1"/>
    <col min="6915" max="6915" width="15.88671875" customWidth="1"/>
    <col min="6916" max="6916" width="14.44140625" bestFit="1" customWidth="1"/>
    <col min="6917" max="6917" width="59.109375" customWidth="1"/>
    <col min="6918" max="6918" width="20.109375" customWidth="1"/>
    <col min="6919" max="6919" width="25.109375" customWidth="1"/>
    <col min="6920" max="6920" width="17.5546875" customWidth="1"/>
    <col min="6921" max="6921" width="14.88671875" customWidth="1"/>
    <col min="6922" max="6922" width="70.44140625" customWidth="1"/>
    <col min="7171" max="7171" width="15.88671875" customWidth="1"/>
    <col min="7172" max="7172" width="14.44140625" bestFit="1" customWidth="1"/>
    <col min="7173" max="7173" width="59.109375" customWidth="1"/>
    <col min="7174" max="7174" width="20.109375" customWidth="1"/>
    <col min="7175" max="7175" width="25.109375" customWidth="1"/>
    <col min="7176" max="7176" width="17.5546875" customWidth="1"/>
    <col min="7177" max="7177" width="14.88671875" customWidth="1"/>
    <col min="7178" max="7178" width="70.44140625" customWidth="1"/>
    <col min="7427" max="7427" width="15.88671875" customWidth="1"/>
    <col min="7428" max="7428" width="14.44140625" bestFit="1" customWidth="1"/>
    <col min="7429" max="7429" width="59.109375" customWidth="1"/>
    <col min="7430" max="7430" width="20.109375" customWidth="1"/>
    <col min="7431" max="7431" width="25.109375" customWidth="1"/>
    <col min="7432" max="7432" width="17.5546875" customWidth="1"/>
    <col min="7433" max="7433" width="14.88671875" customWidth="1"/>
    <col min="7434" max="7434" width="70.44140625" customWidth="1"/>
    <col min="7683" max="7683" width="15.88671875" customWidth="1"/>
    <col min="7684" max="7684" width="14.44140625" bestFit="1" customWidth="1"/>
    <col min="7685" max="7685" width="59.109375" customWidth="1"/>
    <col min="7686" max="7686" width="20.109375" customWidth="1"/>
    <col min="7687" max="7687" width="25.109375" customWidth="1"/>
    <col min="7688" max="7688" width="17.5546875" customWidth="1"/>
    <col min="7689" max="7689" width="14.88671875" customWidth="1"/>
    <col min="7690" max="7690" width="70.44140625" customWidth="1"/>
    <col min="7939" max="7939" width="15.88671875" customWidth="1"/>
    <col min="7940" max="7940" width="14.44140625" bestFit="1" customWidth="1"/>
    <col min="7941" max="7941" width="59.109375" customWidth="1"/>
    <col min="7942" max="7942" width="20.109375" customWidth="1"/>
    <col min="7943" max="7943" width="25.109375" customWidth="1"/>
    <col min="7944" max="7944" width="17.5546875" customWidth="1"/>
    <col min="7945" max="7945" width="14.88671875" customWidth="1"/>
    <col min="7946" max="7946" width="70.44140625" customWidth="1"/>
    <col min="8195" max="8195" width="15.88671875" customWidth="1"/>
    <col min="8196" max="8196" width="14.44140625" bestFit="1" customWidth="1"/>
    <col min="8197" max="8197" width="59.109375" customWidth="1"/>
    <col min="8198" max="8198" width="20.109375" customWidth="1"/>
    <col min="8199" max="8199" width="25.109375" customWidth="1"/>
    <col min="8200" max="8200" width="17.5546875" customWidth="1"/>
    <col min="8201" max="8201" width="14.88671875" customWidth="1"/>
    <col min="8202" max="8202" width="70.44140625" customWidth="1"/>
    <col min="8451" max="8451" width="15.88671875" customWidth="1"/>
    <col min="8452" max="8452" width="14.44140625" bestFit="1" customWidth="1"/>
    <col min="8453" max="8453" width="59.109375" customWidth="1"/>
    <col min="8454" max="8454" width="20.109375" customWidth="1"/>
    <col min="8455" max="8455" width="25.109375" customWidth="1"/>
    <col min="8456" max="8456" width="17.5546875" customWidth="1"/>
    <col min="8457" max="8457" width="14.88671875" customWidth="1"/>
    <col min="8458" max="8458" width="70.44140625" customWidth="1"/>
    <col min="8707" max="8707" width="15.88671875" customWidth="1"/>
    <col min="8708" max="8708" width="14.44140625" bestFit="1" customWidth="1"/>
    <col min="8709" max="8709" width="59.109375" customWidth="1"/>
    <col min="8710" max="8710" width="20.109375" customWidth="1"/>
    <col min="8711" max="8711" width="25.109375" customWidth="1"/>
    <col min="8712" max="8712" width="17.5546875" customWidth="1"/>
    <col min="8713" max="8713" width="14.88671875" customWidth="1"/>
    <col min="8714" max="8714" width="70.44140625" customWidth="1"/>
    <col min="8963" max="8963" width="15.88671875" customWidth="1"/>
    <col min="8964" max="8964" width="14.44140625" bestFit="1" customWidth="1"/>
    <col min="8965" max="8965" width="59.109375" customWidth="1"/>
    <col min="8966" max="8966" width="20.109375" customWidth="1"/>
    <col min="8967" max="8967" width="25.109375" customWidth="1"/>
    <col min="8968" max="8968" width="17.5546875" customWidth="1"/>
    <col min="8969" max="8969" width="14.88671875" customWidth="1"/>
    <col min="8970" max="8970" width="70.44140625" customWidth="1"/>
    <col min="9219" max="9219" width="15.88671875" customWidth="1"/>
    <col min="9220" max="9220" width="14.44140625" bestFit="1" customWidth="1"/>
    <col min="9221" max="9221" width="59.109375" customWidth="1"/>
    <col min="9222" max="9222" width="20.109375" customWidth="1"/>
    <col min="9223" max="9223" width="25.109375" customWidth="1"/>
    <col min="9224" max="9224" width="17.5546875" customWidth="1"/>
    <col min="9225" max="9225" width="14.88671875" customWidth="1"/>
    <col min="9226" max="9226" width="70.44140625" customWidth="1"/>
    <col min="9475" max="9475" width="15.88671875" customWidth="1"/>
    <col min="9476" max="9476" width="14.44140625" bestFit="1" customWidth="1"/>
    <col min="9477" max="9477" width="59.109375" customWidth="1"/>
    <col min="9478" max="9478" width="20.109375" customWidth="1"/>
    <col min="9479" max="9479" width="25.109375" customWidth="1"/>
    <col min="9480" max="9480" width="17.5546875" customWidth="1"/>
    <col min="9481" max="9481" width="14.88671875" customWidth="1"/>
    <col min="9482" max="9482" width="70.44140625" customWidth="1"/>
    <col min="9731" max="9731" width="15.88671875" customWidth="1"/>
    <col min="9732" max="9732" width="14.44140625" bestFit="1" customWidth="1"/>
    <col min="9733" max="9733" width="59.109375" customWidth="1"/>
    <col min="9734" max="9734" width="20.109375" customWidth="1"/>
    <col min="9735" max="9735" width="25.109375" customWidth="1"/>
    <col min="9736" max="9736" width="17.5546875" customWidth="1"/>
    <col min="9737" max="9737" width="14.88671875" customWidth="1"/>
    <col min="9738" max="9738" width="70.44140625" customWidth="1"/>
    <col min="9987" max="9987" width="15.88671875" customWidth="1"/>
    <col min="9988" max="9988" width="14.44140625" bestFit="1" customWidth="1"/>
    <col min="9989" max="9989" width="59.109375" customWidth="1"/>
    <col min="9990" max="9990" width="20.109375" customWidth="1"/>
    <col min="9991" max="9991" width="25.109375" customWidth="1"/>
    <col min="9992" max="9992" width="17.5546875" customWidth="1"/>
    <col min="9993" max="9993" width="14.88671875" customWidth="1"/>
    <col min="9994" max="9994" width="70.44140625" customWidth="1"/>
    <col min="10243" max="10243" width="15.88671875" customWidth="1"/>
    <col min="10244" max="10244" width="14.44140625" bestFit="1" customWidth="1"/>
    <col min="10245" max="10245" width="59.109375" customWidth="1"/>
    <col min="10246" max="10246" width="20.109375" customWidth="1"/>
    <col min="10247" max="10247" width="25.109375" customWidth="1"/>
    <col min="10248" max="10248" width="17.5546875" customWidth="1"/>
    <col min="10249" max="10249" width="14.88671875" customWidth="1"/>
    <col min="10250" max="10250" width="70.44140625" customWidth="1"/>
    <col min="10499" max="10499" width="15.88671875" customWidth="1"/>
    <col min="10500" max="10500" width="14.44140625" bestFit="1" customWidth="1"/>
    <col min="10501" max="10501" width="59.109375" customWidth="1"/>
    <col min="10502" max="10502" width="20.109375" customWidth="1"/>
    <col min="10503" max="10503" width="25.109375" customWidth="1"/>
    <col min="10504" max="10504" width="17.5546875" customWidth="1"/>
    <col min="10505" max="10505" width="14.88671875" customWidth="1"/>
    <col min="10506" max="10506" width="70.44140625" customWidth="1"/>
    <col min="10755" max="10755" width="15.88671875" customWidth="1"/>
    <col min="10756" max="10756" width="14.44140625" bestFit="1" customWidth="1"/>
    <col min="10757" max="10757" width="59.109375" customWidth="1"/>
    <col min="10758" max="10758" width="20.109375" customWidth="1"/>
    <col min="10759" max="10759" width="25.109375" customWidth="1"/>
    <col min="10760" max="10760" width="17.5546875" customWidth="1"/>
    <col min="10761" max="10761" width="14.88671875" customWidth="1"/>
    <col min="10762" max="10762" width="70.44140625" customWidth="1"/>
    <col min="11011" max="11011" width="15.88671875" customWidth="1"/>
    <col min="11012" max="11012" width="14.44140625" bestFit="1" customWidth="1"/>
    <col min="11013" max="11013" width="59.109375" customWidth="1"/>
    <col min="11014" max="11014" width="20.109375" customWidth="1"/>
    <col min="11015" max="11015" width="25.109375" customWidth="1"/>
    <col min="11016" max="11016" width="17.5546875" customWidth="1"/>
    <col min="11017" max="11017" width="14.88671875" customWidth="1"/>
    <col min="11018" max="11018" width="70.44140625" customWidth="1"/>
    <col min="11267" max="11267" width="15.88671875" customWidth="1"/>
    <col min="11268" max="11268" width="14.44140625" bestFit="1" customWidth="1"/>
    <col min="11269" max="11269" width="59.109375" customWidth="1"/>
    <col min="11270" max="11270" width="20.109375" customWidth="1"/>
    <col min="11271" max="11271" width="25.109375" customWidth="1"/>
    <col min="11272" max="11272" width="17.5546875" customWidth="1"/>
    <col min="11273" max="11273" width="14.88671875" customWidth="1"/>
    <col min="11274" max="11274" width="70.44140625" customWidth="1"/>
    <col min="11523" max="11523" width="15.88671875" customWidth="1"/>
    <col min="11524" max="11524" width="14.44140625" bestFit="1" customWidth="1"/>
    <col min="11525" max="11525" width="59.109375" customWidth="1"/>
    <col min="11526" max="11526" width="20.109375" customWidth="1"/>
    <col min="11527" max="11527" width="25.109375" customWidth="1"/>
    <col min="11528" max="11528" width="17.5546875" customWidth="1"/>
    <col min="11529" max="11529" width="14.88671875" customWidth="1"/>
    <col min="11530" max="11530" width="70.44140625" customWidth="1"/>
    <col min="11779" max="11779" width="15.88671875" customWidth="1"/>
    <col min="11780" max="11780" width="14.44140625" bestFit="1" customWidth="1"/>
    <col min="11781" max="11781" width="59.109375" customWidth="1"/>
    <col min="11782" max="11782" width="20.109375" customWidth="1"/>
    <col min="11783" max="11783" width="25.109375" customWidth="1"/>
    <col min="11784" max="11784" width="17.5546875" customWidth="1"/>
    <col min="11785" max="11785" width="14.88671875" customWidth="1"/>
    <col min="11786" max="11786" width="70.44140625" customWidth="1"/>
    <col min="12035" max="12035" width="15.88671875" customWidth="1"/>
    <col min="12036" max="12036" width="14.44140625" bestFit="1" customWidth="1"/>
    <col min="12037" max="12037" width="59.109375" customWidth="1"/>
    <col min="12038" max="12038" width="20.109375" customWidth="1"/>
    <col min="12039" max="12039" width="25.109375" customWidth="1"/>
    <col min="12040" max="12040" width="17.5546875" customWidth="1"/>
    <col min="12041" max="12041" width="14.88671875" customWidth="1"/>
    <col min="12042" max="12042" width="70.44140625" customWidth="1"/>
    <col min="12291" max="12291" width="15.88671875" customWidth="1"/>
    <col min="12292" max="12292" width="14.44140625" bestFit="1" customWidth="1"/>
    <col min="12293" max="12293" width="59.109375" customWidth="1"/>
    <col min="12294" max="12294" width="20.109375" customWidth="1"/>
    <col min="12295" max="12295" width="25.109375" customWidth="1"/>
    <col min="12296" max="12296" width="17.5546875" customWidth="1"/>
    <col min="12297" max="12297" width="14.88671875" customWidth="1"/>
    <col min="12298" max="12298" width="70.44140625" customWidth="1"/>
    <col min="12547" max="12547" width="15.88671875" customWidth="1"/>
    <col min="12548" max="12548" width="14.44140625" bestFit="1" customWidth="1"/>
    <col min="12549" max="12549" width="59.109375" customWidth="1"/>
    <col min="12550" max="12550" width="20.109375" customWidth="1"/>
    <col min="12551" max="12551" width="25.109375" customWidth="1"/>
    <col min="12552" max="12552" width="17.5546875" customWidth="1"/>
    <col min="12553" max="12553" width="14.88671875" customWidth="1"/>
    <col min="12554" max="12554" width="70.44140625" customWidth="1"/>
    <col min="12803" max="12803" width="15.88671875" customWidth="1"/>
    <col min="12804" max="12804" width="14.44140625" bestFit="1" customWidth="1"/>
    <col min="12805" max="12805" width="59.109375" customWidth="1"/>
    <col min="12806" max="12806" width="20.109375" customWidth="1"/>
    <col min="12807" max="12807" width="25.109375" customWidth="1"/>
    <col min="12808" max="12808" width="17.5546875" customWidth="1"/>
    <col min="12809" max="12809" width="14.88671875" customWidth="1"/>
    <col min="12810" max="12810" width="70.44140625" customWidth="1"/>
    <col min="13059" max="13059" width="15.88671875" customWidth="1"/>
    <col min="13060" max="13060" width="14.44140625" bestFit="1" customWidth="1"/>
    <col min="13061" max="13061" width="59.109375" customWidth="1"/>
    <col min="13062" max="13062" width="20.109375" customWidth="1"/>
    <col min="13063" max="13063" width="25.109375" customWidth="1"/>
    <col min="13064" max="13064" width="17.5546875" customWidth="1"/>
    <col min="13065" max="13065" width="14.88671875" customWidth="1"/>
    <col min="13066" max="13066" width="70.44140625" customWidth="1"/>
    <col min="13315" max="13315" width="15.88671875" customWidth="1"/>
    <col min="13316" max="13316" width="14.44140625" bestFit="1" customWidth="1"/>
    <col min="13317" max="13317" width="59.109375" customWidth="1"/>
    <col min="13318" max="13318" width="20.109375" customWidth="1"/>
    <col min="13319" max="13319" width="25.109375" customWidth="1"/>
    <col min="13320" max="13320" width="17.5546875" customWidth="1"/>
    <col min="13321" max="13321" width="14.88671875" customWidth="1"/>
    <col min="13322" max="13322" width="70.44140625" customWidth="1"/>
    <col min="13571" max="13571" width="15.88671875" customWidth="1"/>
    <col min="13572" max="13572" width="14.44140625" bestFit="1" customWidth="1"/>
    <col min="13573" max="13573" width="59.109375" customWidth="1"/>
    <col min="13574" max="13574" width="20.109375" customWidth="1"/>
    <col min="13575" max="13575" width="25.109375" customWidth="1"/>
    <col min="13576" max="13576" width="17.5546875" customWidth="1"/>
    <col min="13577" max="13577" width="14.88671875" customWidth="1"/>
    <col min="13578" max="13578" width="70.44140625" customWidth="1"/>
    <col min="13827" max="13827" width="15.88671875" customWidth="1"/>
    <col min="13828" max="13828" width="14.44140625" bestFit="1" customWidth="1"/>
    <col min="13829" max="13829" width="59.109375" customWidth="1"/>
    <col min="13830" max="13830" width="20.109375" customWidth="1"/>
    <col min="13831" max="13831" width="25.109375" customWidth="1"/>
    <col min="13832" max="13832" width="17.5546875" customWidth="1"/>
    <col min="13833" max="13833" width="14.88671875" customWidth="1"/>
    <col min="13834" max="13834" width="70.44140625" customWidth="1"/>
    <col min="14083" max="14083" width="15.88671875" customWidth="1"/>
    <col min="14084" max="14084" width="14.44140625" bestFit="1" customWidth="1"/>
    <col min="14085" max="14085" width="59.109375" customWidth="1"/>
    <col min="14086" max="14086" width="20.109375" customWidth="1"/>
    <col min="14087" max="14087" width="25.109375" customWidth="1"/>
    <col min="14088" max="14088" width="17.5546875" customWidth="1"/>
    <col min="14089" max="14089" width="14.88671875" customWidth="1"/>
    <col min="14090" max="14090" width="70.44140625" customWidth="1"/>
    <col min="14339" max="14339" width="15.88671875" customWidth="1"/>
    <col min="14340" max="14340" width="14.44140625" bestFit="1" customWidth="1"/>
    <col min="14341" max="14341" width="59.109375" customWidth="1"/>
    <col min="14342" max="14342" width="20.109375" customWidth="1"/>
    <col min="14343" max="14343" width="25.109375" customWidth="1"/>
    <col min="14344" max="14344" width="17.5546875" customWidth="1"/>
    <col min="14345" max="14345" width="14.88671875" customWidth="1"/>
    <col min="14346" max="14346" width="70.44140625" customWidth="1"/>
    <col min="14595" max="14595" width="15.88671875" customWidth="1"/>
    <col min="14596" max="14596" width="14.44140625" bestFit="1" customWidth="1"/>
    <col min="14597" max="14597" width="59.109375" customWidth="1"/>
    <col min="14598" max="14598" width="20.109375" customWidth="1"/>
    <col min="14599" max="14599" width="25.109375" customWidth="1"/>
    <col min="14600" max="14600" width="17.5546875" customWidth="1"/>
    <col min="14601" max="14601" width="14.88671875" customWidth="1"/>
    <col min="14602" max="14602" width="70.44140625" customWidth="1"/>
    <col min="14851" max="14851" width="15.88671875" customWidth="1"/>
    <col min="14852" max="14852" width="14.44140625" bestFit="1" customWidth="1"/>
    <col min="14853" max="14853" width="59.109375" customWidth="1"/>
    <col min="14854" max="14854" width="20.109375" customWidth="1"/>
    <col min="14855" max="14855" width="25.109375" customWidth="1"/>
    <col min="14856" max="14856" width="17.5546875" customWidth="1"/>
    <col min="14857" max="14857" width="14.88671875" customWidth="1"/>
    <col min="14858" max="14858" width="70.44140625" customWidth="1"/>
    <col min="15107" max="15107" width="15.88671875" customWidth="1"/>
    <col min="15108" max="15108" width="14.44140625" bestFit="1" customWidth="1"/>
    <col min="15109" max="15109" width="59.109375" customWidth="1"/>
    <col min="15110" max="15110" width="20.109375" customWidth="1"/>
    <col min="15111" max="15111" width="25.109375" customWidth="1"/>
    <col min="15112" max="15112" width="17.5546875" customWidth="1"/>
    <col min="15113" max="15113" width="14.88671875" customWidth="1"/>
    <col min="15114" max="15114" width="70.44140625" customWidth="1"/>
    <col min="15363" max="15363" width="15.88671875" customWidth="1"/>
    <col min="15364" max="15364" width="14.44140625" bestFit="1" customWidth="1"/>
    <col min="15365" max="15365" width="59.109375" customWidth="1"/>
    <col min="15366" max="15366" width="20.109375" customWidth="1"/>
    <col min="15367" max="15367" width="25.109375" customWidth="1"/>
    <col min="15368" max="15368" width="17.5546875" customWidth="1"/>
    <col min="15369" max="15369" width="14.88671875" customWidth="1"/>
    <col min="15370" max="15370" width="70.44140625" customWidth="1"/>
    <col min="15619" max="15619" width="15.88671875" customWidth="1"/>
    <col min="15620" max="15620" width="14.44140625" bestFit="1" customWidth="1"/>
    <col min="15621" max="15621" width="59.109375" customWidth="1"/>
    <col min="15622" max="15622" width="20.109375" customWidth="1"/>
    <col min="15623" max="15623" width="25.109375" customWidth="1"/>
    <col min="15624" max="15624" width="17.5546875" customWidth="1"/>
    <col min="15625" max="15625" width="14.88671875" customWidth="1"/>
    <col min="15626" max="15626" width="70.44140625" customWidth="1"/>
    <col min="15875" max="15875" width="15.88671875" customWidth="1"/>
    <col min="15876" max="15876" width="14.44140625" bestFit="1" customWidth="1"/>
    <col min="15877" max="15877" width="59.109375" customWidth="1"/>
    <col min="15878" max="15878" width="20.109375" customWidth="1"/>
    <col min="15879" max="15879" width="25.109375" customWidth="1"/>
    <col min="15880" max="15880" width="17.5546875" customWidth="1"/>
    <col min="15881" max="15881" width="14.88671875" customWidth="1"/>
    <col min="15882" max="15882" width="70.44140625" customWidth="1"/>
    <col min="16131" max="16131" width="15.88671875" customWidth="1"/>
    <col min="16132" max="16132" width="14.44140625" bestFit="1" customWidth="1"/>
    <col min="16133" max="16133" width="59.109375" customWidth="1"/>
    <col min="16134" max="16134" width="20.109375" customWidth="1"/>
    <col min="16135" max="16135" width="25.109375" customWidth="1"/>
    <col min="16136" max="16136" width="17.5546875" customWidth="1"/>
    <col min="16137" max="16137" width="14.88671875" customWidth="1"/>
    <col min="16138" max="16138" width="70.44140625" customWidth="1"/>
  </cols>
  <sheetData>
    <row r="1" spans="1:13" ht="28.5" customHeight="1" x14ac:dyDescent="0.25">
      <c r="A1" s="1" t="s">
        <v>0</v>
      </c>
      <c r="B1" s="2"/>
      <c r="C1" s="3"/>
      <c r="D1" s="2"/>
      <c r="E1" s="2"/>
      <c r="F1" s="4"/>
      <c r="G1" s="4"/>
    </row>
    <row r="2" spans="1:13" ht="39" thickBot="1" x14ac:dyDescent="0.3">
      <c r="A2" s="188" t="s">
        <v>1</v>
      </c>
      <c r="B2" s="188" t="s">
        <v>2</v>
      </c>
      <c r="C2" s="188" t="s">
        <v>3</v>
      </c>
      <c r="D2" s="188" t="s">
        <v>4</v>
      </c>
      <c r="E2" s="188" t="s">
        <v>5</v>
      </c>
      <c r="F2" s="189" t="s">
        <v>6</v>
      </c>
      <c r="G2" s="189" t="s">
        <v>263</v>
      </c>
      <c r="H2" s="188" t="s">
        <v>7</v>
      </c>
      <c r="I2" s="188" t="s">
        <v>8</v>
      </c>
      <c r="J2" s="190" t="s">
        <v>270</v>
      </c>
      <c r="K2" s="191" t="s">
        <v>262</v>
      </c>
      <c r="L2" s="191" t="s">
        <v>271</v>
      </c>
      <c r="M2" s="192" t="s">
        <v>261</v>
      </c>
    </row>
    <row r="3" spans="1:13" ht="119.4" x14ac:dyDescent="0.3">
      <c r="A3" s="76"/>
      <c r="B3" s="77" t="s">
        <v>70</v>
      </c>
      <c r="C3" s="77" t="s">
        <v>87</v>
      </c>
      <c r="D3" s="78" t="s">
        <v>88</v>
      </c>
      <c r="E3" s="78" t="s">
        <v>89</v>
      </c>
      <c r="F3" s="57">
        <v>79427</v>
      </c>
      <c r="G3" s="57">
        <f>SUM(H3-F3)</f>
        <v>87427</v>
      </c>
      <c r="H3" s="57">
        <v>166854</v>
      </c>
      <c r="I3" s="79" t="s">
        <v>90</v>
      </c>
      <c r="J3" s="269">
        <v>1</v>
      </c>
      <c r="K3" s="200">
        <v>178943</v>
      </c>
      <c r="L3" s="200">
        <v>46331</v>
      </c>
      <c r="M3" s="217">
        <f>L3/K3*100</f>
        <v>25.891484998016129</v>
      </c>
    </row>
    <row r="4" spans="1:13" ht="16.2" thickBot="1" x14ac:dyDescent="0.35">
      <c r="A4" s="270" t="s">
        <v>264</v>
      </c>
      <c r="B4" s="271"/>
      <c r="C4" s="271"/>
      <c r="D4" s="271"/>
      <c r="E4" s="271"/>
      <c r="F4" s="80">
        <f>SUM(F3)</f>
        <v>79427</v>
      </c>
      <c r="G4" s="81">
        <f>SUM(G3)</f>
        <v>87427</v>
      </c>
      <c r="H4" s="82">
        <f>SUM(H3)</f>
        <v>166854</v>
      </c>
      <c r="I4" s="83"/>
      <c r="J4" s="246"/>
      <c r="K4" s="201"/>
      <c r="L4" s="202"/>
      <c r="M4" s="219"/>
    </row>
    <row r="5" spans="1:13" ht="39.6" x14ac:dyDescent="0.3">
      <c r="A5" s="66" t="s">
        <v>140</v>
      </c>
      <c r="B5" s="67" t="s">
        <v>119</v>
      </c>
      <c r="C5" s="67" t="s">
        <v>141</v>
      </c>
      <c r="D5" s="84" t="s">
        <v>142</v>
      </c>
      <c r="E5" s="84" t="s">
        <v>265</v>
      </c>
      <c r="F5" s="68">
        <v>94400</v>
      </c>
      <c r="G5" s="68">
        <f t="shared" ref="G5:G101" si="0">SUM(H5-F5)</f>
        <v>23600</v>
      </c>
      <c r="H5" s="68">
        <v>118000</v>
      </c>
      <c r="I5" s="85" t="s">
        <v>143</v>
      </c>
      <c r="J5" s="229">
        <v>2</v>
      </c>
      <c r="K5" s="198">
        <v>312149</v>
      </c>
      <c r="L5" s="198">
        <v>39031</v>
      </c>
      <c r="M5" s="203">
        <f>L5/K5*100</f>
        <v>12.503964452873467</v>
      </c>
    </row>
    <row r="6" spans="1:13" ht="16.2" thickBot="1" x14ac:dyDescent="0.35">
      <c r="A6" s="282" t="s">
        <v>264</v>
      </c>
      <c r="B6" s="283"/>
      <c r="C6" s="283"/>
      <c r="D6" s="283"/>
      <c r="E6" s="283"/>
      <c r="F6" s="40">
        <f>SUM(F5)</f>
        <v>94400</v>
      </c>
      <c r="G6" s="41">
        <f>SUM(G5)</f>
        <v>23600</v>
      </c>
      <c r="H6" s="42">
        <f>SUM(H5)</f>
        <v>118000</v>
      </c>
      <c r="I6" s="43"/>
      <c r="J6" s="237"/>
      <c r="K6" s="205"/>
      <c r="L6" s="199"/>
      <c r="M6" s="238"/>
    </row>
    <row r="7" spans="1:13" ht="184.8" x14ac:dyDescent="0.3">
      <c r="A7" s="76" t="s">
        <v>61</v>
      </c>
      <c r="B7" s="77"/>
      <c r="C7" s="53" t="s">
        <v>62</v>
      </c>
      <c r="D7" s="77" t="s">
        <v>63</v>
      </c>
      <c r="E7" s="77" t="s">
        <v>64</v>
      </c>
      <c r="F7" s="92">
        <v>6763498</v>
      </c>
      <c r="G7" s="57">
        <f t="shared" si="0"/>
        <v>9736502</v>
      </c>
      <c r="H7" s="93">
        <v>16500000</v>
      </c>
      <c r="I7" s="94" t="s">
        <v>65</v>
      </c>
      <c r="J7" s="272">
        <v>3</v>
      </c>
      <c r="K7" s="274">
        <v>66826</v>
      </c>
      <c r="L7" s="200">
        <v>18044</v>
      </c>
      <c r="M7" s="254">
        <f>L7/K7*100</f>
        <v>27.001466495076766</v>
      </c>
    </row>
    <row r="8" spans="1:13" ht="16.5" customHeight="1" thickBot="1" x14ac:dyDescent="0.35">
      <c r="A8" s="270" t="s">
        <v>264</v>
      </c>
      <c r="B8" s="271"/>
      <c r="C8" s="271"/>
      <c r="D8" s="271"/>
      <c r="E8" s="271"/>
      <c r="F8" s="80">
        <f>SUM(F7)</f>
        <v>6763498</v>
      </c>
      <c r="G8" s="81">
        <f>SUM(G7)</f>
        <v>9736502</v>
      </c>
      <c r="H8" s="82">
        <f>SUM(H7)</f>
        <v>16500000</v>
      </c>
      <c r="I8" s="83"/>
      <c r="J8" s="220"/>
      <c r="K8" s="211"/>
      <c r="L8" s="201"/>
      <c r="M8" s="249"/>
    </row>
    <row r="9" spans="1:13" ht="46.8" x14ac:dyDescent="0.3">
      <c r="A9" s="66" t="s">
        <v>9</v>
      </c>
      <c r="B9" s="67"/>
      <c r="C9" s="67" t="s">
        <v>10</v>
      </c>
      <c r="D9" s="67" t="s">
        <v>10</v>
      </c>
      <c r="E9" s="67" t="s">
        <v>11</v>
      </c>
      <c r="F9" s="195">
        <v>454800000</v>
      </c>
      <c r="G9" s="68">
        <f t="shared" si="0"/>
        <v>112200000</v>
      </c>
      <c r="H9" s="196">
        <v>567000000</v>
      </c>
      <c r="I9" s="197" t="s">
        <v>12</v>
      </c>
      <c r="J9" s="229">
        <v>4</v>
      </c>
      <c r="K9" s="198">
        <v>335591</v>
      </c>
      <c r="L9" s="198">
        <v>175232</v>
      </c>
      <c r="M9" s="203">
        <f>L9/K9*100</f>
        <v>52.215941428703395</v>
      </c>
    </row>
    <row r="10" spans="1:13" ht="15" customHeight="1" x14ac:dyDescent="0.3">
      <c r="A10" s="69" t="s">
        <v>13</v>
      </c>
      <c r="B10" s="33" t="s">
        <v>14</v>
      </c>
      <c r="C10" s="37" t="s">
        <v>15</v>
      </c>
      <c r="D10" s="33" t="s">
        <v>10</v>
      </c>
      <c r="E10" s="33" t="s">
        <v>11</v>
      </c>
      <c r="F10" s="34">
        <v>16371200</v>
      </c>
      <c r="G10" s="35">
        <f t="shared" si="0"/>
        <v>4092800</v>
      </c>
      <c r="H10" s="36">
        <v>20464000</v>
      </c>
      <c r="I10" s="74" t="s">
        <v>16</v>
      </c>
      <c r="J10" s="237"/>
      <c r="K10" s="205"/>
      <c r="L10" s="205"/>
      <c r="M10" s="238"/>
    </row>
    <row r="11" spans="1:13" ht="16.5" customHeight="1" thickBot="1" x14ac:dyDescent="0.35">
      <c r="A11" s="284" t="s">
        <v>264</v>
      </c>
      <c r="B11" s="285"/>
      <c r="C11" s="285"/>
      <c r="D11" s="285"/>
      <c r="E11" s="286"/>
      <c r="F11" s="70">
        <f t="shared" ref="F11:H11" si="1">SUM(F3:F10)</f>
        <v>485045850</v>
      </c>
      <c r="G11" s="71">
        <f t="shared" si="1"/>
        <v>135987858</v>
      </c>
      <c r="H11" s="72">
        <f t="shared" si="1"/>
        <v>621033708</v>
      </c>
      <c r="I11" s="73"/>
      <c r="J11" s="230"/>
      <c r="K11" s="199"/>
      <c r="L11" s="199"/>
      <c r="M11" s="204"/>
    </row>
    <row r="12" spans="1:13" ht="106.2" x14ac:dyDescent="0.3">
      <c r="A12" s="51" t="s">
        <v>154</v>
      </c>
      <c r="B12" s="52" t="s">
        <v>155</v>
      </c>
      <c r="C12" s="53" t="s">
        <v>156</v>
      </c>
      <c r="D12" s="54" t="s">
        <v>157</v>
      </c>
      <c r="E12" s="55" t="s">
        <v>158</v>
      </c>
      <c r="F12" s="56">
        <f>403234+809859</f>
        <v>1213093</v>
      </c>
      <c r="G12" s="57">
        <v>0</v>
      </c>
      <c r="H12" s="56">
        <f>403234+809859</f>
        <v>1213093</v>
      </c>
      <c r="I12" s="58" t="s">
        <v>159</v>
      </c>
      <c r="J12" s="215">
        <v>5</v>
      </c>
      <c r="K12" s="200">
        <v>1548413</v>
      </c>
      <c r="L12" s="200">
        <v>508296</v>
      </c>
      <c r="M12" s="217">
        <f>L12/K12*100</f>
        <v>32.826900833304812</v>
      </c>
    </row>
    <row r="13" spans="1:13" ht="40.200000000000003" x14ac:dyDescent="0.3">
      <c r="A13" s="59" t="s">
        <v>28</v>
      </c>
      <c r="B13" s="5" t="s">
        <v>29</v>
      </c>
      <c r="C13" s="7" t="s">
        <v>30</v>
      </c>
      <c r="D13" s="5" t="s">
        <v>157</v>
      </c>
      <c r="E13" s="5" t="s">
        <v>26</v>
      </c>
      <c r="F13" s="6">
        <v>3600000</v>
      </c>
      <c r="G13" s="15">
        <f t="shared" si="0"/>
        <v>900000</v>
      </c>
      <c r="H13" s="8">
        <v>4500000</v>
      </c>
      <c r="I13" s="9" t="s">
        <v>31</v>
      </c>
      <c r="J13" s="221"/>
      <c r="K13" s="201"/>
      <c r="L13" s="201"/>
      <c r="M13" s="219"/>
    </row>
    <row r="14" spans="1:13" ht="16.2" thickBot="1" x14ac:dyDescent="0.35">
      <c r="A14" s="287" t="s">
        <v>264</v>
      </c>
      <c r="B14" s="288"/>
      <c r="C14" s="288"/>
      <c r="D14" s="288"/>
      <c r="E14" s="289"/>
      <c r="F14" s="60">
        <f>SUM(F12:F13)</f>
        <v>4813093</v>
      </c>
      <c r="G14" s="61">
        <f>SUM(G12:G13)</f>
        <v>900000</v>
      </c>
      <c r="H14" s="62">
        <f>SUM(H12:H13)</f>
        <v>5713093</v>
      </c>
      <c r="I14" s="63"/>
      <c r="J14" s="216"/>
      <c r="K14" s="202"/>
      <c r="L14" s="202"/>
      <c r="M14" s="218"/>
    </row>
    <row r="15" spans="1:13" ht="106.2" x14ac:dyDescent="0.3">
      <c r="A15" s="95" t="s">
        <v>160</v>
      </c>
      <c r="B15" s="95" t="s">
        <v>155</v>
      </c>
      <c r="C15" s="45" t="s">
        <v>164</v>
      </c>
      <c r="D15" s="46" t="s">
        <v>165</v>
      </c>
      <c r="E15" s="47" t="s">
        <v>166</v>
      </c>
      <c r="F15" s="48">
        <f>125000+250000</f>
        <v>375000</v>
      </c>
      <c r="G15" s="49">
        <v>0</v>
      </c>
      <c r="H15" s="48">
        <f>125000+250000</f>
        <v>375000</v>
      </c>
      <c r="I15" s="50" t="s">
        <v>167</v>
      </c>
      <c r="J15" s="229">
        <v>6</v>
      </c>
      <c r="K15" s="198">
        <v>434463</v>
      </c>
      <c r="L15" s="198">
        <v>143295</v>
      </c>
      <c r="M15" s="239">
        <f>L15/K15*100</f>
        <v>32.982095138136039</v>
      </c>
    </row>
    <row r="16" spans="1:13" ht="24" customHeight="1" thickBot="1" x14ac:dyDescent="0.35">
      <c r="A16" s="278" t="s">
        <v>264</v>
      </c>
      <c r="B16" s="279"/>
      <c r="C16" s="279"/>
      <c r="D16" s="279"/>
      <c r="E16" s="280"/>
      <c r="F16" s="40">
        <f>SUM(F15)</f>
        <v>375000</v>
      </c>
      <c r="G16" s="41">
        <f>SUM(G15)</f>
        <v>0</v>
      </c>
      <c r="H16" s="42">
        <f>SUM(H15)</f>
        <v>375000</v>
      </c>
      <c r="I16" s="43"/>
      <c r="J16" s="237"/>
      <c r="K16" s="205"/>
      <c r="L16" s="199"/>
      <c r="M16" s="281"/>
    </row>
    <row r="17" spans="1:13" ht="184.8" x14ac:dyDescent="0.3">
      <c r="A17" s="76" t="s">
        <v>47</v>
      </c>
      <c r="B17" s="77" t="s">
        <v>48</v>
      </c>
      <c r="C17" s="53" t="s">
        <v>49</v>
      </c>
      <c r="D17" s="77" t="s">
        <v>50</v>
      </c>
      <c r="E17" s="77" t="s">
        <v>51</v>
      </c>
      <c r="F17" s="92">
        <v>5702298</v>
      </c>
      <c r="G17" s="57">
        <f t="shared" si="0"/>
        <v>633589</v>
      </c>
      <c r="H17" s="93">
        <v>6335887</v>
      </c>
      <c r="I17" s="94" t="s">
        <v>52</v>
      </c>
      <c r="J17" s="272">
        <v>7</v>
      </c>
      <c r="K17" s="274">
        <v>862744</v>
      </c>
      <c r="L17" s="200">
        <v>290692</v>
      </c>
      <c r="M17" s="276">
        <f>L17/K17*100</f>
        <v>33.693888337676064</v>
      </c>
    </row>
    <row r="18" spans="1:13" ht="24" customHeight="1" thickBot="1" x14ac:dyDescent="0.35">
      <c r="A18" s="262" t="s">
        <v>264</v>
      </c>
      <c r="B18" s="263"/>
      <c r="C18" s="263"/>
      <c r="D18" s="263"/>
      <c r="E18" s="263"/>
      <c r="F18" s="60">
        <f>SUM(F17)</f>
        <v>5702298</v>
      </c>
      <c r="G18" s="61">
        <f>SUM(G17)</f>
        <v>633589</v>
      </c>
      <c r="H18" s="62">
        <f>SUM(H17)</f>
        <v>6335887</v>
      </c>
      <c r="I18" s="63"/>
      <c r="J18" s="273"/>
      <c r="K18" s="275"/>
      <c r="L18" s="202"/>
      <c r="M18" s="277"/>
    </row>
    <row r="19" spans="1:13" ht="14.4" x14ac:dyDescent="0.3">
      <c r="A19" s="89" t="s">
        <v>17</v>
      </c>
      <c r="B19" s="90" t="s">
        <v>18</v>
      </c>
      <c r="C19" s="45" t="s">
        <v>19</v>
      </c>
      <c r="D19" s="90" t="s">
        <v>20</v>
      </c>
      <c r="E19" s="90" t="s">
        <v>21</v>
      </c>
      <c r="F19" s="91">
        <v>16240000</v>
      </c>
      <c r="G19" s="49">
        <f t="shared" si="0"/>
        <v>4060000</v>
      </c>
      <c r="H19" s="97">
        <v>20300000</v>
      </c>
      <c r="I19" s="106" t="s">
        <v>22</v>
      </c>
      <c r="J19" s="237">
        <v>8</v>
      </c>
      <c r="K19" s="205">
        <v>3856772</v>
      </c>
      <c r="L19" s="198">
        <v>1180568</v>
      </c>
      <c r="M19" s="238">
        <f>L19/K19*100</f>
        <v>30.610261638489391</v>
      </c>
    </row>
    <row r="20" spans="1:13" ht="183.75" customHeight="1" x14ac:dyDescent="0.3">
      <c r="A20" s="69" t="s">
        <v>23</v>
      </c>
      <c r="B20" s="33" t="s">
        <v>24</v>
      </c>
      <c r="C20" s="37" t="s">
        <v>25</v>
      </c>
      <c r="D20" s="33" t="s">
        <v>20</v>
      </c>
      <c r="E20" s="33" t="s">
        <v>26</v>
      </c>
      <c r="F20" s="34">
        <v>3476000</v>
      </c>
      <c r="G20" s="35">
        <f t="shared" si="0"/>
        <v>0</v>
      </c>
      <c r="H20" s="39">
        <v>3476000</v>
      </c>
      <c r="I20" s="105" t="s">
        <v>27</v>
      </c>
      <c r="J20" s="237"/>
      <c r="K20" s="205"/>
      <c r="L20" s="205"/>
      <c r="M20" s="238"/>
    </row>
    <row r="21" spans="1:13" ht="118.5" customHeight="1" x14ac:dyDescent="0.3">
      <c r="A21" s="69" t="s">
        <v>32</v>
      </c>
      <c r="B21" s="33" t="s">
        <v>14</v>
      </c>
      <c r="C21" s="37" t="s">
        <v>33</v>
      </c>
      <c r="D21" s="33" t="s">
        <v>20</v>
      </c>
      <c r="E21" s="33" t="s">
        <v>34</v>
      </c>
      <c r="F21" s="34">
        <v>760000</v>
      </c>
      <c r="G21" s="35">
        <f t="shared" si="0"/>
        <v>190000</v>
      </c>
      <c r="H21" s="39">
        <v>950000</v>
      </c>
      <c r="I21" s="105" t="s">
        <v>35</v>
      </c>
      <c r="J21" s="237"/>
      <c r="K21" s="205"/>
      <c r="L21" s="205"/>
      <c r="M21" s="238"/>
    </row>
    <row r="22" spans="1:13" ht="105.75" customHeight="1" x14ac:dyDescent="0.3">
      <c r="A22" s="69" t="s">
        <v>36</v>
      </c>
      <c r="B22" s="33" t="s">
        <v>37</v>
      </c>
      <c r="C22" s="37" t="s">
        <v>33</v>
      </c>
      <c r="D22" s="33" t="s">
        <v>20</v>
      </c>
      <c r="E22" s="33" t="s">
        <v>34</v>
      </c>
      <c r="F22" s="34">
        <v>13307000</v>
      </c>
      <c r="G22" s="35">
        <f t="shared" si="0"/>
        <v>3326750</v>
      </c>
      <c r="H22" s="39">
        <v>16633750</v>
      </c>
      <c r="I22" s="105" t="s">
        <v>35</v>
      </c>
      <c r="J22" s="237"/>
      <c r="K22" s="205"/>
      <c r="L22" s="205"/>
      <c r="M22" s="238"/>
    </row>
    <row r="23" spans="1:13" ht="183.75" customHeight="1" x14ac:dyDescent="0.3">
      <c r="A23" s="69" t="s">
        <v>38</v>
      </c>
      <c r="B23" s="33" t="s">
        <v>39</v>
      </c>
      <c r="C23" s="37" t="s">
        <v>40</v>
      </c>
      <c r="D23" s="33" t="s">
        <v>20</v>
      </c>
      <c r="E23" s="33" t="s">
        <v>34</v>
      </c>
      <c r="F23" s="34">
        <v>24000000</v>
      </c>
      <c r="G23" s="35">
        <f t="shared" si="0"/>
        <v>6000000</v>
      </c>
      <c r="H23" s="39">
        <v>30000000</v>
      </c>
      <c r="I23" s="105" t="s">
        <v>41</v>
      </c>
      <c r="J23" s="237"/>
      <c r="K23" s="205"/>
      <c r="L23" s="205"/>
      <c r="M23" s="238"/>
    </row>
    <row r="24" spans="1:13" ht="18" customHeight="1" thickBot="1" x14ac:dyDescent="0.35">
      <c r="A24" s="265" t="s">
        <v>264</v>
      </c>
      <c r="B24" s="266"/>
      <c r="C24" s="266"/>
      <c r="D24" s="266"/>
      <c r="E24" s="266"/>
      <c r="F24" s="70">
        <f>SUM(F19:F23)</f>
        <v>57783000</v>
      </c>
      <c r="G24" s="70">
        <f>SUM(G19:G23)</f>
        <v>13576750</v>
      </c>
      <c r="H24" s="70">
        <f>SUM(H19:H23)</f>
        <v>71359750</v>
      </c>
      <c r="I24" s="73"/>
      <c r="J24" s="230"/>
      <c r="K24" s="199"/>
      <c r="L24" s="199"/>
      <c r="M24" s="204"/>
    </row>
    <row r="25" spans="1:13" ht="27" x14ac:dyDescent="0.3">
      <c r="A25" s="96" t="s">
        <v>42</v>
      </c>
      <c r="B25" s="96" t="s">
        <v>14</v>
      </c>
      <c r="C25" s="98" t="s">
        <v>43</v>
      </c>
      <c r="D25" s="96" t="s">
        <v>44</v>
      </c>
      <c r="E25" s="96" t="s">
        <v>45</v>
      </c>
      <c r="F25" s="99">
        <v>1207200</v>
      </c>
      <c r="G25" s="100">
        <f t="shared" si="0"/>
        <v>301800</v>
      </c>
      <c r="H25" s="101">
        <v>1509000</v>
      </c>
      <c r="I25" s="102" t="s">
        <v>46</v>
      </c>
      <c r="J25" s="215">
        <v>9</v>
      </c>
      <c r="K25" s="200">
        <v>567165</v>
      </c>
      <c r="L25" s="200">
        <v>132592</v>
      </c>
      <c r="M25" s="264">
        <f>L25/K25*100</f>
        <v>23.378029321273349</v>
      </c>
    </row>
    <row r="26" spans="1:13" ht="118.8" x14ac:dyDescent="0.3">
      <c r="A26" s="5" t="s">
        <v>53</v>
      </c>
      <c r="B26" s="5"/>
      <c r="C26" s="7" t="s">
        <v>54</v>
      </c>
      <c r="D26" s="5" t="s">
        <v>44</v>
      </c>
      <c r="E26" s="5" t="s">
        <v>45</v>
      </c>
      <c r="F26" s="6">
        <v>64000000</v>
      </c>
      <c r="G26" s="15">
        <f t="shared" si="0"/>
        <v>16000000</v>
      </c>
      <c r="H26" s="8">
        <v>80000000</v>
      </c>
      <c r="I26" s="10" t="s">
        <v>55</v>
      </c>
      <c r="J26" s="221"/>
      <c r="K26" s="201"/>
      <c r="L26" s="201"/>
      <c r="M26" s="224"/>
    </row>
    <row r="27" spans="1:13" ht="97.2" x14ac:dyDescent="0.3">
      <c r="A27" s="5" t="s">
        <v>66</v>
      </c>
      <c r="B27" s="5" t="s">
        <v>67</v>
      </c>
      <c r="C27" s="7" t="s">
        <v>68</v>
      </c>
      <c r="D27" s="5" t="s">
        <v>44</v>
      </c>
      <c r="E27" s="5" t="s">
        <v>45</v>
      </c>
      <c r="F27" s="6">
        <f>598589+31505+493241+27547+334953+17629</f>
        <v>1503464</v>
      </c>
      <c r="G27" s="15">
        <f t="shared" si="0"/>
        <v>1031655</v>
      </c>
      <c r="H27" s="8">
        <f>748237+39381+822068+43407+837953+44073</f>
        <v>2535119</v>
      </c>
      <c r="I27" s="11" t="s">
        <v>69</v>
      </c>
      <c r="J27" s="221"/>
      <c r="K27" s="201"/>
      <c r="L27" s="201"/>
      <c r="M27" s="224"/>
    </row>
    <row r="28" spans="1:13" ht="132.6" x14ac:dyDescent="0.3">
      <c r="A28" s="23" t="s">
        <v>154</v>
      </c>
      <c r="B28" s="23" t="s">
        <v>155</v>
      </c>
      <c r="C28" s="7" t="s">
        <v>198</v>
      </c>
      <c r="D28" s="24" t="s">
        <v>44</v>
      </c>
      <c r="E28" s="25" t="s">
        <v>199</v>
      </c>
      <c r="F28" s="12">
        <f>152804+340960</f>
        <v>493764</v>
      </c>
      <c r="G28" s="15">
        <v>0</v>
      </c>
      <c r="H28" s="12">
        <f>152804+340960</f>
        <v>493764</v>
      </c>
      <c r="I28" s="9" t="s">
        <v>200</v>
      </c>
      <c r="J28" s="221"/>
      <c r="K28" s="201"/>
      <c r="L28" s="201"/>
      <c r="M28" s="224"/>
    </row>
    <row r="29" spans="1:13" ht="24" customHeight="1" thickBot="1" x14ac:dyDescent="0.35">
      <c r="A29" s="270" t="s">
        <v>264</v>
      </c>
      <c r="B29" s="271"/>
      <c r="C29" s="271"/>
      <c r="D29" s="271"/>
      <c r="E29" s="271"/>
      <c r="F29" s="80">
        <f>SUM(F25:F28)</f>
        <v>67204428</v>
      </c>
      <c r="G29" s="80">
        <f>SUM(G25:G28)</f>
        <v>17333455</v>
      </c>
      <c r="H29" s="80">
        <f>SUM(H25:H28)</f>
        <v>84537883</v>
      </c>
      <c r="I29" s="83"/>
      <c r="J29" s="221"/>
      <c r="K29" s="201"/>
      <c r="L29" s="202"/>
      <c r="M29" s="224"/>
    </row>
    <row r="30" spans="1:13" ht="409.6" x14ac:dyDescent="0.3">
      <c r="A30" s="66"/>
      <c r="B30" s="67" t="s">
        <v>70</v>
      </c>
      <c r="C30" s="67" t="s">
        <v>91</v>
      </c>
      <c r="D30" s="84" t="s">
        <v>92</v>
      </c>
      <c r="E30" s="84" t="s">
        <v>266</v>
      </c>
      <c r="F30" s="68">
        <v>205437</v>
      </c>
      <c r="G30" s="68">
        <f t="shared" si="0"/>
        <v>205437</v>
      </c>
      <c r="H30" s="68">
        <v>410874</v>
      </c>
      <c r="I30" s="112" t="s">
        <v>93</v>
      </c>
      <c r="J30" s="229">
        <v>10</v>
      </c>
      <c r="K30" s="198">
        <v>1285090</v>
      </c>
      <c r="L30" s="198">
        <v>188616</v>
      </c>
      <c r="M30" s="203">
        <f>L30/K30*100</f>
        <v>14.67725995844649</v>
      </c>
    </row>
    <row r="31" spans="1:13" ht="24" customHeight="1" thickBot="1" x14ac:dyDescent="0.35">
      <c r="A31" s="265" t="s">
        <v>264</v>
      </c>
      <c r="B31" s="266"/>
      <c r="C31" s="266"/>
      <c r="D31" s="266"/>
      <c r="E31" s="266"/>
      <c r="F31" s="70">
        <f>SUM(F30)</f>
        <v>205437</v>
      </c>
      <c r="G31" s="70">
        <f>SUM(G30)</f>
        <v>205437</v>
      </c>
      <c r="H31" s="70">
        <f>SUM(H30)</f>
        <v>410874</v>
      </c>
      <c r="I31" s="113"/>
      <c r="J31" s="230"/>
      <c r="K31" s="199"/>
      <c r="L31" s="199"/>
      <c r="M31" s="204"/>
    </row>
    <row r="32" spans="1:13" ht="198.6" x14ac:dyDescent="0.3">
      <c r="A32" s="96"/>
      <c r="B32" s="96" t="s">
        <v>70</v>
      </c>
      <c r="C32" s="96" t="s">
        <v>83</v>
      </c>
      <c r="D32" s="108" t="s">
        <v>84</v>
      </c>
      <c r="E32" s="109" t="s">
        <v>85</v>
      </c>
      <c r="F32" s="110">
        <v>161800</v>
      </c>
      <c r="G32" s="100">
        <f t="shared" si="0"/>
        <v>161800</v>
      </c>
      <c r="H32" s="110">
        <v>323600</v>
      </c>
      <c r="I32" s="111" t="s">
        <v>86</v>
      </c>
      <c r="J32" s="215">
        <v>11</v>
      </c>
      <c r="K32" s="200">
        <v>310489</v>
      </c>
      <c r="L32" s="200">
        <v>24587</v>
      </c>
      <c r="M32" s="264">
        <f>L32/K32*100</f>
        <v>7.9187990556831318</v>
      </c>
    </row>
    <row r="33" spans="1:13" ht="68.400000000000006" x14ac:dyDescent="0.3">
      <c r="A33" s="23" t="s">
        <v>201</v>
      </c>
      <c r="B33" s="23" t="s">
        <v>202</v>
      </c>
      <c r="C33" s="7" t="s">
        <v>203</v>
      </c>
      <c r="D33" s="21" t="s">
        <v>84</v>
      </c>
      <c r="E33" s="21" t="s">
        <v>204</v>
      </c>
      <c r="F33" s="26">
        <f>146138+156368+116871+110260+117978+88178+495728+1150746</f>
        <v>2382267</v>
      </c>
      <c r="G33" s="15">
        <f t="shared" si="0"/>
        <v>2517117</v>
      </c>
      <c r="H33" s="27">
        <f>292276+312736+233742+220520+235956+176356+991456+2436342</f>
        <v>4899384</v>
      </c>
      <c r="I33" s="19" t="s">
        <v>205</v>
      </c>
      <c r="J33" s="221"/>
      <c r="K33" s="201"/>
      <c r="L33" s="201"/>
      <c r="M33" s="224"/>
    </row>
    <row r="34" spans="1:13" ht="39.6" x14ac:dyDescent="0.3">
      <c r="A34" s="23" t="s">
        <v>206</v>
      </c>
      <c r="B34" s="23" t="s">
        <v>202</v>
      </c>
      <c r="C34" s="7" t="s">
        <v>207</v>
      </c>
      <c r="D34" s="21" t="s">
        <v>84</v>
      </c>
      <c r="E34" s="21" t="s">
        <v>204</v>
      </c>
      <c r="F34" s="26">
        <f>4000+4000+9000+15000</f>
        <v>32000</v>
      </c>
      <c r="G34" s="15">
        <f t="shared" si="0"/>
        <v>0</v>
      </c>
      <c r="H34" s="27">
        <f>4000+4000+9000+15000</f>
        <v>32000</v>
      </c>
      <c r="I34" s="19" t="s">
        <v>208</v>
      </c>
      <c r="J34" s="221"/>
      <c r="K34" s="201"/>
      <c r="L34" s="201"/>
      <c r="M34" s="224"/>
    </row>
    <row r="35" spans="1:13" ht="230.25" customHeight="1" x14ac:dyDescent="0.3">
      <c r="A35" s="23" t="s">
        <v>209</v>
      </c>
      <c r="B35" s="23" t="s">
        <v>202</v>
      </c>
      <c r="C35" s="7" t="s">
        <v>210</v>
      </c>
      <c r="D35" s="21" t="s">
        <v>84</v>
      </c>
      <c r="E35" s="21" t="s">
        <v>204</v>
      </c>
      <c r="F35" s="26">
        <v>72000</v>
      </c>
      <c r="G35" s="15">
        <f t="shared" si="0"/>
        <v>18000</v>
      </c>
      <c r="H35" s="27">
        <v>90000</v>
      </c>
      <c r="I35" s="19" t="s">
        <v>211</v>
      </c>
      <c r="J35" s="221"/>
      <c r="K35" s="201"/>
      <c r="L35" s="201"/>
      <c r="M35" s="224"/>
    </row>
    <row r="36" spans="1:13" ht="18.75" customHeight="1" thickBot="1" x14ac:dyDescent="0.35">
      <c r="A36" s="262" t="s">
        <v>264</v>
      </c>
      <c r="B36" s="263"/>
      <c r="C36" s="263"/>
      <c r="D36" s="263"/>
      <c r="E36" s="263"/>
      <c r="F36" s="60">
        <f>SUM(F32:F35)</f>
        <v>2648067</v>
      </c>
      <c r="G36" s="60">
        <f>SUM(G32:G35)</f>
        <v>2696917</v>
      </c>
      <c r="H36" s="60">
        <f>SUM(H32:H35)</f>
        <v>5344984</v>
      </c>
      <c r="I36" s="116"/>
      <c r="J36" s="222"/>
      <c r="K36" s="208"/>
      <c r="L36" s="208"/>
      <c r="M36" s="225"/>
    </row>
    <row r="37" spans="1:13" ht="224.4" x14ac:dyDescent="0.3">
      <c r="A37" s="114" t="s">
        <v>136</v>
      </c>
      <c r="B37" s="33" t="s">
        <v>119</v>
      </c>
      <c r="C37" s="33" t="s">
        <v>137</v>
      </c>
      <c r="D37" s="38" t="s">
        <v>138</v>
      </c>
      <c r="E37" s="38" t="s">
        <v>260</v>
      </c>
      <c r="F37" s="35">
        <v>344681</v>
      </c>
      <c r="G37" s="35">
        <f t="shared" si="0"/>
        <v>344681</v>
      </c>
      <c r="H37" s="35">
        <f>F37*2</f>
        <v>689362</v>
      </c>
      <c r="I37" s="115" t="s">
        <v>139</v>
      </c>
      <c r="J37" s="231">
        <v>12</v>
      </c>
      <c r="K37" s="209">
        <v>1493256</v>
      </c>
      <c r="L37" s="209">
        <v>399278</v>
      </c>
      <c r="M37" s="232">
        <f>L37/K37*100</f>
        <v>26.73875075673562</v>
      </c>
    </row>
    <row r="38" spans="1:13" ht="18" customHeight="1" thickBot="1" x14ac:dyDescent="0.35">
      <c r="A38" s="265" t="s">
        <v>264</v>
      </c>
      <c r="B38" s="266"/>
      <c r="C38" s="266"/>
      <c r="D38" s="266"/>
      <c r="E38" s="266"/>
      <c r="F38" s="70">
        <f>SUM(F37)</f>
        <v>344681</v>
      </c>
      <c r="G38" s="70">
        <f>SUM(G37)</f>
        <v>344681</v>
      </c>
      <c r="H38" s="70">
        <f>SUM(H37)</f>
        <v>689362</v>
      </c>
      <c r="I38" s="113"/>
      <c r="J38" s="267"/>
      <c r="K38" s="210"/>
      <c r="L38" s="210"/>
      <c r="M38" s="234"/>
    </row>
    <row r="39" spans="1:13" ht="53.4" x14ac:dyDescent="0.3">
      <c r="A39" s="5" t="s">
        <v>111</v>
      </c>
      <c r="B39" s="5" t="s">
        <v>70</v>
      </c>
      <c r="C39" s="5" t="s">
        <v>108</v>
      </c>
      <c r="D39" s="13" t="s">
        <v>112</v>
      </c>
      <c r="E39" s="14" t="s">
        <v>113</v>
      </c>
      <c r="F39" s="15">
        <v>81320</v>
      </c>
      <c r="G39" s="15">
        <f t="shared" si="0"/>
        <v>20330</v>
      </c>
      <c r="H39" s="15">
        <v>101650</v>
      </c>
      <c r="I39" s="16" t="s">
        <v>114</v>
      </c>
      <c r="J39" s="220">
        <v>13</v>
      </c>
      <c r="K39" s="211">
        <v>529091</v>
      </c>
      <c r="L39" s="211">
        <v>224492</v>
      </c>
      <c r="M39" s="223">
        <f>L39/K39*100</f>
        <v>42.429752159836397</v>
      </c>
    </row>
    <row r="40" spans="1:13" ht="39.6" x14ac:dyDescent="0.3">
      <c r="A40" s="5" t="s">
        <v>128</v>
      </c>
      <c r="B40" s="5" t="s">
        <v>119</v>
      </c>
      <c r="C40" s="5" t="s">
        <v>129</v>
      </c>
      <c r="D40" s="13" t="s">
        <v>112</v>
      </c>
      <c r="E40" s="17" t="s">
        <v>130</v>
      </c>
      <c r="F40" s="18">
        <v>77475</v>
      </c>
      <c r="G40" s="15">
        <f t="shared" si="0"/>
        <v>77475</v>
      </c>
      <c r="H40" s="18">
        <f>F40*2</f>
        <v>154950</v>
      </c>
      <c r="I40" s="22" t="s">
        <v>131</v>
      </c>
      <c r="J40" s="221"/>
      <c r="K40" s="201"/>
      <c r="L40" s="201"/>
      <c r="M40" s="224"/>
    </row>
    <row r="41" spans="1:13" ht="79.8" x14ac:dyDescent="0.3">
      <c r="A41" s="23" t="s">
        <v>160</v>
      </c>
      <c r="B41" s="23" t="s">
        <v>155</v>
      </c>
      <c r="C41" s="7" t="s">
        <v>161</v>
      </c>
      <c r="D41" s="24" t="s">
        <v>112</v>
      </c>
      <c r="E41" s="25" t="s">
        <v>162</v>
      </c>
      <c r="F41" s="12">
        <f>183846+369872</f>
        <v>553718</v>
      </c>
      <c r="G41" s="15">
        <v>0</v>
      </c>
      <c r="H41" s="12">
        <f>183846+369872</f>
        <v>553718</v>
      </c>
      <c r="I41" s="9" t="s">
        <v>163</v>
      </c>
      <c r="J41" s="221"/>
      <c r="K41" s="201"/>
      <c r="L41" s="201"/>
      <c r="M41" s="224"/>
    </row>
    <row r="42" spans="1:13" ht="24" customHeight="1" thickBot="1" x14ac:dyDescent="0.35">
      <c r="A42" s="212" t="s">
        <v>264</v>
      </c>
      <c r="B42" s="213"/>
      <c r="C42" s="213"/>
      <c r="D42" s="213"/>
      <c r="E42" s="214"/>
      <c r="F42" s="61">
        <f>SUM(F39:F41)</f>
        <v>712513</v>
      </c>
      <c r="G42" s="61">
        <f>SUM(G39:G41)</f>
        <v>97805</v>
      </c>
      <c r="H42" s="61">
        <f>SUM(H39:H41)</f>
        <v>810318</v>
      </c>
      <c r="I42" s="116"/>
      <c r="J42" s="222"/>
      <c r="K42" s="208"/>
      <c r="L42" s="208"/>
      <c r="M42" s="225"/>
    </row>
    <row r="43" spans="1:13" ht="53.4" x14ac:dyDescent="0.3">
      <c r="A43" s="33" t="s">
        <v>140</v>
      </c>
      <c r="B43" s="33" t="s">
        <v>119</v>
      </c>
      <c r="C43" s="33" t="s">
        <v>99</v>
      </c>
      <c r="D43" s="114" t="s">
        <v>148</v>
      </c>
      <c r="E43" s="38" t="s">
        <v>149</v>
      </c>
      <c r="F43" s="35">
        <v>138260</v>
      </c>
      <c r="G43" s="35">
        <f t="shared" si="0"/>
        <v>34565</v>
      </c>
      <c r="H43" s="35">
        <v>172825</v>
      </c>
      <c r="I43" s="121" t="s">
        <v>150</v>
      </c>
      <c r="J43" s="231">
        <v>14</v>
      </c>
      <c r="K43" s="209">
        <v>1232934</v>
      </c>
      <c r="L43" s="209">
        <v>346808</v>
      </c>
      <c r="M43" s="232">
        <f>L43/K43*100</f>
        <v>28.128675176449025</v>
      </c>
    </row>
    <row r="44" spans="1:13" ht="23.25" customHeight="1" thickBot="1" x14ac:dyDescent="0.35">
      <c r="A44" s="226" t="s">
        <v>264</v>
      </c>
      <c r="B44" s="227"/>
      <c r="C44" s="227"/>
      <c r="D44" s="227"/>
      <c r="E44" s="228"/>
      <c r="F44" s="71">
        <f>SUM(F43)</f>
        <v>138260</v>
      </c>
      <c r="G44" s="71">
        <f>SUM(G43)</f>
        <v>34565</v>
      </c>
      <c r="H44" s="71">
        <f>SUM(H43)</f>
        <v>172825</v>
      </c>
      <c r="I44" s="113"/>
      <c r="J44" s="267"/>
      <c r="K44" s="210"/>
      <c r="L44" s="210"/>
      <c r="M44" s="234"/>
    </row>
    <row r="45" spans="1:13" ht="92.4" x14ac:dyDescent="0.3">
      <c r="A45" s="5" t="s">
        <v>98</v>
      </c>
      <c r="B45" s="5" t="s">
        <v>70</v>
      </c>
      <c r="C45" s="5" t="s">
        <v>99</v>
      </c>
      <c r="D45" s="14" t="s">
        <v>100</v>
      </c>
      <c r="E45" s="14" t="s">
        <v>101</v>
      </c>
      <c r="F45" s="15">
        <v>121600</v>
      </c>
      <c r="G45" s="15">
        <f t="shared" si="0"/>
        <v>30400</v>
      </c>
      <c r="H45" s="15">
        <v>152000</v>
      </c>
      <c r="I45" s="20" t="s">
        <v>102</v>
      </c>
      <c r="J45" s="220">
        <v>15</v>
      </c>
      <c r="K45" s="211">
        <v>1769903</v>
      </c>
      <c r="L45" s="211">
        <v>567425</v>
      </c>
      <c r="M45" s="223">
        <f>L45/K45*100</f>
        <v>32.059666546697756</v>
      </c>
    </row>
    <row r="46" spans="1:13" ht="24" customHeight="1" thickBot="1" x14ac:dyDescent="0.35">
      <c r="A46" s="212" t="s">
        <v>264</v>
      </c>
      <c r="B46" s="213"/>
      <c r="C46" s="213"/>
      <c r="D46" s="213"/>
      <c r="E46" s="214"/>
      <c r="F46" s="61">
        <f>SUM(F45)</f>
        <v>121600</v>
      </c>
      <c r="G46" s="61">
        <f>SUM(G45)</f>
        <v>30400</v>
      </c>
      <c r="H46" s="61">
        <f>SUM(H45)</f>
        <v>152000</v>
      </c>
      <c r="I46" s="116"/>
      <c r="J46" s="222"/>
      <c r="K46" s="208"/>
      <c r="L46" s="208"/>
      <c r="M46" s="225"/>
    </row>
    <row r="47" spans="1:13" ht="148.19999999999999" x14ac:dyDescent="0.3">
      <c r="A47" s="122" t="s">
        <v>132</v>
      </c>
      <c r="B47" s="33" t="s">
        <v>119</v>
      </c>
      <c r="C47" s="33" t="s">
        <v>133</v>
      </c>
      <c r="D47" s="38" t="s">
        <v>134</v>
      </c>
      <c r="E47" s="38" t="s">
        <v>267</v>
      </c>
      <c r="F47" s="35">
        <v>204941</v>
      </c>
      <c r="G47" s="35">
        <f t="shared" si="0"/>
        <v>204941</v>
      </c>
      <c r="H47" s="35">
        <f>F47*2</f>
        <v>409882</v>
      </c>
      <c r="I47" s="115" t="s">
        <v>135</v>
      </c>
      <c r="J47" s="231">
        <v>16</v>
      </c>
      <c r="K47" s="209">
        <v>2777730</v>
      </c>
      <c r="L47" s="209">
        <v>575885</v>
      </c>
      <c r="M47" s="232">
        <f>L47/K47*100</f>
        <v>20.732216594125418</v>
      </c>
    </row>
    <row r="48" spans="1:13" ht="24" customHeight="1" thickBot="1" x14ac:dyDescent="0.35">
      <c r="A48" s="226" t="s">
        <v>264</v>
      </c>
      <c r="B48" s="227"/>
      <c r="C48" s="227"/>
      <c r="D48" s="227"/>
      <c r="E48" s="228"/>
      <c r="F48" s="71">
        <f>SUM(F47)</f>
        <v>204941</v>
      </c>
      <c r="G48" s="71">
        <f>SUM(G47)</f>
        <v>204941</v>
      </c>
      <c r="H48" s="71">
        <f>SUM(H47)</f>
        <v>409882</v>
      </c>
      <c r="I48" s="113"/>
      <c r="J48" s="230"/>
      <c r="K48" s="199"/>
      <c r="L48" s="199"/>
      <c r="M48" s="233"/>
    </row>
    <row r="49" spans="1:13" ht="53.4" x14ac:dyDescent="0.3">
      <c r="A49" s="76" t="s">
        <v>140</v>
      </c>
      <c r="B49" s="77" t="s">
        <v>119</v>
      </c>
      <c r="C49" s="77" t="s">
        <v>144</v>
      </c>
      <c r="D49" s="185" t="s">
        <v>145</v>
      </c>
      <c r="E49" s="124" t="s">
        <v>146</v>
      </c>
      <c r="F49" s="186">
        <v>12048</v>
      </c>
      <c r="G49" s="57">
        <f t="shared" si="0"/>
        <v>3012</v>
      </c>
      <c r="H49" s="186">
        <v>15060</v>
      </c>
      <c r="I49" s="187" t="s">
        <v>147</v>
      </c>
      <c r="J49" s="215">
        <v>17</v>
      </c>
      <c r="K49" s="200">
        <v>862744</v>
      </c>
      <c r="L49" s="200">
        <v>290692</v>
      </c>
      <c r="M49" s="217">
        <f>L49/K49*100</f>
        <v>33.693888337676064</v>
      </c>
    </row>
    <row r="50" spans="1:13" ht="27" x14ac:dyDescent="0.3">
      <c r="A50" s="125" t="s">
        <v>154</v>
      </c>
      <c r="B50" s="23" t="s">
        <v>155</v>
      </c>
      <c r="C50" s="7" t="s">
        <v>176</v>
      </c>
      <c r="D50" s="24" t="s">
        <v>145</v>
      </c>
      <c r="E50" s="25" t="s">
        <v>177</v>
      </c>
      <c r="F50" s="12">
        <f>27506+57975</f>
        <v>85481</v>
      </c>
      <c r="G50" s="15">
        <v>0</v>
      </c>
      <c r="H50" s="12">
        <f>27506+57975</f>
        <v>85481</v>
      </c>
      <c r="I50" s="9" t="s">
        <v>178</v>
      </c>
      <c r="J50" s="221"/>
      <c r="K50" s="201"/>
      <c r="L50" s="201"/>
      <c r="M50" s="219"/>
    </row>
    <row r="51" spans="1:13" ht="24" customHeight="1" thickBot="1" x14ac:dyDescent="0.35">
      <c r="A51" s="212" t="s">
        <v>264</v>
      </c>
      <c r="B51" s="213"/>
      <c r="C51" s="213"/>
      <c r="D51" s="213"/>
      <c r="E51" s="214"/>
      <c r="F51" s="61">
        <f>SUM(F49:F50)</f>
        <v>97529</v>
      </c>
      <c r="G51" s="61">
        <f>SUM(G49:G50)</f>
        <v>3012</v>
      </c>
      <c r="H51" s="61">
        <f>SUM(H49:H50)</f>
        <v>100541</v>
      </c>
      <c r="I51" s="116"/>
      <c r="J51" s="216"/>
      <c r="K51" s="202"/>
      <c r="L51" s="202"/>
      <c r="M51" s="218"/>
    </row>
    <row r="52" spans="1:13" ht="119.4" x14ac:dyDescent="0.3">
      <c r="A52" s="155" t="s">
        <v>154</v>
      </c>
      <c r="B52" s="156" t="s">
        <v>155</v>
      </c>
      <c r="C52" s="103" t="s">
        <v>190</v>
      </c>
      <c r="D52" s="158" t="s">
        <v>191</v>
      </c>
      <c r="E52" s="158" t="s">
        <v>192</v>
      </c>
      <c r="F52" s="159">
        <f>30560+120000</f>
        <v>150560</v>
      </c>
      <c r="G52" s="68">
        <v>0</v>
      </c>
      <c r="H52" s="159">
        <f>30560+120000</f>
        <v>150560</v>
      </c>
      <c r="I52" s="179" t="s">
        <v>193</v>
      </c>
      <c r="J52" s="229">
        <v>18</v>
      </c>
      <c r="K52" s="198">
        <v>478162</v>
      </c>
      <c r="L52" s="198">
        <v>83869</v>
      </c>
      <c r="M52" s="203">
        <f>L52/K52*100</f>
        <v>17.539871424328993</v>
      </c>
    </row>
    <row r="53" spans="1:13" ht="24" customHeight="1" thickBot="1" x14ac:dyDescent="0.35">
      <c r="A53" s="226" t="s">
        <v>264</v>
      </c>
      <c r="B53" s="227"/>
      <c r="C53" s="227"/>
      <c r="D53" s="227"/>
      <c r="E53" s="228"/>
      <c r="F53" s="71">
        <f>SUM(F52)</f>
        <v>150560</v>
      </c>
      <c r="G53" s="71">
        <f>SUM(G52)</f>
        <v>0</v>
      </c>
      <c r="H53" s="71">
        <f>SUM(H52)</f>
        <v>150560</v>
      </c>
      <c r="I53" s="113"/>
      <c r="J53" s="230"/>
      <c r="K53" s="199"/>
      <c r="L53" s="199"/>
      <c r="M53" s="204"/>
    </row>
    <row r="54" spans="1:13" ht="34.200000000000003" x14ac:dyDescent="0.3">
      <c r="A54" s="180" t="s">
        <v>212</v>
      </c>
      <c r="B54" s="181" t="s">
        <v>202</v>
      </c>
      <c r="C54" s="173" t="s">
        <v>213</v>
      </c>
      <c r="D54" s="175" t="s">
        <v>214</v>
      </c>
      <c r="E54" s="175" t="s">
        <v>215</v>
      </c>
      <c r="F54" s="182">
        <f>14000+28000+28000</f>
        <v>70000</v>
      </c>
      <c r="G54" s="171">
        <f t="shared" si="0"/>
        <v>17500</v>
      </c>
      <c r="H54" s="183">
        <f>17500+35000+35000</f>
        <v>87500</v>
      </c>
      <c r="I54" s="184" t="s">
        <v>216</v>
      </c>
      <c r="J54" s="215">
        <v>19</v>
      </c>
      <c r="K54" s="200">
        <v>793767</v>
      </c>
      <c r="L54" s="200">
        <v>66230</v>
      </c>
      <c r="M54" s="217">
        <f>L54/K54*100</f>
        <v>8.3437583069087022</v>
      </c>
    </row>
    <row r="55" spans="1:13" ht="24" customHeight="1" thickBot="1" x14ac:dyDescent="0.35">
      <c r="A55" s="212" t="s">
        <v>264</v>
      </c>
      <c r="B55" s="213"/>
      <c r="C55" s="213"/>
      <c r="D55" s="213"/>
      <c r="E55" s="214"/>
      <c r="F55" s="61">
        <f>SUM(F54)</f>
        <v>70000</v>
      </c>
      <c r="G55" s="61">
        <f>SUM(G54)</f>
        <v>17500</v>
      </c>
      <c r="H55" s="61">
        <f>SUM(H54)</f>
        <v>87500</v>
      </c>
      <c r="I55" s="116"/>
      <c r="J55" s="216"/>
      <c r="K55" s="202"/>
      <c r="L55" s="202"/>
      <c r="M55" s="218"/>
    </row>
    <row r="56" spans="1:13" ht="66.599999999999994" x14ac:dyDescent="0.3">
      <c r="A56" s="155" t="s">
        <v>154</v>
      </c>
      <c r="B56" s="156" t="s">
        <v>155</v>
      </c>
      <c r="C56" s="103" t="s">
        <v>179</v>
      </c>
      <c r="D56" s="157" t="s">
        <v>180</v>
      </c>
      <c r="E56" s="158" t="s">
        <v>181</v>
      </c>
      <c r="F56" s="159">
        <f>89000+181355</f>
        <v>270355</v>
      </c>
      <c r="G56" s="68">
        <v>0</v>
      </c>
      <c r="H56" s="159">
        <f>89000+181355</f>
        <v>270355</v>
      </c>
      <c r="I56" s="179" t="s">
        <v>182</v>
      </c>
      <c r="J56" s="229">
        <v>20</v>
      </c>
      <c r="K56" s="198">
        <v>334817</v>
      </c>
      <c r="L56" s="198">
        <v>47684</v>
      </c>
      <c r="M56" s="203">
        <f>L56/K56*100</f>
        <v>14.24180970500303</v>
      </c>
    </row>
    <row r="57" spans="1:13" ht="34.200000000000003" x14ac:dyDescent="0.3">
      <c r="A57" s="167" t="s">
        <v>217</v>
      </c>
      <c r="B57" s="117" t="s">
        <v>202</v>
      </c>
      <c r="C57" s="38" t="s">
        <v>218</v>
      </c>
      <c r="D57" s="115" t="s">
        <v>180</v>
      </c>
      <c r="E57" s="115" t="s">
        <v>219</v>
      </c>
      <c r="F57" s="118">
        <f>79698+85277+63736+125144+161672</f>
        <v>515527</v>
      </c>
      <c r="G57" s="35">
        <f t="shared" si="0"/>
        <v>515527</v>
      </c>
      <c r="H57" s="119">
        <f>159396+170554+127472+250288+323344</f>
        <v>1031054</v>
      </c>
      <c r="I57" s="107" t="s">
        <v>205</v>
      </c>
      <c r="J57" s="237"/>
      <c r="K57" s="205"/>
      <c r="L57" s="205"/>
      <c r="M57" s="238"/>
    </row>
    <row r="58" spans="1:13" ht="39.6" x14ac:dyDescent="0.3">
      <c r="A58" s="167" t="s">
        <v>220</v>
      </c>
      <c r="B58" s="117" t="s">
        <v>202</v>
      </c>
      <c r="C58" s="37" t="s">
        <v>207</v>
      </c>
      <c r="D58" s="115" t="s">
        <v>180</v>
      </c>
      <c r="E58" s="115" t="s">
        <v>221</v>
      </c>
      <c r="F58" s="118">
        <f>4000+4000+9000+10000</f>
        <v>27000</v>
      </c>
      <c r="G58" s="35">
        <f t="shared" si="0"/>
        <v>0</v>
      </c>
      <c r="H58" s="119">
        <f>4000+4000+9000+10000</f>
        <v>27000</v>
      </c>
      <c r="I58" s="107" t="s">
        <v>208</v>
      </c>
      <c r="J58" s="237"/>
      <c r="K58" s="205"/>
      <c r="L58" s="205"/>
      <c r="M58" s="238"/>
    </row>
    <row r="59" spans="1:13" ht="24" customHeight="1" thickBot="1" x14ac:dyDescent="0.35">
      <c r="A59" s="226" t="s">
        <v>264</v>
      </c>
      <c r="B59" s="227"/>
      <c r="C59" s="227"/>
      <c r="D59" s="227"/>
      <c r="E59" s="228"/>
      <c r="F59" s="71">
        <f>SUM(F56:F58)</f>
        <v>812882</v>
      </c>
      <c r="G59" s="71">
        <f>SUM(G56:G58)</f>
        <v>515527</v>
      </c>
      <c r="H59" s="71">
        <f>SUM(H56:H58)</f>
        <v>1328409</v>
      </c>
      <c r="I59" s="113"/>
      <c r="J59" s="230"/>
      <c r="K59" s="199"/>
      <c r="L59" s="199"/>
      <c r="M59" s="204"/>
    </row>
    <row r="60" spans="1:13" ht="92.4" x14ac:dyDescent="0.3">
      <c r="A60" s="51" t="s">
        <v>154</v>
      </c>
      <c r="B60" s="52" t="s">
        <v>155</v>
      </c>
      <c r="C60" s="53" t="s">
        <v>172</v>
      </c>
      <c r="D60" s="54" t="s">
        <v>173</v>
      </c>
      <c r="E60" s="55" t="s">
        <v>174</v>
      </c>
      <c r="F60" s="56">
        <f>140172+275702</f>
        <v>415874</v>
      </c>
      <c r="G60" s="57">
        <v>0</v>
      </c>
      <c r="H60" s="56">
        <f>140172+275702</f>
        <v>415874</v>
      </c>
      <c r="I60" s="94" t="s">
        <v>175</v>
      </c>
      <c r="J60" s="215">
        <v>21</v>
      </c>
      <c r="K60" s="200">
        <v>96135</v>
      </c>
      <c r="L60" s="200">
        <v>13940</v>
      </c>
      <c r="M60" s="217">
        <f>L60/K60*100</f>
        <v>14.500442086648983</v>
      </c>
    </row>
    <row r="61" spans="1:13" ht="24" customHeight="1" thickBot="1" x14ac:dyDescent="0.35">
      <c r="A61" s="212" t="s">
        <v>264</v>
      </c>
      <c r="B61" s="213"/>
      <c r="C61" s="213"/>
      <c r="D61" s="213"/>
      <c r="E61" s="214"/>
      <c r="F61" s="61">
        <f>SUM(F60)</f>
        <v>415874</v>
      </c>
      <c r="G61" s="61">
        <f>SUM(G60)</f>
        <v>0</v>
      </c>
      <c r="H61" s="61">
        <f>SUM(H60)</f>
        <v>415874</v>
      </c>
      <c r="I61" s="116"/>
      <c r="J61" s="216"/>
      <c r="K61" s="202"/>
      <c r="L61" s="202"/>
      <c r="M61" s="218"/>
    </row>
    <row r="62" spans="1:13" ht="27" x14ac:dyDescent="0.3">
      <c r="A62" s="90" t="s">
        <v>71</v>
      </c>
      <c r="B62" s="90" t="s">
        <v>70</v>
      </c>
      <c r="C62" s="90" t="s">
        <v>72</v>
      </c>
      <c r="D62" s="148" t="s">
        <v>73</v>
      </c>
      <c r="E62" s="149" t="s">
        <v>74</v>
      </c>
      <c r="F62" s="49">
        <v>183520</v>
      </c>
      <c r="G62" s="49">
        <f t="shared" si="0"/>
        <v>45880</v>
      </c>
      <c r="H62" s="49">
        <v>229400</v>
      </c>
      <c r="I62" s="176" t="s">
        <v>75</v>
      </c>
      <c r="J62" s="229">
        <v>22</v>
      </c>
      <c r="K62" s="198">
        <v>1074037</v>
      </c>
      <c r="L62" s="198">
        <v>326432</v>
      </c>
      <c r="M62" s="239">
        <f>L62/K62*100</f>
        <v>30.392993909893235</v>
      </c>
    </row>
    <row r="63" spans="1:13" ht="24" customHeight="1" thickBot="1" x14ac:dyDescent="0.35">
      <c r="A63" s="226" t="s">
        <v>264</v>
      </c>
      <c r="B63" s="227"/>
      <c r="C63" s="227"/>
      <c r="D63" s="227"/>
      <c r="E63" s="228"/>
      <c r="F63" s="71">
        <f>SUM(F62)</f>
        <v>183520</v>
      </c>
      <c r="G63" s="71">
        <f>SUM(G62)</f>
        <v>45880</v>
      </c>
      <c r="H63" s="71">
        <f>SUM(H62)</f>
        <v>229400</v>
      </c>
      <c r="I63" s="113"/>
      <c r="J63" s="230"/>
      <c r="K63" s="199"/>
      <c r="L63" s="199"/>
      <c r="M63" s="233"/>
    </row>
    <row r="64" spans="1:13" ht="22.8" x14ac:dyDescent="0.3">
      <c r="A64" s="76" t="s">
        <v>76</v>
      </c>
      <c r="B64" s="77" t="s">
        <v>70</v>
      </c>
      <c r="C64" s="77" t="s">
        <v>77</v>
      </c>
      <c r="D64" s="177" t="s">
        <v>73</v>
      </c>
      <c r="E64" s="78" t="s">
        <v>259</v>
      </c>
      <c r="F64" s="57">
        <v>162360</v>
      </c>
      <c r="G64" s="57">
        <f t="shared" si="0"/>
        <v>40590</v>
      </c>
      <c r="H64" s="57">
        <v>202950</v>
      </c>
      <c r="I64" s="79" t="s">
        <v>78</v>
      </c>
      <c r="J64" s="215">
        <v>23</v>
      </c>
      <c r="K64" s="200">
        <v>2911276</v>
      </c>
      <c r="L64" s="200">
        <v>633172</v>
      </c>
      <c r="M64" s="217">
        <f>L64/K64*100</f>
        <v>21.748951318940559</v>
      </c>
    </row>
    <row r="65" spans="1:13" ht="24" customHeight="1" thickBot="1" x14ac:dyDescent="0.35">
      <c r="A65" s="212" t="s">
        <v>264</v>
      </c>
      <c r="B65" s="213"/>
      <c r="C65" s="213"/>
      <c r="D65" s="213"/>
      <c r="E65" s="214"/>
      <c r="F65" s="61">
        <f>SUM(F64)</f>
        <v>162360</v>
      </c>
      <c r="G65" s="61">
        <f>SUM(G64)</f>
        <v>40590</v>
      </c>
      <c r="H65" s="61">
        <f>SUM(H64)</f>
        <v>202950</v>
      </c>
      <c r="I65" s="116"/>
      <c r="J65" s="216"/>
      <c r="K65" s="202"/>
      <c r="L65" s="202"/>
      <c r="M65" s="218"/>
    </row>
    <row r="66" spans="1:13" ht="53.4" x14ac:dyDescent="0.3">
      <c r="A66" s="130" t="s">
        <v>120</v>
      </c>
      <c r="B66" s="131" t="s">
        <v>119</v>
      </c>
      <c r="C66" s="131" t="s">
        <v>121</v>
      </c>
      <c r="D66" s="132" t="s">
        <v>73</v>
      </c>
      <c r="E66" s="133" t="s">
        <v>122</v>
      </c>
      <c r="F66" s="134">
        <v>108145</v>
      </c>
      <c r="G66" s="134">
        <f t="shared" si="0"/>
        <v>27036</v>
      </c>
      <c r="H66" s="134">
        <v>135181</v>
      </c>
      <c r="I66" s="178" t="s">
        <v>123</v>
      </c>
      <c r="J66" s="104">
        <v>24</v>
      </c>
      <c r="K66" s="198">
        <v>1440977</v>
      </c>
      <c r="L66" s="198">
        <v>207960</v>
      </c>
      <c r="M66" s="203">
        <f>L66/K66*100</f>
        <v>14.431875040337216</v>
      </c>
    </row>
    <row r="67" spans="1:13" ht="24" thickBot="1" x14ac:dyDescent="0.35">
      <c r="A67" s="235" t="s">
        <v>264</v>
      </c>
      <c r="B67" s="236"/>
      <c r="C67" s="236"/>
      <c r="D67" s="236"/>
      <c r="E67" s="236"/>
      <c r="F67" s="71">
        <f>SUM(F66)</f>
        <v>108145</v>
      </c>
      <c r="G67" s="71">
        <f>SUM(G66)</f>
        <v>27036</v>
      </c>
      <c r="H67" s="142">
        <f>SUM(H66)</f>
        <v>135181</v>
      </c>
      <c r="I67" s="113"/>
      <c r="J67" s="75"/>
      <c r="K67" s="199"/>
      <c r="L67" s="199"/>
      <c r="M67" s="204"/>
    </row>
    <row r="68" spans="1:13" ht="118.8" x14ac:dyDescent="0.3">
      <c r="A68" s="169" t="s">
        <v>124</v>
      </c>
      <c r="B68" s="170" t="s">
        <v>119</v>
      </c>
      <c r="C68" s="170" t="s">
        <v>125</v>
      </c>
      <c r="D68" s="172" t="s">
        <v>73</v>
      </c>
      <c r="E68" s="173" t="s">
        <v>126</v>
      </c>
      <c r="F68" s="174">
        <v>294979</v>
      </c>
      <c r="G68" s="171">
        <f t="shared" si="0"/>
        <v>73745</v>
      </c>
      <c r="H68" s="174">
        <v>368724</v>
      </c>
      <c r="I68" s="175" t="s">
        <v>127</v>
      </c>
      <c r="J68" s="215">
        <v>25</v>
      </c>
      <c r="K68" s="200">
        <v>1556310</v>
      </c>
      <c r="L68" s="200">
        <v>488314</v>
      </c>
      <c r="M68" s="217">
        <f>L68/K68*100</f>
        <v>31.376396733298634</v>
      </c>
    </row>
    <row r="69" spans="1:13" ht="24" customHeight="1" thickBot="1" x14ac:dyDescent="0.35">
      <c r="A69" s="212" t="s">
        <v>264</v>
      </c>
      <c r="B69" s="213"/>
      <c r="C69" s="213"/>
      <c r="D69" s="213"/>
      <c r="E69" s="214"/>
      <c r="F69" s="61">
        <f>SUM(F68)</f>
        <v>294979</v>
      </c>
      <c r="G69" s="61">
        <f>SUM(G68)</f>
        <v>73745</v>
      </c>
      <c r="H69" s="61">
        <f>SUM(H68)</f>
        <v>368724</v>
      </c>
      <c r="I69" s="116"/>
      <c r="J69" s="216"/>
      <c r="K69" s="202"/>
      <c r="L69" s="202"/>
      <c r="M69" s="218"/>
    </row>
    <row r="70" spans="1:13" ht="26.4" x14ac:dyDescent="0.3">
      <c r="A70" s="66" t="s">
        <v>151</v>
      </c>
      <c r="B70" s="67" t="s">
        <v>119</v>
      </c>
      <c r="C70" s="67" t="s">
        <v>152</v>
      </c>
      <c r="D70" s="141" t="s">
        <v>73</v>
      </c>
      <c r="E70" s="84" t="s">
        <v>117</v>
      </c>
      <c r="F70" s="68">
        <v>64519</v>
      </c>
      <c r="G70" s="68">
        <f t="shared" si="0"/>
        <v>0</v>
      </c>
      <c r="H70" s="68">
        <v>64519</v>
      </c>
      <c r="I70" s="164" t="s">
        <v>153</v>
      </c>
      <c r="J70" s="251">
        <v>26</v>
      </c>
      <c r="K70" s="240">
        <v>3574097</v>
      </c>
      <c r="L70" s="198">
        <v>1027835</v>
      </c>
      <c r="M70" s="243">
        <f>L70/K70*100</f>
        <v>28.75789325247748</v>
      </c>
    </row>
    <row r="71" spans="1:13" ht="34.200000000000003" x14ac:dyDescent="0.3">
      <c r="A71" s="167" t="s">
        <v>222</v>
      </c>
      <c r="B71" s="117" t="s">
        <v>202</v>
      </c>
      <c r="C71" s="38" t="s">
        <v>223</v>
      </c>
      <c r="D71" s="115" t="s">
        <v>73</v>
      </c>
      <c r="E71" s="115" t="s">
        <v>117</v>
      </c>
      <c r="F71" s="118">
        <f>186984+295162+727165</f>
        <v>1209311</v>
      </c>
      <c r="G71" s="35">
        <f t="shared" si="0"/>
        <v>0</v>
      </c>
      <c r="H71" s="118">
        <f>186984+295162+727165</f>
        <v>1209311</v>
      </c>
      <c r="I71" s="107" t="s">
        <v>224</v>
      </c>
      <c r="J71" s="252"/>
      <c r="K71" s="241"/>
      <c r="L71" s="205"/>
      <c r="M71" s="244"/>
    </row>
    <row r="72" spans="1:13" ht="39.6" x14ac:dyDescent="0.3">
      <c r="A72" s="167" t="s">
        <v>225</v>
      </c>
      <c r="B72" s="117" t="s">
        <v>202</v>
      </c>
      <c r="C72" s="37" t="s">
        <v>226</v>
      </c>
      <c r="D72" s="115" t="s">
        <v>73</v>
      </c>
      <c r="E72" s="115" t="s">
        <v>117</v>
      </c>
      <c r="F72" s="118">
        <f>55000+60500+48374+85000</f>
        <v>248874</v>
      </c>
      <c r="G72" s="35">
        <f t="shared" si="0"/>
        <v>0</v>
      </c>
      <c r="H72" s="119">
        <f>55000+60500+48374+85000</f>
        <v>248874</v>
      </c>
      <c r="I72" s="107" t="s">
        <v>208</v>
      </c>
      <c r="J72" s="252"/>
      <c r="K72" s="241"/>
      <c r="L72" s="205"/>
      <c r="M72" s="244"/>
    </row>
    <row r="73" spans="1:13" ht="39.6" x14ac:dyDescent="0.3">
      <c r="A73" s="167" t="s">
        <v>227</v>
      </c>
      <c r="B73" s="117" t="s">
        <v>202</v>
      </c>
      <c r="C73" s="37" t="s">
        <v>228</v>
      </c>
      <c r="D73" s="115" t="s">
        <v>73</v>
      </c>
      <c r="E73" s="115" t="s">
        <v>117</v>
      </c>
      <c r="F73" s="118">
        <f>14737+10734+18374+47763</f>
        <v>91608</v>
      </c>
      <c r="G73" s="35">
        <f t="shared" si="0"/>
        <v>0</v>
      </c>
      <c r="H73" s="119">
        <f>14737+10734+18374+47763</f>
        <v>91608</v>
      </c>
      <c r="I73" s="107" t="s">
        <v>229</v>
      </c>
      <c r="J73" s="252"/>
      <c r="K73" s="241"/>
      <c r="L73" s="205"/>
      <c r="M73" s="244"/>
    </row>
    <row r="74" spans="1:13" ht="24" customHeight="1" thickBot="1" x14ac:dyDescent="0.35">
      <c r="A74" s="235" t="s">
        <v>264</v>
      </c>
      <c r="B74" s="236"/>
      <c r="C74" s="236"/>
      <c r="D74" s="236"/>
      <c r="E74" s="236"/>
      <c r="F74" s="71">
        <f>SUM(F70:F73)</f>
        <v>1614312</v>
      </c>
      <c r="G74" s="71">
        <f>SUM(G70:G73)</f>
        <v>0</v>
      </c>
      <c r="H74" s="142">
        <f>SUM(H70:H73)</f>
        <v>1614312</v>
      </c>
      <c r="I74" s="113"/>
      <c r="J74" s="253"/>
      <c r="K74" s="242"/>
      <c r="L74" s="199"/>
      <c r="M74" s="245"/>
    </row>
    <row r="75" spans="1:13" ht="78" customHeight="1" x14ac:dyDescent="0.3">
      <c r="A75" s="86" t="s">
        <v>107</v>
      </c>
      <c r="B75" s="87" t="s">
        <v>70</v>
      </c>
      <c r="C75" s="87" t="s">
        <v>108</v>
      </c>
      <c r="D75" s="143" t="s">
        <v>109</v>
      </c>
      <c r="E75" s="143" t="s">
        <v>269</v>
      </c>
      <c r="F75" s="88">
        <v>90368</v>
      </c>
      <c r="G75" s="88">
        <f t="shared" si="0"/>
        <v>22592</v>
      </c>
      <c r="H75" s="88">
        <v>112960</v>
      </c>
      <c r="I75" s="144" t="s">
        <v>110</v>
      </c>
      <c r="J75" s="246">
        <v>27</v>
      </c>
      <c r="K75" s="248">
        <v>1287977</v>
      </c>
      <c r="L75" s="206">
        <v>374773</v>
      </c>
      <c r="M75" s="249">
        <f>L75/K75*100</f>
        <v>29.097802212306583</v>
      </c>
    </row>
    <row r="76" spans="1:13" ht="24" customHeight="1" thickBot="1" x14ac:dyDescent="0.35">
      <c r="A76" s="212" t="s">
        <v>264</v>
      </c>
      <c r="B76" s="213"/>
      <c r="C76" s="213"/>
      <c r="D76" s="213"/>
      <c r="E76" s="214"/>
      <c r="F76" s="61">
        <f>SUM(F75)</f>
        <v>90368</v>
      </c>
      <c r="G76" s="61">
        <f>SUM(G75)</f>
        <v>22592</v>
      </c>
      <c r="H76" s="61">
        <f>SUM(H75)</f>
        <v>112960</v>
      </c>
      <c r="I76" s="116"/>
      <c r="J76" s="247"/>
      <c r="K76" s="207"/>
      <c r="L76" s="207"/>
      <c r="M76" s="250"/>
    </row>
    <row r="77" spans="1:13" ht="40.200000000000003" x14ac:dyDescent="0.3">
      <c r="A77" s="155" t="s">
        <v>230</v>
      </c>
      <c r="B77" s="156" t="s">
        <v>202</v>
      </c>
      <c r="C77" s="84" t="s">
        <v>231</v>
      </c>
      <c r="D77" s="146" t="s">
        <v>232</v>
      </c>
      <c r="E77" s="164" t="s">
        <v>233</v>
      </c>
      <c r="F77" s="165">
        <f>14000+28000+28000</f>
        <v>70000</v>
      </c>
      <c r="G77" s="68">
        <f t="shared" si="0"/>
        <v>17500</v>
      </c>
      <c r="H77" s="166">
        <f>17500+35000+35000</f>
        <v>87500</v>
      </c>
      <c r="I77" s="112" t="s">
        <v>234</v>
      </c>
      <c r="J77" s="229">
        <v>28</v>
      </c>
      <c r="K77" s="240">
        <v>149499</v>
      </c>
      <c r="L77" s="198">
        <v>10644</v>
      </c>
      <c r="M77" s="243">
        <f>L77/K77*100</f>
        <v>7.1197800654184977</v>
      </c>
    </row>
    <row r="78" spans="1:13" ht="34.200000000000003" x14ac:dyDescent="0.3">
      <c r="A78" s="167" t="s">
        <v>235</v>
      </c>
      <c r="B78" s="117" t="s">
        <v>202</v>
      </c>
      <c r="C78" s="38" t="s">
        <v>218</v>
      </c>
      <c r="D78" s="115" t="s">
        <v>236</v>
      </c>
      <c r="E78" s="115" t="s">
        <v>237</v>
      </c>
      <c r="F78" s="118">
        <f>225729+241530+180521+340719+759643</f>
        <v>1748142</v>
      </c>
      <c r="G78" s="35">
        <f t="shared" si="0"/>
        <v>1748142</v>
      </c>
      <c r="H78" s="119">
        <f>451458+483060+361042+681438+1519286</f>
        <v>3496284</v>
      </c>
      <c r="I78" s="107" t="s">
        <v>205</v>
      </c>
      <c r="J78" s="237"/>
      <c r="K78" s="241"/>
      <c r="L78" s="205"/>
      <c r="M78" s="244"/>
    </row>
    <row r="79" spans="1:13" ht="27" x14ac:dyDescent="0.3">
      <c r="A79" s="168" t="s">
        <v>238</v>
      </c>
      <c r="B79" s="117" t="s">
        <v>239</v>
      </c>
      <c r="C79" s="38" t="s">
        <v>240</v>
      </c>
      <c r="D79" s="115" t="s">
        <v>236</v>
      </c>
      <c r="E79" s="120" t="s">
        <v>241</v>
      </c>
      <c r="F79" s="118">
        <f>36000+8000+119578</f>
        <v>163578</v>
      </c>
      <c r="G79" s="35">
        <f t="shared" si="0"/>
        <v>40895</v>
      </c>
      <c r="H79" s="119">
        <f>45000+10000+149473</f>
        <v>204473</v>
      </c>
      <c r="I79" s="107" t="s">
        <v>242</v>
      </c>
      <c r="J79" s="237"/>
      <c r="K79" s="241"/>
      <c r="L79" s="205"/>
      <c r="M79" s="244"/>
    </row>
    <row r="80" spans="1:13" ht="39.6" x14ac:dyDescent="0.3">
      <c r="A80" s="167" t="s">
        <v>243</v>
      </c>
      <c r="B80" s="117" t="s">
        <v>202</v>
      </c>
      <c r="C80" s="37" t="s">
        <v>207</v>
      </c>
      <c r="D80" s="115" t="s">
        <v>236</v>
      </c>
      <c r="E80" s="115" t="s">
        <v>237</v>
      </c>
      <c r="F80" s="118">
        <f>4000+4000+9000+10000</f>
        <v>27000</v>
      </c>
      <c r="G80" s="35">
        <f t="shared" si="0"/>
        <v>0</v>
      </c>
      <c r="H80" s="119">
        <f>4000+4000+9000+10000</f>
        <v>27000</v>
      </c>
      <c r="I80" s="107" t="s">
        <v>208</v>
      </c>
      <c r="J80" s="237"/>
      <c r="K80" s="241"/>
      <c r="L80" s="205"/>
      <c r="M80" s="244"/>
    </row>
    <row r="81" spans="1:13" ht="16.2" thickBot="1" x14ac:dyDescent="0.35">
      <c r="A81" s="235" t="s">
        <v>264</v>
      </c>
      <c r="B81" s="236"/>
      <c r="C81" s="236"/>
      <c r="D81" s="236"/>
      <c r="E81" s="236"/>
      <c r="F81" s="71">
        <f>SUM(F77:F80)</f>
        <v>2008720</v>
      </c>
      <c r="G81" s="71">
        <f>SUM(G77:G80)</f>
        <v>1806537</v>
      </c>
      <c r="H81" s="142">
        <f>SUM(H77:H80)</f>
        <v>3815257</v>
      </c>
      <c r="I81" s="113"/>
      <c r="J81" s="230"/>
      <c r="K81" s="242"/>
      <c r="L81" s="199"/>
      <c r="M81" s="245"/>
    </row>
    <row r="82" spans="1:13" ht="105.6" x14ac:dyDescent="0.3">
      <c r="A82" s="162" t="s">
        <v>56</v>
      </c>
      <c r="B82" s="96"/>
      <c r="C82" s="98" t="s">
        <v>57</v>
      </c>
      <c r="D82" s="96" t="s">
        <v>58</v>
      </c>
      <c r="E82" s="96" t="s">
        <v>59</v>
      </c>
      <c r="F82" s="99">
        <v>12640000</v>
      </c>
      <c r="G82" s="100">
        <f t="shared" si="0"/>
        <v>3160000</v>
      </c>
      <c r="H82" s="101">
        <v>15800000</v>
      </c>
      <c r="I82" s="163" t="s">
        <v>60</v>
      </c>
      <c r="J82" s="221">
        <v>29</v>
      </c>
      <c r="K82" s="201">
        <v>410243</v>
      </c>
      <c r="L82" s="200">
        <v>28836</v>
      </c>
      <c r="M82" s="219">
        <f>L82/K82*100</f>
        <v>7.0290047605931116</v>
      </c>
    </row>
    <row r="83" spans="1:13" ht="53.4" x14ac:dyDescent="0.3">
      <c r="A83" s="125" t="s">
        <v>154</v>
      </c>
      <c r="B83" s="23" t="s">
        <v>155</v>
      </c>
      <c r="C83" s="7" t="s">
        <v>187</v>
      </c>
      <c r="D83" s="24" t="s">
        <v>58</v>
      </c>
      <c r="E83" s="25" t="s">
        <v>188</v>
      </c>
      <c r="F83" s="12">
        <f>30743+71329</f>
        <v>102072</v>
      </c>
      <c r="G83" s="15">
        <v>0</v>
      </c>
      <c r="H83" s="12">
        <f>30743+71329</f>
        <v>102072</v>
      </c>
      <c r="I83" s="9" t="s">
        <v>189</v>
      </c>
      <c r="J83" s="221"/>
      <c r="K83" s="201"/>
      <c r="L83" s="201"/>
      <c r="M83" s="219"/>
    </row>
    <row r="84" spans="1:13" ht="34.200000000000003" x14ac:dyDescent="0.3">
      <c r="A84" s="125" t="s">
        <v>244</v>
      </c>
      <c r="B84" s="23" t="s">
        <v>202</v>
      </c>
      <c r="C84" s="17" t="s">
        <v>218</v>
      </c>
      <c r="D84" s="21" t="s">
        <v>58</v>
      </c>
      <c r="E84" s="21" t="s">
        <v>188</v>
      </c>
      <c r="F84" s="26">
        <f>354233+379029+283289+532822+1254258</f>
        <v>2803631</v>
      </c>
      <c r="G84" s="15">
        <f t="shared" si="0"/>
        <v>2803631</v>
      </c>
      <c r="H84" s="27">
        <f>708466+758058+566578+1065644+2508516</f>
        <v>5607262</v>
      </c>
      <c r="I84" s="19" t="s">
        <v>205</v>
      </c>
      <c r="J84" s="221"/>
      <c r="K84" s="201"/>
      <c r="L84" s="201"/>
      <c r="M84" s="219"/>
    </row>
    <row r="85" spans="1:13" ht="27" x14ac:dyDescent="0.3">
      <c r="A85" s="125" t="s">
        <v>245</v>
      </c>
      <c r="B85" s="23" t="s">
        <v>246</v>
      </c>
      <c r="C85" s="17" t="s">
        <v>247</v>
      </c>
      <c r="D85" s="21" t="s">
        <v>58</v>
      </c>
      <c r="E85" s="28" t="s">
        <v>188</v>
      </c>
      <c r="F85" s="26">
        <f>16000+120000</f>
        <v>136000</v>
      </c>
      <c r="G85" s="15">
        <f t="shared" si="0"/>
        <v>34000</v>
      </c>
      <c r="H85" s="27">
        <f>20000+150000</f>
        <v>170000</v>
      </c>
      <c r="I85" s="19" t="s">
        <v>248</v>
      </c>
      <c r="J85" s="221"/>
      <c r="K85" s="201"/>
      <c r="L85" s="201"/>
      <c r="M85" s="219"/>
    </row>
    <row r="86" spans="1:13" ht="39.6" x14ac:dyDescent="0.3">
      <c r="A86" s="125" t="s">
        <v>249</v>
      </c>
      <c r="B86" s="23" t="s">
        <v>202</v>
      </c>
      <c r="C86" s="7" t="s">
        <v>207</v>
      </c>
      <c r="D86" s="21" t="s">
        <v>58</v>
      </c>
      <c r="E86" s="21" t="s">
        <v>188</v>
      </c>
      <c r="F86" s="26">
        <f>4000+4000+9000+10000</f>
        <v>27000</v>
      </c>
      <c r="G86" s="15">
        <f t="shared" si="0"/>
        <v>0</v>
      </c>
      <c r="H86" s="27">
        <f>4000+4000+9000+10000</f>
        <v>27000</v>
      </c>
      <c r="I86" s="19" t="s">
        <v>208</v>
      </c>
      <c r="J86" s="221"/>
      <c r="K86" s="201"/>
      <c r="L86" s="201"/>
      <c r="M86" s="219"/>
    </row>
    <row r="87" spans="1:13" ht="303.60000000000002" x14ac:dyDescent="0.3">
      <c r="A87" s="161"/>
      <c r="B87" s="64" t="s">
        <v>70</v>
      </c>
      <c r="C87" s="64" t="s">
        <v>94</v>
      </c>
      <c r="D87" s="152" t="s">
        <v>95</v>
      </c>
      <c r="E87" s="152" t="s">
        <v>96</v>
      </c>
      <c r="F87" s="153">
        <v>50812</v>
      </c>
      <c r="G87" s="65">
        <f t="shared" si="0"/>
        <v>50812</v>
      </c>
      <c r="H87" s="153">
        <v>101624</v>
      </c>
      <c r="I87" s="154" t="s">
        <v>97</v>
      </c>
      <c r="J87" s="221"/>
      <c r="K87" s="201"/>
      <c r="L87" s="201"/>
      <c r="M87" s="219"/>
    </row>
    <row r="88" spans="1:13" ht="24" customHeight="1" thickBot="1" x14ac:dyDescent="0.35">
      <c r="A88" s="212" t="s">
        <v>264</v>
      </c>
      <c r="B88" s="213"/>
      <c r="C88" s="213"/>
      <c r="D88" s="213"/>
      <c r="E88" s="214"/>
      <c r="F88" s="61">
        <f>SUM(F82:F87)</f>
        <v>15759515</v>
      </c>
      <c r="G88" s="61">
        <f>SUM(G82:G87)</f>
        <v>6048443</v>
      </c>
      <c r="H88" s="61">
        <f>SUM(H82:H87)</f>
        <v>21807958</v>
      </c>
      <c r="I88" s="116"/>
      <c r="J88" s="216"/>
      <c r="K88" s="202"/>
      <c r="L88" s="202"/>
      <c r="M88" s="218"/>
    </row>
    <row r="89" spans="1:13" ht="79.2" x14ac:dyDescent="0.3">
      <c r="A89" s="155" t="s">
        <v>160</v>
      </c>
      <c r="B89" s="156" t="s">
        <v>155</v>
      </c>
      <c r="C89" s="103" t="s">
        <v>168</v>
      </c>
      <c r="D89" s="157" t="s">
        <v>169</v>
      </c>
      <c r="E89" s="158" t="s">
        <v>170</v>
      </c>
      <c r="F89" s="159">
        <f>25000+50000</f>
        <v>75000</v>
      </c>
      <c r="G89" s="68">
        <v>0</v>
      </c>
      <c r="H89" s="159">
        <f>25000+50000</f>
        <v>75000</v>
      </c>
      <c r="I89" s="160" t="s">
        <v>171</v>
      </c>
      <c r="J89" s="229">
        <v>30</v>
      </c>
      <c r="K89" s="198">
        <v>312739</v>
      </c>
      <c r="L89" s="198">
        <v>77132</v>
      </c>
      <c r="M89" s="203">
        <f>L89/K89*100</f>
        <v>24.663377448927058</v>
      </c>
    </row>
    <row r="90" spans="1:13" ht="23.25" customHeight="1" thickBot="1" x14ac:dyDescent="0.35">
      <c r="A90" s="235" t="s">
        <v>264</v>
      </c>
      <c r="B90" s="236"/>
      <c r="C90" s="236"/>
      <c r="D90" s="236"/>
      <c r="E90" s="236"/>
      <c r="F90" s="71">
        <f>SUM(F89)</f>
        <v>75000</v>
      </c>
      <c r="G90" s="71">
        <f>SUM(G89)</f>
        <v>0</v>
      </c>
      <c r="H90" s="142">
        <f>SUM(H89)</f>
        <v>75000</v>
      </c>
      <c r="I90" s="113"/>
      <c r="J90" s="230"/>
      <c r="K90" s="199"/>
      <c r="L90" s="199"/>
      <c r="M90" s="204"/>
    </row>
    <row r="91" spans="1:13" ht="106.2" x14ac:dyDescent="0.3">
      <c r="A91" s="51" t="s">
        <v>154</v>
      </c>
      <c r="B91" s="52" t="s">
        <v>155</v>
      </c>
      <c r="C91" s="53" t="s">
        <v>194</v>
      </c>
      <c r="D91" s="54" t="s">
        <v>195</v>
      </c>
      <c r="E91" s="55" t="s">
        <v>196</v>
      </c>
      <c r="F91" s="56">
        <f>174706+257517</f>
        <v>432223</v>
      </c>
      <c r="G91" s="57">
        <v>0</v>
      </c>
      <c r="H91" s="56">
        <f>174706+257517</f>
        <v>432223</v>
      </c>
      <c r="I91" s="58" t="s">
        <v>197</v>
      </c>
      <c r="J91" s="215">
        <v>31</v>
      </c>
      <c r="K91" s="200">
        <v>472890</v>
      </c>
      <c r="L91" s="200">
        <v>99894</v>
      </c>
      <c r="M91" s="217">
        <f>L91/K91*100</f>
        <v>21.124151494004948</v>
      </c>
    </row>
    <row r="92" spans="1:13" ht="24" customHeight="1" thickBot="1" x14ac:dyDescent="0.35">
      <c r="A92" s="212" t="s">
        <v>264</v>
      </c>
      <c r="B92" s="213"/>
      <c r="C92" s="213"/>
      <c r="D92" s="213"/>
      <c r="E92" s="214"/>
      <c r="F92" s="61">
        <f>SUM(F91)</f>
        <v>432223</v>
      </c>
      <c r="G92" s="61">
        <f>SUM(G91)</f>
        <v>0</v>
      </c>
      <c r="H92" s="145">
        <f>SUM(H91)</f>
        <v>432223</v>
      </c>
      <c r="I92" s="116"/>
      <c r="J92" s="216"/>
      <c r="K92" s="202"/>
      <c r="L92" s="202"/>
      <c r="M92" s="218"/>
    </row>
    <row r="93" spans="1:13" ht="27" x14ac:dyDescent="0.3">
      <c r="A93" s="66" t="s">
        <v>115</v>
      </c>
      <c r="B93" s="67" t="s">
        <v>70</v>
      </c>
      <c r="C93" s="67" t="s">
        <v>116</v>
      </c>
      <c r="D93" s="141" t="s">
        <v>117</v>
      </c>
      <c r="E93" s="84" t="s">
        <v>117</v>
      </c>
      <c r="F93" s="68">
        <v>65804</v>
      </c>
      <c r="G93" s="68">
        <f t="shared" si="0"/>
        <v>0</v>
      </c>
      <c r="H93" s="68">
        <v>65804</v>
      </c>
      <c r="I93" s="146" t="s">
        <v>118</v>
      </c>
      <c r="J93" s="251">
        <v>32</v>
      </c>
      <c r="K93" s="240">
        <v>3574097</v>
      </c>
      <c r="L93" s="198">
        <v>1027835</v>
      </c>
      <c r="M93" s="243">
        <f>L93/K93*100</f>
        <v>28.75789325247748</v>
      </c>
    </row>
    <row r="94" spans="1:13" ht="24" customHeight="1" thickBot="1" x14ac:dyDescent="0.35">
      <c r="A94" s="257" t="s">
        <v>264</v>
      </c>
      <c r="B94" s="258"/>
      <c r="C94" s="258"/>
      <c r="D94" s="258"/>
      <c r="E94" s="258"/>
      <c r="F94" s="41">
        <f>SUM(F93)</f>
        <v>65804</v>
      </c>
      <c r="G94" s="41">
        <f>SUM(G93)</f>
        <v>0</v>
      </c>
      <c r="H94" s="147">
        <f>SUM(H93)</f>
        <v>65804</v>
      </c>
      <c r="I94" s="123"/>
      <c r="J94" s="231"/>
      <c r="K94" s="209"/>
      <c r="L94" s="199"/>
      <c r="M94" s="268"/>
    </row>
    <row r="95" spans="1:13" ht="132" x14ac:dyDescent="0.3">
      <c r="A95" s="76" t="s">
        <v>103</v>
      </c>
      <c r="B95" s="77" t="s">
        <v>70</v>
      </c>
      <c r="C95" s="77" t="s">
        <v>104</v>
      </c>
      <c r="D95" s="78" t="s">
        <v>105</v>
      </c>
      <c r="E95" s="78" t="s">
        <v>268</v>
      </c>
      <c r="F95" s="57">
        <v>163200</v>
      </c>
      <c r="G95" s="57">
        <f t="shared" si="0"/>
        <v>40800</v>
      </c>
      <c r="H95" s="57">
        <v>204000</v>
      </c>
      <c r="I95" s="151" t="s">
        <v>106</v>
      </c>
      <c r="J95" s="269">
        <v>33</v>
      </c>
      <c r="K95" s="206">
        <v>196413</v>
      </c>
      <c r="L95" s="206">
        <v>22150</v>
      </c>
      <c r="M95" s="254">
        <f>L95/K95*100</f>
        <v>11.277257615330962</v>
      </c>
    </row>
    <row r="96" spans="1:13" ht="16.2" thickBot="1" x14ac:dyDescent="0.35">
      <c r="A96" s="255" t="s">
        <v>264</v>
      </c>
      <c r="B96" s="256"/>
      <c r="C96" s="256"/>
      <c r="D96" s="256"/>
      <c r="E96" s="256"/>
      <c r="F96" s="61">
        <f>SUM(F95)</f>
        <v>163200</v>
      </c>
      <c r="G96" s="61">
        <f>SUM(G95)</f>
        <v>40800</v>
      </c>
      <c r="H96" s="145">
        <f>SUM(H95)</f>
        <v>204000</v>
      </c>
      <c r="I96" s="116"/>
      <c r="J96" s="247"/>
      <c r="K96" s="207"/>
      <c r="L96" s="207"/>
      <c r="M96" s="250"/>
    </row>
    <row r="97" spans="1:13" ht="92.4" x14ac:dyDescent="0.3">
      <c r="A97" s="89"/>
      <c r="B97" s="90" t="s">
        <v>70</v>
      </c>
      <c r="C97" s="90" t="s">
        <v>79</v>
      </c>
      <c r="D97" s="148" t="s">
        <v>80</v>
      </c>
      <c r="E97" s="149" t="s">
        <v>81</v>
      </c>
      <c r="F97" s="49">
        <v>89026</v>
      </c>
      <c r="G97" s="49">
        <f t="shared" si="0"/>
        <v>89026</v>
      </c>
      <c r="H97" s="49">
        <v>178052</v>
      </c>
      <c r="I97" s="150" t="s">
        <v>82</v>
      </c>
      <c r="J97" s="237">
        <v>34</v>
      </c>
      <c r="K97" s="205">
        <v>85573</v>
      </c>
      <c r="L97" s="198">
        <v>15063</v>
      </c>
      <c r="M97" s="238">
        <f>L97/K97*100</f>
        <v>17.602514811914975</v>
      </c>
    </row>
    <row r="98" spans="1:13" ht="16.2" thickBot="1" x14ac:dyDescent="0.35">
      <c r="A98" s="226" t="s">
        <v>264</v>
      </c>
      <c r="B98" s="227"/>
      <c r="C98" s="227"/>
      <c r="D98" s="227"/>
      <c r="E98" s="228"/>
      <c r="F98" s="71">
        <f>SUM(F97)</f>
        <v>89026</v>
      </c>
      <c r="G98" s="71">
        <f>SUM(G97)</f>
        <v>89026</v>
      </c>
      <c r="H98" s="142">
        <f>SUM(H97)</f>
        <v>178052</v>
      </c>
      <c r="I98" s="113"/>
      <c r="J98" s="230"/>
      <c r="K98" s="199"/>
      <c r="L98" s="199"/>
      <c r="M98" s="204"/>
    </row>
    <row r="99" spans="1:13" ht="40.200000000000003" x14ac:dyDescent="0.3">
      <c r="A99" s="135" t="s">
        <v>250</v>
      </c>
      <c r="B99" s="44" t="s">
        <v>202</v>
      </c>
      <c r="C99" s="109" t="s">
        <v>231</v>
      </c>
      <c r="D99" s="136" t="s">
        <v>251</v>
      </c>
      <c r="E99" s="137" t="s">
        <v>252</v>
      </c>
      <c r="F99" s="138">
        <f>14000+28000+28000</f>
        <v>70000</v>
      </c>
      <c r="G99" s="100">
        <f t="shared" si="0"/>
        <v>17500</v>
      </c>
      <c r="H99" s="139">
        <f>17500+35000+35000</f>
        <v>87500</v>
      </c>
      <c r="I99" s="140" t="s">
        <v>253</v>
      </c>
      <c r="J99" s="221">
        <v>35</v>
      </c>
      <c r="K99" s="201">
        <v>391653</v>
      </c>
      <c r="L99" s="200">
        <v>60532</v>
      </c>
      <c r="M99" s="219">
        <f>L99/K99*100</f>
        <v>15.455518022330992</v>
      </c>
    </row>
    <row r="100" spans="1:13" ht="79.8" x14ac:dyDescent="0.3">
      <c r="A100" s="125" t="s">
        <v>154</v>
      </c>
      <c r="B100" s="23" t="s">
        <v>155</v>
      </c>
      <c r="C100" s="7" t="s">
        <v>183</v>
      </c>
      <c r="D100" s="24" t="s">
        <v>184</v>
      </c>
      <c r="E100" s="25" t="s">
        <v>185</v>
      </c>
      <c r="F100" s="12">
        <f>54655+100024</f>
        <v>154679</v>
      </c>
      <c r="G100" s="15">
        <v>0</v>
      </c>
      <c r="H100" s="12">
        <f>54655+100024</f>
        <v>154679</v>
      </c>
      <c r="I100" s="9" t="s">
        <v>186</v>
      </c>
      <c r="J100" s="221"/>
      <c r="K100" s="201"/>
      <c r="L100" s="201"/>
      <c r="M100" s="219"/>
    </row>
    <row r="101" spans="1:13" ht="34.200000000000003" x14ac:dyDescent="0.3">
      <c r="A101" s="125" t="s">
        <v>254</v>
      </c>
      <c r="B101" s="23" t="s">
        <v>202</v>
      </c>
      <c r="C101" s="17" t="s">
        <v>218</v>
      </c>
      <c r="D101" s="21" t="s">
        <v>184</v>
      </c>
      <c r="E101" s="21" t="s">
        <v>185</v>
      </c>
      <c r="F101" s="26">
        <f>526446+563297+421012+826633+381280+450000</f>
        <v>3168668</v>
      </c>
      <c r="G101" s="15">
        <f t="shared" si="0"/>
        <v>3168668</v>
      </c>
      <c r="H101" s="27">
        <f>1052892+1126594+842024+1653266+762560+900000</f>
        <v>6337336</v>
      </c>
      <c r="I101" s="19" t="s">
        <v>205</v>
      </c>
      <c r="J101" s="221"/>
      <c r="K101" s="201"/>
      <c r="L101" s="201"/>
      <c r="M101" s="219"/>
    </row>
    <row r="102" spans="1:13" ht="35.4" x14ac:dyDescent="0.3">
      <c r="A102" s="126" t="s">
        <v>255</v>
      </c>
      <c r="B102" s="23" t="s">
        <v>239</v>
      </c>
      <c r="C102" s="17" t="s">
        <v>256</v>
      </c>
      <c r="D102" s="21" t="s">
        <v>184</v>
      </c>
      <c r="E102" s="21" t="s">
        <v>185</v>
      </c>
      <c r="F102" s="26">
        <f>501600+8000+60000</f>
        <v>569600</v>
      </c>
      <c r="G102" s="15">
        <f t="shared" ref="G102:G103" si="2">SUM(H102-F102)</f>
        <v>142400</v>
      </c>
      <c r="H102" s="27">
        <f>627000+10000+75000</f>
        <v>712000</v>
      </c>
      <c r="I102" s="19" t="s">
        <v>257</v>
      </c>
      <c r="J102" s="221"/>
      <c r="K102" s="201"/>
      <c r="L102" s="201"/>
      <c r="M102" s="219"/>
    </row>
    <row r="103" spans="1:13" ht="39.6" x14ac:dyDescent="0.3">
      <c r="A103" s="125" t="s">
        <v>258</v>
      </c>
      <c r="B103" s="23" t="s">
        <v>202</v>
      </c>
      <c r="C103" s="7" t="s">
        <v>207</v>
      </c>
      <c r="D103" s="21" t="s">
        <v>184</v>
      </c>
      <c r="E103" s="21" t="s">
        <v>185</v>
      </c>
      <c r="F103" s="26">
        <f>4000+4000+9000+10000</f>
        <v>27000</v>
      </c>
      <c r="G103" s="15">
        <f t="shared" si="2"/>
        <v>0</v>
      </c>
      <c r="H103" s="27">
        <f>4000+4000+9000+10000</f>
        <v>27000</v>
      </c>
      <c r="I103" s="19" t="s">
        <v>208</v>
      </c>
      <c r="J103" s="221"/>
      <c r="K103" s="201"/>
      <c r="L103" s="201"/>
      <c r="M103" s="219"/>
    </row>
    <row r="104" spans="1:13" ht="18" customHeight="1" thickBot="1" x14ac:dyDescent="0.35">
      <c r="A104" s="259" t="s">
        <v>264</v>
      </c>
      <c r="B104" s="260"/>
      <c r="C104" s="260"/>
      <c r="D104" s="260"/>
      <c r="E104" s="261"/>
      <c r="F104" s="128">
        <f>SUM(F99:F103)</f>
        <v>3989947</v>
      </c>
      <c r="G104" s="61">
        <f>SUM(G99:G103)</f>
        <v>3328568</v>
      </c>
      <c r="H104" s="129">
        <f>SUM(H99:H103)</f>
        <v>7318515</v>
      </c>
      <c r="I104" s="127"/>
      <c r="J104" s="216"/>
      <c r="K104" s="202"/>
      <c r="L104" s="202"/>
      <c r="M104" s="218"/>
    </row>
  </sheetData>
  <sortState ref="A3:H72">
    <sortCondition ref="D3:D72"/>
  </sortState>
  <mergeCells count="174">
    <mergeCell ref="A8:E8"/>
    <mergeCell ref="J7:J8"/>
    <mergeCell ref="M7:M8"/>
    <mergeCell ref="K7:K8"/>
    <mergeCell ref="A16:E16"/>
    <mergeCell ref="J15:J16"/>
    <mergeCell ref="K15:K16"/>
    <mergeCell ref="M15:M16"/>
    <mergeCell ref="A4:E4"/>
    <mergeCell ref="J3:J4"/>
    <mergeCell ref="K3:K4"/>
    <mergeCell ref="M3:M4"/>
    <mergeCell ref="A6:E6"/>
    <mergeCell ref="J5:J6"/>
    <mergeCell ref="K5:K6"/>
    <mergeCell ref="M5:M6"/>
    <mergeCell ref="A11:E11"/>
    <mergeCell ref="K9:K11"/>
    <mergeCell ref="M9:M11"/>
    <mergeCell ref="J9:J11"/>
    <mergeCell ref="A14:E14"/>
    <mergeCell ref="K12:K14"/>
    <mergeCell ref="J12:J14"/>
    <mergeCell ref="M12:M14"/>
    <mergeCell ref="A29:E29"/>
    <mergeCell ref="J25:J29"/>
    <mergeCell ref="K25:K29"/>
    <mergeCell ref="M25:M29"/>
    <mergeCell ref="A31:E31"/>
    <mergeCell ref="J30:J31"/>
    <mergeCell ref="K30:K31"/>
    <mergeCell ref="M30:M31"/>
    <mergeCell ref="A18:E18"/>
    <mergeCell ref="J17:J18"/>
    <mergeCell ref="K17:K18"/>
    <mergeCell ref="M17:M18"/>
    <mergeCell ref="A24:E24"/>
    <mergeCell ref="K19:K24"/>
    <mergeCell ref="M19:M24"/>
    <mergeCell ref="J19:J24"/>
    <mergeCell ref="J99:J104"/>
    <mergeCell ref="A104:E104"/>
    <mergeCell ref="A98:E98"/>
    <mergeCell ref="J97:J98"/>
    <mergeCell ref="K97:K98"/>
    <mergeCell ref="M97:M98"/>
    <mergeCell ref="A36:E36"/>
    <mergeCell ref="J32:J36"/>
    <mergeCell ref="K32:K36"/>
    <mergeCell ref="M32:M36"/>
    <mergeCell ref="A38:E38"/>
    <mergeCell ref="J37:J38"/>
    <mergeCell ref="K37:K38"/>
    <mergeCell ref="M37:M38"/>
    <mergeCell ref="J77:J81"/>
    <mergeCell ref="J43:J44"/>
    <mergeCell ref="J49:J51"/>
    <mergeCell ref="J93:J94"/>
    <mergeCell ref="K93:K94"/>
    <mergeCell ref="M93:M94"/>
    <mergeCell ref="J95:J96"/>
    <mergeCell ref="K95:K96"/>
    <mergeCell ref="A96:E96"/>
    <mergeCell ref="A94:E94"/>
    <mergeCell ref="A92:E92"/>
    <mergeCell ref="J91:J92"/>
    <mergeCell ref="K91:K92"/>
    <mergeCell ref="A90:E90"/>
    <mergeCell ref="J89:J90"/>
    <mergeCell ref="K89:K90"/>
    <mergeCell ref="M89:M90"/>
    <mergeCell ref="L93:L94"/>
    <mergeCell ref="L95:L96"/>
    <mergeCell ref="A88:E88"/>
    <mergeCell ref="J82:J88"/>
    <mergeCell ref="K82:K88"/>
    <mergeCell ref="M82:M88"/>
    <mergeCell ref="M91:M92"/>
    <mergeCell ref="A74:E74"/>
    <mergeCell ref="J70:J74"/>
    <mergeCell ref="K70:K74"/>
    <mergeCell ref="M70:M74"/>
    <mergeCell ref="L82:L88"/>
    <mergeCell ref="L89:L90"/>
    <mergeCell ref="L91:L92"/>
    <mergeCell ref="A69:E69"/>
    <mergeCell ref="J68:J69"/>
    <mergeCell ref="K68:K69"/>
    <mergeCell ref="M68:M69"/>
    <mergeCell ref="A81:E81"/>
    <mergeCell ref="K77:K81"/>
    <mergeCell ref="M77:M81"/>
    <mergeCell ref="A76:E76"/>
    <mergeCell ref="J75:J76"/>
    <mergeCell ref="K75:K76"/>
    <mergeCell ref="M75:M76"/>
    <mergeCell ref="L77:L81"/>
    <mergeCell ref="A67:E67"/>
    <mergeCell ref="A59:E59"/>
    <mergeCell ref="J56:J59"/>
    <mergeCell ref="K56:K59"/>
    <mergeCell ref="M56:M59"/>
    <mergeCell ref="A65:E65"/>
    <mergeCell ref="J64:J65"/>
    <mergeCell ref="K64:K65"/>
    <mergeCell ref="M64:M65"/>
    <mergeCell ref="A61:E61"/>
    <mergeCell ref="J60:J61"/>
    <mergeCell ref="K60:K61"/>
    <mergeCell ref="M60:M61"/>
    <mergeCell ref="A63:E63"/>
    <mergeCell ref="J62:J63"/>
    <mergeCell ref="K62:K63"/>
    <mergeCell ref="M62:M63"/>
    <mergeCell ref="M49:M51"/>
    <mergeCell ref="A42:E42"/>
    <mergeCell ref="J39:J42"/>
    <mergeCell ref="K39:K42"/>
    <mergeCell ref="M39:M42"/>
    <mergeCell ref="A53:E53"/>
    <mergeCell ref="J52:J53"/>
    <mergeCell ref="K52:K53"/>
    <mergeCell ref="M52:M53"/>
    <mergeCell ref="A48:E48"/>
    <mergeCell ref="J47:J48"/>
    <mergeCell ref="K47:K48"/>
    <mergeCell ref="M47:M48"/>
    <mergeCell ref="A46:E46"/>
    <mergeCell ref="J45:J46"/>
    <mergeCell ref="K45:K46"/>
    <mergeCell ref="M45:M46"/>
    <mergeCell ref="K43:K44"/>
    <mergeCell ref="M43:M44"/>
    <mergeCell ref="A44:E44"/>
    <mergeCell ref="L49:L51"/>
    <mergeCell ref="L52:L53"/>
    <mergeCell ref="L30:L31"/>
    <mergeCell ref="L32:L36"/>
    <mergeCell ref="L37:L38"/>
    <mergeCell ref="L39:L42"/>
    <mergeCell ref="L43:L44"/>
    <mergeCell ref="L45:L46"/>
    <mergeCell ref="L47:L48"/>
    <mergeCell ref="A55:E55"/>
    <mergeCell ref="J54:J55"/>
    <mergeCell ref="K54:K55"/>
    <mergeCell ref="A51:E51"/>
    <mergeCell ref="K49:K51"/>
    <mergeCell ref="L3:L4"/>
    <mergeCell ref="L5:L6"/>
    <mergeCell ref="L7:L8"/>
    <mergeCell ref="L9:L11"/>
    <mergeCell ref="L12:L14"/>
    <mergeCell ref="L15:L16"/>
    <mergeCell ref="L17:L18"/>
    <mergeCell ref="L19:L24"/>
    <mergeCell ref="L25:L29"/>
    <mergeCell ref="L97:L98"/>
    <mergeCell ref="L99:L104"/>
    <mergeCell ref="M66:M67"/>
    <mergeCell ref="K66:K67"/>
    <mergeCell ref="L54:L55"/>
    <mergeCell ref="L56:L59"/>
    <mergeCell ref="L60:L61"/>
    <mergeCell ref="L62:L63"/>
    <mergeCell ref="L64:L65"/>
    <mergeCell ref="L66:L67"/>
    <mergeCell ref="L68:L69"/>
    <mergeCell ref="L70:L74"/>
    <mergeCell ref="L75:L76"/>
    <mergeCell ref="M54:M55"/>
    <mergeCell ref="M95:M96"/>
    <mergeCell ref="K99:K104"/>
    <mergeCell ref="M99:M104"/>
  </mergeCells>
  <pageMargins left="0.7" right="0.7" top="0.75" bottom="0.75" header="0.3" footer="0.3"/>
  <pageSetup paperSize="17"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Infantino, Sandy</dc:creator>
  <cp:lastModifiedBy>Sadlowski, Jin</cp:lastModifiedBy>
  <cp:lastPrinted>2014-03-18T16:27:36Z</cp:lastPrinted>
  <dcterms:created xsi:type="dcterms:W3CDTF">2014-03-17T21:20:17Z</dcterms:created>
  <dcterms:modified xsi:type="dcterms:W3CDTF">2014-03-19T17:28:00Z</dcterms:modified>
</cp:coreProperties>
</file>